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87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02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84.xml"/>
  <Override ContentType="application/vnd.openxmlformats-officedocument.spreadsheetml.worksheet+xml" PartName="/xl/worksheets/sheet11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108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12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70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21.xml"/>
  <Override ContentType="application/vnd.openxmlformats-officedocument.drawing+xml" PartName="/xl/drawings/drawing82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109.xml"/>
  <Override ContentType="application/vnd.openxmlformats-officedocument.drawing+xml" PartName="/xl/drawings/drawing54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11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87.xml"/>
  <Override ContentType="application/vnd.openxmlformats-officedocument.drawing+xml" PartName="/xl/drawings/drawing3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06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110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53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108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4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05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77.xml"/>
  <Override ContentType="application/vnd.openxmlformats-officedocument.drawing+xml" PartName="/xl/drawings/drawing113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07.xml"/>
  <Override ContentType="application/vnd.openxmlformats-officedocument.drawing+xml" PartName="/xl/drawings/drawing103.xml"/>
  <Override ContentType="application/vnd.openxmlformats-officedocument.drawing+xml" PartName="/xl/drawings/drawing58.xml"/>
  <Override ContentType="application/vnd.openxmlformats-officedocument.drawing+xml" PartName="/xl/drawings/drawing111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8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0.06.23" sheetId="1" r:id="rId4"/>
    <sheet state="visible" name="2020.06.24" sheetId="2" r:id="rId5"/>
    <sheet state="visible" name="2020.06.22" sheetId="3" r:id="rId6"/>
    <sheet state="visible" name="2020.06.21" sheetId="4" r:id="rId7"/>
    <sheet state="visible" name="2020.06.20" sheetId="5" r:id="rId8"/>
    <sheet state="visible" name="2020.06.19 " sheetId="6" r:id="rId9"/>
    <sheet state="visible" name="2020.06.18" sheetId="7" r:id="rId10"/>
    <sheet state="visible" name="2020.06.17" sheetId="8" r:id="rId11"/>
    <sheet state="visible" name="2020.06.16" sheetId="9" r:id="rId12"/>
    <sheet state="visible" name="2020.06.15" sheetId="10" r:id="rId13"/>
    <sheet state="visible" name="2020.06.14" sheetId="11" r:id="rId14"/>
    <sheet state="visible" name="2020.06.13" sheetId="12" r:id="rId15"/>
    <sheet state="visible" name="2020.06.12" sheetId="13" r:id="rId16"/>
    <sheet state="visible" name="2020.06.11" sheetId="14" r:id="rId17"/>
    <sheet state="visible" name="2020.06.10" sheetId="15" r:id="rId18"/>
    <sheet state="visible" name="2020.06.09" sheetId="16" r:id="rId19"/>
    <sheet state="visible" name="2020.06.08" sheetId="17" r:id="rId20"/>
    <sheet state="visible" name="2020.06.07" sheetId="18" r:id="rId21"/>
    <sheet state="visible" name="2020.06.06" sheetId="19" r:id="rId22"/>
    <sheet state="visible" name="2020.06.05" sheetId="20" r:id="rId23"/>
    <sheet state="visible" name="2020.06.04" sheetId="21" r:id="rId24"/>
    <sheet state="visible" name="2020.06.03" sheetId="22" r:id="rId25"/>
    <sheet state="visible" name="2020.06.02" sheetId="23" r:id="rId26"/>
    <sheet state="visible" name="2020.06.01" sheetId="24" r:id="rId27"/>
    <sheet state="visible" name="2020.05.31" sheetId="25" r:id="rId28"/>
    <sheet state="visible" name="2020.05.30" sheetId="26" r:id="rId29"/>
    <sheet state="visible" name="2020.05.29" sheetId="27" r:id="rId30"/>
    <sheet state="visible" name="2020.05.28" sheetId="28" r:id="rId31"/>
    <sheet state="visible" name="2020.05.27" sheetId="29" r:id="rId32"/>
    <sheet state="visible" name="2020.05.26" sheetId="30" r:id="rId33"/>
    <sheet state="visible" name="2020.05.25" sheetId="31" r:id="rId34"/>
    <sheet state="visible" name="2020.05.24" sheetId="32" r:id="rId35"/>
    <sheet state="visible" name="2020.05.23" sheetId="33" r:id="rId36"/>
    <sheet state="visible" name="2020.05.22" sheetId="34" r:id="rId37"/>
    <sheet state="visible" name="2020.05.21" sheetId="35" r:id="rId38"/>
    <sheet state="visible" name="2020.05.20" sheetId="36" r:id="rId39"/>
    <sheet state="visible" name="2020.05.19" sheetId="37" r:id="rId40"/>
    <sheet state="visible" name="2020.05.18" sheetId="38" r:id="rId41"/>
    <sheet state="visible" name="2020.05.17" sheetId="39" r:id="rId42"/>
    <sheet state="visible" name="2020.05.16" sheetId="40" r:id="rId43"/>
    <sheet state="visible" name="2020.05.15" sheetId="41" r:id="rId44"/>
    <sheet state="visible" name="2020.05.14" sheetId="42" r:id="rId45"/>
    <sheet state="visible" name="2020.05.13" sheetId="43" r:id="rId46"/>
    <sheet state="visible" name="2020.05.12" sheetId="44" r:id="rId47"/>
    <sheet state="visible" name="2020.05.11" sheetId="45" r:id="rId48"/>
    <sheet state="visible" name="2020.05.10" sheetId="46" r:id="rId49"/>
    <sheet state="visible" name="2020.05.09" sheetId="47" r:id="rId50"/>
    <sheet state="visible" name="2020.05.08" sheetId="48" r:id="rId51"/>
    <sheet state="visible" name="2020.05.07" sheetId="49" r:id="rId52"/>
    <sheet state="visible" name="2020.05.06" sheetId="50" r:id="rId53"/>
    <sheet state="visible" name="2020.05.05" sheetId="51" r:id="rId54"/>
    <sheet state="visible" name="2020.05.04" sheetId="52" r:id="rId55"/>
    <sheet state="visible" name="2020.05.03" sheetId="53" r:id="rId56"/>
    <sheet state="visible" name="2020.05.02" sheetId="54" r:id="rId57"/>
    <sheet state="visible" name="2020.05.01" sheetId="55" r:id="rId58"/>
    <sheet state="visible" name="2020.04.30" sheetId="56" r:id="rId59"/>
    <sheet state="visible" name="2020.04.29" sheetId="57" r:id="rId60"/>
    <sheet state="visible" name="2020.04.28" sheetId="58" r:id="rId61"/>
    <sheet state="visible" name="2020.04.27" sheetId="59" r:id="rId62"/>
    <sheet state="visible" name="2020.04.26" sheetId="60" r:id="rId63"/>
    <sheet state="visible" name="2020.04.25" sheetId="61" r:id="rId64"/>
    <sheet state="visible" name="2020.04.24" sheetId="62" r:id="rId65"/>
    <sheet state="visible" name="2020.04.23" sheetId="63" r:id="rId66"/>
    <sheet state="visible" name="2020.04.22" sheetId="64" r:id="rId67"/>
    <sheet state="visible" name="2020.04.21" sheetId="65" r:id="rId68"/>
    <sheet state="visible" name="2020.04.20" sheetId="66" r:id="rId69"/>
    <sheet state="visible" name="2020.04.19" sheetId="67" r:id="rId70"/>
    <sheet state="visible" name="2020.04.18" sheetId="68" r:id="rId71"/>
    <sheet state="visible" name="2020.04.17" sheetId="69" r:id="rId72"/>
    <sheet state="visible" name="2020.04.16" sheetId="70" r:id="rId73"/>
    <sheet state="visible" name="2020.04.15" sheetId="71" r:id="rId74"/>
    <sheet state="visible" name="2020.04.14" sheetId="72" r:id="rId75"/>
    <sheet state="visible" name="2020.04.13" sheetId="73" r:id="rId76"/>
    <sheet state="visible" name="2020.04.12 " sheetId="74" r:id="rId77"/>
    <sheet state="visible" name="2020.04.11 " sheetId="75" r:id="rId78"/>
    <sheet state="visible" name="2020.04.10" sheetId="76" r:id="rId79"/>
    <sheet state="visible" name="2020.04.09" sheetId="77" r:id="rId80"/>
    <sheet state="visible" name="2020.04.08" sheetId="78" r:id="rId81"/>
    <sheet state="visible" name="2020.04.07" sheetId="79" r:id="rId82"/>
    <sheet state="visible" name="2020.04.06" sheetId="80" r:id="rId83"/>
    <sheet state="visible" name="2020.04.05" sheetId="81" r:id="rId84"/>
    <sheet state="visible" name="2020.04.04" sheetId="82" r:id="rId85"/>
    <sheet state="visible" name="2020.04.03" sheetId="83" r:id="rId86"/>
    <sheet state="visible" name="2020.04.02" sheetId="84" r:id="rId87"/>
    <sheet state="visible" name="2020.04.01" sheetId="85" r:id="rId88"/>
    <sheet state="visible" name="2020.03.31" sheetId="86" r:id="rId89"/>
    <sheet state="visible" name="2020.03.30" sheetId="87" r:id="rId90"/>
    <sheet state="visible" name="2020.03.29" sheetId="88" r:id="rId91"/>
    <sheet state="visible" name="2020.03.28" sheetId="89" r:id="rId92"/>
    <sheet state="visible" name="2020.03.27" sheetId="90" r:id="rId93"/>
    <sheet state="visible" name="2020.03.26" sheetId="91" r:id="rId94"/>
    <sheet state="visible" name="2020.03.25" sheetId="92" r:id="rId95"/>
    <sheet state="visible" name="2020.03.24" sheetId="93" r:id="rId96"/>
    <sheet state="visible" name="2020.03.23" sheetId="94" r:id="rId97"/>
    <sheet state="visible" name="2020.03.22" sheetId="95" r:id="rId98"/>
    <sheet state="visible" name="2020.03.21" sheetId="96" r:id="rId99"/>
    <sheet state="visible" name="2020.03.20" sheetId="97" r:id="rId100"/>
    <sheet state="visible" name="2020.03.19" sheetId="98" r:id="rId101"/>
    <sheet state="visible" name="2020.03.18" sheetId="99" r:id="rId102"/>
    <sheet state="visible" name="2020.03.17" sheetId="100" r:id="rId103"/>
    <sheet state="visible" name="2020.03.16" sheetId="101" r:id="rId104"/>
    <sheet state="visible" name="2020.03.15" sheetId="102" r:id="rId105"/>
    <sheet state="visible" name="2020.03.14" sheetId="103" r:id="rId106"/>
    <sheet state="visible" name="2020.03.13" sheetId="104" r:id="rId107"/>
    <sheet state="visible" name="2020.03.12" sheetId="105" r:id="rId108"/>
    <sheet state="visible" name="2020.03.11" sheetId="106" r:id="rId109"/>
    <sheet state="visible" name="2020.03.10" sheetId="107" r:id="rId110"/>
    <sheet state="visible" name="2020.03.09" sheetId="108" r:id="rId111"/>
    <sheet state="visible" name="2020.03.08" sheetId="109" r:id="rId112"/>
    <sheet state="visible" name="2020.03.07" sheetId="110" r:id="rId113"/>
    <sheet state="visible" name="2020.03.06" sheetId="111" r:id="rId114"/>
    <sheet state="visible" name="2020.03.03" sheetId="112" r:id="rId115"/>
    <sheet state="visible" name="2020.03.02" sheetId="113" r:id="rId116"/>
    <sheet state="visible" name="2020.03.01" sheetId="114" r:id="rId117"/>
  </sheets>
  <definedNames/>
  <calcPr/>
</workbook>
</file>

<file path=xl/sharedStrings.xml><?xml version="1.0" encoding="utf-8"?>
<sst xmlns="http://schemas.openxmlformats.org/spreadsheetml/2006/main" count="92631" uniqueCount="4313">
  <si>
    <t>Cyber Champions League 01:30 - 04:00</t>
  </si>
  <si>
    <t>Time</t>
  </si>
  <si>
    <t>Player (Blue)</t>
  </si>
  <si>
    <t>Match results</t>
  </si>
  <si>
    <t>Player (Red)</t>
  </si>
  <si>
    <t>Video</t>
  </si>
  <si>
    <t>Borussia Dortmund (Thiago)</t>
  </si>
  <si>
    <t>2 - 2 (1 - 2)</t>
  </si>
  <si>
    <t>Tottenham (Aventon)</t>
  </si>
  <si>
    <t>channel 1</t>
  </si>
  <si>
    <t>Napoli (Veep)</t>
  </si>
  <si>
    <t>1 - 1 (0 - 1)</t>
  </si>
  <si>
    <t>Manchester City (Baphomet)</t>
  </si>
  <si>
    <t>channel 2</t>
  </si>
  <si>
    <t>1 - 3 (1 - 2)</t>
  </si>
  <si>
    <t>Atletico Madrid (OoLancer)</t>
  </si>
  <si>
    <t>2 - 1 (1 - 1)</t>
  </si>
  <si>
    <t>2 - 1 (1 - 0)</t>
  </si>
  <si>
    <t>0 - 2 (0 - 2)</t>
  </si>
  <si>
    <t>1 - 1 (1 - 1)</t>
  </si>
  <si>
    <t>1 - 3 (0 - 1)</t>
  </si>
  <si>
    <t>3 - 1 (2 - 0)</t>
  </si>
  <si>
    <t>0 - 1 (0 - 1)</t>
  </si>
  <si>
    <t>3 - 2 (1 - 0)</t>
  </si>
  <si>
    <t>4 - 1 (3 - 0)</t>
  </si>
  <si>
    <t>1 - 2 (1 - 1)</t>
  </si>
  <si>
    <t>2 - 3 (0 - 2)</t>
  </si>
  <si>
    <t>3 - 0 (3 - 0)</t>
  </si>
  <si>
    <t>2 - 1 (2 - 0)</t>
  </si>
  <si>
    <t>Cyber Champions League  01:30 - 04:00</t>
  </si>
  <si>
    <t>Barcelona (Spacerman)</t>
  </si>
  <si>
    <t>2 - 1 (2 - 1)</t>
  </si>
  <si>
    <t>Juventus (AlBack)</t>
  </si>
  <si>
    <t>channel 3</t>
  </si>
  <si>
    <t>FC Bayern (stdm)</t>
  </si>
  <si>
    <t>2 - 2 (2 - 1)</t>
  </si>
  <si>
    <t>PSG (fleshka77)</t>
  </si>
  <si>
    <t>channel 4</t>
  </si>
  <si>
    <t>3 - 1 (3 - 0)</t>
  </si>
  <si>
    <t>Liverpool (skripp)</t>
  </si>
  <si>
    <t>4 - 4 (3 - 2)</t>
  </si>
  <si>
    <t>3 - 1 (1 - 0)</t>
  </si>
  <si>
    <t>4 - 1 (2 - 0)</t>
  </si>
  <si>
    <t>1 - 0 (1 - 0)</t>
  </si>
  <si>
    <t>4 - 3 (2 - 1)</t>
  </si>
  <si>
    <t>3 - 1 (2 - 1)</t>
  </si>
  <si>
    <t>0 - 8 (0 - 3)</t>
  </si>
  <si>
    <t>2 - 2 (0 - 1)</t>
  </si>
  <si>
    <t>3 - 2 (2 - 1)</t>
  </si>
  <si>
    <t>2 - 3 (0 - 1)</t>
  </si>
  <si>
    <t>3 - 4 (2 - 1)</t>
  </si>
  <si>
    <t>3 - 3 (0 - 3)</t>
  </si>
  <si>
    <t>4 - 1 (2 - 1)</t>
  </si>
  <si>
    <t>Cyber Europa League 4:00 - 6:30</t>
  </si>
  <si>
    <t>Porto (Thiago)</t>
  </si>
  <si>
    <t>1 - 3 (1 - 1)</t>
  </si>
  <si>
    <t>Borussia Monchengladbach (Aventon)</t>
  </si>
  <si>
    <t>Wolverhampton (Veep)</t>
  </si>
  <si>
    <t>2 - 1 (0 - 1)</t>
  </si>
  <si>
    <t>Roma (Baphomet)</t>
  </si>
  <si>
    <t>0 - 1(0 - 1)</t>
  </si>
  <si>
    <t>Sevilla (OoLancer)</t>
  </si>
  <si>
    <t>3 - 0 (1 - 0)</t>
  </si>
  <si>
    <t>5 - 1 (4 - 1)</t>
  </si>
  <si>
    <t>1 - 2 (0 - 1)</t>
  </si>
  <si>
    <t>2 - 4 (1 - 2)</t>
  </si>
  <si>
    <t>0 - 2 (0 - 0)</t>
  </si>
  <si>
    <t>4 - 0 (1 - 0)</t>
  </si>
  <si>
    <t>3 - 0 (2 - 0)</t>
  </si>
  <si>
    <t>1 - 2 (1 - 2)</t>
  </si>
  <si>
    <t>4 - 2 (2 - 0)</t>
  </si>
  <si>
    <t>1 - 3 (0 - 2)</t>
  </si>
  <si>
    <t>4 - 0 (2 - 0)</t>
  </si>
  <si>
    <t>PSV (Spacerman)</t>
  </si>
  <si>
    <t>CSKA Moscow (AlBack)</t>
  </si>
  <si>
    <t>Braga (stdm)</t>
  </si>
  <si>
    <t>1 - 3 (1 - 3)</t>
  </si>
  <si>
    <t>Dynamo Kyiv (fleshka77)</t>
  </si>
  <si>
    <t>2 - 3 (1 - 2)</t>
  </si>
  <si>
    <t>Feyenoord (skripp)</t>
  </si>
  <si>
    <t>4 - 1 (1 - 0)</t>
  </si>
  <si>
    <t>0 - 2 (0 - 1)</t>
  </si>
  <si>
    <t>1 - 2 (0 - 2)</t>
  </si>
  <si>
    <t>3 - 2 (1 - 1)</t>
  </si>
  <si>
    <t>4 - 3 (3 - 0)</t>
  </si>
  <si>
    <t>3 - 5 (1 - 0)</t>
  </si>
  <si>
    <t>2 - 5 (1 - 2)</t>
  </si>
  <si>
    <t>0 - 0 (0 - 0)</t>
  </si>
  <si>
    <t>2 - 3 (1 - 1)</t>
  </si>
  <si>
    <t>3 - 3 (1 - 0)</t>
  </si>
  <si>
    <t>England Cyber Stars League 8:00 - 10:30</t>
  </si>
  <si>
    <t>Everton (praym)</t>
  </si>
  <si>
    <t>Leicester (BLM_Mamba)</t>
  </si>
  <si>
    <t>West Ham United (Quavo)</t>
  </si>
  <si>
    <t>Watford (CarlWhizzer)</t>
  </si>
  <si>
    <t>Wolverhampton (Dimqaa)</t>
  </si>
  <si>
    <t>Arsenal (Klexter)</t>
  </si>
  <si>
    <t>Liverpool (Cool_J)</t>
  </si>
  <si>
    <t>Tottenham (Unknown)</t>
  </si>
  <si>
    <t>Manchester City (fasqer)</t>
  </si>
  <si>
    <t>Manchester United (kiser)</t>
  </si>
  <si>
    <t>Spain Cyber Stars League 10:30 - 13:00</t>
  </si>
  <si>
    <t>Alaves (praym)</t>
  </si>
  <si>
    <t>Getafe (BLM_Mamba)</t>
  </si>
  <si>
    <t>Levante (Quavo)</t>
  </si>
  <si>
    <t>Valladolid (CarlWhizzer)</t>
  </si>
  <si>
    <t>Celta (Dimqaa)</t>
  </si>
  <si>
    <t>Sevilla (Klexter)</t>
  </si>
  <si>
    <t>Barcelona (Cool_J)</t>
  </si>
  <si>
    <t>Valencia (Unknown)</t>
  </si>
  <si>
    <t>Atletico Madrid (fasqer)</t>
  </si>
  <si>
    <t>Real Madrid (kiser)</t>
  </si>
  <si>
    <t>Cyber Europa League 13:00 - 15:30</t>
  </si>
  <si>
    <t>Sporting (praym)</t>
  </si>
  <si>
    <t>Shakhtar Donetsk (BLM_Mamba)</t>
  </si>
  <si>
    <t>Basaksehir (Quavo)</t>
  </si>
  <si>
    <t>Gent (CarlWhizzer)</t>
  </si>
  <si>
    <t>Celtic (Dimqaa)</t>
  </si>
  <si>
    <t>Inter (Klexter)</t>
  </si>
  <si>
    <t>Manchester United (Cool_J)</t>
  </si>
  <si>
    <t>Bayer 04 (Unknown)</t>
  </si>
  <si>
    <t>Arsenal (fasqer)</t>
  </si>
  <si>
    <t>Lazio (kiser)</t>
  </si>
  <si>
    <t>France Cyber Stars League 15:30 - 18:00</t>
  </si>
  <si>
    <t>Nice (Supernova)</t>
  </si>
  <si>
    <t>Montpellier (CarlWhizzer)</t>
  </si>
  <si>
    <t>Saint-Etienne (Zazabak)</t>
  </si>
  <si>
    <t>Stade Rennais (NOSEBLEED)</t>
  </si>
  <si>
    <t>Bourdeux (SpursMax)</t>
  </si>
  <si>
    <t>Lyon (ishking11)</t>
  </si>
  <si>
    <t>Marseille (BoBBY)</t>
  </si>
  <si>
    <t>PSG (OLOM)</t>
  </si>
  <si>
    <t>Monaco (Gernaut)</t>
  </si>
  <si>
    <t>Lille (Gohome)</t>
  </si>
  <si>
    <t>Cyber World Cup 18:00 - 20:30</t>
  </si>
  <si>
    <t>Italy (Supernova)</t>
  </si>
  <si>
    <t>England (CarlWhizzer)</t>
  </si>
  <si>
    <t>Portugal (Zazabak)</t>
  </si>
  <si>
    <t>Argentina (NOSEBLEED)</t>
  </si>
  <si>
    <t>Netherlands (SpursMax)</t>
  </si>
  <si>
    <t>Brazil (ishking11)</t>
  </si>
  <si>
    <t>Belgium (BoBBY)</t>
  </si>
  <si>
    <t>Spain (OLOM)</t>
  </si>
  <si>
    <t>France (Gernaut)</t>
  </si>
  <si>
    <t>Germany (Gohome)</t>
  </si>
  <si>
    <t>Italy Cyber Stars League 20:30 - 23:00</t>
  </si>
  <si>
    <t>Torino (Supernova)</t>
  </si>
  <si>
    <t>Sassuolo (CarlWhizzer)</t>
  </si>
  <si>
    <t>Atalanta (Zazabak)</t>
  </si>
  <si>
    <t>Fiorentina (NOSEBLEED)</t>
  </si>
  <si>
    <t>Roma (SpursMax)</t>
  </si>
  <si>
    <t>Inter (ishking11)</t>
  </si>
  <si>
    <t>Juventus (BoBBY)</t>
  </si>
  <si>
    <t>Milan (OLOM)</t>
  </si>
  <si>
    <t>Napoli (Gernaut)</t>
  </si>
  <si>
    <t>Lazio (Gohome)</t>
  </si>
  <si>
    <t>Germany Cyber Stars League 23:00 - 01:30</t>
  </si>
  <si>
    <t>Eintracht (Thiago)</t>
  </si>
  <si>
    <t>Wolfsburg (Aventon)</t>
  </si>
  <si>
    <t>Koln (Veep)</t>
  </si>
  <si>
    <t>Werder Bremen (indra13_27)</t>
  </si>
  <si>
    <t>Hoffenheim (specialist)</t>
  </si>
  <si>
    <t>Borussia Monchengladbach (skripp)</t>
  </si>
  <si>
    <t>FC Bayern (AlBack)</t>
  </si>
  <si>
    <t>Bayer 04 (Spacerman)</t>
  </si>
  <si>
    <t>RB Leipzig (Fric)</t>
  </si>
  <si>
    <t>Borussia Dortmund (indenfor)</t>
  </si>
  <si>
    <t>Atletico Madrid (Thiago)</t>
  </si>
  <si>
    <t>Napoli (Aventon)</t>
  </si>
  <si>
    <t>Tottenham (Veep)</t>
  </si>
  <si>
    <t>Borussia Dortmund (indra13_27)</t>
  </si>
  <si>
    <t>Manchester City (specialist)</t>
  </si>
  <si>
    <t>Juventus (skripp)</t>
  </si>
  <si>
    <t>PSG (AlBack)</t>
  </si>
  <si>
    <t>Liverpool (Spacerman)</t>
  </si>
  <si>
    <t>FC Bayern (Fric)</t>
  </si>
  <si>
    <t>Barcelona (indenfor)</t>
  </si>
  <si>
    <t>Wolverhampton (Thiago)</t>
  </si>
  <si>
    <t>Porto (Aventon)</t>
  </si>
  <si>
    <t>Roma (Veep)</t>
  </si>
  <si>
    <t>Sevilla (indra13_27)</t>
  </si>
  <si>
    <t>Borussia Monchengladbach (specialist)</t>
  </si>
  <si>
    <t>PSV (AlBack)</t>
  </si>
  <si>
    <t>Braga (Spacerman)</t>
  </si>
  <si>
    <t>Dynamo Kyiv (Fric)</t>
  </si>
  <si>
    <t>CSKA Moscow (indenfor)</t>
  </si>
  <si>
    <t>Juventus (specialist)</t>
  </si>
  <si>
    <t>1 - 4 (0 - 3)</t>
  </si>
  <si>
    <t>FC Bayern (Aventon)</t>
  </si>
  <si>
    <t>Barcelona (Veep)</t>
  </si>
  <si>
    <t>2 - 0 (1 - 0)</t>
  </si>
  <si>
    <t>PSG (Baphomet)</t>
  </si>
  <si>
    <t>Liverpool (Indra13_27)</t>
  </si>
  <si>
    <t>2 - 0 (2 - 0)</t>
  </si>
  <si>
    <t>1 - 4 (1 - 2)</t>
  </si>
  <si>
    <t>0 - 1 (0 - 0)</t>
  </si>
  <si>
    <t>1 - 1 (0 - 0)</t>
  </si>
  <si>
    <t>0 - 3 (0 - 2)</t>
  </si>
  <si>
    <t>Atletico Madrid (skripp)</t>
  </si>
  <si>
    <t>Borussia Dortmund (AlBack)</t>
  </si>
  <si>
    <t>Tottenham (stdm)</t>
  </si>
  <si>
    <t>1 - 0 (0 - 0)</t>
  </si>
  <si>
    <t>Napoli (dinototli)</t>
  </si>
  <si>
    <t>1 - 5 (0 - 4)</t>
  </si>
  <si>
    <t>Manchester City (fleshka77)</t>
  </si>
  <si>
    <t>3 - 3 (3 - 2)</t>
  </si>
  <si>
    <t>2 - 4 (1 - 0)</t>
  </si>
  <si>
    <t>1 - 6 (1 - 2)</t>
  </si>
  <si>
    <t>5 - 3 (2 - 2)</t>
  </si>
  <si>
    <t>PSV (specialist)</t>
  </si>
  <si>
    <t>CSKA Moscow (Aventon)</t>
  </si>
  <si>
    <t>Braga  (Veep)</t>
  </si>
  <si>
    <t>2 - 2 (1 - 0)</t>
  </si>
  <si>
    <t>Feyenoord (Baphomet)</t>
  </si>
  <si>
    <t>Dynamo Kyiv (Indra13_27)</t>
  </si>
  <si>
    <t>0 - 3 (0 - 0)</t>
  </si>
  <si>
    <t>0 - 7 (0 - 5)</t>
  </si>
  <si>
    <t>0 - 4 (0 - 2)</t>
  </si>
  <si>
    <t>1 - 1 (1 - 0)</t>
  </si>
  <si>
    <t>7 - 0 (3 - 0)</t>
  </si>
  <si>
    <t>0 - 5 (0 - 2)</t>
  </si>
  <si>
    <t>Roma (skripp)</t>
  </si>
  <si>
    <t>Sevilla (AlBack)</t>
  </si>
  <si>
    <t>Borussia Monchengladbach (stdm)</t>
  </si>
  <si>
    <t>Porto (dinototli)</t>
  </si>
  <si>
    <t>Wolverhampton (fleshka77)</t>
  </si>
  <si>
    <t>1 - 6 (1 - 4)</t>
  </si>
  <si>
    <t>Leicester (CarlWhizzer)</t>
  </si>
  <si>
    <t>Watford (Dimqaa)</t>
  </si>
  <si>
    <t xml:space="preserve"> </t>
  </si>
  <si>
    <t>Wolverhampton (Mistyeye)</t>
  </si>
  <si>
    <t>1 - 3 (0 - 0)</t>
  </si>
  <si>
    <t>0 - 3 (0 - 3)</t>
  </si>
  <si>
    <t>3 - 4 (1 - 3)</t>
  </si>
  <si>
    <t>Liverpool (OLOM)</t>
  </si>
  <si>
    <t>Tottenham (kiser)</t>
  </si>
  <si>
    <t>Manchester United (Unknown)</t>
  </si>
  <si>
    <t>Manchester City (NOSEBLEED)</t>
  </si>
  <si>
    <t>3 - 1 (0 - 1)</t>
  </si>
  <si>
    <t>2 - 2 (1 - 1)</t>
  </si>
  <si>
    <t>2 - 2 (2 - 2)</t>
  </si>
  <si>
    <t>4 - 2 (0 - 0)</t>
  </si>
  <si>
    <t>.</t>
  </si>
  <si>
    <t>5 - 1 (2 - 1)</t>
  </si>
  <si>
    <t>3 - 1 (3 - 1)</t>
  </si>
  <si>
    <t>1 - 5 (0 - 1)</t>
  </si>
  <si>
    <t>Getafe (CarlWhizzer)</t>
  </si>
  <si>
    <t>Valladolid (Dimqaa)</t>
  </si>
  <si>
    <t>Celta (Mistyeye)</t>
  </si>
  <si>
    <t>3 - 0 (0 - 0)</t>
  </si>
  <si>
    <t>4 - 2 (2 - 1)</t>
  </si>
  <si>
    <t>2 - 1 (0 - 0)</t>
  </si>
  <si>
    <t>Sevilla (OLOM)</t>
  </si>
  <si>
    <t>Atletico Madrid (kiser)</t>
  </si>
  <si>
    <t>Real Madrid (Unknown)</t>
  </si>
  <si>
    <t xml:space="preserve"> 3 - 1 (2 - 0)</t>
  </si>
  <si>
    <t>Barcelona (Klexter)</t>
  </si>
  <si>
    <t>Valencia (NOSEBLEED)</t>
  </si>
  <si>
    <t>3 - 4 (2 - 2)</t>
  </si>
  <si>
    <t>1 - 5 (0 - 3)</t>
  </si>
  <si>
    <t>0 - 3 (0 - 1)</t>
  </si>
  <si>
    <t>4 - 2 (3 - 1)</t>
  </si>
  <si>
    <t>Celtic (praym)</t>
  </si>
  <si>
    <t>Sporting (CarlWhizzer)</t>
  </si>
  <si>
    <t>Shakhtar Donetsk (Quavo)</t>
  </si>
  <si>
    <t>Basaksehir (Dimqaa)</t>
  </si>
  <si>
    <t>Gent (Mistyeye)</t>
  </si>
  <si>
    <t>3 - 2 (1 - 2)</t>
  </si>
  <si>
    <t>4 - 4 (2 - 2)</t>
  </si>
  <si>
    <t>3 - 4 (1 - 1)</t>
  </si>
  <si>
    <t>2 - 0 (0 - 0)</t>
  </si>
  <si>
    <t>Bayer 04 (OLOM)</t>
  </si>
  <si>
    <t>Lazio (Unknown)</t>
  </si>
  <si>
    <t>4 - 1 (3 - 1)</t>
  </si>
  <si>
    <t>3 - 1 (0 - 0)</t>
  </si>
  <si>
    <t>Arsenal (NOSEBLEED)</t>
  </si>
  <si>
    <t>0 - 4 (0 - 0)</t>
  </si>
  <si>
    <t xml:space="preserve"> 1 - 2 (1 - 1)</t>
  </si>
  <si>
    <t>4 - 0 (0 - 0)</t>
  </si>
  <si>
    <t>Saint-Etienne (YOSHI)</t>
  </si>
  <si>
    <t>Stade Rennais (ishking11)</t>
  </si>
  <si>
    <t>Nice (specialist)</t>
  </si>
  <si>
    <t>1 - 2 (0 - 0)</t>
  </si>
  <si>
    <t>3 - 3 (2 - 1)</t>
  </si>
  <si>
    <t>3 - 2 (3 - 1)</t>
  </si>
  <si>
    <t>1 - 2 (1 - 0)</t>
  </si>
  <si>
    <t>3 - 1 (1 - 1)</t>
  </si>
  <si>
    <t>PSG (Sanchez)</t>
  </si>
  <si>
    <t>Lille (skmgery)</t>
  </si>
  <si>
    <t>0 - 4 (0 - 1)</t>
  </si>
  <si>
    <t>Lyon (Gohome)</t>
  </si>
  <si>
    <t>4 - 0 (3 - 0)</t>
  </si>
  <si>
    <t>Marseille (Jenko)</t>
  </si>
  <si>
    <t>1 - 5 (1 - 3)</t>
  </si>
  <si>
    <t>4 - 0 (4 - 0)</t>
  </si>
  <si>
    <t>3 - 3 (1 - 2)</t>
  </si>
  <si>
    <t>Italy (SpursMax)</t>
  </si>
  <si>
    <t>2 - 3 (2 - 1)</t>
  </si>
  <si>
    <t>Argentina (CarlWhizzer)</t>
  </si>
  <si>
    <t>Portugal (YOSHI)</t>
  </si>
  <si>
    <t>Netherlands (ishking11)</t>
  </si>
  <si>
    <t>England (specialist)</t>
  </si>
  <si>
    <t>5 - 1 (3 - 0)</t>
  </si>
  <si>
    <t>5 - 3 (3 - 2)</t>
  </si>
  <si>
    <t>2 - 5 (2 - 2)</t>
  </si>
  <si>
    <t>5 - 3 (2 - 1)</t>
  </si>
  <si>
    <t>1 - 5 (0 - 2)</t>
  </si>
  <si>
    <t>5 - 2 (1 - 0)</t>
  </si>
  <si>
    <t>8 - 0 (5 - 0)</t>
  </si>
  <si>
    <t>Germany (Sanchez)</t>
  </si>
  <si>
    <t>Brazil (Gernaut)</t>
  </si>
  <si>
    <t>Spain (skmgery)</t>
  </si>
  <si>
    <t>2 - 5 (1 - 3)</t>
  </si>
  <si>
    <t>France (Gohome)</t>
  </si>
  <si>
    <t>6 - 2 (5 - 2)</t>
  </si>
  <si>
    <t>Belgium (Jenko)</t>
  </si>
  <si>
    <t>8 - 0 (4 - 0)</t>
  </si>
  <si>
    <t>5 - 2 (4 - 1)</t>
  </si>
  <si>
    <t>2 - 6 (0 - 4)</t>
  </si>
  <si>
    <t>0 - 5 (0 - 3)</t>
  </si>
  <si>
    <t>5 - 0 (1 - 0)</t>
  </si>
  <si>
    <t>2 - 3 (0 - 3)</t>
  </si>
  <si>
    <t>Atalanta (SpursMax)</t>
  </si>
  <si>
    <t>Torino (CarlWhizzer)</t>
  </si>
  <si>
    <t>Sassuolo (YOSHI)</t>
  </si>
  <si>
    <t>4 - 2 (1 - 2)</t>
  </si>
  <si>
    <t>Roma (ishking11)</t>
  </si>
  <si>
    <t>Fiorentina (specialist)</t>
  </si>
  <si>
    <t>3 - 2 (2 - 2)</t>
  </si>
  <si>
    <t>0 - 5 (0 - 4)</t>
  </si>
  <si>
    <t>3 - 2 (3 - 2)</t>
  </si>
  <si>
    <t>5 - 1 (4 - 0)</t>
  </si>
  <si>
    <t>Juventus (Sanchez)</t>
  </si>
  <si>
    <t>Lazio (skmgery)</t>
  </si>
  <si>
    <t>Inter (Gohome)</t>
  </si>
  <si>
    <t>Milan (Jenko)</t>
  </si>
  <si>
    <t>8 - 0 (3 - 0)</t>
  </si>
  <si>
    <t>1 - 5 (1 - 2)</t>
  </si>
  <si>
    <t>6 - 0 (2 - 0)</t>
  </si>
  <si>
    <t>0 - 7 (0 - 1)</t>
  </si>
  <si>
    <t>2 - 6 (1 - 4)</t>
  </si>
  <si>
    <t>Wolfsburg (Thiago)</t>
  </si>
  <si>
    <t>Eintracht (Aventon)</t>
  </si>
  <si>
    <t>Werder Bremen (Veep)</t>
  </si>
  <si>
    <t>Koln (Baphomet)</t>
  </si>
  <si>
    <t>Hoffenheim (OoLancer)</t>
  </si>
  <si>
    <t>0 - 5 (0 - 0)</t>
  </si>
  <si>
    <t>Borussia Dortmund (Spacerman)</t>
  </si>
  <si>
    <t>Borussia Monchengladbach (AlBack)</t>
  </si>
  <si>
    <t>Bayer 04 (fleshka77)</t>
  </si>
  <si>
    <t>RB Leipzig (skripp)</t>
  </si>
  <si>
    <t>4 - 3 (3 - 1)</t>
  </si>
  <si>
    <t>5 - 1 (2 - 0)</t>
  </si>
  <si>
    <t>3 - 5 (1 - 2)</t>
  </si>
  <si>
    <t>2 - 2 (0 - 2)</t>
  </si>
  <si>
    <t>3 - 3 (3 - 1)</t>
  </si>
  <si>
    <t>FC Bayern (specialist)</t>
  </si>
  <si>
    <t>3 - 2 (0 - 2)</t>
  </si>
  <si>
    <t>PSG (Aventon)</t>
  </si>
  <si>
    <t>Juventus (Thiago)</t>
  </si>
  <si>
    <t>Barcelona (Baphomet)</t>
  </si>
  <si>
    <t>Liverpool (OoLancer)</t>
  </si>
  <si>
    <t>2 - 2 (0 - 0)</t>
  </si>
  <si>
    <t>1 - 4 (0 - 1)</t>
  </si>
  <si>
    <t>Borussia Dortmund (skripp)</t>
  </si>
  <si>
    <t>7 - 0 (2 - 0)</t>
  </si>
  <si>
    <t>Napoli (AlBack)</t>
  </si>
  <si>
    <t>Atletico Madrid (dinototli)</t>
  </si>
  <si>
    <t>Manchester City (Indra13_27)</t>
  </si>
  <si>
    <t>2 - 4 (2 - 2)</t>
  </si>
  <si>
    <t>0 - 4 (0 - 3)</t>
  </si>
  <si>
    <t>CSKA Moscow (specialist)</t>
  </si>
  <si>
    <t>PSV (Aventon)</t>
  </si>
  <si>
    <t>Braga  (Thiago)</t>
  </si>
  <si>
    <t>Dynamo Kyiv (Baphomet)</t>
  </si>
  <si>
    <t>Feyenoord (OoLancer)</t>
  </si>
  <si>
    <t>3 - 4 (2 - 4)</t>
  </si>
  <si>
    <t>1 - 1 (1 -1)</t>
  </si>
  <si>
    <t>1 - 3 (1 - 0)</t>
  </si>
  <si>
    <t>Wolverhampton (skripp)</t>
  </si>
  <si>
    <t>6 - 0 (4 - 0)</t>
  </si>
  <si>
    <t>Roma (stdm)</t>
  </si>
  <si>
    <t>Borussia Monchengladbach (dinototli)</t>
  </si>
  <si>
    <t>Porto  (Indra13_27)</t>
  </si>
  <si>
    <t>Manchester City  (Supernova)</t>
  </si>
  <si>
    <t>Liverpool  (CarlWhizzer)</t>
  </si>
  <si>
    <t>Tottenham (Walker)</t>
  </si>
  <si>
    <t>Manchester United  (Sima)</t>
  </si>
  <si>
    <t>Arsenal (Stig)</t>
  </si>
  <si>
    <t>2 - 3 (2 - 2)</t>
  </si>
  <si>
    <t>3 - 2 (3 - 0)</t>
  </si>
  <si>
    <t>Bournemouth (kiser)</t>
  </si>
  <si>
    <t>Southampton (ForceMajor!)</t>
  </si>
  <si>
    <t>Crystal Palace  (Klexter)</t>
  </si>
  <si>
    <t>Newcastle United  (Gohome)</t>
  </si>
  <si>
    <t>Aston Villa  (Ishking11)</t>
  </si>
  <si>
    <t>1 - 3 (0 -3)</t>
  </si>
  <si>
    <t>Atletico Madrid  (Supernova)</t>
  </si>
  <si>
    <t>Real Madrid  (CarlWhizzer)</t>
  </si>
  <si>
    <t>Sevilla (Walker)</t>
  </si>
  <si>
    <t>3 - 3 (1 - 1)</t>
  </si>
  <si>
    <t>Valencia  (Sima)</t>
  </si>
  <si>
    <t>Barcelona  (Stig)</t>
  </si>
  <si>
    <t>2 - 5 (0 - 3)</t>
  </si>
  <si>
    <t>2 - 4 (1 - 1)</t>
  </si>
  <si>
    <t>4 - 4 (1 - 1)</t>
  </si>
  <si>
    <t>Celta (kiser)</t>
  </si>
  <si>
    <t>Espanyol (ForceMajor!)</t>
  </si>
  <si>
    <t>Levante  (Klexter)</t>
  </si>
  <si>
    <t>Alaves (Gohome)</t>
  </si>
  <si>
    <t>Valladolid (Ishking11)</t>
  </si>
  <si>
    <t>2 - 3 (1 - 0)</t>
  </si>
  <si>
    <t>1 - 4 (0 - 2)</t>
  </si>
  <si>
    <t>0 - 6 (0 - 3)</t>
  </si>
  <si>
    <t>0 - 4 (0 - 4)</t>
  </si>
  <si>
    <t>Lazio (Supernova)</t>
  </si>
  <si>
    <t>3 - 3 (2 - 2)</t>
  </si>
  <si>
    <t>Bayer 04 (CarlWhizzer)</t>
  </si>
  <si>
    <t>Inter (Walker)</t>
  </si>
  <si>
    <t>Manchester United (Sima)</t>
  </si>
  <si>
    <t>Basaksehir (kiser)</t>
  </si>
  <si>
    <t>Gent (ForceMajor!)</t>
  </si>
  <si>
    <t>Shakhtar Donetsk (Klexter)</t>
  </si>
  <si>
    <t>Sporting (Gohome)</t>
  </si>
  <si>
    <t>Celtic (Ishking11)</t>
  </si>
  <si>
    <t>3 -1 (2 - 0)</t>
  </si>
  <si>
    <t>5 - 0 (2 - 0)</t>
  </si>
  <si>
    <t>4 - 5 (3 - 1)</t>
  </si>
  <si>
    <t>1 - 6 (0 - 3)</t>
  </si>
  <si>
    <t>Lyon  (Walker)</t>
  </si>
  <si>
    <t>Marseille  (Corvin)</t>
  </si>
  <si>
    <t>Lille (Zazabak)</t>
  </si>
  <si>
    <t>PSG (Sima)</t>
  </si>
  <si>
    <t>Monaco  (Stig)</t>
  </si>
  <si>
    <t>3 - 5 (1 - 3)</t>
  </si>
  <si>
    <t>3 - 3 (2 - 0)</t>
  </si>
  <si>
    <t>Stade Rennais (Supernova)</t>
  </si>
  <si>
    <t>Nice (Sanchez)</t>
  </si>
  <si>
    <t>Bourdeux (YOSHI)</t>
  </si>
  <si>
    <t>Montpellier (skmgery)</t>
  </si>
  <si>
    <t>7 - 1 (4 - 0)</t>
  </si>
  <si>
    <t>Saint-Etienne (Sleepy)</t>
  </si>
  <si>
    <t>6 - 1 (5 - 0)</t>
  </si>
  <si>
    <t>0 - 6 (0 - 2)</t>
  </si>
  <si>
    <t>1 - 6 (1 - 3)</t>
  </si>
  <si>
    <t>0 - 7 (0 - 3)</t>
  </si>
  <si>
    <t>1 - 3 (0 - 3)</t>
  </si>
  <si>
    <t>3 - 0 (2 -  0)</t>
  </si>
  <si>
    <t>Belgium (Walker)</t>
  </si>
  <si>
    <t>cancelled</t>
  </si>
  <si>
    <t>France (Corvin)</t>
  </si>
  <si>
    <t>Brazil (Zazabak)</t>
  </si>
  <si>
    <t>Germany (Sima)</t>
  </si>
  <si>
    <t xml:space="preserve"> 1 - 2 (0 - 2)</t>
  </si>
  <si>
    <t>Spain (Stig)</t>
  </si>
  <si>
    <t>5 - 3 (3 - 1)</t>
  </si>
  <si>
    <t>2 - 4 (1 - 4)</t>
  </si>
  <si>
    <t>Argentina (Supernova)</t>
  </si>
  <si>
    <t>Netherlands (Sanchez)</t>
  </si>
  <si>
    <t>Italy (YOSHI)</t>
  </si>
  <si>
    <t>4 - 3 (2 - 2)</t>
  </si>
  <si>
    <t>Portugal (skmgery)</t>
  </si>
  <si>
    <t>England (Sleepy)</t>
  </si>
  <si>
    <t xml:space="preserve">1 - 4 (1 - 3) </t>
  </si>
  <si>
    <t>4 - 7 (1 - 3)</t>
  </si>
  <si>
    <t>1 - 5 (1 - 4)</t>
  </si>
  <si>
    <t>4 - 1 (4 - 1)</t>
  </si>
  <si>
    <t>Lazio  (Walker)</t>
  </si>
  <si>
    <t>Juventus  (Corvin)</t>
  </si>
  <si>
    <t>Inter  (Zazabak)</t>
  </si>
  <si>
    <t>Napoli  (Sima)</t>
  </si>
  <si>
    <t>Milan (Stig)</t>
  </si>
  <si>
    <t>3 - 4 (1 - 2)</t>
  </si>
  <si>
    <t>8 - 2 (4 - 0)</t>
  </si>
  <si>
    <t>Sassuolo (Supernova)</t>
  </si>
  <si>
    <t>Roma  (Sanchez)</t>
  </si>
  <si>
    <t>Fiorentina (YOSHI)</t>
  </si>
  <si>
    <t>3 - 5 (1 - 1)</t>
  </si>
  <si>
    <t>Torino  (skmgery)</t>
  </si>
  <si>
    <t>7 - 0 (4 - 0)</t>
  </si>
  <si>
    <t>Atalanta  (Sleepy)</t>
  </si>
  <si>
    <t>4 - 2 (3 - 2)</t>
  </si>
  <si>
    <t>0 - 6 (0 - 4)</t>
  </si>
  <si>
    <t>Bayer 04  (specialist)</t>
  </si>
  <si>
    <t>Borussia Dortmund (Aventon)</t>
  </si>
  <si>
    <t>FC Bayern  (Veep)</t>
  </si>
  <si>
    <t>Borussia Monchengladbach  (Baphomet)</t>
  </si>
  <si>
    <t>RB Leipzig  (Indra13_27)</t>
  </si>
  <si>
    <t>1 - 4 (1 - 1)</t>
  </si>
  <si>
    <t>Koln (skripp)</t>
  </si>
  <si>
    <t>Eintracht (AlBack)</t>
  </si>
  <si>
    <t>Werder Bremen (stdm)</t>
  </si>
  <si>
    <t>Hoffenheim  (dinototli)</t>
  </si>
  <si>
    <t>Wolfsburg  (fleshka77)</t>
  </si>
  <si>
    <t>1 - 4 (1 - 3)</t>
  </si>
  <si>
    <t>3 - 5 (1 - 4)</t>
  </si>
  <si>
    <t>6 - 1 (1 - 1)</t>
  </si>
  <si>
    <t>5 - 2 (1 - 2)</t>
  </si>
  <si>
    <t>Manchester City (AlBack)</t>
  </si>
  <si>
    <t>Atletico Madrid (indenfor)</t>
  </si>
  <si>
    <t>1 - 4 (1 - 0)</t>
  </si>
  <si>
    <t>6 - 3 (4 - 0)</t>
  </si>
  <si>
    <t>Braga  (OoLancer)</t>
  </si>
  <si>
    <t>Dynamo Kyiv (Aventon)</t>
  </si>
  <si>
    <t>CSKA Moscow (Baphomet)</t>
  </si>
  <si>
    <t>Feyenoord (fleshka77)</t>
  </si>
  <si>
    <t>2 - 3 (0 - 0)</t>
  </si>
  <si>
    <t>7 - 1 (1 - 0)</t>
  </si>
  <si>
    <t>Porto  (skripp)</t>
  </si>
  <si>
    <t>5 - 1 (3 - 1)</t>
  </si>
  <si>
    <t>Wolverhampton (AlBack)</t>
  </si>
  <si>
    <t>Roma (Gernaut)</t>
  </si>
  <si>
    <t>Sevilla (indenfor)</t>
  </si>
  <si>
    <t>8 - 1 (4 - 1)</t>
  </si>
  <si>
    <t>1 - 8 (0 - 6)</t>
  </si>
  <si>
    <t>Manchester City (Quavo)</t>
  </si>
  <si>
    <t>Manchester United (CarlWhizzer)</t>
  </si>
  <si>
    <t>Tottenham (Sima)</t>
  </si>
  <si>
    <t>Liverpool (Corvin)</t>
  </si>
  <si>
    <t>Arsenal (Dimqaa)</t>
  </si>
  <si>
    <t>3 - 3 (0 - 2)</t>
  </si>
  <si>
    <t>Crystal Palace (Klexter)</t>
  </si>
  <si>
    <t>4 - 3 (4 - 0)</t>
  </si>
  <si>
    <t>Southampton (fasqer)</t>
  </si>
  <si>
    <t>Aston Villa (Sanchez)</t>
  </si>
  <si>
    <t>Newcastle United (ForceMajor!)</t>
  </si>
  <si>
    <t>9 - 0 (5 - 0)</t>
  </si>
  <si>
    <t>4 - 2 (4 - 0)</t>
  </si>
  <si>
    <t>Barcelona (Quavo)</t>
  </si>
  <si>
    <t>Sevilla (CarlWhizzer)</t>
  </si>
  <si>
    <t>Atletico Madrid (Sima)</t>
  </si>
  <si>
    <t>Valencia (Corvin)</t>
  </si>
  <si>
    <t>Real Madrid (Dimqaa)</t>
  </si>
  <si>
    <t>2 - 4 (1 - 3)</t>
  </si>
  <si>
    <t>4 - 1 (1 - 1)</t>
  </si>
  <si>
    <t>1 - 6 (0 - 4)</t>
  </si>
  <si>
    <t>2 - 4 (0 - 2)</t>
  </si>
  <si>
    <t>Valladolid (Klexter)</t>
  </si>
  <si>
    <t>Celta (fasqer)</t>
  </si>
  <si>
    <t>Alaves (Sanchez)</t>
  </si>
  <si>
    <t>Levante (ForceMajor!)</t>
  </si>
  <si>
    <t>Espanyol (kiser)</t>
  </si>
  <si>
    <t>6 - 1 (3 - 0)</t>
  </si>
  <si>
    <t>4 - 1 (0 - 0)</t>
  </si>
  <si>
    <t>5 - 0 (3 - 0)</t>
  </si>
  <si>
    <t>6 - 2 (3 - 1)</t>
  </si>
  <si>
    <t>Inter (Quavo)</t>
  </si>
  <si>
    <t>Arsenal (Sima)</t>
  </si>
  <si>
    <t>Manchester United (Corvin)</t>
  </si>
  <si>
    <t>Lazio (Dimqaa)</t>
  </si>
  <si>
    <t>5 - 3 (1 - 2)</t>
  </si>
  <si>
    <t>5 - 3 (3 - 0)</t>
  </si>
  <si>
    <t>Sporting (Klexter)</t>
  </si>
  <si>
    <t>Shakhtar Donetsk (fasqer)</t>
  </si>
  <si>
    <t>Celtic (Sanchez)</t>
  </si>
  <si>
    <t>7 - 0 (5 - 0)</t>
  </si>
  <si>
    <t>5 - 2 (1 - 1)</t>
  </si>
  <si>
    <t xml:space="preserve"> 2 - 1 (0 - 1)</t>
  </si>
  <si>
    <t>1 - 7 (0 - 2)</t>
  </si>
  <si>
    <t>2 - 3 (1 -1)</t>
  </si>
  <si>
    <t>Lyon (Walker)</t>
  </si>
  <si>
    <t>2 - 5 (0 - 2)</t>
  </si>
  <si>
    <t>Monaco (Corvin)</t>
  </si>
  <si>
    <t>PSG (Zazabak)</t>
  </si>
  <si>
    <t>Marseille (Sima)</t>
  </si>
  <si>
    <t>Lille (specialist)</t>
  </si>
  <si>
    <t>2 - 2 (2 - 0)</t>
  </si>
  <si>
    <t>Nice (BoBBY)</t>
  </si>
  <si>
    <t>Stade Rennais (Jenko)</t>
  </si>
  <si>
    <t>Bourdeux (Phantom)</t>
  </si>
  <si>
    <t>4 - 3 (3 - 2)</t>
  </si>
  <si>
    <t>3 - 5 (3 - 4)</t>
  </si>
  <si>
    <t>4 - 3 (1 - 0)</t>
  </si>
  <si>
    <t>Brazil (Walker)</t>
  </si>
  <si>
    <t>Belgium (Corvin)</t>
  </si>
  <si>
    <t>Germany (Zazabak)</t>
  </si>
  <si>
    <t>France (Sima)</t>
  </si>
  <si>
    <t>Spain (specialist)</t>
  </si>
  <si>
    <t>3 - 2 (2 - 0)</t>
  </si>
  <si>
    <t>4 - 3 (1 - 2)</t>
  </si>
  <si>
    <t>Netherlands (skmgery)</t>
  </si>
  <si>
    <t>5 - 4 (3 - 1)</t>
  </si>
  <si>
    <t>Portugal (BoBBY)</t>
  </si>
  <si>
    <t>England (YOSHI)</t>
  </si>
  <si>
    <t>4 - 1 (0 - 1)</t>
  </si>
  <si>
    <t>Italy (Jenko)</t>
  </si>
  <si>
    <t>Argentina (Phantom)</t>
  </si>
  <si>
    <t>5 - 2 (2 - 1)</t>
  </si>
  <si>
    <t>3 - 4 (0 - 4)</t>
  </si>
  <si>
    <t>5 - 1 (1 - 1)</t>
  </si>
  <si>
    <t>4 - 5 (2 - 3)</t>
  </si>
  <si>
    <t>Juventus (Walker)</t>
  </si>
  <si>
    <t>Napoli (Corvin)</t>
  </si>
  <si>
    <t>Milan (Zazabak)</t>
  </si>
  <si>
    <t>Lazio (Sima)</t>
  </si>
  <si>
    <t>Inter (specialist)</t>
  </si>
  <si>
    <t>Sassuolo (skmgery)</t>
  </si>
  <si>
    <t>Roma (BoBBY)</t>
  </si>
  <si>
    <t>Atalanta (YOSHI)</t>
  </si>
  <si>
    <t>Fiorentina (Jenko)</t>
  </si>
  <si>
    <t>Torino (Phantom)</t>
  </si>
  <si>
    <t>1 - 7 (0 - 3)</t>
  </si>
  <si>
    <t>4 - 6 (2 - 1)</t>
  </si>
  <si>
    <t>RB Leipzig (Thiago)</t>
  </si>
  <si>
    <t>Bayer 04 (Baphomet)</t>
  </si>
  <si>
    <t>Borussia Monchengladbach (OoLancer)</t>
  </si>
  <si>
    <t>Hoffenheim (AlBack)</t>
  </si>
  <si>
    <t>Wolfsburg (stdm)</t>
  </si>
  <si>
    <t>Eintracht (dinototli)</t>
  </si>
  <si>
    <t>Werder Bremen (Indra13_27)</t>
  </si>
  <si>
    <t>Barcelona (OoLancer)</t>
  </si>
  <si>
    <t>Juventus (Aventon)</t>
  </si>
  <si>
    <t>Liverpool (Veep)</t>
  </si>
  <si>
    <t>FC Bayern (fleshka77)</t>
  </si>
  <si>
    <t>0 - 5 (0 - 1)</t>
  </si>
  <si>
    <t>Atletico Madrid (Klexter)</t>
  </si>
  <si>
    <t>Manchester City (dinototli)</t>
  </si>
  <si>
    <t>Napoli (skripp)</t>
  </si>
  <si>
    <t>Borussia Dortmund (Fric)</t>
  </si>
  <si>
    <t>Tottenham (Gernaut)</t>
  </si>
  <si>
    <t>1 - 5 (0 - 5)</t>
  </si>
  <si>
    <t>3 - 1 (1 - 0 )</t>
  </si>
  <si>
    <t>CSKA Moscow (OoLancer)</t>
  </si>
  <si>
    <t>PSV (Veep)</t>
  </si>
  <si>
    <t>Braga  (Baphomet)</t>
  </si>
  <si>
    <t>7 - 2 (5 - 1)</t>
  </si>
  <si>
    <t>3 - 4 (0 - 3)</t>
  </si>
  <si>
    <t>Borussia Monchengladbach (Klexter)</t>
  </si>
  <si>
    <t>Porto  (dinototli)</t>
  </si>
  <si>
    <t>Wolverhampton (Fric)</t>
  </si>
  <si>
    <t>Sevilla (Gernaut)</t>
  </si>
  <si>
    <t>2 - 3 (2 - 3)</t>
  </si>
  <si>
    <t>Manchester City (SpursMax)</t>
  </si>
  <si>
    <t>Tottenham (CarlWhizzer)</t>
  </si>
  <si>
    <t>Manchester United (Walker)</t>
  </si>
  <si>
    <t>Liverpool (Ishking11)</t>
  </si>
  <si>
    <t>Arsenal (Quavo)</t>
  </si>
  <si>
    <t>4 - 3 (1 - 3)</t>
  </si>
  <si>
    <t>4 - 4 (2 - 3)</t>
  </si>
  <si>
    <t>Newcastle United (kiser)</t>
  </si>
  <si>
    <t>Bournemouth (Cool_J)</t>
  </si>
  <si>
    <t>Southampton (Unknown)</t>
  </si>
  <si>
    <t>Aston Villa (fasqer)</t>
  </si>
  <si>
    <t>Crystal Palace (ForceMajor!)</t>
  </si>
  <si>
    <t>Sevilla (SpursMax)</t>
  </si>
  <si>
    <t xml:space="preserve"> 0 - 3 (0 - 1)</t>
  </si>
  <si>
    <t>Valencia (CarlWhizzer)</t>
  </si>
  <si>
    <t>Atletico Madrid (Walker)</t>
  </si>
  <si>
    <t>Barcelona (Ishking11)</t>
  </si>
  <si>
    <t>Real Madrid (Quavo)</t>
  </si>
  <si>
    <t>7 - 2 (3 - 0)</t>
  </si>
  <si>
    <t>6 - 1 (2 - 0)</t>
  </si>
  <si>
    <t>Levante (kiser)</t>
  </si>
  <si>
    <t>Espanyol (Cool_J)</t>
  </si>
  <si>
    <t>Alaves (Unknown)</t>
  </si>
  <si>
    <t>Valladolid (fasqer)</t>
  </si>
  <si>
    <t>Celta (ForceMajor!)</t>
  </si>
  <si>
    <t>1 - 5  (0 - 3)</t>
  </si>
  <si>
    <t>2 - 3 (2 - 0)</t>
  </si>
  <si>
    <t>Inter (SpursMax)</t>
  </si>
  <si>
    <t>Lazio (Walker)</t>
  </si>
  <si>
    <t>Arsenal (Ishking11)</t>
  </si>
  <si>
    <t>Manchester United (Quavo)</t>
  </si>
  <si>
    <t>,</t>
  </si>
  <si>
    <t>0 - 6 (0 - 6)</t>
  </si>
  <si>
    <t>4 - 4 (1 - 2)</t>
  </si>
  <si>
    <t>Gent (kiser)</t>
  </si>
  <si>
    <t>CSKA Moscow (Cool_J)</t>
  </si>
  <si>
    <t>Celtic (Unknown)</t>
  </si>
  <si>
    <t>Basaksehir (fasqer)</t>
  </si>
  <si>
    <t>Sporting (ForceMajor!)</t>
  </si>
  <si>
    <t>Monaco (YOSHI)</t>
  </si>
  <si>
    <t>Lille (Corvin)</t>
  </si>
  <si>
    <t>Lyon (Sima)</t>
  </si>
  <si>
    <t>Marseille (Veep)</t>
  </si>
  <si>
    <t>Nice (Jenko)</t>
  </si>
  <si>
    <t xml:space="preserve"> 1 - 1 (0 - 0)</t>
  </si>
  <si>
    <t>Stade Rennais (BoBBY)</t>
  </si>
  <si>
    <t>Montpellier (Supernova)</t>
  </si>
  <si>
    <t>Saint-Etienne (Cool_J)</t>
  </si>
  <si>
    <t>Bourdeux (Gohome)</t>
  </si>
  <si>
    <t>1 - 6 (0  - 2)</t>
  </si>
  <si>
    <t>France (YOSHI)</t>
  </si>
  <si>
    <t>5 - 4 (5 - 4)</t>
  </si>
  <si>
    <t>4 - 2 (3 - 0)</t>
  </si>
  <si>
    <t>Spain (Veep)</t>
  </si>
  <si>
    <t>2 - 6 (0 - 3)</t>
  </si>
  <si>
    <t>4 - 2 (2 - 2)</t>
  </si>
  <si>
    <t>Netherlands (Jenko)</t>
  </si>
  <si>
    <t>Italy (BoBBY)</t>
  </si>
  <si>
    <t>Portugal (Supernova)</t>
  </si>
  <si>
    <t>England (Cool_J)</t>
  </si>
  <si>
    <t>Argentina (Gohome)</t>
  </si>
  <si>
    <t>5 - 1 (1 - 0)</t>
  </si>
  <si>
    <t>Inter (YOSHI)</t>
  </si>
  <si>
    <t>3 - 3 (2 - 3)</t>
  </si>
  <si>
    <t>Juventus (Corvin)</t>
  </si>
  <si>
    <t>Napoli (Sima)</t>
  </si>
  <si>
    <t>Lazio (Veep)</t>
  </si>
  <si>
    <t>2 - 3 (1 - 3)</t>
  </si>
  <si>
    <t>Roma (Jenko)</t>
  </si>
  <si>
    <t>Fiorentina (BoBBY)</t>
  </si>
  <si>
    <t>Atalanta (Cool_J)</t>
  </si>
  <si>
    <t>Sassuolo (Gohome)</t>
  </si>
  <si>
    <t>Bayer 04 (OoLancer)</t>
  </si>
  <si>
    <t>RB Leipzig (Baphomet)</t>
  </si>
  <si>
    <t>3 - 6 (2 - 2)</t>
  </si>
  <si>
    <t>Werder Bremen (skripp)</t>
  </si>
  <si>
    <t>Koln (stdm)</t>
  </si>
  <si>
    <t>Eintracht (Gernaut)</t>
  </si>
  <si>
    <t>Wolfsburg (indenfor)</t>
  </si>
  <si>
    <t>Liverpool (specialist)</t>
  </si>
  <si>
    <t>Barcelona (Aventon)</t>
  </si>
  <si>
    <t>Juventus (Veep)</t>
  </si>
  <si>
    <t>FC Bayern (OoLancer)</t>
  </si>
  <si>
    <t>Atletico Madrid (Gernaut)</t>
  </si>
  <si>
    <t>3 - 4 (2 - 3)</t>
  </si>
  <si>
    <t>Manchester City (indenfor)</t>
  </si>
  <si>
    <t>7 - 1 (3 - 1)</t>
  </si>
  <si>
    <t>1 - 6 (0 - 2)</t>
  </si>
  <si>
    <t>Dynamo Kyiv (specialist)</t>
  </si>
  <si>
    <t>Feyenoord (Veep)</t>
  </si>
  <si>
    <t>5 - 0 (4 - 0)</t>
  </si>
  <si>
    <t>Porto  (Gernaut)</t>
  </si>
  <si>
    <t>6 - 2 (5 - 1)</t>
  </si>
  <si>
    <t>6 - 0 (1 - 0)</t>
  </si>
  <si>
    <t>6 - 0 (3 - 0)</t>
  </si>
  <si>
    <t>2 - 7 (1 - 3)</t>
  </si>
  <si>
    <t>Arsenal (Walker)</t>
  </si>
  <si>
    <t>Manchester United (Mistyeye)</t>
  </si>
  <si>
    <t>Liverpool (YOSHI)</t>
  </si>
  <si>
    <t>Manchester City (praym)</t>
  </si>
  <si>
    <t>Tottenham (Quavo)</t>
  </si>
  <si>
    <t>1 - 4 (0 - 0)</t>
  </si>
  <si>
    <t>Southampton (Supernova)</t>
  </si>
  <si>
    <t>Crystal Palace (Unknown)</t>
  </si>
  <si>
    <t>Aston Villa (kiser)</t>
  </si>
  <si>
    <t>Real Madrid (Walker)</t>
  </si>
  <si>
    <t>Barcelona (Mistyeye)</t>
  </si>
  <si>
    <t>Sevilla (YOSHI)</t>
  </si>
  <si>
    <t>Atletico Madrid (praym)</t>
  </si>
  <si>
    <t xml:space="preserve"> 2 - 1 (1 - 1)</t>
  </si>
  <si>
    <t>Valencia (Quavo)</t>
  </si>
  <si>
    <t>3 - 4 (2 - 0)</t>
  </si>
  <si>
    <t>Espanyol (Supernova)</t>
  </si>
  <si>
    <t>Alaves (Cool_J)</t>
  </si>
  <si>
    <t>Valladolid (Unknown)</t>
  </si>
  <si>
    <t>0 - 5  (0 - 1)</t>
  </si>
  <si>
    <t>Bayer 04 (Mistyeye)</t>
  </si>
  <si>
    <t>Arsenal (YOSHI)</t>
  </si>
  <si>
    <t>Lazio (praym)</t>
  </si>
  <si>
    <t>2 - 4 (2 - 3)</t>
  </si>
  <si>
    <t>2 - 1(1 - 1)</t>
  </si>
  <si>
    <t>Gent (Supernova)</t>
  </si>
  <si>
    <t>Basaksehir (Cool_J)</t>
  </si>
  <si>
    <t>Shakhtar Donetsk (ForceMajor!)</t>
  </si>
  <si>
    <t>Sporting (kiser)</t>
  </si>
  <si>
    <t>5 - 0 (5 - 0)</t>
  </si>
  <si>
    <t xml:space="preserve"> 0 - 1 (0 - 1)</t>
  </si>
  <si>
    <t>Marseille (OoLancer)</t>
  </si>
  <si>
    <t>Lille (Indra13_27)</t>
  </si>
  <si>
    <t>Lyon (Jenko)</t>
  </si>
  <si>
    <t>Montpellier (SpursMax)</t>
  </si>
  <si>
    <t>Bourdeux (Ishking11)</t>
  </si>
  <si>
    <t>Nice (YOSHI)</t>
  </si>
  <si>
    <t>5 - 2 (4 - 0)</t>
  </si>
  <si>
    <t>Saint-Etienne (kiser)</t>
  </si>
  <si>
    <t>5 - 4 (4 - 1)</t>
  </si>
  <si>
    <t>Stade Rennais (Phantom)</t>
  </si>
  <si>
    <t>1 - 7 (1 - 3)</t>
  </si>
  <si>
    <t>1 - 5 (1 - 1)</t>
  </si>
  <si>
    <t>Brazil (OoLancer)</t>
  </si>
  <si>
    <t>Germany (Corvin)</t>
  </si>
  <si>
    <t>Spain (Sima)</t>
  </si>
  <si>
    <t>France (Indra13_27)</t>
  </si>
  <si>
    <t xml:space="preserve"> 0 - 2 (0 - 1)</t>
  </si>
  <si>
    <t>Portugal (SpursMax)</t>
  </si>
  <si>
    <t>Italy (Ishking11)</t>
  </si>
  <si>
    <t>Netherlands (kiser)</t>
  </si>
  <si>
    <t>6 - 3 (2 - 1)</t>
  </si>
  <si>
    <t>0 - 5 (0 - 5)</t>
  </si>
  <si>
    <t>Inter (OoLancer)</t>
  </si>
  <si>
    <t>Milan (Corvin)</t>
  </si>
  <si>
    <t>Juventus (Sima)</t>
  </si>
  <si>
    <t>Lazio (Indra13_27)</t>
  </si>
  <si>
    <t>Napoli (Jenko)</t>
  </si>
  <si>
    <t>3 - 6 (0 - 3)</t>
  </si>
  <si>
    <t>Torino (SpursMax)</t>
  </si>
  <si>
    <t>Fiorentina (Ishking11)</t>
  </si>
  <si>
    <t>Atalanta (kiser)</t>
  </si>
  <si>
    <t>6 - 2 (4 - 1)</t>
  </si>
  <si>
    <t>Roma (Phantom)</t>
  </si>
  <si>
    <t>3 - 5 (0 - 3)</t>
  </si>
  <si>
    <t>4 - 1 (4 - 0)</t>
  </si>
  <si>
    <t>RB Leipzig (OoLancer)</t>
  </si>
  <si>
    <t>Borussia Monchengladbach (Veep)</t>
  </si>
  <si>
    <t>FC Bayern (Baphomet)</t>
  </si>
  <si>
    <t>5 - 2 (3 - 1)</t>
  </si>
  <si>
    <t>Werder Bremen (Klexter)</t>
  </si>
  <si>
    <t>Wolfsburg (skripp)</t>
  </si>
  <si>
    <t>Koln (Fric)</t>
  </si>
  <si>
    <t>Hoffenheim (Gernaut)</t>
  </si>
  <si>
    <t>2 - 6 (1 - 3)</t>
  </si>
  <si>
    <t>Liverpool (fleshka77)</t>
  </si>
  <si>
    <t>5 - 3 (0 - 2)</t>
  </si>
  <si>
    <t>Manchester City (Spacerman)</t>
  </si>
  <si>
    <t>Napoli (stdm)</t>
  </si>
  <si>
    <t>Tottenham (Fric)</t>
  </si>
  <si>
    <t>Feyenoord (Aventon)</t>
  </si>
  <si>
    <t>CSKA Moscow (Veep)</t>
  </si>
  <si>
    <t>Porto  (Spacerman)</t>
  </si>
  <si>
    <t>Wolverhampton (stdm)</t>
  </si>
  <si>
    <t>Getafe (Fric)</t>
  </si>
  <si>
    <t>Roma (indenfor)</t>
  </si>
  <si>
    <t>6 - 1 (3 - 1)</t>
  </si>
  <si>
    <t>4 - 3 (1 - 1)</t>
  </si>
  <si>
    <t>Arsenal (CarlWhizzer)</t>
  </si>
  <si>
    <t>Liverpool (Stig)</t>
  </si>
  <si>
    <t>Manchester United (Dimqaa)</t>
  </si>
  <si>
    <t>5 - 3 (5 - 1)</t>
  </si>
  <si>
    <t>Newcastle United (Unknown)</t>
  </si>
  <si>
    <t>Bournemouth (fasqer)</t>
  </si>
  <si>
    <t>Southampton (YOSHI)</t>
  </si>
  <si>
    <t>Aston Villa (ForceMajor!)</t>
  </si>
  <si>
    <t>5 - 2 (2 - 2)</t>
  </si>
  <si>
    <t>Crystal Palace (kiser)</t>
  </si>
  <si>
    <t>3 - 0  (3 - 0)</t>
  </si>
  <si>
    <t>3 - 6 (1 - 4)</t>
  </si>
  <si>
    <t>4 - 2 (4 - 2)</t>
  </si>
  <si>
    <t>2 - 4 (0 - 1)</t>
  </si>
  <si>
    <t>Atletico Madrid (CarlWhizzer)</t>
  </si>
  <si>
    <t>Sevilla (Stig)</t>
  </si>
  <si>
    <t>Valencia (praym)</t>
  </si>
  <si>
    <t>Levante (fasqer)</t>
  </si>
  <si>
    <t>Valladolid (YOSHI)</t>
  </si>
  <si>
    <t>5 - 2 (2 - 0)</t>
  </si>
  <si>
    <t>2 - 4 (2 - 1)</t>
  </si>
  <si>
    <t>6 - 2 (3 - 0)</t>
  </si>
  <si>
    <t>Inter (CarlWhizzer)</t>
  </si>
  <si>
    <t>Bayer 04 (Dimqaa)</t>
  </si>
  <si>
    <t xml:space="preserve"> 1 - 2 (1 - 2)</t>
  </si>
  <si>
    <t>Shakhtar Donetsk (Unknown)</t>
  </si>
  <si>
    <t>4 - 2 (1 - 0)</t>
  </si>
  <si>
    <t>Gent (fasqer)</t>
  </si>
  <si>
    <t>Basaksehir (YOSHI)</t>
  </si>
  <si>
    <t>Celtic (ForceMajor!)</t>
  </si>
  <si>
    <t>8 - 2 (4 - 2)</t>
  </si>
  <si>
    <t>5 - 5 (2 - 2)</t>
  </si>
  <si>
    <t>Lille (Stig)</t>
  </si>
  <si>
    <t>Lyon (OoLancer)</t>
  </si>
  <si>
    <t>Monaco (Walker)</t>
  </si>
  <si>
    <t>PSG (specialist)</t>
  </si>
  <si>
    <t>3 - 1 ( 2 - 1)</t>
  </si>
  <si>
    <t>3 - 3 (1 - 3)</t>
  </si>
  <si>
    <t>Saint-Etienne (ViTo)</t>
  </si>
  <si>
    <t>Nice (Ishking11)</t>
  </si>
  <si>
    <t>3 - 3 (1 -1)</t>
  </si>
  <si>
    <t>4 - 2 (1 - 1)</t>
  </si>
  <si>
    <t>Belgium (Stig)</t>
  </si>
  <si>
    <t>France (OoLancer)</t>
  </si>
  <si>
    <t>Germany (specialist)</t>
  </si>
  <si>
    <t>Italy (ViTo)</t>
  </si>
  <si>
    <t>Netherlands (Ishking11)</t>
  </si>
  <si>
    <t>Argentina (YOSHI)</t>
  </si>
  <si>
    <t>Portugal (Jenko)</t>
  </si>
  <si>
    <t>England (Supernova)</t>
  </si>
  <si>
    <t>2 - 6 (1 - 1)</t>
  </si>
  <si>
    <t>Juventus (Stig)</t>
  </si>
  <si>
    <t>Milan (OoLancer)</t>
  </si>
  <si>
    <t>Napoli (Walker)</t>
  </si>
  <si>
    <t>Atalanta (ViTo)</t>
  </si>
  <si>
    <t>Sassuolo (Ishking11)</t>
  </si>
  <si>
    <t>3 - 2 (0 - 0)</t>
  </si>
  <si>
    <t>Torino (Jenko)</t>
  </si>
  <si>
    <t>Roma (Supernova)</t>
  </si>
  <si>
    <t>5 - 4 (3 - 2)</t>
  </si>
  <si>
    <t>Bayer 04 (Veep)</t>
  </si>
  <si>
    <t>4 - 2 (2 - 2 )</t>
  </si>
  <si>
    <t>Eintracht (skripp)</t>
  </si>
  <si>
    <t>Wolfsburg (Gernaut)</t>
  </si>
  <si>
    <t>Werder Bremen (indenfor)</t>
  </si>
  <si>
    <t>FC Bayern (Indra13_27)</t>
  </si>
  <si>
    <t>Napoli (Spacerman)</t>
  </si>
  <si>
    <t>Borussia Dortmund (dinototli)</t>
  </si>
  <si>
    <t>Tottenham (indenfor)</t>
  </si>
  <si>
    <t>0 - 8 (0 - 4)</t>
  </si>
  <si>
    <t>5 - 2 (3 - 0)</t>
  </si>
  <si>
    <t>PSV (fleshka77)</t>
  </si>
  <si>
    <t>Braga  (Indra13_27)</t>
  </si>
  <si>
    <t>Porto  (AlBack)</t>
  </si>
  <si>
    <t>Roma (Spacerman)</t>
  </si>
  <si>
    <t>Getafe (dinototli)</t>
  </si>
  <si>
    <t>Wolverhampton (indenfor)</t>
  </si>
  <si>
    <t>5 - 1 (0 - 0)</t>
  </si>
  <si>
    <t>Liverpool (Sima)</t>
  </si>
  <si>
    <t>Manchester City (Dimqaa)</t>
  </si>
  <si>
    <t>Manchester United (Stig)</t>
  </si>
  <si>
    <t>Arsenal (praym)</t>
  </si>
  <si>
    <t>Newcastle United (SpursMax)</t>
  </si>
  <si>
    <t>Bournemouth (BoBBY)</t>
  </si>
  <si>
    <t>Aston Villa (Unknown)</t>
  </si>
  <si>
    <t>Crystal Palace (Ishking11)</t>
  </si>
  <si>
    <t>Southampton (kiser)</t>
  </si>
  <si>
    <t>Barcelona (Dimqaa)</t>
  </si>
  <si>
    <t>Real Madrid (Stig)</t>
  </si>
  <si>
    <t>Sevilla (Quavo)</t>
  </si>
  <si>
    <t>4 - 2 (4 - 1)</t>
  </si>
  <si>
    <t>Levante (SpursMax)</t>
  </si>
  <si>
    <t>Alaves (BoBBY)</t>
  </si>
  <si>
    <t>Celta (Unknown)</t>
  </si>
  <si>
    <t>Espanyol (Ishking11)</t>
  </si>
  <si>
    <t>Valladolid (kiser)</t>
  </si>
  <si>
    <t>3 - 5 (2 - 2)</t>
  </si>
  <si>
    <t>7 - 1 (2 - 1)</t>
  </si>
  <si>
    <t>Inter (Dimqaa)</t>
  </si>
  <si>
    <t>Bayer 04 (Stig)</t>
  </si>
  <si>
    <t>Basaksehir (SpursMax)</t>
  </si>
  <si>
    <t>Celtic (BoBBY)</t>
  </si>
  <si>
    <t>Gent (Ishking11)</t>
  </si>
  <si>
    <t>6 - 5 (3 - 2)</t>
  </si>
  <si>
    <t>Marseille (Supernova)</t>
  </si>
  <si>
    <t>PSG (Jenko)</t>
  </si>
  <si>
    <t>Lyon (Stig)</t>
  </si>
  <si>
    <t>Stade Rennais (RedDevil)</t>
  </si>
  <si>
    <t>Saint-Etienne (Corvin)</t>
  </si>
  <si>
    <t>Nice (Gernaut)</t>
  </si>
  <si>
    <t>3 - 3  (1 - 2)</t>
  </si>
  <si>
    <t>Germany (Supernova)</t>
  </si>
  <si>
    <t>Spain (Indra13_27)</t>
  </si>
  <si>
    <t>France (Jenko)</t>
  </si>
  <si>
    <t>England (RedDevil)</t>
  </si>
  <si>
    <t>Italy (Corvin)</t>
  </si>
  <si>
    <t>Portugal (Gernaut)</t>
  </si>
  <si>
    <t>3 - 8 (1 - 4)</t>
  </si>
  <si>
    <t>Argentina (Ishking11)</t>
  </si>
  <si>
    <t>3 - 5 (3 - 3)</t>
  </si>
  <si>
    <t>6 - 1 (4 - 0)</t>
  </si>
  <si>
    <t>3 - 5 (2 - 1)</t>
  </si>
  <si>
    <t>5 -2 (3 - 1)</t>
  </si>
  <si>
    <t>Napoli (Indra13_27)</t>
  </si>
  <si>
    <t>Juventus (Jenko)</t>
  </si>
  <si>
    <t>Atalanta (Stig)</t>
  </si>
  <si>
    <t>Fiorentina (RedDevil)</t>
  </si>
  <si>
    <t>5 - 2 (0 - 2)</t>
  </si>
  <si>
    <t>Sassuolo (Corvin)</t>
  </si>
  <si>
    <t>Roma (skmgery)</t>
  </si>
  <si>
    <t>Milan (Gernaut)</t>
  </si>
  <si>
    <t>2 - 4 (0 - 3)</t>
  </si>
  <si>
    <t>Torino (Ishking11)</t>
  </si>
  <si>
    <t>3 - 4 (0 - 2)</t>
  </si>
  <si>
    <t>3 - 2 (0 - 1)</t>
  </si>
  <si>
    <t>0 - 6 (0 - 5)</t>
  </si>
  <si>
    <t>3- 0 (1 - 0)</t>
  </si>
  <si>
    <t>5 - 2 (3 - 2)</t>
  </si>
  <si>
    <t>Werder Bremen (Spacerman)</t>
  </si>
  <si>
    <t>Hoffenheim (indenfor)</t>
  </si>
  <si>
    <t>Atletico Madrid (specialist)</t>
  </si>
  <si>
    <t>Manchester City (Aventon)</t>
  </si>
  <si>
    <t>Tottenham (Baphomet)</t>
  </si>
  <si>
    <t>Borussia Dortmund (Indra13_27)</t>
  </si>
  <si>
    <t>Juventus (Klexter)</t>
  </si>
  <si>
    <t>Barcelona (skripp)</t>
  </si>
  <si>
    <t>Liverpool (Fric)</t>
  </si>
  <si>
    <t>Roma (specialist)</t>
  </si>
  <si>
    <t>Porto  (Aventon)</t>
  </si>
  <si>
    <t>Wolverhampton (Baphomet)</t>
  </si>
  <si>
    <t>Getafe (Indra13_27)</t>
  </si>
  <si>
    <t>Feyenoord (Klexter)</t>
  </si>
  <si>
    <t>Dynamo Kyiv (AlBack)</t>
  </si>
  <si>
    <t>Braga  (skripp)</t>
  </si>
  <si>
    <t>CSKA Moscow (fleshka77)</t>
  </si>
  <si>
    <t>PSV (Fric)</t>
  </si>
  <si>
    <t>3 - 7 (2 - 2)</t>
  </si>
  <si>
    <t>Manchester City (Mistyeye)</t>
  </si>
  <si>
    <t>Manchester United (praym)</t>
  </si>
  <si>
    <t>Aston Villa (Phantom)</t>
  </si>
  <si>
    <t>Bournemouth (Den1Bravo)</t>
  </si>
  <si>
    <t>Newcastle United (Supernova)</t>
  </si>
  <si>
    <t>Crystal Palace (fasqer)</t>
  </si>
  <si>
    <t xml:space="preserve"> 2 - 4 (1 - 1)</t>
  </si>
  <si>
    <t>1 - 7 (1 - 2)</t>
  </si>
  <si>
    <t>Real Madrid (CarlWhizzer)</t>
  </si>
  <si>
    <t>Sevilla (Sima)</t>
  </si>
  <si>
    <t>Valencia (Mistyeye)</t>
  </si>
  <si>
    <t>3 - 5 (2 - 3)</t>
  </si>
  <si>
    <t>Alaves (Phantom)</t>
  </si>
  <si>
    <t>1 - 9 (0 - 6)</t>
  </si>
  <si>
    <t>Espanyol (Den1Bravo)</t>
  </si>
  <si>
    <t>Valladolid (Supernova)</t>
  </si>
  <si>
    <t>Lazio (Quavo)</t>
  </si>
  <si>
    <t>Bayer 04 (Sima)</t>
  </si>
  <si>
    <t>Inter (praym)</t>
  </si>
  <si>
    <t>4 - 4 (4 - 2)</t>
  </si>
  <si>
    <t>4 - 4 (3 - 1)</t>
  </si>
  <si>
    <t>Gent (Phantom)</t>
  </si>
  <si>
    <t>Celtic (Den1Bravo)</t>
  </si>
  <si>
    <t>Shakhtar Donetsk (Supernova)</t>
  </si>
  <si>
    <t>Sporting (fasqer)</t>
  </si>
  <si>
    <t>PSG (Walker)</t>
  </si>
  <si>
    <t>Monaco (specialist)</t>
  </si>
  <si>
    <t>Marseille (SpursMax)</t>
  </si>
  <si>
    <t xml:space="preserve"> 0 - 3 (0 - 2)</t>
  </si>
  <si>
    <t>Bourdeux (Corvin)</t>
  </si>
  <si>
    <t>Saint-Etienne (Ishking11)</t>
  </si>
  <si>
    <t xml:space="preserve"> 3 - 1 (1 - 1)</t>
  </si>
  <si>
    <t>3 - 4 (3 - 3)</t>
  </si>
  <si>
    <t>Germany (Stig)</t>
  </si>
  <si>
    <t>Belgium (specialist)</t>
  </si>
  <si>
    <t>France (SpursMax)</t>
  </si>
  <si>
    <t>Netherlands (Corvin)</t>
  </si>
  <si>
    <t>England (Gernaut)</t>
  </si>
  <si>
    <t>3 - 5 (2 - 4)</t>
  </si>
  <si>
    <t>Uruguay (Ishking11)</t>
  </si>
  <si>
    <t>6 - 2 (4 - 2)</t>
  </si>
  <si>
    <t>Inter (Stig)</t>
  </si>
  <si>
    <t>Atalanta (Walker)</t>
  </si>
  <si>
    <t>Napoli (specialist)</t>
  </si>
  <si>
    <t>Juventus (SpursMax)</t>
  </si>
  <si>
    <t>5 - 5 (3 - 1)</t>
  </si>
  <si>
    <t>6 - 1 (2 - 1)</t>
  </si>
  <si>
    <t>Fiorentina (Supernova)</t>
  </si>
  <si>
    <t>6 - 2 (3 - 2)</t>
  </si>
  <si>
    <t>6 - 0 (5 - 0)</t>
  </si>
  <si>
    <t>Borussia Dortmund (specialist)</t>
  </si>
  <si>
    <t>RB Leipzig (Indra13_27)</t>
  </si>
  <si>
    <t>2 - 5 (2 - 3)</t>
  </si>
  <si>
    <t>Wolfsburg (AlBack)</t>
  </si>
  <si>
    <t>Koln (Spacerman)</t>
  </si>
  <si>
    <t>Hoffenheim (dinototli)</t>
  </si>
  <si>
    <t>Eintracht (indenfor)</t>
  </si>
  <si>
    <t>0 - 8 (0 - 6)</t>
  </si>
  <si>
    <t>1 - 6 (1 - 1)</t>
  </si>
  <si>
    <t>Tottenham (specialist)</t>
  </si>
  <si>
    <t>Atletico Madrid (Baphomet)</t>
  </si>
  <si>
    <t>Manchester City (OoLancer)</t>
  </si>
  <si>
    <t>FC Bayern (UniversalPro)</t>
  </si>
  <si>
    <t>PSG (Klexter)</t>
  </si>
  <si>
    <t>Liverpool (Miller)</t>
  </si>
  <si>
    <t>Wolverhampton (specialist)</t>
  </si>
  <si>
    <t>Getafe (Aventon)</t>
  </si>
  <si>
    <t>Porto  (Baphomet)</t>
  </si>
  <si>
    <t>Dynamo Kyiv (skripp)</t>
  </si>
  <si>
    <t>Braga  (AlBack)</t>
  </si>
  <si>
    <t>CSKA Moscow (UniversalPro)</t>
  </si>
  <si>
    <t>PSV (Miller)</t>
  </si>
  <si>
    <t>4 - 5 (2 - 2)</t>
  </si>
  <si>
    <t>Crystal Palace (Sima)</t>
  </si>
  <si>
    <t>Bournemouth (Dimqaa)</t>
  </si>
  <si>
    <t>Southampton (Walker)</t>
  </si>
  <si>
    <t>Aston Villa (Jenko)</t>
  </si>
  <si>
    <t>Newcastle United (praym)</t>
  </si>
  <si>
    <t>0 - 0  (0 - 0)</t>
  </si>
  <si>
    <t>Manchester City (ForceMajor!)</t>
  </si>
  <si>
    <t>Manchester United (BoBBY)</t>
  </si>
  <si>
    <t>Liverpool (ViTo)</t>
  </si>
  <si>
    <t>Tottenham (Cool_J)</t>
  </si>
  <si>
    <t>Arsenal (Corvin)</t>
  </si>
  <si>
    <t>Valladolid (Sima)</t>
  </si>
  <si>
    <t>Espanyol (Dimqaa)</t>
  </si>
  <si>
    <t>Levante (Walker)</t>
  </si>
  <si>
    <t>Alaves (Jenko)</t>
  </si>
  <si>
    <t>Celta (praym)</t>
  </si>
  <si>
    <t>Sevilla (ForceMajor!)</t>
  </si>
  <si>
    <t>Valencia (BoBBY)</t>
  </si>
  <si>
    <t>Real Madrid (ViTo)</t>
  </si>
  <si>
    <t>Atletico Madrid (Cool_J)</t>
  </si>
  <si>
    <t>Barcelona (Corvin)</t>
  </si>
  <si>
    <t>2 - 5 (1 - 4)</t>
  </si>
  <si>
    <t>1 - 4 (0 - 4)</t>
  </si>
  <si>
    <t>Basaksehir (Sima)</t>
  </si>
  <si>
    <t>Gent (Dimqaa)</t>
  </si>
  <si>
    <t>Sporting (Walker)</t>
  </si>
  <si>
    <t>Celtic (Jenko)</t>
  </si>
  <si>
    <t>Shakhtar Donetsk (praym)</t>
  </si>
  <si>
    <t>Manchester United (ForceMajor!)</t>
  </si>
  <si>
    <t>Lazio (BoBBY)</t>
  </si>
  <si>
    <t>Sevilla (ViTo)</t>
  </si>
  <si>
    <t>Bayer 04 (Cool_J)</t>
  </si>
  <si>
    <t>Inter (Corvin)</t>
  </si>
  <si>
    <t>Nice (Indra13_27)</t>
  </si>
  <si>
    <t>Montpellier (Zazabak)</t>
  </si>
  <si>
    <t>Stade Rennais (Quavo)</t>
  </si>
  <si>
    <t>Saint-Etienne (Sima)</t>
  </si>
  <si>
    <t>Lyon (Supernova)</t>
  </si>
  <si>
    <t>PSG (kiser)</t>
  </si>
  <si>
    <t>Marseille (Kishe)</t>
  </si>
  <si>
    <t>Lille (SpursMax)</t>
  </si>
  <si>
    <t>4  - 0 (2 - 0)</t>
  </si>
  <si>
    <t>5 - 0 (0 - 0)</t>
  </si>
  <si>
    <t>Italy (Indra13_27)</t>
  </si>
  <si>
    <t>England (Zazabak)</t>
  </si>
  <si>
    <t>2 - 5 (2 - 4)</t>
  </si>
  <si>
    <t>Portugal (Quavo)</t>
  </si>
  <si>
    <t>Netherlands (Sima)</t>
  </si>
  <si>
    <t>8 - 1 (3 - 0)</t>
  </si>
  <si>
    <t>1 - 8 (0 - 3)</t>
  </si>
  <si>
    <t>Belgium (Supernova)</t>
  </si>
  <si>
    <t>Germany (kiser)</t>
  </si>
  <si>
    <t>France (Walker)</t>
  </si>
  <si>
    <t>Brazil (Kishe)</t>
  </si>
  <si>
    <t>Spain (SpursMax)</t>
  </si>
  <si>
    <t>3 - 5 (2 - 0)</t>
  </si>
  <si>
    <t>6 - 1 (4 - 1)</t>
  </si>
  <si>
    <t>Roma (YOSHI)</t>
  </si>
  <si>
    <t>Fiorentina (Indra13_27)</t>
  </si>
  <si>
    <t>Sassuolo (Zazabak)</t>
  </si>
  <si>
    <t>Torino (Quavo)</t>
  </si>
  <si>
    <t>Milan (Sima)</t>
  </si>
  <si>
    <t>6 - 2 (2 - 0)</t>
  </si>
  <si>
    <t>6 - 5 (3 - 3)</t>
  </si>
  <si>
    <t>Inter (Supernova)</t>
  </si>
  <si>
    <t>Napoli (kiser)</t>
  </si>
  <si>
    <t>8 - 1 (3 - 1)</t>
  </si>
  <si>
    <t>Lazio (Kishe)</t>
  </si>
  <si>
    <t>Werder Bremen (specialist)</t>
  </si>
  <si>
    <t>Koln (Aventon)</t>
  </si>
  <si>
    <t>Wolfsburg (Veep)</t>
  </si>
  <si>
    <t>Hoffenheim (Baphomet)</t>
  </si>
  <si>
    <t>Eintracht (Indra13_27)</t>
  </si>
  <si>
    <t>FC Bayern (Klexter)</t>
  </si>
  <si>
    <t>Bayer 04 (skripp)</t>
  </si>
  <si>
    <t>Borussia Monchengladbach (fleshka77)</t>
  </si>
  <si>
    <t>0 - 4 (2 - 0)</t>
  </si>
  <si>
    <t>Manchester City (Supernova)</t>
  </si>
  <si>
    <t>Borussia Dortmund (Baphomet)</t>
  </si>
  <si>
    <t>Atletico Madrid (Ishking11)</t>
  </si>
  <si>
    <t>Tottenham (OoLancer)</t>
  </si>
  <si>
    <t>Juventus (Fric)</t>
  </si>
  <si>
    <t>FC Bayern (Miller)</t>
  </si>
  <si>
    <t>3 - 4 (3 - 1)</t>
  </si>
  <si>
    <t>Getafe (Ishking11)</t>
  </si>
  <si>
    <t>Feyenoord (Indra13_27)</t>
  </si>
  <si>
    <t>CSKA Moscow (Miller)</t>
  </si>
  <si>
    <t>PSV (skripp)</t>
  </si>
  <si>
    <t>Braga  (Klexter)</t>
  </si>
  <si>
    <t>Bournemouth (Sima)</t>
  </si>
  <si>
    <t>Southampton (CarlWhizzer)</t>
  </si>
  <si>
    <t>Aston Villa (YOSHI)</t>
  </si>
  <si>
    <t>Crystal Palace (Dimqaa)</t>
  </si>
  <si>
    <t>Liverpool (Сool_J)</t>
  </si>
  <si>
    <t>Arsenal (BoBBY)</t>
  </si>
  <si>
    <t>2 - 7 (1 - 5)</t>
  </si>
  <si>
    <t>Levante (Sima)</t>
  </si>
  <si>
    <t>Eibar (YOSHI)</t>
  </si>
  <si>
    <t>Barcelona (Сool_J)</t>
  </si>
  <si>
    <t>Valencia (Walker)</t>
  </si>
  <si>
    <t>Sevilla (BoBBY)</t>
  </si>
  <si>
    <t>Atletico Madrid (ForceMajor!)</t>
  </si>
  <si>
    <t>Celtic (Sima)</t>
  </si>
  <si>
    <t>Shakhtar Donetsk (YOSHI)</t>
  </si>
  <si>
    <t>Inter (kiser)</t>
  </si>
  <si>
    <t>Manchester United (Сool_J)</t>
  </si>
  <si>
    <t>Bayer 04 (BoBBY)</t>
  </si>
  <si>
    <t>Lazio (ForceMajor!)</t>
  </si>
  <si>
    <t>Stade Rennais (Sima)</t>
  </si>
  <si>
    <t>Nice (Walker)</t>
  </si>
  <si>
    <t>Lille (Kishe)</t>
  </si>
  <si>
    <t>Monaco (BoBBY)</t>
  </si>
  <si>
    <t>Lyon (skmgery)</t>
  </si>
  <si>
    <t>Marseille (Corvin)</t>
  </si>
  <si>
    <t>Portugal (Sima)</t>
  </si>
  <si>
    <t>Italy (Zazabak)</t>
  </si>
  <si>
    <t>England (SpursMax)</t>
  </si>
  <si>
    <t>Netherlands (Walker)</t>
  </si>
  <si>
    <t>Belgium (Kishe)</t>
  </si>
  <si>
    <t>Brazil (BoBBY)</t>
  </si>
  <si>
    <t>Sassuolo (Sima)</t>
  </si>
  <si>
    <t>Fiorentina (Walker)</t>
  </si>
  <si>
    <t>2 - 4 (0 - 0)</t>
  </si>
  <si>
    <t>6 - 4 (3 - 1)</t>
  </si>
  <si>
    <t>4 - 4 (3 - 0)</t>
  </si>
  <si>
    <t>Napoli (Kishe)</t>
  </si>
  <si>
    <t>Atalanta (BoBBY)</t>
  </si>
  <si>
    <t>Inter (skmgery)</t>
  </si>
  <si>
    <t>Lazio (Jenko)</t>
  </si>
  <si>
    <t>8 - 3 (2 - 2)</t>
  </si>
  <si>
    <t>Eintracht (Baphomet)</t>
  </si>
  <si>
    <t>RB Leipzig (UniversalPro)</t>
  </si>
  <si>
    <t>Bayer 04 (Klexter)</t>
  </si>
  <si>
    <t>Borussia Monchengladbach (Miller)</t>
  </si>
  <si>
    <t>Manchester City (Thiago)</t>
  </si>
  <si>
    <t>Napoli (Baphomet)</t>
  </si>
  <si>
    <t>Atletico Madrid (Veep)</t>
  </si>
  <si>
    <t>Borussia Dortmund (OoLancer)</t>
  </si>
  <si>
    <t>0 - 10 (0 - 6)</t>
  </si>
  <si>
    <t>PSG (Indra13_27)</t>
  </si>
  <si>
    <t>6 - 2 (2 - 1)</t>
  </si>
  <si>
    <t>Borussia Monchengladbach (Thiago)</t>
  </si>
  <si>
    <t>Getafe (OoLancer)</t>
  </si>
  <si>
    <t>Porto  (specialist)</t>
  </si>
  <si>
    <t>4 - 3 (4 - 1)</t>
  </si>
  <si>
    <t>2 - 6 (2 - 2)</t>
  </si>
  <si>
    <t>PSV (Indra13_27)</t>
  </si>
  <si>
    <t>Braga  (fleshka77)</t>
  </si>
  <si>
    <t>CSKA Moscow (Fric)</t>
  </si>
  <si>
    <t>Dynamo Kyiv (indenfor)</t>
  </si>
  <si>
    <t>Newcastle United (CarlWhizzer)</t>
  </si>
  <si>
    <t>Aston Villa (Quavo)</t>
  </si>
  <si>
    <t>Bournemouth (Mistyeye)</t>
  </si>
  <si>
    <t>Southampton (Sima)</t>
  </si>
  <si>
    <t>Tottenham (UniversalPro)</t>
  </si>
  <si>
    <t>Manchester City (kiser)</t>
  </si>
  <si>
    <t>Manchester United (fasqer)</t>
  </si>
  <si>
    <t>Liverpool (ForceMajor!)</t>
  </si>
  <si>
    <t>5 - 0 (0 - 4)</t>
  </si>
  <si>
    <t>4 - 3 (3 - 3)</t>
  </si>
  <si>
    <t>Alaves (Dimqaa)</t>
  </si>
  <si>
    <t>Celta (CarlWhizzer)</t>
  </si>
  <si>
    <t>Eibar (Quavo)</t>
  </si>
  <si>
    <t>Levante (Mistyeye)</t>
  </si>
  <si>
    <t>Espanyol (Sima)</t>
  </si>
  <si>
    <t>Barcelona (UniversalPro)</t>
  </si>
  <si>
    <t>Real Madrid (fasqer)</t>
  </si>
  <si>
    <t>Valencia (ForceMajor!)</t>
  </si>
  <si>
    <t>Shakhtar Donetsk (CarlWhizzer)</t>
  </si>
  <si>
    <t>Sporting (Quavo)</t>
  </si>
  <si>
    <t>Basaksehir (Mistyeye)</t>
  </si>
  <si>
    <t>Gent (Sima)</t>
  </si>
  <si>
    <t>Manchester United (UniversalPro)</t>
  </si>
  <si>
    <t>Bayer 04 (kiser)</t>
  </si>
  <si>
    <t>Sevilla (fasqer)</t>
  </si>
  <si>
    <t>Inter (ForceMajor!)</t>
  </si>
  <si>
    <t>Lazio (YOSHI)</t>
  </si>
  <si>
    <t>8 - 1 (5 - 0)</t>
  </si>
  <si>
    <t>Nice (SpursMax)</t>
  </si>
  <si>
    <t>Stade Rennais (Ishking11)</t>
  </si>
  <si>
    <t>Bourdeux (OoLancer)</t>
  </si>
  <si>
    <t>Lyon (Indra13_27)</t>
  </si>
  <si>
    <t>PSG (YOSHI)</t>
  </si>
  <si>
    <t>Uruguay (SpursMax)</t>
  </si>
  <si>
    <t>Argentina (Zazabak)</t>
  </si>
  <si>
    <t>England (Ishking11)</t>
  </si>
  <si>
    <t>Portugal (OoLancer)</t>
  </si>
  <si>
    <t>0 - 1 ( 0 - 1)</t>
  </si>
  <si>
    <t>Germany (BoBBY)</t>
  </si>
  <si>
    <t>Belgium (YOSHI)</t>
  </si>
  <si>
    <t>Milan (SpursMax)</t>
  </si>
  <si>
    <t>Roma (Ishking11)</t>
  </si>
  <si>
    <t>Torino (OoLancer)</t>
  </si>
  <si>
    <t>Fiorentina (Sima)</t>
  </si>
  <si>
    <t>Inter (BoBBY)</t>
  </si>
  <si>
    <t>Juventus (Indra13_27)</t>
  </si>
  <si>
    <t>Atalanta (Jenko)</t>
  </si>
  <si>
    <t>Hoffenheim (Supernova)</t>
  </si>
  <si>
    <t>Koln (Ishking11)</t>
  </si>
  <si>
    <t>Werder Bremen (OoLancer)</t>
  </si>
  <si>
    <t>Wolfsburg (specialist)</t>
  </si>
  <si>
    <t>Bayer 04 (Fric)</t>
  </si>
  <si>
    <t>Borussia Dortmund (Miller)</t>
  </si>
  <si>
    <t>Napoli (Thiago)</t>
  </si>
  <si>
    <t>Atletico Madrid (Aventon)</t>
  </si>
  <si>
    <t>5 - 1 (0 - 3)</t>
  </si>
  <si>
    <t>4 - 2 (0 - 1)</t>
  </si>
  <si>
    <t>Juventus (indenfor)</t>
  </si>
  <si>
    <t>PSG (Fric)</t>
  </si>
  <si>
    <t xml:space="preserve"> 3 - 4 (1 - 3)</t>
  </si>
  <si>
    <t>1 - 5 (1 - 0)</t>
  </si>
  <si>
    <t>Roma (Indra13_27)</t>
  </si>
  <si>
    <t>Getafe (specialist)</t>
  </si>
  <si>
    <t xml:space="preserve"> 0 -  5 (0 - 2)</t>
  </si>
  <si>
    <t>CSKA Moscow (skripp)</t>
  </si>
  <si>
    <t>Braga  (Fric)</t>
  </si>
  <si>
    <t>Crystal Palace (UniversalPro)</t>
  </si>
  <si>
    <t>Bournemouth (Zazabak)</t>
  </si>
  <si>
    <t>Newcastle United (Quavo)</t>
  </si>
  <si>
    <t>Aston Villa (Sima)</t>
  </si>
  <si>
    <t>7 - 1 (3 - 0)</t>
  </si>
  <si>
    <t>2 - 3 (1- 2)</t>
  </si>
  <si>
    <t>Manchester United (Den1Bravo)</t>
  </si>
  <si>
    <t>Manchester City (Phantom)</t>
  </si>
  <si>
    <t>1  - 1 (0 - 1)</t>
  </si>
  <si>
    <t>2 - 1 (2 -1)</t>
  </si>
  <si>
    <t>1 - 2  (0 - 1)</t>
  </si>
  <si>
    <t>Levante (UniversalPro)</t>
  </si>
  <si>
    <t>Alaves (CarlWhizzer)</t>
  </si>
  <si>
    <t>Celta (Zazabak)</t>
  </si>
  <si>
    <t>Espanyol (Quavo)</t>
  </si>
  <si>
    <t>Eibar (Sima)</t>
  </si>
  <si>
    <t>Atletico Madrid (Den1Bravo)</t>
  </si>
  <si>
    <t>Valencia (Phantom)</t>
  </si>
  <si>
    <t>Sevilla (Dimqaa)</t>
  </si>
  <si>
    <t>Barcelona (ForceMajor!)</t>
  </si>
  <si>
    <t>3 - 0  (2 - 0)</t>
  </si>
  <si>
    <t>2 - 6 (1 - 2)</t>
  </si>
  <si>
    <t>4 - 5 (2 - 1)</t>
  </si>
  <si>
    <t>1 - 1  (1 - 0)</t>
  </si>
  <si>
    <t>Sporting (UniversalPro)</t>
  </si>
  <si>
    <t>Basaksehir (Zazabak)</t>
  </si>
  <si>
    <t>2 - 1(1 - 0)</t>
  </si>
  <si>
    <t>2 - 6 (1 - 5)</t>
  </si>
  <si>
    <t>3- 1 (3 - 0)</t>
  </si>
  <si>
    <t>7 - 1 (6 - 0)</t>
  </si>
  <si>
    <t>Inter (Den1Bravo)</t>
  </si>
  <si>
    <t>Lazio (Phantom)</t>
  </si>
  <si>
    <t>Bayer 04 (ForceMajor!)</t>
  </si>
  <si>
    <t>Montpellier (Veep)</t>
  </si>
  <si>
    <t>Nice (Zazabak)</t>
  </si>
  <si>
    <t>PSG (Corvin)</t>
  </si>
  <si>
    <t>Marseille (Indra13_27)</t>
  </si>
  <si>
    <t>6 - 3 (3 - 2)</t>
  </si>
  <si>
    <t>Argentina (Veep)</t>
  </si>
  <si>
    <t>Uruguay (Zazabak)</t>
  </si>
  <si>
    <t>Netherlands (OoLancer)</t>
  </si>
  <si>
    <t>France (Supernova)</t>
  </si>
  <si>
    <t>Brazil (YOSHI)</t>
  </si>
  <si>
    <t>Belgium (Indra13_27)</t>
  </si>
  <si>
    <t>Roma  (Veep)</t>
  </si>
  <si>
    <t>Fiorentina (Zazabak)</t>
  </si>
  <si>
    <t>Torino (Sima)</t>
  </si>
  <si>
    <t>Juventus (Supernova)</t>
  </si>
  <si>
    <t>4 - 3 (2 - 3)</t>
  </si>
  <si>
    <t>4 - 5 (1 - 3)</t>
  </si>
  <si>
    <t>Koln (Thiago)</t>
  </si>
  <si>
    <t>Werder Bremen (Baphomet)</t>
  </si>
  <si>
    <t>Eintracht (Veep)</t>
  </si>
  <si>
    <t>Borussia Dortmund (fleshka77)</t>
  </si>
  <si>
    <t>Borussia Monchengladbach (Fric)</t>
  </si>
  <si>
    <t>FC Bayern (indenfor)</t>
  </si>
  <si>
    <t>3 - 7 (3 - 4)</t>
  </si>
  <si>
    <t>Real Madrid (Aventon)</t>
  </si>
  <si>
    <t>Borussia Dortmund (Veep)</t>
  </si>
  <si>
    <t>Cyber Champions League  02:00 - 05:00</t>
  </si>
  <si>
    <t>Ajax  (Miller)</t>
  </si>
  <si>
    <t>Valencia (dinototli)</t>
  </si>
  <si>
    <t>Bayer 04 (Tranquil)</t>
  </si>
  <si>
    <t>Chelsea (Fric)</t>
  </si>
  <si>
    <t>Atalanta (Klexter)</t>
  </si>
  <si>
    <t>Cyber World Cup 4:00 - 6:30</t>
  </si>
  <si>
    <t>Brazil (specialist)</t>
  </si>
  <si>
    <t>Germany (Aventon)</t>
  </si>
  <si>
    <t>Belgium (Baphomet)</t>
  </si>
  <si>
    <t>Spain Cyber Stars League 05:00 - 08:00</t>
  </si>
  <si>
    <t>Getafe (Miller)</t>
  </si>
  <si>
    <t>Real Betis (dinototli)</t>
  </si>
  <si>
    <t>Valladolid (Tranquil)</t>
  </si>
  <si>
    <t>Villarreal (Fric)</t>
  </si>
  <si>
    <t>Athletic Club (Klexter)</t>
  </si>
  <si>
    <t>Bournemouth (SpursMax)</t>
  </si>
  <si>
    <t>3 - 6 (2 - 4)</t>
  </si>
  <si>
    <t>Crystal Palace (CarlWhizzer)</t>
  </si>
  <si>
    <t>Aston Villa (Stig)</t>
  </si>
  <si>
    <t>Southampton (Jenko)</t>
  </si>
  <si>
    <t>1 - 4 (1 - 4)</t>
  </si>
  <si>
    <t>Arsenal (Phantom)</t>
  </si>
  <si>
    <t>Eibar (SpursMax)</t>
  </si>
  <si>
    <t>Levante (CarlWhizzer)</t>
  </si>
  <si>
    <t>Celta (Stig)</t>
  </si>
  <si>
    <t>4 - 0  (2 - 0)</t>
  </si>
  <si>
    <t>2- 3 (1 - 2)</t>
  </si>
  <si>
    <t>Sevilla (kiser)</t>
  </si>
  <si>
    <t>Celtic (SpursMax)</t>
  </si>
  <si>
    <t>Shakhtar Donetsk (Stig)</t>
  </si>
  <si>
    <t>Gent (Jenko)</t>
  </si>
  <si>
    <t>3 - 3(1 - 2)</t>
  </si>
  <si>
    <t>Lazio (Corvin)</t>
  </si>
  <si>
    <t>Sevilla (Phantom)</t>
  </si>
  <si>
    <t>Inter (fasqer)</t>
  </si>
  <si>
    <t>Saint-Etienne (Stig)</t>
  </si>
  <si>
    <t>Bourdeux (Indra13_27)</t>
  </si>
  <si>
    <t>Stade Rennais (Veep)</t>
  </si>
  <si>
    <t>Marseille (skmgery)</t>
  </si>
  <si>
    <t>Lille (Supernova)</t>
  </si>
  <si>
    <t>PSG (Kishe)</t>
  </si>
  <si>
    <t>Lyon (Phantom)</t>
  </si>
  <si>
    <t>3 - 4 (1 - 4)</t>
  </si>
  <si>
    <t>5 - 4 (1 - 3)</t>
  </si>
  <si>
    <t>Uruguay (Stig)</t>
  </si>
  <si>
    <t>Portugal (Indra13_27)</t>
  </si>
  <si>
    <t>Brazil (skmgery)</t>
  </si>
  <si>
    <t>Spain (Supernova)</t>
  </si>
  <si>
    <t>France (Kishe)</t>
  </si>
  <si>
    <t>Germany (Phantom)</t>
  </si>
  <si>
    <t xml:space="preserve">    1 - 1 (0 - 0)</t>
  </si>
  <si>
    <t>Torino (Stig)</t>
  </si>
  <si>
    <t>Fiorentina (Veep)</t>
  </si>
  <si>
    <t>Milan (Ishking11)</t>
  </si>
  <si>
    <t>Parma (SpursMax)</t>
  </si>
  <si>
    <t>2 - 6 (0 - 2)</t>
  </si>
  <si>
    <t>Napoli (BoBBY)</t>
  </si>
  <si>
    <t>Juventus (Kishe)</t>
  </si>
  <si>
    <t>Atalanta (Phantom)</t>
  </si>
  <si>
    <t>5 - 3 (2 - 3)</t>
  </si>
  <si>
    <t>Hoffenheim (Thiago)</t>
  </si>
  <si>
    <t>Koln (specialist)</t>
  </si>
  <si>
    <t>RB Leipzig (indenfor)</t>
  </si>
  <si>
    <t>4 - 0  (3 - 0)</t>
  </si>
  <si>
    <t>Manchester City (Veep)</t>
  </si>
  <si>
    <t>Real Madrid (Phantom)</t>
  </si>
  <si>
    <t>Chelsea (Miller)</t>
  </si>
  <si>
    <t>Bayer 04 (dinototli)</t>
  </si>
  <si>
    <t>Valencia (Tranquil)</t>
  </si>
  <si>
    <t>Ajax  (Fric)</t>
  </si>
  <si>
    <t>5 - 3 (0 - 3)</t>
  </si>
  <si>
    <t>France (specialist)</t>
  </si>
  <si>
    <t>Brazil (Veep)</t>
  </si>
  <si>
    <t>Spain (OoLancer)</t>
  </si>
  <si>
    <t>7 - 1 (5 - 1)</t>
  </si>
  <si>
    <t>Valladolid (Miller)</t>
  </si>
  <si>
    <t>Getafe (Tranquil)</t>
  </si>
  <si>
    <t>1 - 0 (0 - 0 )</t>
  </si>
  <si>
    <t>England Cyber Stars League 8:00 - 11:00</t>
  </si>
  <si>
    <t>Aston Villa (Supernova)</t>
  </si>
  <si>
    <t>0 - 2 (0 - 2 )</t>
  </si>
  <si>
    <t>Newcastle United (Walker)</t>
  </si>
  <si>
    <t>Bournemouth (Quavo)</t>
  </si>
  <si>
    <t>2 - 5 (1 - 5)</t>
  </si>
  <si>
    <t>Cyber Europa League 11:00 - 14:00</t>
  </si>
  <si>
    <t>Celtic (Supernova)</t>
  </si>
  <si>
    <t>Gent (Walker)</t>
  </si>
  <si>
    <t>Basaksehir (Jenko)</t>
  </si>
  <si>
    <t>1 - 0 ( 0 - 0)</t>
  </si>
  <si>
    <t>0 - 2 ( 0 - 1)</t>
  </si>
  <si>
    <t>1 - 7 (0 - 5)</t>
  </si>
  <si>
    <t>France Cyber Stars League 10:30 - 13:00</t>
  </si>
  <si>
    <t>Monaco (Stig)</t>
  </si>
  <si>
    <t>PSG (fasqer)</t>
  </si>
  <si>
    <t>Lille (ViTo)</t>
  </si>
  <si>
    <t>Lyon (ForceMajor!)</t>
  </si>
  <si>
    <t>Marseille (skripp)</t>
  </si>
  <si>
    <t>Cyber World Cup 14:00 - 17:00</t>
  </si>
  <si>
    <t>Mexico (Supernova)</t>
  </si>
  <si>
    <t>Denmark (CarlWhizzer)</t>
  </si>
  <si>
    <t>Poland (Walker)</t>
  </si>
  <si>
    <t>Austria (Jenko)</t>
  </si>
  <si>
    <t>Switzerland (Quavo)</t>
  </si>
  <si>
    <t>3 - 3 (3 - 3)</t>
  </si>
  <si>
    <t>Bayer 04 (ViTo)</t>
  </si>
  <si>
    <t>Lazio (skripp)</t>
  </si>
  <si>
    <t>0 - 6 (0 - 1)</t>
  </si>
  <si>
    <t>England Cyber Stars League 15:30 - 18:00</t>
  </si>
  <si>
    <t>Leicester (Phantom)</t>
  </si>
  <si>
    <t>Wolverhampton (Aventon)</t>
  </si>
  <si>
    <t>Everton (Stig)</t>
  </si>
  <si>
    <t>West Ham United (BoBBY)</t>
  </si>
  <si>
    <t>Watford (Corvin)</t>
  </si>
  <si>
    <t>Cyber Champions League 17:00 - 20:00</t>
  </si>
  <si>
    <t>PSG (Supernova)</t>
  </si>
  <si>
    <t>FC Bayern (CarlWhizzer)</t>
  </si>
  <si>
    <t>Liverpool (Walker)</t>
  </si>
  <si>
    <t>Barcelona (Jenko)</t>
  </si>
  <si>
    <t>Juventus (Quavo)</t>
  </si>
  <si>
    <t>France Cyber Stars League 20:00 - 23:00</t>
  </si>
  <si>
    <t>Bourdeux (Klexter)</t>
  </si>
  <si>
    <t>Saint-Etienne (dinototli)</t>
  </si>
  <si>
    <t>Nice (Tranquil)</t>
  </si>
  <si>
    <t>Stade Rennais (Fric)</t>
  </si>
  <si>
    <t>Montpellier (Kishe)</t>
  </si>
  <si>
    <t>2 -1 (2 - 1)</t>
  </si>
  <si>
    <t>Germany Cyber Stars League 18:00 - 20:30</t>
  </si>
  <si>
    <t>Bayer 04 (Phantom)</t>
  </si>
  <si>
    <t>Borussia Dortmund (Stig)</t>
  </si>
  <si>
    <t>RB Leipzig (BoBBY)</t>
  </si>
  <si>
    <t>FC Bayern (Corvin)</t>
  </si>
  <si>
    <t>Milan (Phantom)</t>
  </si>
  <si>
    <t>Torino (Aventon)</t>
  </si>
  <si>
    <t>Roma (Corvin)</t>
  </si>
  <si>
    <t>Cyber Champions League 23:00 - 02:00</t>
  </si>
  <si>
    <t>Lokomotiv Moscow  (Klexter)</t>
  </si>
  <si>
    <t>Shakhtar Donetsk (dinototli)</t>
  </si>
  <si>
    <t>Club Brugge (Tranquil)</t>
  </si>
  <si>
    <t>Benfica  (Fric)</t>
  </si>
  <si>
    <t>Olympiacos (Kishe)</t>
  </si>
  <si>
    <t>1 -1 (1 - 0)</t>
  </si>
  <si>
    <t>Cyber Europa League 23:00 - 01:30</t>
  </si>
  <si>
    <t>PSV (OoLancer)</t>
  </si>
  <si>
    <t>3 - 3 (0 - 1)</t>
  </si>
  <si>
    <t>4 - 3 (0 - 3)</t>
  </si>
  <si>
    <t>Bayer 04 (Irvington)</t>
  </si>
  <si>
    <t>Atalanta (Tranquil)</t>
  </si>
  <si>
    <t>Lyon (Ryuk)</t>
  </si>
  <si>
    <t>Chelsea (iamdevilwalk)</t>
  </si>
  <si>
    <t>Brazil (Baphomet)</t>
  </si>
  <si>
    <t>France (Aventon)</t>
  </si>
  <si>
    <t>Getafe (Irvington)</t>
  </si>
  <si>
    <t>Villarreal (Tranquil)</t>
  </si>
  <si>
    <t>Real Betis (Ryuk)</t>
  </si>
  <si>
    <t>Athletic Club (iamdevilwalk)</t>
  </si>
  <si>
    <t>3 - 5 (3 - 2)</t>
  </si>
  <si>
    <t>6 - 3 (3 - 1)</t>
  </si>
  <si>
    <t>Aston Villa (CarlWhizzer)</t>
  </si>
  <si>
    <t>Bournemouth (Walker)</t>
  </si>
  <si>
    <t>Newcastle United (Dimqaa)</t>
  </si>
  <si>
    <t>Southampton (Mistyeye)</t>
  </si>
  <si>
    <t>Basaksehir (CarlWhizzer)</t>
  </si>
  <si>
    <t>Celtic (Walker)</t>
  </si>
  <si>
    <t>Sporting (Dimqaa)</t>
  </si>
  <si>
    <t>Shakhtar Donetsk (Mistyeye)</t>
  </si>
  <si>
    <t>Monaco (skripp)</t>
  </si>
  <si>
    <t>PSG (ForceMajor!)</t>
  </si>
  <si>
    <t>Marseille (Ishking11)</t>
  </si>
  <si>
    <t>Lyon (kiser)</t>
  </si>
  <si>
    <t>2 - 2 (1- 1)</t>
  </si>
  <si>
    <t>Poland (ViTo)</t>
  </si>
  <si>
    <t>Switzerland (Walker)</t>
  </si>
  <si>
    <t>Mexico (Quavo)</t>
  </si>
  <si>
    <t>Austria (mrPanda)</t>
  </si>
  <si>
    <t>4 - 4 (1 - 3)</t>
  </si>
  <si>
    <t>1 - 2 (0 -1)</t>
  </si>
  <si>
    <t>Inter (skripp)</t>
  </si>
  <si>
    <t>Bayer 04 (Supernova)</t>
  </si>
  <si>
    <t>Lazio (Ishking11)</t>
  </si>
  <si>
    <t>6 - 2  (4 - 0)</t>
  </si>
  <si>
    <t>4 - 1(3 - 0)</t>
  </si>
  <si>
    <t>Everton (specialist)</t>
  </si>
  <si>
    <t>Wolverhampton (Corvin)</t>
  </si>
  <si>
    <t>West Ham United (Supernova)</t>
  </si>
  <si>
    <t>Watford (OoLancer)</t>
  </si>
  <si>
    <t>Leicester (RedDevil)</t>
  </si>
  <si>
    <t>PSG (ViTo)</t>
  </si>
  <si>
    <t>Liverpool (CarlWhizzer)</t>
  </si>
  <si>
    <t>FC Bayern (Walker)</t>
  </si>
  <si>
    <t>Barcelona (mrPanda)</t>
  </si>
  <si>
    <t>Saint-Etienne (Klexter)</t>
  </si>
  <si>
    <t>Montpellier (dinototli)</t>
  </si>
  <si>
    <t>Stade Rennais (Tranquil)</t>
  </si>
  <si>
    <t>Nice (Irvington)</t>
  </si>
  <si>
    <t>Bourdeux (jema11)</t>
  </si>
  <si>
    <t>RB Leipzig (specialist)</t>
  </si>
  <si>
    <t>Borussia Dortmund (Supernova)</t>
  </si>
  <si>
    <t>Bayer 04 (RedDevil)</t>
  </si>
  <si>
    <t>Milan (specialist)</t>
  </si>
  <si>
    <t>3 - 4 (1 -1)</t>
  </si>
  <si>
    <t>Atalanta (RedDevil)</t>
  </si>
  <si>
    <t>Benfica  (Klexter)</t>
  </si>
  <si>
    <t>Club Brugge (dinototli)</t>
  </si>
  <si>
    <t>Olympiacos (Tranquil)</t>
  </si>
  <si>
    <t>Lokomotiv Moscow  (Irvington)</t>
  </si>
  <si>
    <t>Shakhtar Donetsk (jema11)</t>
  </si>
  <si>
    <t>CSKA Moscow (Phantom)</t>
  </si>
  <si>
    <t>2 - 8 (1 - 5)</t>
  </si>
  <si>
    <t>Atletico Madrid (SpursMax)</t>
  </si>
  <si>
    <t>Bayer 04 (Ryuk)</t>
  </si>
  <si>
    <t>Lyon (Tranquil)</t>
  </si>
  <si>
    <t>Atalanta (fleshka77)</t>
  </si>
  <si>
    <t>Ajax  (iamdevilwalk)</t>
  </si>
  <si>
    <t>Belgium (Aventon)</t>
  </si>
  <si>
    <t>Germany (Baphomet)</t>
  </si>
  <si>
    <t>Brazil (Indra13_27)</t>
  </si>
  <si>
    <t>5 - 3 (2 - 0)</t>
  </si>
  <si>
    <t>Valladolid (Ryuk)</t>
  </si>
  <si>
    <t>Athletic Club (fleshka77)</t>
  </si>
  <si>
    <t>Real Betis (Miller)</t>
  </si>
  <si>
    <t>Villarreal (iamdevilwalk)</t>
  </si>
  <si>
    <t>Newcastle United (Mistyeye)</t>
  </si>
  <si>
    <t>Bournemouth (praym)</t>
  </si>
  <si>
    <t>Southampton (Dimqaa)</t>
  </si>
  <si>
    <t xml:space="preserve"> 5 - 1 (2 - 0)</t>
  </si>
  <si>
    <t>Sporting (Sima)</t>
  </si>
  <si>
    <t>Marseille (YOSHI)</t>
  </si>
  <si>
    <t>Monaco (kiser)</t>
  </si>
  <si>
    <t>Lille (Ishking11)</t>
  </si>
  <si>
    <t>PSG (RedDevil)</t>
  </si>
  <si>
    <t>5 - 4 (2 - 3)</t>
  </si>
  <si>
    <t>Denmark (Quavo)</t>
  </si>
  <si>
    <t>Switzerland (Sima)</t>
  </si>
  <si>
    <t>Mexico (skripp)</t>
  </si>
  <si>
    <t>Poland (CarlWhizzer)</t>
  </si>
  <si>
    <t>Austria (Walker)</t>
  </si>
  <si>
    <t>0 - 4 (0 - 2 )</t>
  </si>
  <si>
    <t>Manchester United (Supernova)</t>
  </si>
  <si>
    <t>Bayer 04 (Ishking11)</t>
  </si>
  <si>
    <t>Lazio (RedDevil)</t>
  </si>
  <si>
    <t>Watford (Phantom)</t>
  </si>
  <si>
    <t>Leicester (Baphomet)</t>
  </si>
  <si>
    <t>Wolverhampton (Ishking11)</t>
  </si>
  <si>
    <t>Everton (RedDevil)</t>
  </si>
  <si>
    <t>6 - 2 (4 - 0)</t>
  </si>
  <si>
    <t>Montpellier (Irvington)</t>
  </si>
  <si>
    <t>Nice (Miller)</t>
  </si>
  <si>
    <t>Stade Rennais (fleshka77)</t>
  </si>
  <si>
    <t>Bourdeux (Ryuk)</t>
  </si>
  <si>
    <t>FC Bayern (Phantom)</t>
  </si>
  <si>
    <t>RB Leipzig (Supernova)</t>
  </si>
  <si>
    <t>Borussia Monchengladbach (Baphomet)</t>
  </si>
  <si>
    <t>Borussia Dortmund (Ishking11)</t>
  </si>
  <si>
    <t>Inter (Phantom)</t>
  </si>
  <si>
    <t>Atalanta (Baphomet)</t>
  </si>
  <si>
    <t>Milan (RedDevil)</t>
  </si>
  <si>
    <t>5 - 5 (1 - 3)</t>
  </si>
  <si>
    <t>Club Brugge (Irvington)</t>
  </si>
  <si>
    <t>Olympiacos (Miller)</t>
  </si>
  <si>
    <t>Lokomotiv Moscow  (fleshka77)</t>
  </si>
  <si>
    <t>Shakhtar Donetsk (Ryuk)</t>
  </si>
  <si>
    <t>7 - 3 (6 - 0)</t>
  </si>
  <si>
    <t>Braga  (Phantom)</t>
  </si>
  <si>
    <t>PSV (Baphomet)</t>
  </si>
  <si>
    <t>Borussia Dortmund (SpursMax)</t>
  </si>
  <si>
    <t>Real Madrid (Baphomet)</t>
  </si>
  <si>
    <t>Lyon (Irvington)</t>
  </si>
  <si>
    <t>Belgium (SpursMax)</t>
  </si>
  <si>
    <t>France (Baphomet)</t>
  </si>
  <si>
    <t>6 - 4 (2 - 3)</t>
  </si>
  <si>
    <t>Valladolid (Fric)</t>
  </si>
  <si>
    <t>Villarreal (Irvington)</t>
  </si>
  <si>
    <t>Getafe (Ryuk)</t>
  </si>
  <si>
    <t>Athletic Club (Tranquil)</t>
  </si>
  <si>
    <t>Real Betis (iamdevilwalk)</t>
  </si>
  <si>
    <t>Aston Villa (Dimqaa)</t>
  </si>
  <si>
    <t>Southampton (praym)</t>
  </si>
  <si>
    <t>Shakhtar Donetsk (Walker)</t>
  </si>
  <si>
    <t>Basaksehir (praym)</t>
  </si>
  <si>
    <t>Lille (Phantom)</t>
  </si>
  <si>
    <t>2 - 4 (0 - 4)</t>
  </si>
  <si>
    <t>Denmark (Walker)</t>
  </si>
  <si>
    <t>Switzerland (kiser)</t>
  </si>
  <si>
    <t>Mexico (OoLancer)</t>
  </si>
  <si>
    <t>Poland (Sima)</t>
  </si>
  <si>
    <t>Austria (skripp)</t>
  </si>
  <si>
    <t>Manchester United (Ishking11)</t>
  </si>
  <si>
    <t>Sevilla (Supernova)</t>
  </si>
  <si>
    <t>Bayer 04 (fasqer)</t>
  </si>
  <si>
    <t>1 - 6 (0 - 6)</t>
  </si>
  <si>
    <t>Leicester (Ishking11)</t>
  </si>
  <si>
    <t>Watford (Veep)</t>
  </si>
  <si>
    <t>Everton (Supernova)</t>
  </si>
  <si>
    <t>Wolverhampton (YOSHI)</t>
  </si>
  <si>
    <t>West Ham United (Indra13_27)</t>
  </si>
  <si>
    <t xml:space="preserve">3 - 1 (2 - 1) </t>
  </si>
  <si>
    <t>3 - 4 (1 - 0)</t>
  </si>
  <si>
    <t>Barcelona (kiser)</t>
  </si>
  <si>
    <t>PSG (OoLancer)</t>
  </si>
  <si>
    <t>FC Bayern (skripp)</t>
  </si>
  <si>
    <t>0 - 7 (0 - 4)</t>
  </si>
  <si>
    <t>Stade Rennais (Ryuk)</t>
  </si>
  <si>
    <t>Nice (fleshka77)</t>
  </si>
  <si>
    <t>Saint-Etienne (Miller)</t>
  </si>
  <si>
    <t>FC Bayern (Supernova)</t>
  </si>
  <si>
    <t>RB Leipzig (YOSHI)</t>
  </si>
  <si>
    <t xml:space="preserve"> 1 - 1 (0 - 1)</t>
  </si>
  <si>
    <t>Inter (Ishking11)</t>
  </si>
  <si>
    <t>Milan (Veep)</t>
  </si>
  <si>
    <t>Atalanta (Indra13_27)</t>
  </si>
  <si>
    <t>7 - 3 (1 - 1)</t>
  </si>
  <si>
    <t>5 - 3 (4 - 2)</t>
  </si>
  <si>
    <t>Olympiacos (Ryuk)</t>
  </si>
  <si>
    <t>Shakhtar Donetsk (skmgery)</t>
  </si>
  <si>
    <t>Club Brugge (fleshka77)</t>
  </si>
  <si>
    <t>Lokomotiv Moscow  (Miller)</t>
  </si>
  <si>
    <t>3 - 7 (2 - 3)</t>
  </si>
  <si>
    <t>Braga  (SpursMax)</t>
  </si>
  <si>
    <t>Galatasaray  (Zazabak)</t>
  </si>
  <si>
    <t>Benfica  (specialist)</t>
  </si>
  <si>
    <t>Club Brugge (Veep)</t>
  </si>
  <si>
    <t>Olympiacos (Aventon)</t>
  </si>
  <si>
    <t>Lokomotiv Moscow  (SpursMax)</t>
  </si>
  <si>
    <t>Liverpool (Klexter)</t>
  </si>
  <si>
    <t>Barcelona (Irvington)</t>
  </si>
  <si>
    <t>Juventus (Tranquil)</t>
  </si>
  <si>
    <t>FC Bayern (iamdevilwalk)</t>
  </si>
  <si>
    <t>Mexico (Zazabak)</t>
  </si>
  <si>
    <t>Switzerland (specialist)</t>
  </si>
  <si>
    <t>Austria (Veep)</t>
  </si>
  <si>
    <t>Denmark (Aventon)</t>
  </si>
  <si>
    <t>Poland (SpursMax)</t>
  </si>
  <si>
    <t>Valencia (Fric)</t>
  </si>
  <si>
    <t>Real Madrid (Klexter)</t>
  </si>
  <si>
    <t>Atletico Madrid (Irvington)</t>
  </si>
  <si>
    <t>Sevilla (Tranquil)</t>
  </si>
  <si>
    <t>Barcelona (iamdevilwalk)</t>
  </si>
  <si>
    <t>Italy Cyber Stars League 8:00 - 11:00</t>
  </si>
  <si>
    <t>Inter (Jenko)</t>
  </si>
  <si>
    <t>Atalanta (Quavo)</t>
  </si>
  <si>
    <t>Lazio (CarlWhizzer)</t>
  </si>
  <si>
    <t>Napoli (mrPanda)</t>
  </si>
  <si>
    <t>Germany Cyber Stars League 11:00 - 14:00</t>
  </si>
  <si>
    <t>FC Bayern (Jenko)</t>
  </si>
  <si>
    <t>Bayer 04 (Quavo)</t>
  </si>
  <si>
    <t>RB Leipzig (CarlWhizzer)</t>
  </si>
  <si>
    <t>Borussia Monchengladbach (mrPanda)</t>
  </si>
  <si>
    <t>Borussia Dortmund (Walker)</t>
  </si>
  <si>
    <t>1 -2 (0 - 2)</t>
  </si>
  <si>
    <t>Stade Rennais (Indra13_27)</t>
  </si>
  <si>
    <t>3 - 5 (0 - 2)</t>
  </si>
  <si>
    <t>Belgium (Dimqaa)</t>
  </si>
  <si>
    <t>Brazil (Quavo)</t>
  </si>
  <si>
    <t>France (praym)</t>
  </si>
  <si>
    <t>Spain (kiser)</t>
  </si>
  <si>
    <t>Germany (Walker)</t>
  </si>
  <si>
    <t>Shakhtar Donetsk (Ishking11)</t>
  </si>
  <si>
    <t>Sporting (Supernova)</t>
  </si>
  <si>
    <t>Gent (YOSHI)</t>
  </si>
  <si>
    <t>Celtic (Stig)</t>
  </si>
  <si>
    <t>Basaksehir (Indra13_27)</t>
  </si>
  <si>
    <t>Tottenham (Stig)</t>
  </si>
  <si>
    <t>Manchester United (Veep)</t>
  </si>
  <si>
    <t>Cyber Europa League 17:00 - 20:00</t>
  </si>
  <si>
    <t>Eintracht (Dimqaa)</t>
  </si>
  <si>
    <t>Stade Rennais (praym)</t>
  </si>
  <si>
    <t>Wolfsburg (kiser)</t>
  </si>
  <si>
    <t>Getafe (Walker)</t>
  </si>
  <si>
    <t>Lille (Fric)</t>
  </si>
  <si>
    <t>Marseille (Irvington)</t>
  </si>
  <si>
    <t>Monaco (Ryuk)</t>
  </si>
  <si>
    <t>Lyon (dinototli)</t>
  </si>
  <si>
    <t>PSG (iamdevilwalk)</t>
  </si>
  <si>
    <t>7 - 2 (4 - 0)</t>
  </si>
  <si>
    <t>4 - 3 (2 - 0)</t>
  </si>
  <si>
    <t>Portugal (Stig)</t>
  </si>
  <si>
    <t>Uruguay (Veep)</t>
  </si>
  <si>
    <t>Sampdoria (Ishking11)</t>
  </si>
  <si>
    <t>Fiorentina (OoLancer)</t>
  </si>
  <si>
    <t>Parma (YOSHI)</t>
  </si>
  <si>
    <t>Sassuolo (Stig)</t>
  </si>
  <si>
    <t>Udinese (Veep)</t>
  </si>
  <si>
    <t>5 - 4 (1 - 1)</t>
  </si>
  <si>
    <t>Chelsea (Irvington)</t>
  </si>
  <si>
    <t>Valencia (Ryuk)</t>
  </si>
  <si>
    <t>Bayer 04 (iamdevilwalk)</t>
  </si>
  <si>
    <t>Eintracht (SpursMax)</t>
  </si>
  <si>
    <t>Club Brugge (Ryuk)</t>
  </si>
  <si>
    <t>Salzburg (Baphomet)</t>
  </si>
  <si>
    <t>Benfica  (Aventon)</t>
  </si>
  <si>
    <t>3 - 6 (1 - 2)</t>
  </si>
  <si>
    <t>Juventus (Miller)</t>
  </si>
  <si>
    <t>FC Bayern (Tranquil)</t>
  </si>
  <si>
    <t>Liverpool (iamdevilwalk)</t>
  </si>
  <si>
    <t>2 - 6 (0 - 5)</t>
  </si>
  <si>
    <t>6 - 2 (1 - 1)</t>
  </si>
  <si>
    <t>6 - 3 (4 - 1)</t>
  </si>
  <si>
    <t>Denmark (Ryuk)</t>
  </si>
  <si>
    <t>Austria (SpursMax)</t>
  </si>
  <si>
    <t>Mexico (Baphomet)</t>
  </si>
  <si>
    <t>Poland (Zazabak)</t>
  </si>
  <si>
    <t>Switzerland (Aventon)</t>
  </si>
  <si>
    <t>Valencia (Miller)</t>
  </si>
  <si>
    <t>Real Madrid (Tranquil)</t>
  </si>
  <si>
    <t>Barcelona (specialist)</t>
  </si>
  <si>
    <t>Atletico Madrid (iamdevilwalk)</t>
  </si>
  <si>
    <t>2 - 5 (1 - 1)</t>
  </si>
  <si>
    <t>Atalanta (CarlWhizzer)</t>
  </si>
  <si>
    <t>Inter (Sima)</t>
  </si>
  <si>
    <t>Juventus (kiser)</t>
  </si>
  <si>
    <t>RB Leipzig (Jenko)</t>
  </si>
  <si>
    <t>Borussia Monchengladbach (Quavo)</t>
  </si>
  <si>
    <t>Borussia Dortmund (Sima)</t>
  </si>
  <si>
    <t>FC Bayern (kiser)</t>
  </si>
  <si>
    <t>1 - 8 (1 - 6)</t>
  </si>
  <si>
    <t>Montpellier (Phantom)</t>
  </si>
  <si>
    <t>Stade Rennais (YOSHI)</t>
  </si>
  <si>
    <t>Bourdeux (Stig)</t>
  </si>
  <si>
    <t>Saint-Etienne (Indra13_27)</t>
  </si>
  <si>
    <t>Brazil (ViTo)</t>
  </si>
  <si>
    <t>Germany (Quavo)</t>
  </si>
  <si>
    <t>Belgium (CarlWhizzer)</t>
  </si>
  <si>
    <t>France (RedDevil)</t>
  </si>
  <si>
    <t>Basaksehir (Phantom)</t>
  </si>
  <si>
    <t>Sporting (Stig)</t>
  </si>
  <si>
    <t>Gent (Indra13_27)</t>
  </si>
  <si>
    <t>5 - 3 (4 - 1)</t>
  </si>
  <si>
    <t>Arsenal (Supernova)</t>
  </si>
  <si>
    <t>Stade Rennais (ViTo)</t>
  </si>
  <si>
    <t>Eintracht (Quavo)</t>
  </si>
  <si>
    <t>Espanyol (CarlWhizzer)</t>
  </si>
  <si>
    <t>Wolfsburg (Sima)</t>
  </si>
  <si>
    <t>Getafe (RedDevil)</t>
  </si>
  <si>
    <t>Monaco (Fric)</t>
  </si>
  <si>
    <t>Lille (dinototli)</t>
  </si>
  <si>
    <t>Marseille (Tranquil)</t>
  </si>
  <si>
    <t>Uruguay (Supernova)</t>
  </si>
  <si>
    <t>England (Indra13_27)</t>
  </si>
  <si>
    <t>2 - 7 (1 - 1)</t>
  </si>
  <si>
    <t>Udinese (OoLancer)</t>
  </si>
  <si>
    <t>Sampdoria (Supernova)</t>
  </si>
  <si>
    <t>Sassuolo (Veep)</t>
  </si>
  <si>
    <t>Parma (Stig)</t>
  </si>
  <si>
    <t>Napoli (Fric)</t>
  </si>
  <si>
    <t>Valencia (Irvington)</t>
  </si>
  <si>
    <t>Chelsea (Tranquil)</t>
  </si>
  <si>
    <t>Ajax  (fleshka77)</t>
  </si>
  <si>
    <t>Wolfsburg  (Zazabak)</t>
  </si>
  <si>
    <t>Eintracht (specialist)</t>
  </si>
  <si>
    <t>Hoffenheim  (Veep)</t>
  </si>
  <si>
    <t>Werder Bremen (Aventon)</t>
  </si>
  <si>
    <t>Koln (SpursMax)</t>
  </si>
  <si>
    <t>2 -  0 (1 - 0)</t>
  </si>
  <si>
    <t>Galatasaray  (Indra13_27)</t>
  </si>
  <si>
    <t>Benfica  (Zazabak)</t>
  </si>
  <si>
    <t>Lokomotiv Moscow  (Aventon)</t>
  </si>
  <si>
    <t>1  - 2 (0 - 1)</t>
  </si>
  <si>
    <t>PSG (Miller)</t>
  </si>
  <si>
    <t>Barcelona (Tranquil)</t>
  </si>
  <si>
    <t>Poland (Indra13_27)</t>
  </si>
  <si>
    <t>Mexico (Ryuk)</t>
  </si>
  <si>
    <t>Austria (Baphomet)</t>
  </si>
  <si>
    <t>Switzerland (Zazabak)</t>
  </si>
  <si>
    <t>Barcelona (Miller)</t>
  </si>
  <si>
    <t>Sevilla (iamdevilwalk)</t>
  </si>
  <si>
    <t>9 - 1 (7 - 0)</t>
  </si>
  <si>
    <t>Napoli (Ishking11)</t>
  </si>
  <si>
    <t>Atalanta (Sima)</t>
  </si>
  <si>
    <t>Bayer 04 (Jenko)</t>
  </si>
  <si>
    <t>FC Bayern (Ishking11)</t>
  </si>
  <si>
    <t>RB Leipzig (Sima)</t>
  </si>
  <si>
    <t>Borussia Monchengladbach (praym)</t>
  </si>
  <si>
    <t>2 - 2 (0 - 2 )</t>
  </si>
  <si>
    <t>Bourdeux (Dimqaa)</t>
  </si>
  <si>
    <t>Nice (Stig)</t>
  </si>
  <si>
    <t>Saint-Etienne (RedDevil)</t>
  </si>
  <si>
    <t>Belgium (Mistyeye)</t>
  </si>
  <si>
    <t>Spain (Ishking11)</t>
  </si>
  <si>
    <t>Brazil (Zo0m)</t>
  </si>
  <si>
    <t>Sporting (Phantom)</t>
  </si>
  <si>
    <t>Gent (Stig)</t>
  </si>
  <si>
    <t>Celtic (RedDevil)</t>
  </si>
  <si>
    <t>2 -2 (1 - 1)</t>
  </si>
  <si>
    <t>1 -2 (0 - 1)</t>
  </si>
  <si>
    <t>Tottenham (SpursMax)</t>
  </si>
  <si>
    <t>Liverpool (RedDevil)</t>
  </si>
  <si>
    <t>Espanyol (Mistyeye)</t>
  </si>
  <si>
    <t>Eintracht (Walker)</t>
  </si>
  <si>
    <t>Getafe (Zo0m)</t>
  </si>
  <si>
    <t>2 - 0 (1 - 0 )</t>
  </si>
  <si>
    <t>PSG (Tranquil)</t>
  </si>
  <si>
    <t>Lille (Klexter)</t>
  </si>
  <si>
    <t>Marseille (specialist)</t>
  </si>
  <si>
    <t>Lyon (fleshka77)</t>
  </si>
  <si>
    <t>Netherlands (Phantom)</t>
  </si>
  <si>
    <t>Argentina (Stig)</t>
  </si>
  <si>
    <t>Uruguay (RedDevil)</t>
  </si>
  <si>
    <t>Udinese (Phantom)</t>
  </si>
  <si>
    <t>Sampdoria (SpursMax)</t>
  </si>
  <si>
    <t>Fiorentina (Stig)</t>
  </si>
  <si>
    <t>Parma (RedDevil)</t>
  </si>
  <si>
    <t>5 - 5 (3 - 3)</t>
  </si>
  <si>
    <t>Ajax (Fric)</t>
  </si>
  <si>
    <t>Valencia (specialist)</t>
  </si>
  <si>
    <t>Benfica (fleshka77)</t>
  </si>
  <si>
    <t>Schalke 04 (Ryuk)</t>
  </si>
  <si>
    <t>Werder Bremen (SpursMax)</t>
  </si>
  <si>
    <t>Hertha BSC (Baphomet)</t>
  </si>
  <si>
    <t>Mainz 05 (Zazabak)</t>
  </si>
  <si>
    <t>2 - 5 (0 - 4)</t>
  </si>
  <si>
    <t>4 - 4 (2 - 1)</t>
  </si>
  <si>
    <t>Benfica  (Baphomet)</t>
  </si>
  <si>
    <t>Olympiacos (Indra13_27)</t>
  </si>
  <si>
    <t>Galatasaray  (Supernova)</t>
  </si>
  <si>
    <t>Club Brugge (Thiago)</t>
  </si>
  <si>
    <t>PSG (Aphex)</t>
  </si>
  <si>
    <t>Barcelona (Ryuk)</t>
  </si>
  <si>
    <t>Denmark (Baphomet)</t>
  </si>
  <si>
    <t>Switzerland (Indra13_27)</t>
  </si>
  <si>
    <t>Poland (Aventon)</t>
  </si>
  <si>
    <t>Austria (Thiago)</t>
  </si>
  <si>
    <t>Sevilla (specialist)</t>
  </si>
  <si>
    <t>Valencia (Aphex)</t>
  </si>
  <si>
    <t>Real Madrid (Ryuk)</t>
  </si>
  <si>
    <t>Atletico Madrid (Tranquil)</t>
  </si>
  <si>
    <t>Napoli (Mistyeye)</t>
  </si>
  <si>
    <t>Atalanta (mrPanda)</t>
  </si>
  <si>
    <t>4 - 3 (4 - 2)</t>
  </si>
  <si>
    <t xml:space="preserve">1 - 1 (0 - 1) </t>
  </si>
  <si>
    <t>RB Leipzig (Mistyeye)</t>
  </si>
  <si>
    <t>Bayer 04 (Walker)</t>
  </si>
  <si>
    <t>Borussia Dortmund (Jenko)</t>
  </si>
  <si>
    <t>FC Bayern (mrPanda)</t>
  </si>
  <si>
    <t>5 - 3 (1 - 1)</t>
  </si>
  <si>
    <t>Montpellier (Ishking11)</t>
  </si>
  <si>
    <t>Saint-Etienne (Mr.Jey)</t>
  </si>
  <si>
    <t>Nice (Dimqaa)</t>
  </si>
  <si>
    <t>3 - 4 (3 - 0)</t>
  </si>
  <si>
    <t>Germany (Jenko)</t>
  </si>
  <si>
    <t>Spain (Quavo)</t>
  </si>
  <si>
    <t>France (Zo0m)</t>
  </si>
  <si>
    <t>6 - 4 (4 - 2)</t>
  </si>
  <si>
    <t>Gent (Mr.Jey)</t>
  </si>
  <si>
    <t>Manchester City (Sima)</t>
  </si>
  <si>
    <t>Arsenal (Ryuk)</t>
  </si>
  <si>
    <t>Liverpool (Mr.Jey)</t>
  </si>
  <si>
    <t>Tottenham (RedDevil)</t>
  </si>
  <si>
    <t>Manchester United (Phantom)</t>
  </si>
  <si>
    <t>Wolfsburg (Walker)</t>
  </si>
  <si>
    <t>Getafe (Quavo)</t>
  </si>
  <si>
    <t>Eintracht (Zo0m)</t>
  </si>
  <si>
    <t>Marseille (fleshka77)</t>
  </si>
  <si>
    <t>Uruguay (Sima)</t>
  </si>
  <si>
    <t>Argentina (Ryuk)</t>
  </si>
  <si>
    <t>England (Mr.Jey)</t>
  </si>
  <si>
    <t>Portugal (RedDevil)</t>
  </si>
  <si>
    <t>Udinese (Sima)</t>
  </si>
  <si>
    <t>Parma (Ryuk)</t>
  </si>
  <si>
    <t>Fiorentina (Mr.Jey)</t>
  </si>
  <si>
    <t>Sampdoria (RedDevil)</t>
  </si>
  <si>
    <t>Sassuolo (Phantom)</t>
  </si>
  <si>
    <t>1 - 3  (0 - 1)</t>
  </si>
  <si>
    <t>Chelsea (specialist)</t>
  </si>
  <si>
    <t>Valencia (Klexter)</t>
  </si>
  <si>
    <t>8 - 2 (4 - 1)</t>
  </si>
  <si>
    <t>1 - 8 (1 - 3)</t>
  </si>
  <si>
    <t>5 -1 (3 - 0)</t>
  </si>
  <si>
    <t>Schalke 04 (Indra13_27)</t>
  </si>
  <si>
    <t>Werder Bremen (Ryuk)</t>
  </si>
  <si>
    <t>Wolfsburg (Baphomet)</t>
  </si>
  <si>
    <t>Hertha BSC (Aventon)</t>
  </si>
  <si>
    <t>Salzburg (Aventon)</t>
  </si>
  <si>
    <t>Club Brugge (Supernova)</t>
  </si>
  <si>
    <t>Lokomotiv Moscow  (Indra13_27)</t>
  </si>
  <si>
    <t>Galatasaray  (Thiago)</t>
  </si>
  <si>
    <t>6 - 2 (6 - 0)</t>
  </si>
  <si>
    <t>Juventus (Ryuk)</t>
  </si>
  <si>
    <t>Barcelona (Aphex)</t>
  </si>
  <si>
    <t>Switzerland (Supernova)</t>
  </si>
  <si>
    <t>Mexico (Indra13_27)</t>
  </si>
  <si>
    <t>Poland (Thiago)</t>
  </si>
  <si>
    <t>Sevilla (Fric)</t>
  </si>
  <si>
    <t>Real Madrid (Miller)</t>
  </si>
  <si>
    <t>Inter (Mistyeye)</t>
  </si>
  <si>
    <t>Juventus (Ishking11)</t>
  </si>
  <si>
    <t>RB Leipzig (Ishking11)</t>
  </si>
  <si>
    <t>Borussia Monchengladbach (Walker)</t>
  </si>
  <si>
    <t>Montpellier (Quavo)</t>
  </si>
  <si>
    <t>Saint-Etienne (SpursMax)</t>
  </si>
  <si>
    <t>Nice (praym)</t>
  </si>
  <si>
    <t>Stade Rennais (Mr.Jey)</t>
  </si>
  <si>
    <t>Germany (Ishking11)</t>
  </si>
  <si>
    <t>Spain (Jenko)</t>
  </si>
  <si>
    <t>Celtic (Quavo)</t>
  </si>
  <si>
    <t>Shakhtar Donetsk (SpursMax)</t>
  </si>
  <si>
    <t>Basaksehir (Mr.Jey)</t>
  </si>
  <si>
    <t>Gent (praym)</t>
  </si>
  <si>
    <t>Manchester United (Indra13_27)</t>
  </si>
  <si>
    <t>Tottenham (Phantom)</t>
  </si>
  <si>
    <t>Stade Rennais (Mistyeye)</t>
  </si>
  <si>
    <t>Getafe (Jenko)</t>
  </si>
  <si>
    <t>Eintracht (Sima)</t>
  </si>
  <si>
    <t>PSG (dinototli)</t>
  </si>
  <si>
    <t>Marseille (Ryuk)</t>
  </si>
  <si>
    <t>Uruguay (Quavo)</t>
  </si>
  <si>
    <t>Netherlands (Indra13_27)</t>
  </si>
  <si>
    <t>Portugal (Phantom)</t>
  </si>
  <si>
    <t>Sassuolo (Quavo)</t>
  </si>
  <si>
    <t>Sampdoria (Indra13_27)</t>
  </si>
  <si>
    <t>Parma (Phantom)</t>
  </si>
  <si>
    <t>Udinese (Supernova)</t>
  </si>
  <si>
    <t>Napoli (fleshka77)</t>
  </si>
  <si>
    <t>Chelsea (skmgery)</t>
  </si>
  <si>
    <t>Ajax  (dinototli)</t>
  </si>
  <si>
    <t>8 - 4 (4 - 2)</t>
  </si>
  <si>
    <t>2 - 5 (0 - 1)</t>
  </si>
  <si>
    <t>Mainz 05 (Baphomet)</t>
  </si>
  <si>
    <t>Wolfsburg (Supernova)</t>
  </si>
  <si>
    <t>Hertha BSC (Thiago)</t>
  </si>
  <si>
    <t>Salzburg (Den1Bravo)</t>
  </si>
  <si>
    <t>Galatasaray  (Baphomet)</t>
  </si>
  <si>
    <t>Benfica  (Supernova)</t>
  </si>
  <si>
    <t>Club Brugge (Zazabak)</t>
  </si>
  <si>
    <t>Liverpool (Ryuk)</t>
  </si>
  <si>
    <t>FC Bayern (Aphex)</t>
  </si>
  <si>
    <t>Denmark (Den1Bravo)</t>
  </si>
  <si>
    <t>Poland (Supernova)</t>
  </si>
  <si>
    <t>Austria (Zazabak)</t>
  </si>
  <si>
    <t>Barcelona (Fric)</t>
  </si>
  <si>
    <t>Atletico Madrid (Aphex)</t>
  </si>
  <si>
    <t>2 - 5 (2 - 1)</t>
  </si>
  <si>
    <t>3 - 4 (3 - 2)</t>
  </si>
  <si>
    <t xml:space="preserve">5 - 2 (2 - 1) </t>
  </si>
  <si>
    <t>FC Bayern (Quavo)</t>
  </si>
  <si>
    <t>1 - 3 (1 - 4)</t>
  </si>
  <si>
    <t>Bourdeux (specialist)</t>
  </si>
  <si>
    <t>Brazil (praym)</t>
  </si>
  <si>
    <t>France (Quavo)</t>
  </si>
  <si>
    <t>Celtic (Mr.Jey)</t>
  </si>
  <si>
    <t>Gent (specialist)</t>
  </si>
  <si>
    <t>Sporting (SpursMax)</t>
  </si>
  <si>
    <t>7 - 3 (3 - 1)</t>
  </si>
  <si>
    <t>Manchester City (YOSHI)</t>
  </si>
  <si>
    <t>Liverpool (Supernova)</t>
  </si>
  <si>
    <t>Arsenal (Indra13_27)</t>
  </si>
  <si>
    <t>Getafe (praym)</t>
  </si>
  <si>
    <t>PSG (skmgery)</t>
  </si>
  <si>
    <t>Lyon (Kishe)</t>
  </si>
  <si>
    <t>Uruguay (YOSHI)</t>
  </si>
  <si>
    <t>Argentina (Indra13_27)</t>
  </si>
  <si>
    <t>Sassuolo (Indra13_27)</t>
  </si>
  <si>
    <t>Napoli (Klexter)</t>
  </si>
  <si>
    <t>Valencia (skmgery)</t>
  </si>
  <si>
    <t>Chelsea (Ryuk)</t>
  </si>
  <si>
    <t>Ajax  (Kishe)</t>
  </si>
  <si>
    <t>Werder Bremen (Supernova)</t>
  </si>
  <si>
    <t>Olympiacos (Zazabak)</t>
  </si>
  <si>
    <t>Lokomotiv Moscow (Supernova)</t>
  </si>
  <si>
    <t>Galatasaray (Baphomet)</t>
  </si>
  <si>
    <t>Club Brugge (Den1Bravo)</t>
  </si>
  <si>
    <t>Shakhtar Donetsk (Veep)</t>
  </si>
  <si>
    <t>Liverpool (Aphex)</t>
  </si>
  <si>
    <t>Juventus (iamdevilwalk)</t>
  </si>
  <si>
    <t>PSG (Ryuk)</t>
  </si>
  <si>
    <t>Cyber Copa America 4:00 - 6:30</t>
  </si>
  <si>
    <t>Chile (Zazabak)</t>
  </si>
  <si>
    <t>Uruguay (Baphomet)</t>
  </si>
  <si>
    <t>Brazil (Den1Bravo)</t>
  </si>
  <si>
    <t>Colombia (Veep)</t>
  </si>
  <si>
    <t>4 - 4 (3 - 4)</t>
  </si>
  <si>
    <t>Real Madrid (iamdevilwalk)</t>
  </si>
  <si>
    <t>Juventus (Dimqaa)</t>
  </si>
  <si>
    <t>1 -3 (1 - 1)</t>
  </si>
  <si>
    <t>RB Leipzig (Dimqaa)</t>
  </si>
  <si>
    <t>FC Bayern (praym)</t>
  </si>
  <si>
    <t>3 - 2  (1 - 0)</t>
  </si>
  <si>
    <t>Spain (Walker)</t>
  </si>
  <si>
    <t>Brazil (Jenko)</t>
  </si>
  <si>
    <t>Gent (RedDevil)</t>
  </si>
  <si>
    <t>Sporting (Ishking11)</t>
  </si>
  <si>
    <t>6 - 4 (1 - 2)</t>
  </si>
  <si>
    <t>Tottenham (Den1Bravo)</t>
  </si>
  <si>
    <t>Getafe (Dimqaa)</t>
  </si>
  <si>
    <t>Monaco (fleshka77)</t>
  </si>
  <si>
    <t>Lille (Ryuk)</t>
  </si>
  <si>
    <t>7 - 4 (3 - 1)</t>
  </si>
  <si>
    <t>Portugal (Den1Bravo)</t>
  </si>
  <si>
    <t>Netherlands (Veep)</t>
  </si>
  <si>
    <t>Sassuolo (Den1Bravo)</t>
  </si>
  <si>
    <t>Sampdoria (Veep)</t>
  </si>
  <si>
    <t>Parma (Supernova)</t>
  </si>
  <si>
    <t>Udinese (YOSHI)</t>
  </si>
  <si>
    <t>4 - 4 (3 - 3)</t>
  </si>
  <si>
    <t>Werder Bremen (Den1Bravo)</t>
  </si>
  <si>
    <t>Hertha BSC (Indra13_27)</t>
  </si>
  <si>
    <t>Mainz 05 (Supernova)</t>
  </si>
  <si>
    <t>Schalke 04 (Zazabak)</t>
  </si>
  <si>
    <t>Italy Cyber Stars League 01:30 - 04:00</t>
  </si>
  <si>
    <t>Juventus (Zazabak)</t>
  </si>
  <si>
    <t>Milan (Aventon)</t>
  </si>
  <si>
    <t>Spain Cyber Stars League 02:00 - 05:00</t>
  </si>
  <si>
    <t>Atletico Madrid (Miller)</t>
  </si>
  <si>
    <t>Germany Cyber Stars League 4:00 - 6:30</t>
  </si>
  <si>
    <t>Hertha BSC (Zazabak)</t>
  </si>
  <si>
    <t>Schalke 04 (Supernova)</t>
  </si>
  <si>
    <t>Cyber Copa America 05:00 - 08:00</t>
  </si>
  <si>
    <t>Brazil (Tranquil)</t>
  </si>
  <si>
    <t>Colombia (specialist)</t>
  </si>
  <si>
    <t>Argentina (Miller)</t>
  </si>
  <si>
    <t>Uruguay (Ryuk)</t>
  </si>
  <si>
    <t>Chile (iamdevilwalk)</t>
  </si>
  <si>
    <t>Parma (Dimqaa)</t>
  </si>
  <si>
    <t>Sassuolo (mrPanda)</t>
  </si>
  <si>
    <t>Sampdoria (Jenko)</t>
  </si>
  <si>
    <t>Fiorentina (Mistyeye)</t>
  </si>
  <si>
    <t xml:space="preserve"> 3 - 1 (1 - 0)</t>
  </si>
  <si>
    <t>Borussia Monchengladbach (Jenko)</t>
  </si>
  <si>
    <t>Montpellier (Indra13_27)</t>
  </si>
  <si>
    <t xml:space="preserve">6 - 4 (2 - 0) </t>
  </si>
  <si>
    <t>England Cyber Stars League 14:00 - 17:00</t>
  </si>
  <si>
    <t>Liverpool (Jenko)</t>
  </si>
  <si>
    <t>Manchester City (mrPanda)</t>
  </si>
  <si>
    <t>CSKA Moscow (Indra13_27)</t>
  </si>
  <si>
    <t>Dynamo Kyiv (Phantom)</t>
  </si>
  <si>
    <t>Feyenoord (YOSHI)</t>
  </si>
  <si>
    <t>5 - 8 (3 - 3)</t>
  </si>
  <si>
    <t>Leicester (Indra13_27)</t>
  </si>
  <si>
    <t>Watford (Walker)</t>
  </si>
  <si>
    <t>Everton (Den1Bravo)</t>
  </si>
  <si>
    <t>1 - 9 (0 - 7)</t>
  </si>
  <si>
    <t>Real Madrid (Jenko)</t>
  </si>
  <si>
    <t>Atletico Madrid (mrPanda)</t>
  </si>
  <si>
    <r>
      <rPr>
        <color rgb="FF1155CC"/>
        <u/>
      </rPr>
      <t>channel 2</t>
    </r>
    <r>
      <t>,</t>
    </r>
  </si>
  <si>
    <t>Cyber World Cup 20:00 - 23:00</t>
  </si>
  <si>
    <t>Germany (Klexter)</t>
  </si>
  <si>
    <t>Argentina (specialist)</t>
  </si>
  <si>
    <t>Brazil (fleshka77)</t>
  </si>
  <si>
    <t>France (dinototli)</t>
  </si>
  <si>
    <t>Belgium (Ryuk)</t>
  </si>
  <si>
    <t>Netherlands (Supernova)</t>
  </si>
  <si>
    <t>Uruguay (Walker)</t>
  </si>
  <si>
    <t>England (Den1Bravo)</t>
  </si>
  <si>
    <t>Italy (Veep)</t>
  </si>
  <si>
    <t xml:space="preserve"> 2 - 2 (1 - 0)</t>
  </si>
  <si>
    <t>France Cyber Stars League 20:30 - 23:00</t>
  </si>
  <si>
    <t>PSG (Den1Bravo)</t>
  </si>
  <si>
    <t>Monaco (Veep)</t>
  </si>
  <si>
    <t>Cyber Europa League 23:00 - 02:00</t>
  </si>
  <si>
    <t>Bayer 04 (specialist)</t>
  </si>
  <si>
    <t>Lazio (fleshka77)</t>
  </si>
  <si>
    <t>Arsenal (dinototli)</t>
  </si>
  <si>
    <t>Manchester United (Ryuk)</t>
  </si>
  <si>
    <t>Spain Cyber Stars League 23:00 - 01:30</t>
  </si>
  <si>
    <t>Villarreal (Zazabak)</t>
  </si>
  <si>
    <t>Getafe (Supernova)</t>
  </si>
  <si>
    <t>Real Betis (Baphomet)</t>
  </si>
  <si>
    <t>Valladolid (Den1Bravo)</t>
  </si>
  <si>
    <t>Athletic Club (Veep)</t>
  </si>
  <si>
    <t>Cyber Copa America 01:30 - 04:00</t>
  </si>
  <si>
    <t>Colombia (Zazabak)</t>
  </si>
  <si>
    <t>Brazil (Ryuk)</t>
  </si>
  <si>
    <t>Chile (Aventon)</t>
  </si>
  <si>
    <t>8 - 1 (4 - 0)</t>
  </si>
  <si>
    <t>Italy Cyber Stars League 02:00 - 05:00</t>
  </si>
  <si>
    <t>Roma (Aphex)</t>
  </si>
  <si>
    <t>Inter (iamdevilwalk)</t>
  </si>
  <si>
    <t>Atalanta (specialist)</t>
  </si>
  <si>
    <t>Lazio (Fric)</t>
  </si>
  <si>
    <t>Milan (Miller)</t>
  </si>
  <si>
    <t>Roma (Zazabak)</t>
  </si>
  <si>
    <t>Wolverhampton (Ryuk)</t>
  </si>
  <si>
    <t>Cyber Champions League 05:00 - 08:00</t>
  </si>
  <si>
    <t>Juventus (Aphex)</t>
  </si>
  <si>
    <t>Leicester (Dimqaa)</t>
  </si>
  <si>
    <t>Everton (mrPanda)</t>
  </si>
  <si>
    <t>Wolverhampton (Sima)</t>
  </si>
  <si>
    <t>West Ham United (Jenko)</t>
  </si>
  <si>
    <t>Cyber World Cup 11:00 - 14:00</t>
  </si>
  <si>
    <t>Brazil (Dimqaa)</t>
  </si>
  <si>
    <t>Germany (mrPanda)</t>
  </si>
  <si>
    <t>3 - 3 (0 - 0)</t>
  </si>
  <si>
    <t>Germany Cyber Stars League 10:30 - 13:00</t>
  </si>
  <si>
    <t>RB Leipzig (SpursMax)</t>
  </si>
  <si>
    <t>Borussia Dortmund (Mr.Jey)</t>
  </si>
  <si>
    <t>Liverpool (Mistyeye)</t>
  </si>
  <si>
    <t>Tottenham (mrPanda)</t>
  </si>
  <si>
    <t>Manchester United (Jenko)</t>
  </si>
  <si>
    <t>Cyber World Cup 13:00 - 15:30</t>
  </si>
  <si>
    <t>Italy (RedDevil)</t>
  </si>
  <si>
    <t>France Cyber Stars League 15:35 - 18:00</t>
  </si>
  <si>
    <t>Marseille (Quavo)</t>
  </si>
  <si>
    <t>Lyon (Ishking11)</t>
  </si>
  <si>
    <t>Monaco (Supernova)</t>
  </si>
  <si>
    <t>3 - 6 (2 - 3)</t>
  </si>
  <si>
    <t>Salzburg (Mistyeye)</t>
  </si>
  <si>
    <t>Benfica  (mrPanda)</t>
  </si>
  <si>
    <t>Galatasaray  (Walker)</t>
  </si>
  <si>
    <t>Lokomotiv Moscow (Sima)</t>
  </si>
  <si>
    <t>Club Brugge (Jenko)</t>
  </si>
  <si>
    <t>3 - 3 (3 - 0)</t>
  </si>
  <si>
    <t>Nice (skmgery)</t>
  </si>
  <si>
    <t>Cyber Europa League 18:00 - 20:30</t>
  </si>
  <si>
    <t>Dynamo Kyiv (Quavo)</t>
  </si>
  <si>
    <t>CSKA Moscow (RedDevil)</t>
  </si>
  <si>
    <t>Basaksehir (Supernova)</t>
  </si>
  <si>
    <t>Cyber World Cup 20:30 - 23:00</t>
  </si>
  <si>
    <t>Austria (Quavo)</t>
  </si>
  <si>
    <t>7 - 1 (2 - 0)</t>
  </si>
  <si>
    <t>Denmark (SpursMax)</t>
  </si>
  <si>
    <t>Switzerland (Ishking11)</t>
  </si>
  <si>
    <t>Mexico (RedDevil)</t>
  </si>
  <si>
    <t>Spain Cyber Stars League 23:00 - 02:00</t>
  </si>
  <si>
    <t>Getafe (skmgery)</t>
  </si>
  <si>
    <t>Villarreal (fleshka77)</t>
  </si>
  <si>
    <t>Cyber Champions League  23:00 - 01:30</t>
  </si>
  <si>
    <t>Atletico Madrid (Zazabak)</t>
  </si>
  <si>
    <t>Ajax  (Aventon)</t>
  </si>
  <si>
    <t>Valencia (Supernova)</t>
  </si>
  <si>
    <t>Inter (Zazabak)</t>
  </si>
  <si>
    <t>Lazio (Baphomet)</t>
  </si>
  <si>
    <t>Atalanta (Aventon)</t>
  </si>
  <si>
    <t>France Cyber Stars League 02:00 - 05:00</t>
  </si>
  <si>
    <t>Monaco (Miller)</t>
  </si>
  <si>
    <t>Lille (iamdevilwalk)</t>
  </si>
  <si>
    <t>Germany (Indra13_27)</t>
  </si>
  <si>
    <t>Spain (Ryuk)</t>
  </si>
  <si>
    <t>0  - 2 (0 - 0)</t>
  </si>
  <si>
    <t>Argentina (Fric)</t>
  </si>
  <si>
    <t>Chile (Miller)</t>
  </si>
  <si>
    <t>Uruguay (Tranquil)</t>
  </si>
  <si>
    <t>Colombia (iamdevilwalk)</t>
  </si>
  <si>
    <t>2 - 6 (2 - 4)</t>
  </si>
  <si>
    <t>Spain Cyber Stars League 8:00 - 11:00</t>
  </si>
  <si>
    <t>Real Madrid (Mistyeye)</t>
  </si>
  <si>
    <t>Valencia (Jenko)</t>
  </si>
  <si>
    <t>Sevilla (mrPanda)</t>
  </si>
  <si>
    <t xml:space="preserve"> 0 - 2 (0 - 2)</t>
  </si>
  <si>
    <t>2 - 1 (0 -1)</t>
  </si>
  <si>
    <t>Italy Cyber Stars League 11:00 - 14:00</t>
  </si>
  <si>
    <t>Sassuolo (Walker)</t>
  </si>
  <si>
    <t>Sampdoria (Mistyeye)</t>
  </si>
  <si>
    <t>Parma (mrPanda)</t>
  </si>
  <si>
    <t>Udinese (Dimqaa)</t>
  </si>
  <si>
    <t>England Cyber Stars League 10:30 - 13:00</t>
  </si>
  <si>
    <t>Tottenham (Mr.Jey)</t>
  </si>
  <si>
    <t>Manchester United (RedDevil)</t>
  </si>
  <si>
    <t>Leicester (Walker)</t>
  </si>
  <si>
    <t>Watford (Jenko)</t>
  </si>
  <si>
    <t>West Ham United (mrPanda)</t>
  </si>
  <si>
    <t>Cyber Champions League 13:05 - 15:30</t>
  </si>
  <si>
    <t>Napoli (Phantom)</t>
  </si>
  <si>
    <t>Bayer 04 (Mr.Jey)</t>
  </si>
  <si>
    <t>Valencia (Ishking11)</t>
  </si>
  <si>
    <t>Chelsea (Sima)</t>
  </si>
  <si>
    <t>Ajax  (RedDevil)</t>
  </si>
  <si>
    <t>3 - 5 (3 - 0)</t>
  </si>
  <si>
    <t>Germany Cyber Stars League 15:35 - 18:00</t>
  </si>
  <si>
    <t>RB Leipzig (Ryuk)</t>
  </si>
  <si>
    <t>Borussia Monchengladbach (RedDevil)</t>
  </si>
  <si>
    <t>2 - 1(0 - 0)</t>
  </si>
  <si>
    <t>Feyenoord (Stig)</t>
  </si>
  <si>
    <t>PSV (mrPanda)</t>
  </si>
  <si>
    <t>CSKA Moscow (Dimqaa)</t>
  </si>
  <si>
    <t>Lille (Aphex)</t>
  </si>
  <si>
    <t>Nice (Klexter)</t>
  </si>
  <si>
    <t>Bourdeux (Fric)</t>
  </si>
  <si>
    <t>Saint-Etienne (Kishe)</t>
  </si>
  <si>
    <t>3 - 4 (0 - 1)</t>
  </si>
  <si>
    <t>Cyber Champions League 18:00 - 20:30</t>
  </si>
  <si>
    <t>Olympiacos (Phantom)</t>
  </si>
  <si>
    <t>Lokomotiv Moscow (Ryuk)</t>
  </si>
  <si>
    <t>Galatasaray (RedDevil)</t>
  </si>
  <si>
    <t>England Cyber Stars League 20:30 - 23:00</t>
  </si>
  <si>
    <t>Newcastle United (Phantom)</t>
  </si>
  <si>
    <t>Aston Villa (Ryuk)</t>
  </si>
  <si>
    <t>Bournemouth (Ishking11)</t>
  </si>
  <si>
    <t>Crystal Palace (Supernova)</t>
  </si>
  <si>
    <t>Southampton (RedDevil)</t>
  </si>
  <si>
    <t>Cyber World Cup 23:00 - 02:00</t>
  </si>
  <si>
    <t>Portugal (Aphex)</t>
  </si>
  <si>
    <t>Netherlands (Klexter)</t>
  </si>
  <si>
    <t>Uruguay (fleshka77)</t>
  </si>
  <si>
    <t>Italy (Fric)</t>
  </si>
  <si>
    <t>England (Kishe)</t>
  </si>
  <si>
    <t>Levante (Ryuk)</t>
  </si>
  <si>
    <t>Eibar (Aventon)</t>
  </si>
  <si>
    <t>Alaves (Indra13_27)</t>
  </si>
  <si>
    <t>Napoli (Aphex)</t>
  </si>
  <si>
    <t>Inter (Baphomet)</t>
  </si>
  <si>
    <t>Lazio (Aventon)</t>
  </si>
  <si>
    <t>Cyber Copa America 02:00 - 05:00</t>
  </si>
  <si>
    <t>Chile (Tranquil)</t>
  </si>
  <si>
    <t>Brazil (dinototli)</t>
  </si>
  <si>
    <t>Uruguay (Fric)</t>
  </si>
  <si>
    <t>Spain Cyber Stars League 4:00 - 6:30</t>
  </si>
  <si>
    <t>Valencia (Zazabak)</t>
  </si>
  <si>
    <t>Atletico Madrid (Ryuk)</t>
  </si>
  <si>
    <t>Sevilla (Aventon)</t>
  </si>
  <si>
    <t>Germany Cyber Stars League 05:00 - 08:00</t>
  </si>
  <si>
    <t>Werder Bremen (Tranquil)</t>
  </si>
  <si>
    <t>Hertha BSC (dinototli)</t>
  </si>
  <si>
    <t>Mainz 05 (Fric)</t>
  </si>
  <si>
    <t>Schalke 04 (Miller)</t>
  </si>
  <si>
    <t>Manchester United (mrPanda)</t>
  </si>
  <si>
    <t>Spain Cyber Stars League 8:00 - 10:30</t>
  </si>
  <si>
    <t>Real Sociedad (Phantom)</t>
  </si>
  <si>
    <t>Alaves (SpursMax)</t>
  </si>
  <si>
    <t>Eibar (Ishking11)</t>
  </si>
  <si>
    <t>Levante (YOSHI)</t>
  </si>
  <si>
    <t>Spain Cyber Stars League 11:00 - 14:00</t>
  </si>
  <si>
    <t>Villarreal (Quavo)</t>
  </si>
  <si>
    <t>Valladolid (praym)</t>
  </si>
  <si>
    <t>Real Betis (Jenko)</t>
  </si>
  <si>
    <t>Getafe (Stig)</t>
  </si>
  <si>
    <t>Athletic Club (mrPanda)</t>
  </si>
  <si>
    <t>Cyber World Cup 10:30 - 13:00</t>
  </si>
  <si>
    <t>Cameroon (Phantom)</t>
  </si>
  <si>
    <t>Norway (SpursMax)</t>
  </si>
  <si>
    <t>Ireland (Den1Bravo)</t>
  </si>
  <si>
    <t>Sweden (Ishking11)</t>
  </si>
  <si>
    <t>Greece (YOSHI)</t>
  </si>
  <si>
    <t>Brazil (Mistyeye)</t>
  </si>
  <si>
    <t>Belgium (skmgery)</t>
  </si>
  <si>
    <t>Spain (mrPanda)</t>
  </si>
  <si>
    <t>Cyber Champions League 13:00 - 15:30</t>
  </si>
  <si>
    <t>Juventus (Phantom)</t>
  </si>
  <si>
    <t>Barcelona (SpursMax)</t>
  </si>
  <si>
    <t>FC Bayern (YOSHI)</t>
  </si>
  <si>
    <t>Nice (Mr.Jey)</t>
  </si>
  <si>
    <t>Stade Rennais (Den1Bravo)</t>
  </si>
  <si>
    <t>2- 6 (2 - 3)</t>
  </si>
  <si>
    <t>Roma (Mistyeye)</t>
  </si>
  <si>
    <t>Porto  (skmgery)</t>
  </si>
  <si>
    <t>Wolverhampton (mrPanda)</t>
  </si>
  <si>
    <t>2 - 4 (2 - 0)</t>
  </si>
  <si>
    <t>Portugal (Kishe)</t>
  </si>
  <si>
    <t>Netherlands (fleshka77)</t>
  </si>
  <si>
    <t>Uruguay (skmgery)</t>
  </si>
  <si>
    <t>Italy (Aphex)</t>
  </si>
  <si>
    <t>England (dinototli)</t>
  </si>
  <si>
    <t>Italy Cyber Stars League 18:00 - 20:30</t>
  </si>
  <si>
    <t>Sampdoria (Mr.Jey)</t>
  </si>
  <si>
    <t>Fiorentina (Den1Bravo)</t>
  </si>
  <si>
    <t>1 - 4 (2 - 0)</t>
  </si>
  <si>
    <t>0 - 8 (0 - 5)</t>
  </si>
  <si>
    <t>Cyber Champions League 20:30 - 23:00</t>
  </si>
  <si>
    <t>Ajax (Phantom)</t>
  </si>
  <si>
    <t>Atalanta (Den1Bravo)</t>
  </si>
  <si>
    <t>4 - 3 (0 - 2)</t>
  </si>
  <si>
    <t>Benfica (YOSHI)</t>
  </si>
  <si>
    <t>England Cyber Stars League 23:00 - 02:00</t>
  </si>
  <si>
    <t>Leicester (Kishe)</t>
  </si>
  <si>
    <t>Everton (fleshka77)</t>
  </si>
  <si>
    <t>Watford (skmgery)</t>
  </si>
  <si>
    <t>4 - 5 (3 - 3)</t>
  </si>
  <si>
    <t>West Ham United (Aphex)</t>
  </si>
  <si>
    <t>Wolverhampton (dinototli)</t>
  </si>
  <si>
    <t>5 - 4 (2 - 1)</t>
  </si>
  <si>
    <t>Cyber Champions League 23:00 - 01:30</t>
  </si>
  <si>
    <t>Napoli (Zazabak)</t>
  </si>
  <si>
    <t>5 - 1 (5 - 0)</t>
  </si>
  <si>
    <t>3 - 6 (3 - 2)</t>
  </si>
  <si>
    <t>France Cyber Stars League 01:30 - 04:00</t>
  </si>
  <si>
    <t>Nice (Thiago)</t>
  </si>
  <si>
    <t>Stade Rennais (Baphomet)</t>
  </si>
  <si>
    <t>Bourdeux (Supernova)</t>
  </si>
  <si>
    <t>Saint-Etienne (Aventon)</t>
  </si>
  <si>
    <t>Cyber Europa League 02:00 - 05:00</t>
  </si>
  <si>
    <t>Manchester United (ScRate)</t>
  </si>
  <si>
    <t>Lazio (Klexter)</t>
  </si>
  <si>
    <t>Arsenal (Tranquil)</t>
  </si>
  <si>
    <t>Bayer 04 (Aphex)</t>
  </si>
  <si>
    <t>0 - 7 (0 - 2)</t>
  </si>
  <si>
    <t>England Cyber Stars League 4:00 - 6:30</t>
  </si>
  <si>
    <t>Manchester City (Zazabak)</t>
  </si>
  <si>
    <t>Liverpool (Thiago)</t>
  </si>
  <si>
    <t>Arsenal (Baphomet)</t>
  </si>
  <si>
    <t>Sevilla (ScRate)</t>
  </si>
  <si>
    <t>Real Madrid (specialist)</t>
  </si>
  <si>
    <t>8 - 0 (6 - 0)</t>
  </si>
  <si>
    <t>6 - 1 (1 - 0)</t>
  </si>
  <si>
    <t>Real Betis (Walker)</t>
  </si>
  <si>
    <t>Villarreal (praym)</t>
  </si>
  <si>
    <t xml:space="preserve"> Spain Cyber Stars League 8:20 - 10:30</t>
  </si>
  <si>
    <t>Celta (Den1Bravo)</t>
  </si>
  <si>
    <t>Espanyol (Phantom)</t>
  </si>
  <si>
    <t>England Cyber Stars League 11:00 - 14:00</t>
  </si>
  <si>
    <t>Wolverhampton (CarlWhizzer)</t>
  </si>
  <si>
    <t>Newcastle United (mrPanda)</t>
  </si>
  <si>
    <t>Cyber World Cup 10:50 - 13:00</t>
  </si>
  <si>
    <t>Italy (Den1Bravo)</t>
  </si>
  <si>
    <t>England (Phantom)</t>
  </si>
  <si>
    <t>6 - 5 (2 - 1)</t>
  </si>
  <si>
    <t>4 - 4 (2 - 4)</t>
  </si>
  <si>
    <t>France Cyber Stars League 14:00 - 17:00</t>
  </si>
  <si>
    <t>Lyon (CarlWhizzer)</t>
  </si>
  <si>
    <t>Lille (Walker)</t>
  </si>
  <si>
    <t>Monaco (Mistyeye)</t>
  </si>
  <si>
    <t>Marseille (mrPanda)</t>
  </si>
  <si>
    <t>Italy Cyber Stars League 13:15 - 15:30</t>
  </si>
  <si>
    <t>Sampdoria (Quavo)</t>
  </si>
  <si>
    <t>Sassuolo (SpursMax)</t>
  </si>
  <si>
    <t>Parma (Den1Bravo)</t>
  </si>
  <si>
    <t>5 - 4 (2 - 2)</t>
  </si>
  <si>
    <t>3 - 6 (1 - 3)</t>
  </si>
  <si>
    <t>Germany Cyber Stars League 15:30 - 18:00</t>
  </si>
  <si>
    <t>RB Leipzig (Den1Bravo)</t>
  </si>
  <si>
    <t>Borussia Dortmund (Ryuk)</t>
  </si>
  <si>
    <t>Borussia Monchengladbach (YOSHI)</t>
  </si>
  <si>
    <t>4 - 5 (4 - 3)</t>
  </si>
  <si>
    <t>Napoli (CarlWhizzer)</t>
  </si>
  <si>
    <t>Borussia Dortmund (skmgery)</t>
  </si>
  <si>
    <t>Belgium (fleshka77)</t>
  </si>
  <si>
    <t>France (Fric)</t>
  </si>
  <si>
    <t>Germany (Miller)</t>
  </si>
  <si>
    <t>5 - 3 ( 2 - 3)</t>
  </si>
  <si>
    <t>Denmark (Phantom)</t>
  </si>
  <si>
    <t>Switzerland (Mr.Jey)</t>
  </si>
  <si>
    <t>Mexico (Den1Bravo)</t>
  </si>
  <si>
    <t>Poland (Ryuk)</t>
  </si>
  <si>
    <t>Austria (YOSHI)</t>
  </si>
  <si>
    <t>4 - 4 (0 - 3)</t>
  </si>
  <si>
    <t>Ajax  (Phantom)</t>
  </si>
  <si>
    <t>Lyon (Mr.Jey)</t>
  </si>
  <si>
    <t>Bayer 04 (Den1Bravo)</t>
  </si>
  <si>
    <t>Atalanta (Ryuk)</t>
  </si>
  <si>
    <t>Chelsea (YOSHI)</t>
  </si>
  <si>
    <t>2  - 1 (1 - 0)</t>
  </si>
  <si>
    <t>1 - 8 (1 - 4)</t>
  </si>
  <si>
    <t>Gent (skmgery)</t>
  </si>
  <si>
    <t>Celtic (fleshka77)</t>
  </si>
  <si>
    <t>Basaksehir (dinototli)</t>
  </si>
  <si>
    <t>Sporting (Miller)</t>
  </si>
  <si>
    <t>Salzburg (Zazabak)</t>
  </si>
  <si>
    <t>Club Brugge (Aphex)</t>
  </si>
  <si>
    <t>Lokomotiv Moscow  (Baphomet)</t>
  </si>
  <si>
    <t>Galatasaray  (Ryuk)</t>
  </si>
  <si>
    <t>Shakhtar Donetsk (Aventon)</t>
  </si>
  <si>
    <t>Lille (Aventon)</t>
  </si>
  <si>
    <t>Marseille (Zazabak)</t>
  </si>
  <si>
    <t>PSG (Thiago)</t>
  </si>
  <si>
    <t>Lyon (Baphomet)</t>
  </si>
  <si>
    <t>0 - 4 (0  -3)</t>
  </si>
  <si>
    <t>Napoli (iamdevilwalk)</t>
  </si>
  <si>
    <t>Lazio (Tranquil)</t>
  </si>
  <si>
    <t>1 - 7 (1 - 4)</t>
  </si>
  <si>
    <t>Arsenal (Aventon)</t>
  </si>
  <si>
    <t>Tottenham (Zazabak)</t>
  </si>
  <si>
    <t>Germany Cyber Stars League 8:00 - 11:00</t>
  </si>
  <si>
    <t>Borussia Dortmund (Den1Bravo)</t>
  </si>
  <si>
    <t>Italy Cyber Stars League 8:00 - 10:30</t>
  </si>
  <si>
    <t>Udinese (Indra13_27)</t>
  </si>
  <si>
    <t>2 - 7 (1 - 4)</t>
  </si>
  <si>
    <t>Brazil (CarlWhizzer)</t>
  </si>
  <si>
    <t>Germany (Den1Bravo)</t>
  </si>
  <si>
    <t>8 - 2 (5 - 0)</t>
  </si>
  <si>
    <t>Real Betis (SpursMax)</t>
  </si>
  <si>
    <t>Villarreal (Indra13_27)</t>
  </si>
  <si>
    <t>Athletic Club (YOSHI)</t>
  </si>
  <si>
    <t>1 - 3 (1- 1)</t>
  </si>
  <si>
    <t>Cyber Champions League 14:00 - 17:00</t>
  </si>
  <si>
    <t>Manchester City (CarlWhizzer)</t>
  </si>
  <si>
    <t>Barcelona (Mr.Jey)</t>
  </si>
  <si>
    <t>Cyber Europa League 15:30 - 18:00</t>
  </si>
  <si>
    <t>Gent (SpursMax)</t>
  </si>
  <si>
    <t>Celtic (Indra13_27)</t>
  </si>
  <si>
    <t>Basaksehir (Baphomet)</t>
  </si>
  <si>
    <t>CSKA Moscow (Supernova)</t>
  </si>
  <si>
    <t>Porto (CarlWhizzer)</t>
  </si>
  <si>
    <t>Lazio (Den1Bravo)</t>
  </si>
  <si>
    <t>Manchester United (Mr.Jey)</t>
  </si>
  <si>
    <t>5 - 3 (4 - 0)</t>
  </si>
  <si>
    <t>Germany Cyber Stars League 20:00 - 23:00</t>
  </si>
  <si>
    <t>Koln (fleshka77)</t>
  </si>
  <si>
    <t>Wolfsburg (Mr.Jey)</t>
  </si>
  <si>
    <t>Hoffenheim (Aphex)</t>
  </si>
  <si>
    <t>Ajax  (SpursMax)</t>
  </si>
  <si>
    <t>Atalanta (Supernova)</t>
  </si>
  <si>
    <t>Chelsea (Ishking11)</t>
  </si>
  <si>
    <t>8 - 2 (3 - 1)</t>
  </si>
  <si>
    <t>Cyber Copa America 20:30 - 23:00</t>
  </si>
  <si>
    <t>Colombia (SpursMax)</t>
  </si>
  <si>
    <t>Uruguay (Indra13_27)</t>
  </si>
  <si>
    <t>Chile (Ishking11)</t>
  </si>
  <si>
    <t>3 -  4 (1 - 2)</t>
  </si>
  <si>
    <t>Leicester (dinototli)</t>
  </si>
  <si>
    <t>Everton (Klexter)</t>
  </si>
  <si>
    <t>Watford (fleshka77)</t>
  </si>
  <si>
    <t>West Ham United (Mr.Jey)</t>
  </si>
  <si>
    <t>Wolverhampton (Aphex)</t>
  </si>
  <si>
    <t>Cyber World Cup 23:00 - 01:30</t>
  </si>
  <si>
    <t>Denmark (Zazabak)</t>
  </si>
  <si>
    <t>Austria (Aventon)</t>
  </si>
  <si>
    <t>Montpellier (Thiago)</t>
  </si>
  <si>
    <t>Nice (Aventon)</t>
  </si>
  <si>
    <t>Stade Rennais (Zazabak)</t>
  </si>
  <si>
    <t>Saint-Etienne (Baphomet)</t>
  </si>
  <si>
    <t>Getafe (iamdevilwalk)</t>
  </si>
  <si>
    <t>Athletic Club (Jenko)</t>
  </si>
  <si>
    <t>Italy Cyber Stars League 4:00 - 6:30</t>
  </si>
  <si>
    <t>Atalanta (Thiago)</t>
  </si>
  <si>
    <t>Cyber Champions League  05:00 - 08:00</t>
  </si>
  <si>
    <t>Eibar (Walker)</t>
  </si>
  <si>
    <t>Espanyol (praym)</t>
  </si>
  <si>
    <t>Alaves (Stig)</t>
  </si>
  <si>
    <t>Germany Cyber Stars League 8:15 - 10:30</t>
  </si>
  <si>
    <t>Koln (Den1Bravo)</t>
  </si>
  <si>
    <t>Wolfsburg (Phantom)</t>
  </si>
  <si>
    <t>Hoffenheim (Ishking11)</t>
  </si>
  <si>
    <t>Spain (praym)</t>
  </si>
  <si>
    <t>Spain Cyber Stars League 10:35 - 13:00</t>
  </si>
  <si>
    <t>Real Madrid (SpursMax)</t>
  </si>
  <si>
    <t>Atletico Madrid (Indra13_27)</t>
  </si>
  <si>
    <t>Valencia (Den1Bravo)</t>
  </si>
  <si>
    <t>Barcelona (Phantom)</t>
  </si>
  <si>
    <t>Sevilla (Ishking11)</t>
  </si>
  <si>
    <t>Juventus (CarlWhizzer)</t>
  </si>
  <si>
    <t>Liverpool (Kishe)</t>
  </si>
  <si>
    <t>FC Bayern (RedDevil)</t>
  </si>
  <si>
    <t>England Cyber Stars League 13:00 - 15:30</t>
  </si>
  <si>
    <t>Leicester (SpursMax)</t>
  </si>
  <si>
    <t>Everton (Indra13_27)</t>
  </si>
  <si>
    <t>Watford (Den1Bravo)</t>
  </si>
  <si>
    <t>West Ham United (Phantom)</t>
  </si>
  <si>
    <t>3 - 1 (1  - 0)</t>
  </si>
  <si>
    <t>CSKA Moscow (Ishking11)</t>
  </si>
  <si>
    <t>3 -  0 (1 - 0)</t>
  </si>
  <si>
    <t>Manchester United (Kishe)</t>
  </si>
  <si>
    <t>Portugal (fleshka77)</t>
  </si>
  <si>
    <t>Netherlands (iamdevilwalk)</t>
  </si>
  <si>
    <t>Uruguay (Aphex)</t>
  </si>
  <si>
    <t>Italy (Klexter)</t>
  </si>
  <si>
    <t>Benfica  (Indra13_27)</t>
  </si>
  <si>
    <t>Galatasaray  (Den1Bravo)</t>
  </si>
  <si>
    <t>Salzburg (Ishking11)</t>
  </si>
  <si>
    <t>Chile (Indra13_27)</t>
  </si>
  <si>
    <t>Colombia (Den1Bravo)</t>
  </si>
  <si>
    <t>4 - 3 (0 - 1)</t>
  </si>
  <si>
    <t>Brazil (Supernova)</t>
  </si>
  <si>
    <t>7 - 1 (4 - 1)</t>
  </si>
  <si>
    <t>2 - 8 (1 - 3)</t>
  </si>
  <si>
    <t>1 - 4 (1 -1)</t>
  </si>
  <si>
    <t>Germany Cyber Stars League 23:00 - 02:00</t>
  </si>
  <si>
    <t>RB Leipzig (fleshka77)</t>
  </si>
  <si>
    <t>Borussia Dortmund (iamdevilwalk)</t>
  </si>
  <si>
    <t>Borussia Monchengladbach (Aphex)</t>
  </si>
  <si>
    <t>England Cyber Stars League 23:00 - 01:30</t>
  </si>
  <si>
    <t>Aston Villa (Aventon)</t>
  </si>
  <si>
    <t>Crystal Palace (Thiago)</t>
  </si>
  <si>
    <t>Southampton (Baphomet)</t>
  </si>
  <si>
    <t xml:space="preserve"> Spain Cyber Stars League 02:00 - 05:00</t>
  </si>
  <si>
    <t>Barcelona (ScRate)</t>
  </si>
  <si>
    <t>Sevilla (Miller)</t>
  </si>
  <si>
    <t>England Cyber Stars League 05:00 - 08:00</t>
  </si>
  <si>
    <t>Watford (ScRate)</t>
  </si>
  <si>
    <t>West Ham United (Ryuk)</t>
  </si>
  <si>
    <t>Wolverhampton (Miller)</t>
  </si>
  <si>
    <t>Leicester (Tranquil)</t>
  </si>
  <si>
    <t>Everton (Jenko)</t>
  </si>
  <si>
    <t>2- 2 (0 - 0)</t>
  </si>
  <si>
    <t>3  - 0 (2 - 0)</t>
  </si>
  <si>
    <t>Cyber Europa League 8:00 - 10:30</t>
  </si>
  <si>
    <t>Wolverhampton (SpursMax)</t>
  </si>
  <si>
    <t>Getafe (Den1Bravo)</t>
  </si>
  <si>
    <t>Borussia Monchengladbach (Ishking11)</t>
  </si>
  <si>
    <t>Cyber Champions League  11:00 - 14:00</t>
  </si>
  <si>
    <t>5 - 5 (2 - 3)</t>
  </si>
  <si>
    <t>Manchester City (Stig)</t>
  </si>
  <si>
    <t>Borussia Dortmund (Mistyeye)</t>
  </si>
  <si>
    <t>Brazil (SpursMax)</t>
  </si>
  <si>
    <t>France (Den1Bravo)</t>
  </si>
  <si>
    <t>Belgium (Ishking11)</t>
  </si>
  <si>
    <t>Portugal (CarlWhizzer)</t>
  </si>
  <si>
    <t>Italy (Quavo)</t>
  </si>
  <si>
    <t>CSKA Moscow (SpursMax)</t>
  </si>
  <si>
    <t>Feyenoord (Den1Bravo)</t>
  </si>
  <si>
    <t>Braga  (Supernova)</t>
  </si>
  <si>
    <t>PSV (Ishking11)</t>
  </si>
  <si>
    <t>7 - 2 (4 - 1)</t>
  </si>
  <si>
    <t>England Cyber Stars League 15:45 - 18:00</t>
  </si>
  <si>
    <t>Aston Villa (Indra13_27)</t>
  </si>
  <si>
    <t>Southampton (Ishking11)</t>
  </si>
  <si>
    <t>Arsenal (Kishe)</t>
  </si>
  <si>
    <t>Roma (Walker)</t>
  </si>
  <si>
    <t>6 - 0 (6 - 0)</t>
  </si>
  <si>
    <t>Italy Cyber Stars League  20:00 - 23:00</t>
  </si>
  <si>
    <t>Sassuolo (fleshka77)</t>
  </si>
  <si>
    <t>Sampdoria (iamdevilwalk)</t>
  </si>
  <si>
    <t>Udinese (Mr.Jey)</t>
  </si>
  <si>
    <t>Germany Cyber Stars League 18:08 - 20:30</t>
  </si>
  <si>
    <t>FC Bayern (SpursMax)</t>
  </si>
  <si>
    <t>Bayer 04 (Indra13_27)</t>
  </si>
  <si>
    <t>Borussia Monchengladbach (Supernova)</t>
  </si>
  <si>
    <t>3 - 6 (0 - 4)</t>
  </si>
  <si>
    <t>2 - 4  (2 - 0)</t>
  </si>
  <si>
    <t>Barcelona (Indra13_27)</t>
  </si>
  <si>
    <t>5 - 0  (3 - 0)</t>
  </si>
  <si>
    <t>2  - 4 (2 - 2)</t>
  </si>
  <si>
    <t>France Cyber Stars League 23:00 - 02:00</t>
  </si>
  <si>
    <t>PSG (Mr.Jey)</t>
  </si>
  <si>
    <t>5 - 3 (3 - 3)</t>
  </si>
  <si>
    <t>Cyber Copa America 23:00 - 01:30</t>
  </si>
  <si>
    <t>Colombia (Thiago)</t>
  </si>
  <si>
    <t>Brazil (Klexter)</t>
  </si>
  <si>
    <t>canceled</t>
  </si>
  <si>
    <t>England Cyber Stars League 02:00 - 05:00</t>
  </si>
  <si>
    <t>Manchester City (Chasky)</t>
  </si>
  <si>
    <t>Arsenal (Miller)</t>
  </si>
  <si>
    <t>Tottenham (ScRate)</t>
  </si>
  <si>
    <t>Manchester United (iamdevilwalk)</t>
  </si>
  <si>
    <t>Italy Cyber Stars League 05:00 - 08:00</t>
  </si>
  <si>
    <t>Lazio (Chasky)</t>
  </si>
  <si>
    <t>Atalanta (Miller)</t>
  </si>
  <si>
    <t>Inter (ScRate)</t>
  </si>
  <si>
    <t>Napoli (Ryuk)</t>
  </si>
  <si>
    <t>Italy Cyber Stars League  8:00 - 11:00</t>
  </si>
  <si>
    <t>Sassuolo (Mistyeye)</t>
  </si>
  <si>
    <t>Sampdoria (praym)</t>
  </si>
  <si>
    <t>Fiorentina (mrPanda)</t>
  </si>
  <si>
    <t>Parma (Jenko)</t>
  </si>
  <si>
    <t>Udinese (Quavo)</t>
  </si>
  <si>
    <t>Denmark (Mistyeye)</t>
  </si>
  <si>
    <t>Switzerland (praym)</t>
  </si>
  <si>
    <t>Mexico (mrPanda)</t>
  </si>
  <si>
    <t>Poland (Jenko)</t>
  </si>
  <si>
    <t>Germany Cyber Stars League 12:00 - 15:00</t>
  </si>
  <si>
    <t>FC Bayern (Mr.Jey)</t>
  </si>
  <si>
    <t>Borussia Dortmund (Klexter)</t>
  </si>
  <si>
    <t>5 - 5 (3 - 0)</t>
  </si>
  <si>
    <t>England Cyber Stars League 15:00 - 18:00</t>
  </si>
  <si>
    <t>Manchester City (Den1Bravo)</t>
  </si>
  <si>
    <t>Manchester United (Klexter)</t>
  </si>
  <si>
    <t>Spain Cyber Stars League 14:00 - 17:00</t>
  </si>
  <si>
    <t>Real Betis (Aventon)</t>
  </si>
  <si>
    <t>Villarreal (Walker)</t>
  </si>
  <si>
    <t>Real Sociedad (Veep)</t>
  </si>
  <si>
    <t>Athletic Club (Quavo)</t>
  </si>
  <si>
    <t>2 -1 (0 - 1)</t>
  </si>
  <si>
    <t>England Cyber Stars League 17:00 - 20:00</t>
  </si>
  <si>
    <t>Newcastle United (Aventon)</t>
  </si>
  <si>
    <t>Aston Villa (Ishking11)</t>
  </si>
  <si>
    <t>Crystal Palace (Veep)</t>
  </si>
  <si>
    <t>Southampton (Quavo)</t>
  </si>
  <si>
    <t>3 - 1(0 - 0)</t>
  </si>
  <si>
    <t>8 - 2 (3 - 2)</t>
  </si>
  <si>
    <t>Cyber Champions League 18:00 - 21:00</t>
  </si>
  <si>
    <t>Napoli (Supernova)</t>
  </si>
  <si>
    <t>Atletico Madrid (Mr.Jey)</t>
  </si>
  <si>
    <t>Tottenham (Klexter)</t>
  </si>
  <si>
    <t>France Cyber Stars League 21:00 - 24:00</t>
  </si>
  <si>
    <t>Lille (Den1Bravo)</t>
  </si>
  <si>
    <t>6 - 2 (1 - 0)</t>
  </si>
  <si>
    <t>7 - 0 (6 - 0)</t>
  </si>
  <si>
    <t>Cyber Europa League 20:00 - 23:00</t>
  </si>
  <si>
    <t>Wolfsburg (Tranquil)</t>
  </si>
  <si>
    <t>Basaksehir (Ryuk)</t>
  </si>
  <si>
    <t>Shakhtar Donetsk (fleshka77)</t>
  </si>
  <si>
    <t>Sporting (Baphomet)</t>
  </si>
  <si>
    <t>Germany (Ryuk)</t>
  </si>
  <si>
    <t>France (fleshka77)</t>
  </si>
  <si>
    <t>Spain (Baphomet)</t>
  </si>
  <si>
    <t>Lazio (Miller)</t>
  </si>
  <si>
    <t>Milan (ScRate)</t>
  </si>
  <si>
    <t>Napoli (Tranquil)</t>
  </si>
  <si>
    <t>France Cyber Stars League 05:00 - 08:00</t>
  </si>
  <si>
    <t>Lyon (iamdevilwalk)</t>
  </si>
  <si>
    <t>Marseille (ScRate)</t>
  </si>
  <si>
    <t>Leicester (Mistyeye)</t>
  </si>
  <si>
    <t>Everton (Walker)</t>
  </si>
  <si>
    <t>Watford (mrPanda)</t>
  </si>
  <si>
    <t>West Ham United (praym)</t>
  </si>
  <si>
    <t>Wolverhampton (Jenko)</t>
  </si>
  <si>
    <t>France (mrPanda)</t>
  </si>
  <si>
    <t>Germany (praym)</t>
  </si>
  <si>
    <t>4 - 5 (1 - 4)</t>
  </si>
  <si>
    <t>Spain Cyber Stars League 12:00 - 15:00</t>
  </si>
  <si>
    <t>Real Madrid (Mr.Jey)</t>
  </si>
  <si>
    <t>Atletico Madrid (Supernova)</t>
  </si>
  <si>
    <t>Sevilla (madmah)</t>
  </si>
  <si>
    <t>Valencia (YOSHI)</t>
  </si>
  <si>
    <t>5 - 4 (4 - 2)</t>
  </si>
  <si>
    <t>Italy Cyber Stars League 15:00 - 18:00</t>
  </si>
  <si>
    <t>Sassuolo (Mr.Jey)</t>
  </si>
  <si>
    <t>Parma (madmah)</t>
  </si>
  <si>
    <t>Ajax  (Quavo)</t>
  </si>
  <si>
    <t>Bayer 04 (Zazabak)</t>
  </si>
  <si>
    <t>Chelsea (Veep)</t>
  </si>
  <si>
    <t>Spain Cyber Stars League 17:00 - 20:00</t>
  </si>
  <si>
    <t>Alaves (Walker)</t>
  </si>
  <si>
    <t>Espanyol (Zazabak)</t>
  </si>
  <si>
    <t>Real Sociedad (Den1Bravo)</t>
  </si>
  <si>
    <t>Eibar (Veep)</t>
  </si>
  <si>
    <t>Cyber Europa League 18:00 - 21:00</t>
  </si>
  <si>
    <t>Borussia Monchengladbach (Mr.Jey)</t>
  </si>
  <si>
    <t>Getafe (madmah)</t>
  </si>
  <si>
    <t>Cyber World Cup 21:00 - 24:00</t>
  </si>
  <si>
    <t>Portugal (Mr.Jey)</t>
  </si>
  <si>
    <t>Italy (madmah)</t>
  </si>
  <si>
    <t>FC Bayern (Chasky)</t>
  </si>
  <si>
    <t>Bayer 04 (skmgery)</t>
  </si>
  <si>
    <t>Borussia Monchengladbach (Ryuk)</t>
  </si>
  <si>
    <t>Juventus (Chasky)</t>
  </si>
  <si>
    <t>Barcelona (dinototli)</t>
  </si>
  <si>
    <t>Liverpool (skmgery)</t>
  </si>
  <si>
    <t>FC Bayern (Ryuk)</t>
  </si>
  <si>
    <t>Lille (Tranquil)</t>
  </si>
  <si>
    <t>PSG (ScRate)</t>
  </si>
  <si>
    <t>Lyon (Fric)</t>
  </si>
  <si>
    <t>Napoli (ScRate)</t>
  </si>
  <si>
    <t>Lazio (Ryuk)</t>
  </si>
  <si>
    <t>Atalanta (Fric)</t>
  </si>
  <si>
    <t>Inter (Miller)</t>
  </si>
  <si>
    <t>Fiorentina (CarlWhizzer)</t>
  </si>
  <si>
    <t>Udinese (mrPanda)</t>
  </si>
  <si>
    <t>Portugal (Mistyeye)</t>
  </si>
  <si>
    <t>Netherlands (Quavo)</t>
  </si>
  <si>
    <t>Uruguay (CarlWhizzer)</t>
  </si>
  <si>
    <t>England (mrPanda)</t>
  </si>
  <si>
    <t>Cyber Europa League 12:00 - 15:00</t>
  </si>
  <si>
    <t>Arsenal (Mr.Jey)</t>
  </si>
  <si>
    <t>Sevilla (RedDevil)</t>
  </si>
  <si>
    <t>Inter (Indra13_27)</t>
  </si>
  <si>
    <t>Porto  (Den1Bravo)</t>
  </si>
  <si>
    <t>Bayer 04 (SpursMax)</t>
  </si>
  <si>
    <t>Cyber World Cup 15:00 - 18:00</t>
  </si>
  <si>
    <t>Denmark (Mr.Jey)</t>
  </si>
  <si>
    <t>Switzerland (RedDevil)</t>
  </si>
  <si>
    <t>Poland (Den1Bravo)</t>
  </si>
  <si>
    <t>Chelsea (Stig)</t>
  </si>
  <si>
    <t>Eintracht (Supernova)</t>
  </si>
  <si>
    <t>Espanyol (Stig)</t>
  </si>
  <si>
    <t>Spain Cyber Stars League 18:00 - 21:00</t>
  </si>
  <si>
    <t>Real Betis (Mr.Jey)</t>
  </si>
  <si>
    <t>Athletic Club (SpursMax)</t>
  </si>
  <si>
    <t>5 - 2 (0 - 0)</t>
  </si>
  <si>
    <t>Cyber Champions League 21:00 - 24:00</t>
  </si>
  <si>
    <t>Juventus (Mr.Jey)</t>
  </si>
  <si>
    <t>Barcelona (RedDevil)</t>
  </si>
  <si>
    <t>Liverpool (Den1Bravo)</t>
  </si>
  <si>
    <t>Cyber Champions League 20:00 - 23:00</t>
  </si>
  <si>
    <t>Manchester City (Ryuk)</t>
  </si>
  <si>
    <t>Tottenham (Kishe)</t>
  </si>
  <si>
    <t>Spain (dinototli)</t>
  </si>
  <si>
    <t>Germany (Kishe)</t>
  </si>
  <si>
    <t>1 - 7 (0 - 4)</t>
  </si>
  <si>
    <t>Newcastle United (Sambo)</t>
  </si>
  <si>
    <t>Aston Villa (Tranquil)</t>
  </si>
  <si>
    <t>Bournemouth (Ryuk)</t>
  </si>
  <si>
    <t>Crystal Palace (ScRate)</t>
  </si>
  <si>
    <t>Southampton (Miller)</t>
  </si>
  <si>
    <t>Eintracht (Sambo)</t>
  </si>
  <si>
    <t>Koln (Ryuk)</t>
  </si>
  <si>
    <t xml:space="preserve"> 3 - 3 (2 - 2)</t>
  </si>
  <si>
    <t>Wolfsburg (ScRate)</t>
  </si>
  <si>
    <t>Hoffenheim (Miller)</t>
  </si>
  <si>
    <t>Barcelona (Stig)</t>
  </si>
  <si>
    <t>2 -1 (1 - 1)</t>
  </si>
  <si>
    <t>Switzerland (Stig)</t>
  </si>
  <si>
    <t>Mexico (CarlWhizzer)</t>
  </si>
  <si>
    <t>Cyber Champions League 12:15 - 15:00</t>
  </si>
  <si>
    <t>Barcelona (madmah)</t>
  </si>
  <si>
    <t>Argentina (madmah)</t>
  </si>
  <si>
    <t>3 - 7 (2 - 4)</t>
  </si>
  <si>
    <t>Italy Cyber Stars League 14:00 - 17:00</t>
  </si>
  <si>
    <t>Lazio (Stig)</t>
  </si>
  <si>
    <t>Juventus (Den1Bravo)</t>
  </si>
  <si>
    <t>Wolverhampton (Stig)</t>
  </si>
  <si>
    <t>Porto (Den1Bravo)</t>
  </si>
  <si>
    <t xml:space="preserve"> 1 - 2 (0 - 1)</t>
  </si>
  <si>
    <t>Celta (madmah)</t>
  </si>
  <si>
    <t>Levante (Indra13_27)</t>
  </si>
  <si>
    <t>Espanyol (SpursMax)</t>
  </si>
  <si>
    <t>Alaves (Supernova)</t>
  </si>
  <si>
    <t>Cyber Copa America 21:00 - 24:00</t>
  </si>
  <si>
    <t>Colombia (madmah)</t>
  </si>
  <si>
    <t>Paraguay  (SpursMax)</t>
  </si>
  <si>
    <t>Peru (Supernova)</t>
  </si>
  <si>
    <t>4 - 2 (0 - 2)</t>
  </si>
  <si>
    <t>Borussia Monchengladbach (Kishe)</t>
  </si>
  <si>
    <t>FC Bayern (Den1Bravo)</t>
  </si>
  <si>
    <t>RB Leipzig (skmgery)</t>
  </si>
  <si>
    <t>Spain (Fric)</t>
  </si>
  <si>
    <t>Barcelona (Sambo)</t>
  </si>
  <si>
    <t>Inter (Tranquil)</t>
  </si>
  <si>
    <t>Napoli (Sambo)</t>
  </si>
  <si>
    <t>6 - 2 (2 - 2)</t>
  </si>
  <si>
    <t>Atalanta (ScRate)</t>
  </si>
  <si>
    <t>3 - 8 (1 - 3)</t>
  </si>
  <si>
    <t>RB Leipzig (Quavo)</t>
  </si>
  <si>
    <t>Germany (SpursMax)</t>
  </si>
  <si>
    <t>Belgium (Quavo)</t>
  </si>
  <si>
    <t>France Cyber Stars League 12:00 - 15:00</t>
  </si>
  <si>
    <t>Marseille (Aventon)</t>
  </si>
  <si>
    <t>Lille (Baphomet)</t>
  </si>
  <si>
    <t>Lyon (madmah)</t>
  </si>
  <si>
    <t>Cyber Europa League 15:00 - 18:00</t>
  </si>
  <si>
    <t>PSV (YOSHI)</t>
  </si>
  <si>
    <t>Dynamo Kyiv (Mr.Jey)</t>
  </si>
  <si>
    <t>CSKA Moscow (madmah)</t>
  </si>
  <si>
    <t>5 - 5 (3 - 2)</t>
  </si>
  <si>
    <t>Udinese (SpursMax)</t>
  </si>
  <si>
    <t>Sampdoria (Zazabak)</t>
  </si>
  <si>
    <t>Getafe (Zazabak)</t>
  </si>
  <si>
    <t>Eintracht (Ishking11)</t>
  </si>
  <si>
    <t>4 - 5 (1 - 2)</t>
  </si>
  <si>
    <t>Cyber World Cup 18:00 - 21:00</t>
  </si>
  <si>
    <t>Netherlands (Aventon)</t>
  </si>
  <si>
    <t>England (Baphomet)</t>
  </si>
  <si>
    <t>Argentina (Mr.Jey)</t>
  </si>
  <si>
    <t>Uruguay (madmah)</t>
  </si>
  <si>
    <t>Atletico Madrid (YOSHI)</t>
  </si>
  <si>
    <t>Napoli (Mr.Jey)</t>
  </si>
  <si>
    <t>Borussia Dortmund (madmah)</t>
  </si>
  <si>
    <t>England Cyber Stars League 20:00 - 23:00</t>
  </si>
  <si>
    <t>Tottenham (Sambo)</t>
  </si>
  <si>
    <t>Manchester City (Fric)</t>
  </si>
  <si>
    <t>Manchester United (skmgery)</t>
  </si>
  <si>
    <t>1 - 8 (1 - 2)</t>
  </si>
  <si>
    <t>Valencia (Sambo)</t>
  </si>
  <si>
    <t>Ajax  (Ryuk)</t>
  </si>
  <si>
    <t>5 - 6 (3 - 2)</t>
  </si>
  <si>
    <t>4 - 4 (0 - 2)</t>
  </si>
  <si>
    <t>2 - 7 (0 - 4)</t>
  </si>
  <si>
    <t>Atletico Madrid (Sambo)</t>
  </si>
  <si>
    <t>Juventus (ScRate)</t>
  </si>
  <si>
    <t>Inter (Sambo)</t>
  </si>
  <si>
    <t>Napoli (Miller)</t>
  </si>
  <si>
    <t>Getafe (mrPanda)</t>
  </si>
  <si>
    <t>Athletic Club (Walker)</t>
  </si>
  <si>
    <t>2 - 0 (1 - 1)</t>
  </si>
  <si>
    <t>Montpellier (Den1Bravo)</t>
  </si>
  <si>
    <t>Bourdeux (Mr.Jey)</t>
  </si>
  <si>
    <t>Saint-Etienne (madmah)</t>
  </si>
  <si>
    <t xml:space="preserve"> 0 - 1 ( 0 - 0)</t>
  </si>
  <si>
    <t>5 - 1 ( 5 - 0)</t>
  </si>
  <si>
    <t>Switzerland (YOSHI)</t>
  </si>
  <si>
    <t>Mexico (Ishking11)</t>
  </si>
  <si>
    <t>Poland (Mr.Jey)</t>
  </si>
  <si>
    <t>Austria (madmah)</t>
  </si>
  <si>
    <t>3 - 6 (3 - 4)</t>
  </si>
  <si>
    <t>Manchester United (Thiago)</t>
  </si>
  <si>
    <t>Liverpool (Zazabak)</t>
  </si>
  <si>
    <t>Italy Cyber Stars League 17:00 - 20:00</t>
  </si>
  <si>
    <t>Fiorentina (Aventon)</t>
  </si>
  <si>
    <t>Parma (Thiago)</t>
  </si>
  <si>
    <t>Udinese (Zazabak)</t>
  </si>
  <si>
    <t>Germany Cyber Stars League 18:00 - 21:00</t>
  </si>
  <si>
    <t>Cyber Europa League 21:00 - 24:00</t>
  </si>
  <si>
    <t>Gent (Den1Bravo)</t>
  </si>
  <si>
    <t>Dynamo Kyiv (Ishking11)</t>
  </si>
  <si>
    <t>CSKA Moscow (Mr.Jey)</t>
  </si>
  <si>
    <t>Shakhtar Donetsk (madmah)</t>
  </si>
  <si>
    <t>4 - 6 (4 - 4)</t>
  </si>
  <si>
    <t>6 - 5 (2 - 4)</t>
  </si>
  <si>
    <t>Juventus (Baphomet)</t>
  </si>
  <si>
    <t>Barcelona (fleshka77)</t>
  </si>
  <si>
    <t>PSG (Sambo)</t>
  </si>
  <si>
    <t>5 - 4 (1 - 2)</t>
  </si>
  <si>
    <t>Argentina (Baphomet)</t>
  </si>
  <si>
    <t>England (fleshka77)</t>
  </si>
  <si>
    <t>Portugal (Sambo)</t>
  </si>
  <si>
    <t>3 - 7 (1 - 4)</t>
  </si>
  <si>
    <t>6 - 3 (2 - 2)</t>
  </si>
  <si>
    <t>Arsenal (Sambo)</t>
  </si>
  <si>
    <t>Tottenham (Ryuk)</t>
  </si>
  <si>
    <t>Atletico Madrid (Fric)</t>
  </si>
  <si>
    <t>5 - 5 (4 - 2)</t>
  </si>
  <si>
    <t>2 - 9 (2 - 5)</t>
  </si>
  <si>
    <t>France Cyber Stars League 8:00 - 11:00</t>
  </si>
  <si>
    <t>Lyon (Quavo)</t>
  </si>
  <si>
    <t>Lille (CarlWhizzer)</t>
  </si>
  <si>
    <t>Marseille (Walker)</t>
  </si>
  <si>
    <t>Monaco (praym)</t>
  </si>
  <si>
    <t>2 - 5 (2 - 0)</t>
  </si>
  <si>
    <t>2 - 7 (2 - 1)</t>
  </si>
  <si>
    <t>England (Quavo)</t>
  </si>
  <si>
    <t>Italy (Walker)</t>
  </si>
  <si>
    <t>Uruguay (praym)</t>
  </si>
  <si>
    <t>3 - 5 (0 - 1)</t>
  </si>
  <si>
    <t>Germany (YOSHI)</t>
  </si>
  <si>
    <t>France (Ishking11)</t>
  </si>
  <si>
    <t>Spain (Mr.Jey)</t>
  </si>
  <si>
    <t>Belgium (madmah)</t>
  </si>
  <si>
    <t>3  - 3 (1 - 1)</t>
  </si>
  <si>
    <t>2 - 6 (2 - 5)</t>
  </si>
  <si>
    <t>FC Bayern (Veep)</t>
  </si>
  <si>
    <t>Liverpool (Aventon)</t>
  </si>
  <si>
    <t>Roma (Quavo)</t>
  </si>
  <si>
    <t>Torino (Zazabak)</t>
  </si>
  <si>
    <t>Udinese (Walker)</t>
  </si>
  <si>
    <t>Sassuolo (Aventon)</t>
  </si>
  <si>
    <t>Hertha BSC (YOSHI)</t>
  </si>
  <si>
    <t>Wolfsburg (Ishking11)</t>
  </si>
  <si>
    <t>Mainz 05 (Mr.Jey)</t>
  </si>
  <si>
    <t>Schalke 04 (madmah)</t>
  </si>
  <si>
    <t>Borussia Monchengladbach (Sambo)</t>
  </si>
  <si>
    <t>FC Bayern (Kishe)</t>
  </si>
  <si>
    <t>Cyber Champions League  23:00 - 02:00</t>
  </si>
  <si>
    <t>Lokomotiv Moscow  (Sambo)</t>
  </si>
  <si>
    <t>Galatasaray  (Kishe)</t>
  </si>
  <si>
    <t>Benfica (Ryuk)</t>
  </si>
  <si>
    <t>Sevilla (Sambo)</t>
  </si>
  <si>
    <t>Manchester United (Tranquil)</t>
  </si>
  <si>
    <t>Real Betis (Mistyeye)</t>
  </si>
  <si>
    <t>Villarreal (Jenko)</t>
  </si>
  <si>
    <t>Italy Cyber Stars League  11:00 - 14:00</t>
  </si>
  <si>
    <t>Italy Cyber Stars League 12:00 - 15:00</t>
  </si>
  <si>
    <t>Udinese (Ishking11)</t>
  </si>
  <si>
    <t>3 - 2 (3 -2)</t>
  </si>
  <si>
    <t>1 - 3  (1 - 1)</t>
  </si>
  <si>
    <t>Watford (Quavo)</t>
  </si>
  <si>
    <t>Leicester (Veep)</t>
  </si>
  <si>
    <t>Everton (Thiago)</t>
  </si>
  <si>
    <t>West Ham United (Walker)</t>
  </si>
  <si>
    <t>3 - 2 (1 -2)</t>
  </si>
  <si>
    <t>CSKA Moscow (Quavo)</t>
  </si>
  <si>
    <t>Dynamo Kyiv (Thiago)</t>
  </si>
  <si>
    <t>Basaksehir (Walker)</t>
  </si>
  <si>
    <t>Marseille (dinototli)</t>
  </si>
  <si>
    <t>Monaco (Sambo)</t>
  </si>
  <si>
    <t>Real Madrid (dinototli)</t>
  </si>
  <si>
    <t>Juventus (fleshka77)</t>
  </si>
  <si>
    <t>FC Bayern (Sambo)</t>
  </si>
  <si>
    <t>Milan (Ryuk)</t>
  </si>
  <si>
    <t>Manchester City (iamdevilwalk)</t>
  </si>
  <si>
    <t>Chelsea (Sambo)</t>
  </si>
  <si>
    <t>Tottenham (Miller)</t>
  </si>
  <si>
    <t>Liverpool (Tranquil)</t>
  </si>
  <si>
    <t>8 - 6 (5 - 3)</t>
  </si>
  <si>
    <t>Nice (Smile)</t>
  </si>
  <si>
    <t>Montpellier (Walker)</t>
  </si>
  <si>
    <t>Stade Rennais (Dimqaa)</t>
  </si>
  <si>
    <t>Bourdeux (mrPanda)</t>
  </si>
  <si>
    <t>Saint-Etienne (Mistyeye)</t>
  </si>
  <si>
    <t>Portugal (Smile)</t>
  </si>
  <si>
    <t>England (Walker)</t>
  </si>
  <si>
    <t>Italy (Dimqaa)</t>
  </si>
  <si>
    <t>Uruguay (mrPanda)</t>
  </si>
  <si>
    <t>Netherlands (Mistyeye)</t>
  </si>
  <si>
    <t>Italy Cyber Stars League  15:00 - 18:00</t>
  </si>
  <si>
    <t>Sassuolo (Jenko)</t>
  </si>
  <si>
    <t>Fiorentina (SpursMax)</t>
  </si>
  <si>
    <t>Parma (Ishking11)</t>
  </si>
  <si>
    <t>Juventus (Smile)</t>
  </si>
  <si>
    <t>Barcelona (Walker)</t>
  </si>
  <si>
    <t>PSG (Dimqaa)</t>
  </si>
  <si>
    <t>Liverpool (Quavo)</t>
  </si>
  <si>
    <t>Everton (Smile)</t>
  </si>
  <si>
    <t>West Ham United (Dimqaa)</t>
  </si>
  <si>
    <t>Ajax  (Jenko)</t>
  </si>
  <si>
    <t>Chelsea (SpursMax)</t>
  </si>
  <si>
    <t>Atalanta (Ishking11)</t>
  </si>
  <si>
    <t>6 - 4 (3 - 2)</t>
  </si>
  <si>
    <t>Monaco (Kishe)</t>
  </si>
  <si>
    <t>Lille (fleshka77)</t>
  </si>
  <si>
    <t>Espanyol (Baphomet)</t>
  </si>
  <si>
    <t>Eintracht (Kishe)</t>
  </si>
  <si>
    <t>Wolfsburg (fleshka77)</t>
  </si>
  <si>
    <t>Real Madrid (Den1Bravo)</t>
  </si>
  <si>
    <t>Liverpool (Sambo)</t>
  </si>
  <si>
    <t>Nice (Den1Bravo)</t>
  </si>
  <si>
    <t>Bourdeux (Miller)</t>
  </si>
  <si>
    <t>Saint-Etienne (Sambo)</t>
  </si>
  <si>
    <t>Sampdoria (Smile)</t>
  </si>
  <si>
    <t>RB Leipzig (Walker)</t>
  </si>
  <si>
    <t>Borussia Monchengladbach (Smile)</t>
  </si>
  <si>
    <t>Bayer 04 (mrPanda)</t>
  </si>
  <si>
    <t>FC Bayern (Dimqaa)</t>
  </si>
  <si>
    <t>Germany Cyber Stars League 12:30 - 15:00</t>
  </si>
  <si>
    <t>Hoffenheim (madmah)</t>
  </si>
  <si>
    <t>Werder Bremen (YOSHI)</t>
  </si>
  <si>
    <t>Koln (Jenko)</t>
  </si>
  <si>
    <t>France Cyber Stars League 15:00 - 18:00</t>
  </si>
  <si>
    <t>Marseille (madmah)</t>
  </si>
  <si>
    <t>Spain (Thiago)</t>
  </si>
  <si>
    <t>Brazil (Smile)</t>
  </si>
  <si>
    <t>Germany (Dimqaa)</t>
  </si>
  <si>
    <t>Atletico Madrid (Smile)</t>
  </si>
  <si>
    <t>Tottenham (Dimqaa)</t>
  </si>
  <si>
    <t>Uruguay (Jenko)</t>
  </si>
  <si>
    <t>England Cyber Stars League 21:00 - 24:00</t>
  </si>
  <si>
    <t>Everton (madmah)</t>
  </si>
  <si>
    <t>Leicester (YOSHI)</t>
  </si>
  <si>
    <t>Wolverhampton (Indra13_27)</t>
  </si>
  <si>
    <t>4 - 5 (3 - 2)</t>
  </si>
  <si>
    <t>Spain Cyber Stars League 20:00 - 23:00</t>
  </si>
  <si>
    <t>Manchester United (dinototli)</t>
  </si>
  <si>
    <t>Bayer 04 (Sambo)</t>
  </si>
  <si>
    <t>Spain Cyber Stars League 08:00 - 11:00</t>
  </si>
  <si>
    <t>Villarreal (Mistyeye)</t>
  </si>
  <si>
    <t>Real Betis (praym)</t>
  </si>
  <si>
    <t>Athletic Club (Smile)</t>
  </si>
  <si>
    <t>Liverpool (mrPanda)</t>
  </si>
  <si>
    <t>Arsenal (Smile)</t>
  </si>
  <si>
    <t>Borussia Monchengladbach (SpursMax)</t>
  </si>
  <si>
    <t>RB Leipzig (Mr.Jey)</t>
  </si>
  <si>
    <t>2 - 1(0 - 1)</t>
  </si>
  <si>
    <t>5 - 1 (3 -1)</t>
  </si>
  <si>
    <t>Cyber Champions League  14:00 - 17:00</t>
  </si>
  <si>
    <t>Bayer 04 (Thiago)</t>
  </si>
  <si>
    <t>Chelsea (Smile)</t>
  </si>
  <si>
    <t>Cyber World Cup 17:00 - 20:00</t>
  </si>
  <si>
    <t>Mexico (Thiago)</t>
  </si>
  <si>
    <t>Austria (Smile)</t>
  </si>
  <si>
    <t>Sevilla (Indra13_27)</t>
  </si>
  <si>
    <t>Valencia (madmah)</t>
  </si>
  <si>
    <t>Cyber Champions League  21:00 - 24:00</t>
  </si>
  <si>
    <t>Galatasaray  (YOSHI)</t>
  </si>
  <si>
    <t>Shakhtar Donetsk (Indra13_27)</t>
  </si>
  <si>
    <t>Salzburg (SpursMax)</t>
  </si>
  <si>
    <t>Club Brugge (Mr.Jey)</t>
  </si>
  <si>
    <t>Lokomotiv Moscow  (madmah)</t>
  </si>
  <si>
    <t>7 - 2 (3 - 1)</t>
  </si>
  <si>
    <t>Manchester United (fleshka77)</t>
  </si>
  <si>
    <t>Sevilla (Den1Bravo)</t>
  </si>
  <si>
    <t>Porto (skmgery)</t>
  </si>
  <si>
    <t>Roma (Sambo)</t>
  </si>
  <si>
    <t>Italy Cyber Stars League 23:00 - 02:00</t>
  </si>
  <si>
    <t>Atalanta (skmgery)</t>
  </si>
  <si>
    <t>Lazio (Sambo)</t>
  </si>
  <si>
    <t>8 - 3 (3 - 1)</t>
  </si>
  <si>
    <t>4 - 5 (3 - 4)</t>
  </si>
  <si>
    <t>Germany Cyber Stars League 02:00 - 05:00</t>
  </si>
  <si>
    <t>Hoffenheim (MOSDEF)</t>
  </si>
  <si>
    <t>Werder Bremen (Zazabak)</t>
  </si>
  <si>
    <t>Hertha BSC (iamdevilwalk)</t>
  </si>
  <si>
    <t>Alaves (MOSDEF)</t>
  </si>
  <si>
    <t>Espanyol (Miller)</t>
  </si>
  <si>
    <t>Eibar (Zazabak)</t>
  </si>
  <si>
    <t>Real Sociedad (iamdevilwalk)</t>
  </si>
  <si>
    <t>Levante (Tranquil)</t>
  </si>
  <si>
    <t>Germany Cyber Stars League 08:00 - 11:00</t>
  </si>
  <si>
    <t>Bayer 04 (praym)</t>
  </si>
  <si>
    <t>Borussia Monchengladbach (Mistyeye)</t>
  </si>
  <si>
    <t>Netherlands (praym)</t>
  </si>
  <si>
    <t>Lazio (Mr.Jey)</t>
  </si>
  <si>
    <t xml:space="preserve"> 4 - 3 (1 - 3)</t>
  </si>
  <si>
    <t>5 - 4 (3 - 3)</t>
  </si>
  <si>
    <t>Spain Cyber Stars League 15:00 - 18:00</t>
  </si>
  <si>
    <t>Real Madrid (Supernova)</t>
  </si>
  <si>
    <t>Sevilla (Baphomet)</t>
  </si>
  <si>
    <t>Valencia (Mr.Jey)</t>
  </si>
  <si>
    <t>Crystal Palace (Aventon)</t>
  </si>
  <si>
    <t>Aston Villa (Thiago)</t>
  </si>
  <si>
    <t>Newcastle United (Den1Bravo)</t>
  </si>
  <si>
    <t>Gent (Aventon)</t>
  </si>
  <si>
    <t>Basaksehir (Thiago)</t>
  </si>
  <si>
    <t>Dynamo Kyiv (Den1Bravo)</t>
  </si>
  <si>
    <t>PSV (Mistyeye)</t>
  </si>
  <si>
    <t>CSKA Moscow (Walker)</t>
  </si>
  <si>
    <t>Brazil (Mr.Jey)</t>
  </si>
  <si>
    <t>Montpellier (Baphomet)</t>
  </si>
  <si>
    <t>Cyber Champions League  20:00 - 23:00</t>
  </si>
  <si>
    <t>Valencia (Thiago)</t>
  </si>
  <si>
    <t>Atletico Madrid (skmgery)</t>
  </si>
  <si>
    <t>Napoli (Den1Bravo)</t>
  </si>
  <si>
    <t>Italy Cyber Stars League  23:00 - 02:00</t>
  </si>
  <si>
    <t>Sampdoria (Sambo)</t>
  </si>
  <si>
    <t>Udinese (Thiago)</t>
  </si>
  <si>
    <t>Fiorentina (skmgery)</t>
  </si>
  <si>
    <t>Sassuolo (Ryuk)</t>
  </si>
  <si>
    <t>2 - 6 (2 - 3)</t>
  </si>
  <si>
    <t>Manchester City (Sambo)</t>
  </si>
  <si>
    <t>Saint-Etienne (Ryuk)</t>
  </si>
  <si>
    <t>Lille (Sambo)</t>
  </si>
  <si>
    <t>Stade Rennais (iamdevilwalk)</t>
  </si>
  <si>
    <t>Italy Cyber Stars League  08:00 - 11:00</t>
  </si>
  <si>
    <t>Juventus (praym)</t>
  </si>
  <si>
    <t>Crystal Palace (Stig)</t>
  </si>
  <si>
    <t>0 -1 (0 - 1)</t>
  </si>
  <si>
    <t>Sassuolo (madmah)</t>
  </si>
  <si>
    <t>4 - 6 (3 - 2)</t>
  </si>
  <si>
    <t>Italy (Mr.Jey)</t>
  </si>
  <si>
    <t>Belgium (Thiago)</t>
  </si>
  <si>
    <t>Atletico Madrid (Stig)</t>
  </si>
  <si>
    <t>England Cyber Stars League 18:00 - 21:00</t>
  </si>
  <si>
    <t>Watford (Supernova)</t>
  </si>
  <si>
    <t>Germany Cyber Stars League 21:00 - 24:00</t>
  </si>
  <si>
    <t>RB Leipzig (madmah)</t>
  </si>
  <si>
    <t>Monaco (MOSDEF)</t>
  </si>
  <si>
    <t>Juventus (MOSDEF)</t>
  </si>
  <si>
    <t>FC Bayern (skmgery)</t>
  </si>
  <si>
    <t>6 - 4 (4 - 3)</t>
  </si>
  <si>
    <t>4 - 7 (2 - 3)</t>
  </si>
  <si>
    <t>3 - 7 (1 - 3)</t>
  </si>
  <si>
    <t>Italy Cyber Stars League  02:00 - 05:00</t>
  </si>
  <si>
    <t>Inter (Fric)</t>
  </si>
  <si>
    <t>Milan (Tranquil)</t>
  </si>
  <si>
    <t>Lyon (Den1Bravo)</t>
  </si>
  <si>
    <t>England Cyber Stars League 08:00 - 11:00</t>
  </si>
  <si>
    <t>Leicester (Stig)</t>
  </si>
  <si>
    <t>England (Smile)</t>
  </si>
  <si>
    <t>Netherlands (Dimqaa)</t>
  </si>
  <si>
    <t>Real Betis (madmah)</t>
  </si>
  <si>
    <t>Villarreal (YOSHI)</t>
  </si>
  <si>
    <t>Athletic Club (Ishking11)</t>
  </si>
  <si>
    <t>Spain (madmah)</t>
  </si>
  <si>
    <t>Germany Cyber Stars League 14:00 - 17:00</t>
  </si>
  <si>
    <t>Borussia Dortmund (Zazabak)</t>
  </si>
  <si>
    <t>RB Leipzig (Veep)</t>
  </si>
  <si>
    <t>Cyber Champions League  17:00 - 20:00</t>
  </si>
  <si>
    <t>Valencia (Smile)</t>
  </si>
  <si>
    <t>Napoli (Dimqaa)</t>
  </si>
  <si>
    <t>Cyber Champions League  18:00 - 21:00</t>
  </si>
  <si>
    <t>Juventus (madmah)</t>
  </si>
  <si>
    <t>1 - 1 ( 0 - 1)</t>
  </si>
  <si>
    <t>Werder Bremen (madmah)</t>
  </si>
  <si>
    <t>Wolfsburg (YOSHI)</t>
  </si>
  <si>
    <t>Schalke 04 (Ishking11)</t>
  </si>
  <si>
    <t>Espanyol (Ryuk)</t>
  </si>
  <si>
    <t>Roma (Dimario91)</t>
  </si>
  <si>
    <t>Atletico Madrid (fleshka77)</t>
  </si>
  <si>
    <t>Sevilla (Dimario91)</t>
  </si>
  <si>
    <t>3 - 7 (1 - 2)</t>
  </si>
  <si>
    <t>Everton (Ryuk)</t>
  </si>
  <si>
    <t>Watford (Tranquil)</t>
  </si>
  <si>
    <t>Leicester (Sambo)</t>
  </si>
  <si>
    <t>Wolverhampton (ScRate)</t>
  </si>
  <si>
    <t>West Ham United (Fric)</t>
  </si>
  <si>
    <t>Italy Cyber Stars League  05:00 - 08:00</t>
  </si>
  <si>
    <t>Roma (Ryuk)</t>
  </si>
  <si>
    <t>Torino (ScRate)</t>
  </si>
  <si>
    <t>Milan (Fric)</t>
  </si>
  <si>
    <t>France Cyber Stars League 08:00 - 11:00</t>
  </si>
  <si>
    <t>Nice (Quavo)</t>
  </si>
  <si>
    <t>Saint-Etienne (Smile)</t>
  </si>
  <si>
    <t>Getafe (Mistyeye)</t>
  </si>
  <si>
    <t>Real Betis (Dimqaa)</t>
  </si>
  <si>
    <t>Cyber Europa League 12:30 - 15:00</t>
  </si>
  <si>
    <t>Manchester United (SpursMax)</t>
  </si>
  <si>
    <t>1 - 5 (4 - 0)</t>
  </si>
  <si>
    <t>1 -  3 (0 - 1)</t>
  </si>
  <si>
    <t>1 -  2 (0 - 1)</t>
  </si>
  <si>
    <t>Germany Cyber Stars League 15:00 - 18:00</t>
  </si>
  <si>
    <t>Wolfsburg (SpursMax)</t>
  </si>
  <si>
    <t>Tottenham (madmah)</t>
  </si>
  <si>
    <t>Germany (madmah)</t>
  </si>
  <si>
    <t>France (Smile)</t>
  </si>
  <si>
    <t>Barcelona (YOSHI)</t>
  </si>
  <si>
    <t>PSG (SpursMax)</t>
  </si>
  <si>
    <t xml:space="preserve"> 7 - 3 (4 - 1)</t>
  </si>
  <si>
    <t>5 - 1 (0 - 1)</t>
  </si>
  <si>
    <t>Denmark (YOSHI)</t>
  </si>
  <si>
    <t>4 -3 (1 - 2)</t>
  </si>
  <si>
    <t>Mexico (SpursMax)</t>
  </si>
  <si>
    <t>Austria (Ishking11)</t>
  </si>
  <si>
    <t>5- 1 (2 - 0)</t>
  </si>
  <si>
    <t>RB Leipzig (Sambo)</t>
  </si>
  <si>
    <t>6 - 3 (3 - 3)</t>
  </si>
  <si>
    <t>Villarreal (Ryuk)</t>
  </si>
  <si>
    <t>Athletic Club (Sambo)</t>
  </si>
  <si>
    <t>Real Sociedad (Fric)</t>
  </si>
  <si>
    <t>Getafe (ScRate)</t>
  </si>
  <si>
    <t xml:space="preserve">    </t>
  </si>
  <si>
    <t>Cyber Europa League 05:00 - 08:00</t>
  </si>
  <si>
    <t>Lazio (ScRate)</t>
  </si>
  <si>
    <t>Koln (Mistyeye)</t>
  </si>
  <si>
    <t>Hoffenheim (Dimqaa)</t>
  </si>
  <si>
    <t>Eintracht (dzekon)</t>
  </si>
  <si>
    <t>Wolfsburg (mrPanda)</t>
  </si>
  <si>
    <t>Schalke 04 (Smile)</t>
  </si>
  <si>
    <t>Portugal (dzekon)</t>
  </si>
  <si>
    <t>England Cyber Stars League 12:25 - 15:00</t>
  </si>
  <si>
    <t>Arsenal (Den1Bravo)</t>
  </si>
  <si>
    <t>Liverpool (SpursMax)</t>
  </si>
  <si>
    <t>Tottenham (Ishking11)</t>
  </si>
  <si>
    <t>Manchester City (Mr.Jey)</t>
  </si>
  <si>
    <t>Monaco (Den1Bravo)</t>
  </si>
  <si>
    <t>Montpellier (Jenko)</t>
  </si>
  <si>
    <t>Marseille (Mr.Jey)</t>
  </si>
  <si>
    <t>Chelsea (Dimqaa)</t>
  </si>
  <si>
    <t>Ajax  (dzekon)</t>
  </si>
  <si>
    <t>Bayer 04 (Smile)</t>
  </si>
  <si>
    <t>Uruguay (dzekon)</t>
  </si>
  <si>
    <t>Atletico Madrid (Jenko)</t>
  </si>
  <si>
    <t>7 - 2 (5 -1)</t>
  </si>
  <si>
    <t>PSG (Ishking11)</t>
  </si>
  <si>
    <t>Borussia Dortmund (Sambo)</t>
  </si>
  <si>
    <t>Inter (Ryuk)</t>
  </si>
  <si>
    <t>1  - 3 (0 - 3)</t>
  </si>
  <si>
    <t>Juventus (Sambo)</t>
  </si>
  <si>
    <t>Cyber World Cup 05:00 - 08:00</t>
  </si>
  <si>
    <t>Switzerland (Tranquil)</t>
  </si>
  <si>
    <t>Mexico (Sambo)</t>
  </si>
  <si>
    <t>Poland (ScRate)</t>
  </si>
  <si>
    <t>0 - 9 (0 - 5)</t>
  </si>
  <si>
    <t>Real Madrid (madmah)</t>
  </si>
  <si>
    <t>Barcelona (dzekon)</t>
  </si>
  <si>
    <t>Leicester (madmah)</t>
  </si>
  <si>
    <t>West Ham United (dzekon)</t>
  </si>
  <si>
    <t>Italy Cyber Stars League 12:40 - 15:00</t>
  </si>
  <si>
    <t>Udinese (forest**)</t>
  </si>
  <si>
    <t>4 - 1 (1 -1)</t>
  </si>
  <si>
    <t>0 - 5 ( 0 - 4)</t>
  </si>
  <si>
    <t>Chelsea (Jenko)</t>
  </si>
  <si>
    <t>Tottenham (Indra13_27)</t>
  </si>
  <si>
    <t>Manchester City (forest**)</t>
  </si>
  <si>
    <t>Borussia Dortmund (dzekon)</t>
  </si>
  <si>
    <t>Dynamo Kyiv (Mistyeye)</t>
  </si>
  <si>
    <t>Feyenoord (dzekon)</t>
  </si>
  <si>
    <t>Gent (Veep)</t>
  </si>
  <si>
    <t>Galatasaray (Mr.Jey)</t>
  </si>
  <si>
    <t>Olympiacos (Jenko)</t>
  </si>
  <si>
    <t>Salzburg (Indra13_27)</t>
  </si>
  <si>
    <t>Lokomotiv Moscow (SpursMax)</t>
  </si>
  <si>
    <t>Shakhtar Donetsk (forest**)</t>
  </si>
  <si>
    <t>Hoffenheim (Mr.Jey)</t>
  </si>
  <si>
    <t>Wolfsburg (Indra13_27)</t>
  </si>
  <si>
    <t>Werder Bremen (forest**)</t>
  </si>
  <si>
    <t>Monaco (Baphomet)</t>
  </si>
  <si>
    <t>Real Madrid (Sambo)</t>
  </si>
  <si>
    <t>Lyon (Veep)</t>
  </si>
  <si>
    <t xml:space="preserve"> 1 - 6 (0 - 2)</t>
  </si>
  <si>
    <t>Colombia (Ryuk)</t>
  </si>
  <si>
    <t>Argentina (Den1Bravo)</t>
  </si>
  <si>
    <t>Brazil (ScRate)</t>
  </si>
  <si>
    <t>Chile (Veep)</t>
  </si>
  <si>
    <t>1 - 10 (0 - 4)</t>
  </si>
  <si>
    <t>Aston Villa (mrPanda)</t>
  </si>
  <si>
    <t>Bournemouth (dzekon)</t>
  </si>
  <si>
    <t>Crystal Palace (Jenko)</t>
  </si>
  <si>
    <t>France Cyber Stars League 11:00 - 14:00</t>
  </si>
  <si>
    <t>Bourdeux (Mistyeye)</t>
  </si>
  <si>
    <t>Nice (mrPanda)</t>
  </si>
  <si>
    <t>Stade Rennais (dzekon)</t>
  </si>
  <si>
    <t>Lille (Jenko)</t>
  </si>
  <si>
    <t>Saint-Etienne (CarlWhizzer)</t>
  </si>
  <si>
    <t>Hertha BSC (ReadingClub)</t>
  </si>
  <si>
    <t>Mainz 05 (Indra13_27)</t>
  </si>
  <si>
    <t>1 - 2  (0 - 2)</t>
  </si>
  <si>
    <t>Belgium (ReadingClub)</t>
  </si>
  <si>
    <t>Manchester City (Jenko)</t>
  </si>
  <si>
    <t>Netherlands (dzekon)</t>
  </si>
  <si>
    <t>Manchester United (madmah)</t>
  </si>
  <si>
    <t>Arsenal (ReadingClub)</t>
  </si>
  <si>
    <t>Sevilla (Mr.Jey)</t>
  </si>
  <si>
    <t>Atalanta (madmah)</t>
  </si>
  <si>
    <t>Salzburg (ReadingClub)</t>
  </si>
  <si>
    <t>Club Brugge (Indra13_27)</t>
  </si>
  <si>
    <t>6 - 2 (1 - 2)</t>
  </si>
  <si>
    <t>3 - 2 (0 -1)</t>
  </si>
  <si>
    <t>Sampdoria (Aphex)</t>
  </si>
  <si>
    <t>Fiorentina (Sambo)</t>
  </si>
  <si>
    <t>Parma (Veep)</t>
  </si>
  <si>
    <t>Borussia Monchengladbach (hopkins)</t>
  </si>
  <si>
    <t>Denmark (Ishking11)</t>
  </si>
  <si>
    <t>Switzerland (Baphomet)</t>
  </si>
  <si>
    <t>Poland (hopkins)</t>
  </si>
  <si>
    <t>Austria (Ryuk)</t>
  </si>
  <si>
    <t>Liverpool (Smile)</t>
  </si>
  <si>
    <t>Real Betis (mrPanda)</t>
  </si>
  <si>
    <t>Getafe (Smile)</t>
  </si>
  <si>
    <t>Athletic Club (CarlWhizzer)</t>
  </si>
  <si>
    <t>Italy Cyber Stars League  12:00 - 15:00</t>
  </si>
  <si>
    <t>Atalanta (ReadingClub)</t>
  </si>
  <si>
    <t>Lazio (SpursMax)</t>
  </si>
  <si>
    <t>1 - 5 (1 - 5)</t>
  </si>
  <si>
    <t>Valencia (ReadingClub)</t>
  </si>
  <si>
    <t>Netherlands (specialist)</t>
  </si>
  <si>
    <t>Italy (CarlWhizzer)</t>
  </si>
  <si>
    <t>Uruguay (Dimqaa)</t>
  </si>
  <si>
    <t>Dynamo Kyiv (Smile)</t>
  </si>
  <si>
    <t>Eintracht (CarlWhizzer)</t>
  </si>
  <si>
    <t>FC Bayern (ReadingClub)</t>
  </si>
  <si>
    <t>0 - 4 (0 -1)</t>
  </si>
  <si>
    <t>Leicester (Supernova)</t>
  </si>
  <si>
    <t>Watford (Mr.Jey)</t>
  </si>
  <si>
    <t>West Ham United (ReadingClub)</t>
  </si>
  <si>
    <t>1 -  2 (0 - 2)</t>
  </si>
  <si>
    <t>Ajax  (Ishking11)</t>
  </si>
  <si>
    <t>Atalanta (Aphex)</t>
  </si>
  <si>
    <t>Chelsea (Baphomet)</t>
  </si>
  <si>
    <t>Brazil (Ishking11)</t>
  </si>
  <si>
    <t>Uruguay (Den1Bravo)</t>
  </si>
  <si>
    <t>Argentina (hopkins)</t>
  </si>
  <si>
    <t>Colombia (Ishking11)</t>
  </si>
  <si>
    <t>Real Betis (Veep)</t>
  </si>
  <si>
    <t>Valencia (hopkins)</t>
  </si>
  <si>
    <t>Lille (Smile)</t>
  </si>
  <si>
    <t>PSG (Zo0m)</t>
  </si>
  <si>
    <t>Marseille (Dimqaa)</t>
  </si>
  <si>
    <t xml:space="preserve"> Cyber World Cup 11:00 - 14:00</t>
  </si>
  <si>
    <t>Germany (CarlWhizzer)</t>
  </si>
  <si>
    <t>Portugal (Walker)</t>
  </si>
  <si>
    <t>Belgium (Smile)</t>
  </si>
  <si>
    <t>England Cyber Stars League 12:00 - 15:00</t>
  </si>
  <si>
    <t>Newcastle United (forest**)</t>
  </si>
  <si>
    <t>Crystal Palace (Sambo)</t>
  </si>
  <si>
    <t>Southampton (Indra13_27)</t>
  </si>
  <si>
    <t>Inter (forest**)</t>
  </si>
  <si>
    <t xml:space="preserve"> 2 - 2 (1 - 2)</t>
  </si>
  <si>
    <t>4 - 5 (2 - 4)</t>
  </si>
  <si>
    <t>Cyber Europa League 14:00 - 17:00</t>
  </si>
  <si>
    <t>Sevilla (Smile)</t>
  </si>
  <si>
    <t>Lazio (Aphex)</t>
  </si>
  <si>
    <t>Roma (Dimqaa)</t>
  </si>
  <si>
    <t>Benfica (CarlWhizzer)</t>
  </si>
  <si>
    <t>Tottenham (Aphex)</t>
  </si>
  <si>
    <t>Atalanta (Dimqaa)</t>
  </si>
  <si>
    <t>Uruguay (forest**)</t>
  </si>
  <si>
    <t>Spain (Sambo)</t>
  </si>
  <si>
    <t>3 - 7 (0 - 5)</t>
  </si>
  <si>
    <t>Juventus (forest**)</t>
  </si>
  <si>
    <t>Barcelona (Supernova)</t>
  </si>
  <si>
    <t xml:space="preserve"> 1 - 3  (1 - 2)</t>
  </si>
  <si>
    <t xml:space="preserve"> 3 - 2 (2 - 0)</t>
  </si>
  <si>
    <t>Werder Bremen (Ishking11)</t>
  </si>
  <si>
    <t>Wolfsburg (Den1Bravo)</t>
  </si>
  <si>
    <t>Mainz 05 (hopkins)</t>
  </si>
  <si>
    <t xml:space="preserve"> 0 - 0 (0 - 0)</t>
  </si>
  <si>
    <t>Liverpool (Baphomet)</t>
  </si>
  <si>
    <t>Tottenham (hopkins)</t>
  </si>
  <si>
    <t>Werder Bremen (ScRate)</t>
  </si>
  <si>
    <t>Hertha BSC (Ishking11)</t>
  </si>
  <si>
    <t>Mainz 05 (Den1Bravo)</t>
  </si>
  <si>
    <t>Schalke 04 (hopkins)</t>
  </si>
  <si>
    <t>Bayer 04 (ScRate)</t>
  </si>
  <si>
    <t>Ajax (Ishking11)</t>
  </si>
  <si>
    <t>Chelsea (Den1Bravo)</t>
  </si>
  <si>
    <t>Atalanta (hopkins)</t>
  </si>
  <si>
    <t>5 - 3 (1 - 0)</t>
  </si>
  <si>
    <t>1 - 5 (0 - 0)</t>
  </si>
  <si>
    <t>Milan (Mistyeye)</t>
  </si>
  <si>
    <t>Lazio (dzekon)</t>
  </si>
  <si>
    <t>Eibar (Dimqaa)</t>
  </si>
  <si>
    <t>Alaves (Mistyeye)</t>
  </si>
  <si>
    <t>Levante (dzekon)</t>
  </si>
  <si>
    <t>Celta (Smile)</t>
  </si>
  <si>
    <t xml:space="preserve"> 4 - 2 (2 - 1)</t>
  </si>
  <si>
    <t>Chelsea (Supernova)</t>
  </si>
  <si>
    <t>Brazil (forest**)</t>
  </si>
  <si>
    <t>Argentina (Sambo)</t>
  </si>
  <si>
    <t>Leicester (mrPanda)</t>
  </si>
  <si>
    <t>Everton (CarlWhizzer)</t>
  </si>
  <si>
    <t>Watford (dzekon)</t>
  </si>
  <si>
    <t>Wolverhampton (Smile)</t>
  </si>
  <si>
    <t>Portugal (mrPanda)</t>
  </si>
  <si>
    <t>Netherlands (CarlWhizzer)</t>
  </si>
  <si>
    <t xml:space="preserve"> Italy Cyber Stars League  18:00 - 21:00</t>
  </si>
  <si>
    <t>Sassuolo (forest**)</t>
  </si>
  <si>
    <t>Parma (Sambo)</t>
  </si>
  <si>
    <t xml:space="preserve">0 - 3 (0 - 2) </t>
  </si>
  <si>
    <t>7 - 2 (5 - 2)</t>
  </si>
  <si>
    <t>Borussia Monchengladbach (forest**)</t>
  </si>
  <si>
    <t>Marseille (hopkins)</t>
  </si>
  <si>
    <t>Monaco (Ishking11)</t>
  </si>
  <si>
    <t>AZ (Veep)</t>
  </si>
  <si>
    <t>CSKA Moscow (hopkins)</t>
  </si>
  <si>
    <t>Gent (Ryuk)</t>
  </si>
  <si>
    <t>Cyber World Cup 02:00 - 05:00</t>
  </si>
  <si>
    <t>France (Tranquil)</t>
  </si>
  <si>
    <t>Belgium (hopkins)</t>
  </si>
  <si>
    <t>4 - 6 (1 - 3)</t>
  </si>
  <si>
    <t>Villarreal (ScRate)</t>
  </si>
  <si>
    <t>Getafe (hopkins)</t>
  </si>
  <si>
    <t>Tottenham (Mistyeye)</t>
  </si>
  <si>
    <t>Manchester United (dzekon)</t>
  </si>
  <si>
    <t>Germany (Mistyeye)</t>
  </si>
  <si>
    <t>France (dzekon)</t>
  </si>
  <si>
    <t>Argentina (Smile)</t>
  </si>
  <si>
    <t>7 - 3 (4 - 2)</t>
  </si>
  <si>
    <t>Torino (Walker)</t>
  </si>
  <si>
    <t>Milan (Indra13_27)</t>
  </si>
  <si>
    <t>Portugal (forest**)</t>
  </si>
  <si>
    <t>2 - 7 (0 - 3)</t>
  </si>
  <si>
    <t>1 -  2 (1 - 1)</t>
  </si>
  <si>
    <t xml:space="preserve">1 - 4 (0 - 3) </t>
  </si>
  <si>
    <t>3 - 1 (1 -1)</t>
  </si>
  <si>
    <t>3 -2 (2 - 1)</t>
  </si>
  <si>
    <t>Valencia (Veep)</t>
  </si>
  <si>
    <t>Atletico Madrid (Mistyeye)</t>
  </si>
  <si>
    <t>Real Madrid (dzekon)</t>
  </si>
  <si>
    <t>2 - 1 (0 - 0 )</t>
  </si>
  <si>
    <t>Liverpool (dzekon)</t>
  </si>
  <si>
    <t>FC Bayern (Smile)</t>
  </si>
  <si>
    <t>CSKA Moscow (forest**)</t>
  </si>
  <si>
    <t>2 - 3 ( 2 - 1)</t>
  </si>
  <si>
    <t>Monaco (forest**)</t>
  </si>
  <si>
    <t xml:space="preserve"> (2 - 0)</t>
  </si>
  <si>
    <t>Borussia Dortmund (hopkins)</t>
  </si>
  <si>
    <t>Watford (Baphomet)</t>
  </si>
  <si>
    <t>Leicester (hopkins)</t>
  </si>
  <si>
    <t>West Ham United (Ishking11)</t>
  </si>
  <si>
    <t>Colombia (Orab)</t>
  </si>
  <si>
    <t>Chile (Fric)</t>
  </si>
  <si>
    <t>Uruguay (hopkins)</t>
  </si>
  <si>
    <t>Lille (Orab)</t>
  </si>
  <si>
    <t>PSG (hopkins)</t>
  </si>
  <si>
    <t>Cyber Europa League 09:00 - 11:00</t>
  </si>
  <si>
    <t>Porto (Dimqaa)</t>
  </si>
  <si>
    <t>Sevilla (L.A.I)</t>
  </si>
  <si>
    <t>Germany Cyber Stars League  11:00 - 14:00</t>
  </si>
  <si>
    <t>Wolfsburg (Mistyeye)</t>
  </si>
  <si>
    <t>Schalke 04 (CarlWhizzer)</t>
  </si>
  <si>
    <t>Koln (L.A.I)</t>
  </si>
  <si>
    <t>Werder Bremen (Walker)</t>
  </si>
  <si>
    <t>Everton (SpursMax)</t>
  </si>
  <si>
    <t>Watford (forest**)</t>
  </si>
  <si>
    <t>3 - 5 (0 - 4)</t>
  </si>
  <si>
    <t>5 - 4 (4 - 3)</t>
  </si>
  <si>
    <t>3 - 5 (3 - 1)</t>
  </si>
  <si>
    <t>Juventus (Mistyeye)</t>
  </si>
  <si>
    <t>PSG (L.A.I)</t>
  </si>
  <si>
    <t>France Cyber Stars League 17:00 - 20:00</t>
  </si>
  <si>
    <t>Montpellier (Mistyeye)</t>
  </si>
  <si>
    <t>Nice (RedDevil)</t>
  </si>
  <si>
    <t>Stade Rennais (L.A.I)</t>
  </si>
  <si>
    <t>Bourdeux (Walker)</t>
  </si>
  <si>
    <t>Saint-Etienne (Dimqaa)</t>
  </si>
  <si>
    <t>Italy Cyber Stars League 18:00 - 21:00</t>
  </si>
  <si>
    <t>Sassuolo (Sambo)</t>
  </si>
  <si>
    <t>Fiorentina (forest**)</t>
  </si>
  <si>
    <t>Denmark (Sambo)</t>
  </si>
  <si>
    <t>Switzerland (SpursMax)</t>
  </si>
  <si>
    <t>Mexico (forest**)</t>
  </si>
  <si>
    <t>Poland (Ishking11)</t>
  </si>
  <si>
    <t>Austria (Indra13_27)</t>
  </si>
  <si>
    <t>3 - 5 (0 - 0)</t>
  </si>
  <si>
    <t>Galatasaray (Ryuk)</t>
  </si>
  <si>
    <t>Olympiacos (RedDevil)</t>
  </si>
  <si>
    <t>Lokomotiv Moscow (Den1Bravo)</t>
  </si>
  <si>
    <t>Shakhtar Donetsk (hopkins)</t>
  </si>
  <si>
    <t>FC Bayern (hopkins)</t>
  </si>
  <si>
    <t>Monaco (Orab)</t>
  </si>
  <si>
    <t>Real Madrid (Orab)</t>
  </si>
  <si>
    <t>Italy Cyber Stars League 08:00 - 11:00</t>
  </si>
  <si>
    <t>Lazio (Mistyeye)</t>
  </si>
  <si>
    <t>Atalanta (NicolasRage)</t>
  </si>
  <si>
    <t>Inter (dzekon)</t>
  </si>
  <si>
    <t>Brighton (Mistyeye)</t>
  </si>
  <si>
    <t>Norwich City (NicolasRage)</t>
  </si>
  <si>
    <t>Sheffield United (Walker)</t>
  </si>
  <si>
    <t>Burnley (dzekon)</t>
  </si>
  <si>
    <t>2 - 4 (2 - 4)</t>
  </si>
  <si>
    <t>Torino (Sambo)</t>
  </si>
  <si>
    <t>FC Bayern (L.A.I)</t>
  </si>
  <si>
    <t>Borussia Monchengladbach (dzekon)</t>
  </si>
  <si>
    <t>Borussia Dortmund (NicolasRage)</t>
  </si>
  <si>
    <t>Juventus (L.A.I)</t>
  </si>
  <si>
    <t>FC Bayern (dzekon)</t>
  </si>
  <si>
    <t>PSG (NicolasRage)</t>
  </si>
  <si>
    <t>9 - 1 (3 - 1)</t>
  </si>
  <si>
    <t>CSKA Moscow (Sambo)</t>
  </si>
  <si>
    <t>Dynamo Kyiv (Supernova)</t>
  </si>
  <si>
    <t>Tottenham (Supernova)</t>
  </si>
  <si>
    <t>Arsenal (Veep)</t>
  </si>
  <si>
    <t>Italy (Orab)</t>
  </si>
  <si>
    <t>England (Ryuk)</t>
  </si>
  <si>
    <t>Netherlands (hopkins)</t>
  </si>
  <si>
    <t>Valencia (Orab)</t>
  </si>
  <si>
    <t>Salzburg (hopkins)</t>
  </si>
  <si>
    <t>3 - 8 (2 - 5)</t>
  </si>
  <si>
    <t>Werder Bremen (Mistyeye)</t>
  </si>
  <si>
    <t>Hertha BSC (CarlWhizzer)</t>
  </si>
  <si>
    <t>Wolfsburg (NicolasRage)</t>
  </si>
  <si>
    <t>Mainz 05 (ReadingClub)</t>
  </si>
  <si>
    <t>Schalke 04 (dzekon)</t>
  </si>
  <si>
    <t>1 -1 (0 - 0)</t>
  </si>
  <si>
    <t>3 - 1 (2- 1)</t>
  </si>
  <si>
    <t xml:space="preserve"> 1 - 0 (0 - 0)</t>
  </si>
  <si>
    <t>10 - 2 (6 - 1)</t>
  </si>
  <si>
    <t>Watford (NicolasRage)</t>
  </si>
  <si>
    <t>Wolverhampton (dzekon)</t>
  </si>
  <si>
    <t>Austria (Fric)</t>
  </si>
  <si>
    <t>Netherlands (L.A.I)</t>
  </si>
  <si>
    <t>Spain (dzekon)</t>
  </si>
  <si>
    <t>Italy (NicolasRage)</t>
  </si>
  <si>
    <t>Porto (L.A.I)</t>
  </si>
  <si>
    <t>Roma (CarlWhizzer)</t>
  </si>
  <si>
    <t>Manchester United (NicolasRage)</t>
  </si>
  <si>
    <t>France Cyber Stars League 18:00 - 21:00</t>
  </si>
  <si>
    <t>Monaco (Indra13_27)</t>
  </si>
  <si>
    <t>Marseille (Fric)</t>
  </si>
  <si>
    <t>4 - 4  (2 - 1)</t>
  </si>
  <si>
    <t>Ajax (Sambo)</t>
  </si>
  <si>
    <t>Benfica (Fric)</t>
  </si>
  <si>
    <t>Torino (Baphomet)</t>
  </si>
  <si>
    <t>Udinese (Orab)</t>
  </si>
  <si>
    <t>Chelsea (Orab)</t>
  </si>
  <si>
    <t>Chile (Jenko)</t>
  </si>
  <si>
    <t>Colombia (hopkins)</t>
  </si>
  <si>
    <t>Manchester City (L.A.I)</t>
  </si>
  <si>
    <t>Tottenham (dzekon)</t>
  </si>
  <si>
    <t>Liverpool (Dimqaa)</t>
  </si>
  <si>
    <t>Arsenal (NicolasRage)</t>
  </si>
  <si>
    <t>Eibar (L.A.I)</t>
  </si>
  <si>
    <t>Espanyol (dzekon)</t>
  </si>
  <si>
    <t>Real Sociedad (CarlWhizzer)</t>
  </si>
  <si>
    <t>Levante (NicolasRage)</t>
  </si>
  <si>
    <t xml:space="preserve"> 4 - 2 (3 - 0)</t>
  </si>
  <si>
    <t>Napoli (forest**)</t>
  </si>
  <si>
    <t>1 - 7 (1 - 5)</t>
  </si>
  <si>
    <t>Koln (Indra13_27)</t>
  </si>
  <si>
    <t>Hoffenheim (forest**)</t>
  </si>
  <si>
    <t>4 - 4 ( 3 - 0)</t>
  </si>
  <si>
    <t>Lille (L.A.I)</t>
  </si>
  <si>
    <t>Saint-Etienne (dzekon)</t>
  </si>
  <si>
    <t>Stade Rennais (Sambo)</t>
  </si>
  <si>
    <t>(1 - 0)</t>
  </si>
  <si>
    <t>Arsenal (L.A.I)</t>
  </si>
  <si>
    <t>Sevilla (dzekon)</t>
  </si>
  <si>
    <t>Watford (SpursMax)</t>
  </si>
  <si>
    <t>Wolverhampton (forest**)</t>
  </si>
  <si>
    <t>Valencia (Baphomet)</t>
  </si>
  <si>
    <t>Ajax  (Veep)</t>
  </si>
  <si>
    <t>Napoli (hopkins)</t>
  </si>
  <si>
    <t>Netherlands (Baphomet)</t>
  </si>
  <si>
    <t>Italy (Ryuk)</t>
  </si>
  <si>
    <t>Spain (hopkins)</t>
  </si>
  <si>
    <t>Real Madrid (Ishking11)</t>
  </si>
  <si>
    <t>Leicester (Jenko)</t>
  </si>
  <si>
    <t>Everton (Ishking11)</t>
  </si>
  <si>
    <t>Watford (Fric)</t>
  </si>
  <si>
    <t>West Ham United (hopkins)</t>
  </si>
  <si>
    <t>Wolverhampton (Tranquil)</t>
  </si>
  <si>
    <t>2 - 8 (1 - 2)</t>
  </si>
  <si>
    <t>Werder Bremen (LiveStrong)</t>
  </si>
  <si>
    <t>Hertha BSC (RedDevil)</t>
  </si>
  <si>
    <t>Schalke 04 (Mistyeye)</t>
  </si>
  <si>
    <t>Cyber Champions League 11:00 - 14:00</t>
  </si>
  <si>
    <t>Olympiacos (LiveStrong)</t>
  </si>
  <si>
    <t>Lokomotiv Moscow (RedDevil)</t>
  </si>
  <si>
    <t>Shakhtar Donetsk (specialist)</t>
  </si>
  <si>
    <t>Club Brugge (ReadingClub)</t>
  </si>
  <si>
    <t>Galatasaray (Mistyeye)</t>
  </si>
  <si>
    <t>Borussia Dortmund (forest**)</t>
  </si>
  <si>
    <t>3 - 0 (0 - 2)</t>
  </si>
  <si>
    <t xml:space="preserve"> 2 - 1 (2 - 1)</t>
  </si>
  <si>
    <t>Liverpool (forest**)</t>
  </si>
  <si>
    <t>6 - 1 (0 - 0)</t>
  </si>
  <si>
    <t>(0 - 2)</t>
  </si>
  <si>
    <t>Nice (chudnoff)</t>
  </si>
  <si>
    <t>Bourdeux (Shket)</t>
  </si>
  <si>
    <t>Uruguay (L.A.I)</t>
  </si>
  <si>
    <t>Netherlands (chudnoff)</t>
  </si>
  <si>
    <t>Spain (Dimqaa)</t>
  </si>
  <si>
    <t>Italy (Shket)</t>
  </si>
  <si>
    <t>England (Sambo)</t>
  </si>
  <si>
    <t>Milan (forest**)</t>
  </si>
  <si>
    <t>8 - 0 (2 - 0)</t>
  </si>
  <si>
    <t>1 - 4  (1 - 3)</t>
  </si>
  <si>
    <t>2 - 11 (1 - 5)</t>
  </si>
  <si>
    <t>Marseille (forest**)</t>
  </si>
  <si>
    <t>AZ (Baphomet)</t>
  </si>
  <si>
    <t>Feyenoord (Fric)</t>
  </si>
  <si>
    <t>Basel (Ryuk)</t>
  </si>
  <si>
    <t>BSC Young Boys (hopkins)</t>
  </si>
  <si>
    <t>Leicester (Fric)</t>
  </si>
  <si>
    <t>Eintracht (Mistyeye)</t>
  </si>
  <si>
    <t>Werder Bremen (HBK)</t>
  </si>
  <si>
    <t>Koln (NicolasRage)</t>
  </si>
  <si>
    <t>Hoffenheim (dzekon)</t>
  </si>
  <si>
    <t>Chelsea (HBK)</t>
  </si>
  <si>
    <t>Tottenham (NicolasRage)</t>
  </si>
  <si>
    <t>Sampdoria (Walker)</t>
  </si>
  <si>
    <t>Fiorentina (Ryuk)</t>
  </si>
  <si>
    <t>Parma (ReadingClub)</t>
  </si>
  <si>
    <t>Colombia (ReadingClub)</t>
  </si>
  <si>
    <t>Austria (forest**)</t>
  </si>
  <si>
    <t>Espanyol (NicolasRage)</t>
  </si>
  <si>
    <t>Real Sociedad (Poss)</t>
  </si>
  <si>
    <t>Inter (NicolasRage)</t>
  </si>
  <si>
    <t>Bayer 04 (Poss)</t>
  </si>
  <si>
    <t>Porto (dzekon)</t>
  </si>
  <si>
    <t>2 - 6 (2 - 1)</t>
  </si>
  <si>
    <t>Benfica (forest**)</t>
  </si>
  <si>
    <t>France (Ryuk)</t>
  </si>
  <si>
    <t>Argentina (ReadingClub)</t>
  </si>
  <si>
    <t>Belgium (forest**)</t>
  </si>
  <si>
    <t>Italy Cyber Stars League 20:00 - 23:00</t>
  </si>
  <si>
    <t>Aston Villa (REM)</t>
  </si>
  <si>
    <t>Bournemouth (NicolasRage)</t>
  </si>
  <si>
    <t>Crystal Palace (Poss)</t>
  </si>
  <si>
    <t>Southampton (dzekon)</t>
  </si>
  <si>
    <t>Sampdoria (REM)</t>
  </si>
  <si>
    <t>Fiorentina (NicolasRage)</t>
  </si>
  <si>
    <t>Parma (Poss)</t>
  </si>
  <si>
    <t>Udinese (dzekon)</t>
  </si>
  <si>
    <t>Manchester United (ReadingClub)</t>
  </si>
  <si>
    <t>Denmark (Supernova)</t>
  </si>
  <si>
    <t>Mexico (Aphex)</t>
  </si>
  <si>
    <t>Poland (ReadingClub)</t>
  </si>
  <si>
    <t>1 -1 (0 - 1)</t>
  </si>
  <si>
    <t>Real Madrid (L.A.I)</t>
  </si>
  <si>
    <t>Barcelona (HBK)</t>
  </si>
  <si>
    <t>Atletico Madrid (dzekon)</t>
  </si>
  <si>
    <t>5 - 2 (0 - 1)</t>
  </si>
  <si>
    <t>PSG (HBK)</t>
  </si>
  <si>
    <t>Schalke 04 (Walker)</t>
  </si>
  <si>
    <t>Werder Bremen (Aphex)</t>
  </si>
  <si>
    <t>Wolfsburg (forest**)</t>
  </si>
  <si>
    <t>Stade Rennais (Walker)</t>
  </si>
  <si>
    <t>Sporting (Aphex)</t>
  </si>
  <si>
    <t>Espanyol (ReadingClub)</t>
  </si>
  <si>
    <t>PSV (forest**)</t>
  </si>
  <si>
    <t>Juventus (Orab)</t>
  </si>
  <si>
    <t>Brazil (Orab)</t>
  </si>
  <si>
    <t>6 - 3 (4 - 2)</t>
  </si>
  <si>
    <t>RB Leipzig (Poss)</t>
  </si>
  <si>
    <t>Bayer 04 (NicolasRage)</t>
  </si>
  <si>
    <t>FC Bayern (HBK)</t>
  </si>
  <si>
    <t>6 - 3 (4 - 3)</t>
  </si>
  <si>
    <t>Eibar (Mistyeye)</t>
  </si>
  <si>
    <t>Espanyol (Poss)</t>
  </si>
  <si>
    <t>Real Sociedad (NicolasRage)</t>
  </si>
  <si>
    <t>Levante (HBK)</t>
  </si>
  <si>
    <t>Alaves (dzekon)</t>
  </si>
  <si>
    <t>Watford (ReadingClub)</t>
  </si>
  <si>
    <t>Wolverhampton (REM)</t>
  </si>
  <si>
    <t>0 - 4 ( 0 - 3)</t>
  </si>
  <si>
    <t>5 - 7 (3 - 4)</t>
  </si>
  <si>
    <t>England (ReadingClub)</t>
  </si>
  <si>
    <t>Netherlands (REM)</t>
  </si>
  <si>
    <t>Napoli (LiveStrong)</t>
  </si>
  <si>
    <t>Juventus (chudnoff)</t>
  </si>
  <si>
    <t>Atalanta (HBK)</t>
  </si>
  <si>
    <t>1 - 6 (0 - 0)</t>
  </si>
  <si>
    <t>3 - 6 (2 - 5)</t>
  </si>
  <si>
    <t>Ajax (LiveStrong)</t>
  </si>
  <si>
    <t>Borussia Dortmund (chudnoff)</t>
  </si>
  <si>
    <t>Valencia (HBK)</t>
  </si>
  <si>
    <t>Atalanta (dzekon)</t>
  </si>
  <si>
    <t>Real Madrid (ReadingClub)</t>
  </si>
  <si>
    <t>Atletico Madrid (REM)</t>
  </si>
  <si>
    <t>Porto (SpursMax)</t>
  </si>
  <si>
    <t>Sevilla (ReadingClub)</t>
  </si>
  <si>
    <t>Lazio (REM)</t>
  </si>
  <si>
    <t>1 - 2  (1 - 1)</t>
  </si>
  <si>
    <t>PSG (Orab)</t>
  </si>
  <si>
    <t>Monaco (hopkins)</t>
  </si>
  <si>
    <t>Cyber Copa America 23:00 - 02:00</t>
  </si>
  <si>
    <t>Chile (Baphomet)</t>
  </si>
  <si>
    <t>Colombia (Indra13_27)</t>
  </si>
  <si>
    <t>1 - 6 (0 - 5)</t>
  </si>
  <si>
    <t>Sevilla (Mistyeye)</t>
  </si>
  <si>
    <t>Barcelona (CarlWhizzer)</t>
  </si>
  <si>
    <t>Atletico Madrid (NicolasRage)</t>
  </si>
  <si>
    <t>Valencia (Poss)</t>
  </si>
  <si>
    <t>Switzerland (CarlWhizzer)</t>
  </si>
  <si>
    <t>Mexico (NicolasRage)</t>
  </si>
  <si>
    <t>Poland (Poss)</t>
  </si>
  <si>
    <t>Austria (dzekon)</t>
  </si>
  <si>
    <t>RB Leipzig (ReadingClub)</t>
  </si>
  <si>
    <t>Borussia Monchengladbach (REM)</t>
  </si>
  <si>
    <t>2 - 5 (0 - 0)</t>
  </si>
  <si>
    <t>Sassuolo (ReadingClub)</t>
  </si>
  <si>
    <t>Fiorentina (REM)</t>
  </si>
  <si>
    <t>Udinese (Jenko)</t>
  </si>
  <si>
    <t>2 -1  (0 - 0)</t>
  </si>
  <si>
    <t>Lyon (HBK)</t>
  </si>
  <si>
    <t>Monaco (CarlWhizzer)</t>
  </si>
  <si>
    <t>Marseille (NicolasRage)</t>
  </si>
  <si>
    <t>Montpellier (LiveStrong)</t>
  </si>
  <si>
    <t>PSG (dzekon)</t>
  </si>
  <si>
    <t>Juventus (HBK)</t>
  </si>
  <si>
    <t>Barcelona (LiveStrong)</t>
  </si>
  <si>
    <t>6 - 3 (5 - 2)</t>
  </si>
  <si>
    <t>Valladolid (ReadingClub)</t>
  </si>
  <si>
    <t>Getafe (Sambo)</t>
  </si>
  <si>
    <t>Villarreal (REM)</t>
  </si>
  <si>
    <t>CSKA Moscow (ReadingClub)</t>
  </si>
  <si>
    <t>Shakhtar Donetsk (Sambo)</t>
  </si>
  <si>
    <t>Dynamo Kyiv (REM)</t>
  </si>
  <si>
    <t>Eintracht (Ryuk)</t>
  </si>
  <si>
    <t>Manchester City (Tranquil)</t>
  </si>
  <si>
    <t>Tottenham (folen)</t>
  </si>
  <si>
    <t>Manchester United (Baphomet)</t>
  </si>
  <si>
    <t>Liverpool (Dimario91)</t>
  </si>
  <si>
    <t>Italy (Tranquil)</t>
  </si>
  <si>
    <t>Spain (folen)</t>
  </si>
  <si>
    <t>Uruguay (Dimario91)</t>
  </si>
  <si>
    <t>2 - 8 (1 - 4)</t>
  </si>
  <si>
    <t>Lyon (Mistyeye)</t>
  </si>
  <si>
    <t>Monaco (L.A.I)</t>
  </si>
  <si>
    <t>Lille (HBK)</t>
  </si>
  <si>
    <t>Portugal (Dimqaa)</t>
  </si>
  <si>
    <t>France (Mistyeye)</t>
  </si>
  <si>
    <t>Germany (L.A.I)</t>
  </si>
  <si>
    <t>Brazil (HBK)</t>
  </si>
  <si>
    <t>Sampdoria (folen)</t>
  </si>
  <si>
    <t>Udinese (Sambo)</t>
  </si>
  <si>
    <t>1 - 3 (2 - 0)</t>
  </si>
  <si>
    <t>Villarreal (ReadingClub)</t>
  </si>
  <si>
    <t>Valladolid (folen)</t>
  </si>
  <si>
    <t>Celta (Ryuk)</t>
  </si>
  <si>
    <t>Lazio (Poss)</t>
  </si>
  <si>
    <t>0 - 3 (0 -1)</t>
  </si>
  <si>
    <t>Salzburg (ScRate)</t>
  </si>
  <si>
    <t>Galatasaray (Dimqaa)</t>
  </si>
  <si>
    <t>Olympiacos (Poss)</t>
  </si>
  <si>
    <t>Lokomotiv Moscow (L.A.I)</t>
  </si>
  <si>
    <t>Manchester City (folen)</t>
  </si>
  <si>
    <t>Saint-Etienne (ReadingClub)</t>
  </si>
  <si>
    <t>Bourdeux (folen)</t>
  </si>
  <si>
    <t>Nice (Ryuk)</t>
  </si>
  <si>
    <t>Montpellier (Sambo)</t>
  </si>
  <si>
    <t>5 - 3 (5 - 0)</t>
  </si>
  <si>
    <t>Colombia (Baphomet)</t>
  </si>
  <si>
    <t>Chile (Den1Bravo)</t>
  </si>
  <si>
    <t>Uruguay (Phantom)</t>
  </si>
  <si>
    <t>0 - 1 ( 0 - 0)</t>
  </si>
  <si>
    <t>Tottenham (Tranquil)</t>
  </si>
  <si>
    <t>Liverpool (L.A.I)</t>
  </si>
  <si>
    <t>Lazio (forest**)</t>
  </si>
  <si>
    <t>Milan (ReadingClub)</t>
  </si>
  <si>
    <t>Napoli (folen)</t>
  </si>
  <si>
    <t>Hertha BSC (forest**)</t>
  </si>
  <si>
    <t>Schalke 04 (folen)</t>
  </si>
  <si>
    <t>PSG (MOSDEF)</t>
  </si>
  <si>
    <t>Monaco (RedDevil)</t>
  </si>
  <si>
    <t>Lille (Poss)</t>
  </si>
  <si>
    <t>Porto (MOSDEF)</t>
  </si>
  <si>
    <t>Roma (RedDevil)</t>
  </si>
  <si>
    <t>Borussia Monchengladbach (HBK)</t>
  </si>
  <si>
    <t>Sevilla (Poss)</t>
  </si>
  <si>
    <t>Valencia (forest**)</t>
  </si>
  <si>
    <t>Benfica (SpursMax)</t>
  </si>
  <si>
    <t>Atletico Madrid (ReadingClub)</t>
  </si>
  <si>
    <t>Bayer 04 (folen)</t>
  </si>
  <si>
    <t>Germany (forest**)</t>
  </si>
  <si>
    <t>Belgium (folen)</t>
  </si>
  <si>
    <t>Borussia Monchengladbach (Phantom)</t>
  </si>
  <si>
    <t>Bayer 04 (HBK)</t>
  </si>
  <si>
    <t>Wolverhampton (Phantom)</t>
  </si>
  <si>
    <t>Watford (Indra13_27)</t>
  </si>
  <si>
    <t>Everton (HBK)</t>
  </si>
  <si>
    <t>Borussia Dortmund (ScRate)</t>
  </si>
  <si>
    <t>Everton (Mistyeye)</t>
  </si>
  <si>
    <t>West Ham United (Poss)</t>
  </si>
  <si>
    <t>Wolverhampton (HBK)</t>
  </si>
  <si>
    <t xml:space="preserve"> 0 - 3 (0 - 3)</t>
  </si>
  <si>
    <t>Cyber World Cup 12:00 - 15:00</t>
  </si>
  <si>
    <t>Italy (Sambo)</t>
  </si>
  <si>
    <t>4 -1 (1 - 0)</t>
  </si>
  <si>
    <t>0 - 1 (0 - 0 )</t>
  </si>
  <si>
    <t>Real Betis (RedDevil)</t>
  </si>
  <si>
    <t>Barcelona (folen)</t>
  </si>
  <si>
    <t>Marseille (L.A.I)</t>
  </si>
  <si>
    <t>Lyon (Dimqaa)</t>
  </si>
  <si>
    <t>Monaco (Magistr)</t>
  </si>
  <si>
    <t>Barcelona (L.A.I)</t>
  </si>
  <si>
    <t>Borussia Dortmund (Magistr)</t>
  </si>
  <si>
    <t>5 - 7 (3 - 2)</t>
  </si>
  <si>
    <t>Arsenal (RedDevil)</t>
  </si>
  <si>
    <t>Manchester United (folen)</t>
  </si>
  <si>
    <t xml:space="preserve">2 - 5 (1 - 4) </t>
  </si>
  <si>
    <t>Inter (folen)</t>
  </si>
  <si>
    <t>Juventus (hopkins)</t>
  </si>
  <si>
    <t>Lazio (Dimario91)</t>
  </si>
  <si>
    <t>Brazil (hopkins)</t>
  </si>
  <si>
    <t>Belgium (Dimario91)</t>
  </si>
  <si>
    <t>6 - 4 (4 - 1)</t>
  </si>
  <si>
    <t>Real Betis (CarlWhizzer)</t>
  </si>
  <si>
    <t>Athletic Club (HBK)</t>
  </si>
  <si>
    <t>Getafe (dzekon)</t>
  </si>
  <si>
    <t>Villarreal (NicolasRage)</t>
  </si>
  <si>
    <t>Olympiacos (CarlWhizzer)</t>
  </si>
  <si>
    <t>Lokomotiv Moscow (HBK)</t>
  </si>
  <si>
    <t>Club Brugge (dzekon)</t>
  </si>
  <si>
    <t>Galatasaray (NicolasRage)</t>
  </si>
  <si>
    <t>Atalanta (Veep)</t>
  </si>
  <si>
    <t>Napoli (REM)</t>
  </si>
  <si>
    <t>6 - 4 (2 - 2)</t>
  </si>
  <si>
    <t>Mainz 05 (Ryuk)</t>
  </si>
  <si>
    <t>Schalke 04 (REM)</t>
  </si>
  <si>
    <t xml:space="preserve">5 - 1 (1 - 0) </t>
  </si>
  <si>
    <t>Montpellier (dzekon)</t>
  </si>
  <si>
    <t>Marseille (Magistr)</t>
  </si>
  <si>
    <t>Lyon (MOSDEF)</t>
  </si>
  <si>
    <t>Bayer 04 (Magistr)</t>
  </si>
  <si>
    <t>Manchester United (MOSDEF)</t>
  </si>
  <si>
    <t>Lazio (L.A.I)</t>
  </si>
  <si>
    <t>Belgium (REM)</t>
  </si>
  <si>
    <t>1 - 4 ( 1 - 3)</t>
  </si>
  <si>
    <t>3 - 6 (1 - 1)</t>
  </si>
  <si>
    <t>Barcelona (Dimario91)</t>
  </si>
  <si>
    <t>Brazil (Sambo)</t>
  </si>
  <si>
    <t>Colombia (Dimario91)</t>
  </si>
  <si>
    <t>Crystal Palace (Smile)</t>
  </si>
  <si>
    <t>Southampton (NicolasRage)</t>
  </si>
  <si>
    <t>FC Bayern (NicolasRage)</t>
  </si>
  <si>
    <t>Lyon (ReadingClub)</t>
  </si>
  <si>
    <t>Marseille (REM)</t>
  </si>
  <si>
    <t>Inter (ReadingClub)</t>
  </si>
  <si>
    <t>Milan (REM)</t>
  </si>
  <si>
    <t>Valencia (mrPanda)</t>
  </si>
  <si>
    <t>Real Madrid (HBK)</t>
  </si>
  <si>
    <t>Juventus (LiveStrong)</t>
  </si>
  <si>
    <t>Denmark (forest**)</t>
  </si>
  <si>
    <t>Switzerland (Sambo)</t>
  </si>
  <si>
    <t>Mexico (ReadingClub)</t>
  </si>
  <si>
    <t>Turkey (Walker)</t>
  </si>
  <si>
    <t>Austria (REM)</t>
  </si>
  <si>
    <t>Celtic (Sambo)</t>
  </si>
  <si>
    <t>Sporting (ReadingClub)</t>
  </si>
  <si>
    <t>Dynamo Kyiv (Walker)</t>
  </si>
  <si>
    <t>Gent (REM)</t>
  </si>
  <si>
    <t>Arsenal (hopkins)</t>
  </si>
  <si>
    <t>Ajax (Ryuk)</t>
  </si>
  <si>
    <t>Benfica (hopkins)</t>
  </si>
  <si>
    <t>Sassuolo (HBK)</t>
  </si>
  <si>
    <t>Sampdoria (dzekon)</t>
  </si>
  <si>
    <t>Parma (Smile)</t>
  </si>
  <si>
    <t>Udinese (NicolasRage)</t>
  </si>
  <si>
    <t>England (HBK)</t>
  </si>
  <si>
    <t>Uruguay (Mistyeye)</t>
  </si>
  <si>
    <t>Italy (Smile)</t>
  </si>
  <si>
    <t>Spain (NicolasRage)</t>
  </si>
  <si>
    <t>Atletico Madrid (forest**)</t>
  </si>
  <si>
    <t>Sevilla (REM)</t>
  </si>
  <si>
    <t>Bayer 04 (REM)</t>
  </si>
  <si>
    <t>Manchester City (dzekon)</t>
  </si>
  <si>
    <t>Manchester United (Smile)</t>
  </si>
  <si>
    <t>Liverpool (NicolasRage)</t>
  </si>
  <si>
    <t>Dynamo Kyiv (HBK)</t>
  </si>
  <si>
    <t>Gent (dzekon)</t>
  </si>
  <si>
    <t>Eintracht (Smile)</t>
  </si>
  <si>
    <t>Shakhtar Donetsk (NicolasRage)</t>
  </si>
  <si>
    <t>6 - 0 (0 - 0)</t>
  </si>
  <si>
    <t>6 - 3 (2 - 3)</t>
  </si>
  <si>
    <t>Borussia Dortmund (Phantom)</t>
  </si>
  <si>
    <t>Italy Cyber Stars League 21:00 - 24:00</t>
  </si>
  <si>
    <t>Torino (REM)</t>
  </si>
  <si>
    <t>Real Betis (folen)</t>
  </si>
  <si>
    <t>Villarreal (Den1Bravo)</t>
  </si>
  <si>
    <t>Valladolid (Baphomet)</t>
  </si>
  <si>
    <t>Athletic Club (Dimario91)</t>
  </si>
  <si>
    <t>5 - 3 (1 - 3)</t>
  </si>
  <si>
    <t>5 - 1 (3  - 1)</t>
  </si>
  <si>
    <t>Brazil (folen)</t>
  </si>
  <si>
    <t>Portugal (Baphomet)</t>
  </si>
  <si>
    <t>Monaco (dzekon)</t>
  </si>
  <si>
    <t>1 - 2 (2 - 0)</t>
  </si>
  <si>
    <t>Napoli (Poss)</t>
  </si>
  <si>
    <t>Leicester (Poss)</t>
  </si>
  <si>
    <t>Everton (Sambo)</t>
  </si>
  <si>
    <t>Wolverhampton (Walker)</t>
  </si>
  <si>
    <t>Valencia (LiveStrong)</t>
  </si>
  <si>
    <t>Real Betis (dzekon)</t>
  </si>
  <si>
    <t>Atletico Madrid (HBK)</t>
  </si>
  <si>
    <t>Real Madrid (NicolasRage)</t>
  </si>
  <si>
    <t>Denmark (LiveStrong)</t>
  </si>
  <si>
    <t>Switzerland (dzekon)</t>
  </si>
  <si>
    <t>Mexico (HBK)</t>
  </si>
  <si>
    <t>Austria (NicolasRage)</t>
  </si>
  <si>
    <t>Atalanta (Poss)</t>
  </si>
  <si>
    <t>Benfica (ReadingClub)</t>
  </si>
  <si>
    <t>Manchester United (Poss)</t>
  </si>
  <si>
    <t>Lazio (ReadingClub)</t>
  </si>
  <si>
    <t>Chelsea (Indra13_27)</t>
  </si>
  <si>
    <t>Manchester United (forest**)</t>
  </si>
  <si>
    <t>Chile (forest**)</t>
  </si>
  <si>
    <t>Torino (Mistyeye)</t>
  </si>
  <si>
    <t>Inter (Smile)</t>
  </si>
  <si>
    <t>Milan (NicolasRage)</t>
  </si>
  <si>
    <t>Manchester City (Poss)</t>
  </si>
  <si>
    <t>Tottenham (ReadingClub)</t>
  </si>
  <si>
    <t>3 - 8 (1 - 6)</t>
  </si>
  <si>
    <t>France (Poss)</t>
  </si>
  <si>
    <t>Argentina (Walker)</t>
  </si>
  <si>
    <t>5 - 2 (5 - 0)</t>
  </si>
  <si>
    <t>Eintracht (LiveStrong)</t>
  </si>
  <si>
    <t>Werder Bremen (dzekon)</t>
  </si>
  <si>
    <t>Koln (HBK)</t>
  </si>
  <si>
    <t>Wolfsburg (Smile)</t>
  </si>
  <si>
    <t>Hoffenheim (NicolasRage)</t>
  </si>
  <si>
    <t>Leicester (LiveStrong)</t>
  </si>
  <si>
    <t>Everton (dzekon)</t>
  </si>
  <si>
    <t>Watford (HBK)</t>
  </si>
  <si>
    <t>West Ham United (Smile)</t>
  </si>
  <si>
    <t>Wolverhampton (NicolasRage)</t>
  </si>
  <si>
    <t>2 - 10 (1 - 4)</t>
  </si>
  <si>
    <t>Juventus (Poss)</t>
  </si>
  <si>
    <t>Manchester City (ReadingClub)</t>
  </si>
  <si>
    <t>5 - 1(1 - 1)</t>
  </si>
  <si>
    <t>FC Bayern (Poss)</t>
  </si>
  <si>
    <t>11 - 3 (7 - 0)</t>
  </si>
  <si>
    <t>0 - 1(0 - 0)</t>
  </si>
  <si>
    <t>3 - 1(1 - 1)</t>
  </si>
  <si>
    <t>PSG (folen)</t>
  </si>
  <si>
    <t>Marseille (Dimario91)</t>
  </si>
  <si>
    <t>Uruguay (folen)</t>
  </si>
  <si>
    <t>Netherlands (Dimario91)</t>
  </si>
  <si>
    <t>Manchester City (MOSDEF)</t>
  </si>
  <si>
    <t>Liverpool (Phantom)</t>
  </si>
  <si>
    <t xml:space="preserve">Cyber Copa America 11:00 - 14:00                </t>
  </si>
  <si>
    <t>Chile (Poss)</t>
  </si>
  <si>
    <t>Colombia (Smile)</t>
  </si>
  <si>
    <t>Brazil (MOSDEF)</t>
  </si>
  <si>
    <t>Uruguay (ReadingClub)</t>
  </si>
  <si>
    <t>6 - 3 (5 - 1)</t>
  </si>
  <si>
    <t>Alaves (Sambo)</t>
  </si>
  <si>
    <t>Eibar (Smile)</t>
  </si>
  <si>
    <t>Espanyol (MOSDEF)</t>
  </si>
  <si>
    <t>Real Sociedad (REM)</t>
  </si>
  <si>
    <t>Levante (ReadingClub)</t>
  </si>
  <si>
    <t>7 - 0 (7 - 0)</t>
  </si>
  <si>
    <t>Galatasaray (Sambo)</t>
  </si>
  <si>
    <t>Olympiacos (Smile)</t>
  </si>
  <si>
    <t>Shakhtar Donetsk (MOSDEF)</t>
  </si>
  <si>
    <t>Club Brugge (REM)</t>
  </si>
  <si>
    <t>Lokomotiv Moscow (ReadingClub)</t>
  </si>
  <si>
    <t>4 - 6 (2 - 5)</t>
  </si>
  <si>
    <t xml:space="preserve">Germany Cyber Stars League 20:00 - 23:00		</t>
  </si>
  <si>
    <t>Hoffenheim (Walker)</t>
  </si>
  <si>
    <t>Schalke 04 (Sambo)</t>
  </si>
  <si>
    <t xml:space="preserve">France Cyber Stars League 23:00 - 02:00		</t>
  </si>
  <si>
    <t>Bourdeux (Sambo)</t>
  </si>
  <si>
    <t>Real Betis (Smile)</t>
  </si>
  <si>
    <t>Barcelona (MOSDEF)</t>
  </si>
  <si>
    <t>Roma (Smile)</t>
  </si>
  <si>
    <t>Inter (Poss)</t>
  </si>
  <si>
    <t>Bayer 04 (ReadingClub)</t>
  </si>
  <si>
    <t>Borussia Dortmund (Kennen)</t>
  </si>
  <si>
    <t>RB Leipzig (MOSDEF)</t>
  </si>
  <si>
    <t>5 - 7 (2 - 4)</t>
  </si>
  <si>
    <t>Tottenham (Smile)</t>
  </si>
  <si>
    <t>Juventus (REM)</t>
  </si>
  <si>
    <t>Barcelona (Kennen)</t>
  </si>
  <si>
    <t>2 - 5 (0 - 5)</t>
  </si>
  <si>
    <t>2 - 3  (1 - 2)</t>
  </si>
  <si>
    <t>Sevilla (Ryuk)</t>
  </si>
  <si>
    <t>France (Sambo)</t>
  </si>
  <si>
    <t>Hoffenheim (CarlWhizzer)</t>
  </si>
  <si>
    <t>Bayer 04 (dzekon)</t>
  </si>
  <si>
    <t>Eintracht (NicolasRage)</t>
  </si>
  <si>
    <t>Uruguay (HBK)</t>
  </si>
  <si>
    <t>Italy (dzekon)</t>
  </si>
  <si>
    <t>England (NicolasRage)</t>
  </si>
  <si>
    <t>1 - 4 (3 - 1)</t>
  </si>
  <si>
    <t>Monaco (ReadingClub)</t>
  </si>
  <si>
    <t>PSG (Kennen)</t>
  </si>
  <si>
    <t>Lyon (dzekon)</t>
  </si>
  <si>
    <t>6 - 3 (2 - 0)</t>
  </si>
  <si>
    <t>7 - 2 (4 - 2)</t>
  </si>
  <si>
    <t>..</t>
  </si>
  <si>
    <t>Napoli (ReadingClub)</t>
  </si>
  <si>
    <t>Valencia (dzekon)</t>
  </si>
  <si>
    <t>Real Madrid (forest**)</t>
  </si>
  <si>
    <t>5 - 7 (3 - 3)</t>
  </si>
  <si>
    <t>Lazio (Smile)</t>
  </si>
  <si>
    <t>Milan (dzekon)</t>
  </si>
  <si>
    <t>Juventus (NicolasRage)</t>
  </si>
  <si>
    <t>Ajax (CarlWhizzer)</t>
  </si>
  <si>
    <t>Atalanta (Smile)</t>
  </si>
  <si>
    <t>Benfica (NicolasRage)</t>
  </si>
  <si>
    <t>Borussia Dortmund (ReadingClub)</t>
  </si>
  <si>
    <t>Bayer 04 (Kennen)</t>
  </si>
  <si>
    <t>RB Leipzig (NicolasRage)</t>
  </si>
  <si>
    <t>CSKA Moscow (dzekon)</t>
  </si>
  <si>
    <t>Shakhtar Donetsk (ReadingClub)</t>
  </si>
  <si>
    <t>Gent (Kennen)</t>
  </si>
  <si>
    <t>Sporting (NicolasRage)</t>
  </si>
  <si>
    <t>Villarreal (forest**)</t>
  </si>
  <si>
    <t>Real Betis (Ishking11)</t>
  </si>
  <si>
    <t>Manchester United (Sambo)</t>
  </si>
  <si>
    <t>Liverpool (ReadingClub)</t>
  </si>
  <si>
    <t>10 - 0 (7 - 0)</t>
  </si>
  <si>
    <t>Aston Villa (HBK)</t>
  </si>
  <si>
    <t>Bournemouth (CarlWhizzer)</t>
  </si>
  <si>
    <t>Crystal Palace (dzekon)</t>
  </si>
  <si>
    <t>Sevilla (HBK)</t>
  </si>
  <si>
    <t>Valencia (NicolasRage)</t>
  </si>
  <si>
    <t>Napoli (Kennen)</t>
  </si>
  <si>
    <t>Lazio (NicolasRage)</t>
  </si>
  <si>
    <t>Inter (Kennen)</t>
  </si>
  <si>
    <t>(0 - 1)</t>
  </si>
  <si>
    <t>PSG (LiveStrong)</t>
  </si>
  <si>
    <t>4 - 6 (2 - 3)</t>
  </si>
  <si>
    <t>Lille (ReadingClub)</t>
  </si>
  <si>
    <t>Nice (LiveStrong)</t>
  </si>
  <si>
    <t>Stade Rennais (Aphex)</t>
  </si>
  <si>
    <t>Bourdeux (Veep)</t>
  </si>
  <si>
    <t>Saint-Etienne (Jenko)</t>
  </si>
  <si>
    <t>(0 - 0)</t>
  </si>
  <si>
    <t>Roma (Poss)</t>
  </si>
  <si>
    <t>Torino (dzekon)</t>
  </si>
  <si>
    <t>Chelsea (NicolasRage)</t>
  </si>
  <si>
    <t>7 - 2 (1 - 1)</t>
  </si>
  <si>
    <t>7 - 2 (2 - 1)</t>
  </si>
  <si>
    <t>Real Madrid (LiveStrong)</t>
  </si>
  <si>
    <t>3 - 6 (3 - 1)</t>
  </si>
  <si>
    <t>Chelsea (LiveStrong)</t>
  </si>
  <si>
    <t>Borussia Dortmund (CarlWhizzer)</t>
  </si>
  <si>
    <t>Ajax (NicolasRage)</t>
  </si>
  <si>
    <t>Lyon (Aphex)</t>
  </si>
  <si>
    <t>Lille (RedDevil)</t>
  </si>
  <si>
    <t>Marseille (Phantom)</t>
  </si>
  <si>
    <t>Spain (forest**)</t>
  </si>
  <si>
    <t>Netherlands (Aphex)</t>
  </si>
  <si>
    <t>9 - 2 (5 - 0)</t>
  </si>
  <si>
    <t>RB Leipzig (mrPanda)</t>
  </si>
  <si>
    <t>Villarreal (Poss)</t>
  </si>
  <si>
    <t>Valladolid (dzekon)</t>
  </si>
  <si>
    <t>Real Sociedad (HBK)</t>
  </si>
  <si>
    <t>Getafe (NicolasRage)</t>
  </si>
  <si>
    <t xml:space="preserve"> 2 - 3 (1 - 0)</t>
  </si>
  <si>
    <t>1 - 8 (0 - 4)</t>
  </si>
  <si>
    <t>Tottenham (REM)</t>
  </si>
  <si>
    <t>CSKA Moscow (NicolasRage)</t>
  </si>
  <si>
    <t>Dynamo Kyiv (dzekon)</t>
  </si>
  <si>
    <t>Celtic (REM)</t>
  </si>
  <si>
    <t>2 - 7 (1 - 6)</t>
  </si>
  <si>
    <t>Brazil (ReadingClub)</t>
  </si>
  <si>
    <t>Germany (Sambo)</t>
  </si>
  <si>
    <t>Belgium (RedDevil)</t>
  </si>
  <si>
    <t>Lyon (Poss)</t>
  </si>
  <si>
    <t>Monaco (Smile)</t>
  </si>
  <si>
    <t>PSG (Conab)</t>
  </si>
  <si>
    <t>2 - 7 (2 - 3)</t>
  </si>
  <si>
    <t>Juventus (Conab)</t>
  </si>
  <si>
    <t>Milan (Aphex)</t>
  </si>
  <si>
    <t>PSG (Veep)</t>
  </si>
  <si>
    <t>Real Madrid (Poss)</t>
  </si>
  <si>
    <t>Denmark (Veep)</t>
  </si>
  <si>
    <t>Switzerland (Smile)</t>
  </si>
  <si>
    <t>Mexico (Poss)</t>
  </si>
  <si>
    <t>7 - 2 (5 - 0)</t>
  </si>
  <si>
    <t>Chelsea (forest**)</t>
  </si>
  <si>
    <t>Tottenham (HBK)</t>
  </si>
  <si>
    <t>Wolfsburg (Sambo)</t>
  </si>
  <si>
    <t xml:space="preserve"> 0 - 5 (0 - 3)</t>
  </si>
  <si>
    <t>Real Madrid (Conab)</t>
  </si>
  <si>
    <t>Sevilla (Veep)</t>
  </si>
  <si>
    <t>Cyber Copa America 11:00 - 14:00</t>
  </si>
  <si>
    <t>Chile (Smile)</t>
  </si>
  <si>
    <t>Brazil (Miller)</t>
  </si>
  <si>
    <t>Argentina (Conab)</t>
  </si>
  <si>
    <t>Manchester City (Smile)</t>
  </si>
  <si>
    <t>Tottenham (Poss)</t>
  </si>
  <si>
    <t>Ajax (Smile)</t>
  </si>
  <si>
    <t>Benfica (Poss)</t>
  </si>
  <si>
    <t>Italy (ReadingClub)</t>
  </si>
  <si>
    <t>Spain (Phantom)</t>
  </si>
  <si>
    <t xml:space="preserve"> 3 - 3 (1 - 2)</t>
  </si>
  <si>
    <t>Sevilla (NicolasRage)</t>
  </si>
  <si>
    <t>Barcelona (Conab)</t>
  </si>
  <si>
    <t>0 - 9 (0 - 3)</t>
  </si>
  <si>
    <t>9 - 2 (1 - 1)</t>
  </si>
  <si>
    <t>Nice (NicolasRage)</t>
  </si>
  <si>
    <t>Lyon (Conab)</t>
  </si>
  <si>
    <t>Saint-Etienne (Poss)</t>
  </si>
  <si>
    <t>Napoli (NicolasRage)</t>
  </si>
  <si>
    <t>Chelsea (CarlWhizzer)</t>
  </si>
  <si>
    <t>Leicester (HBK)</t>
  </si>
  <si>
    <t>West Ham United (CarlWhizzer)</t>
  </si>
  <si>
    <t>Wolverhampton (ReadingClub)</t>
  </si>
  <si>
    <t>7 - 3 (4 - 1)</t>
  </si>
  <si>
    <t>Shakhtar Donetsk (LiveStrong)</t>
  </si>
  <si>
    <t>Gent (Sambo)</t>
  </si>
  <si>
    <t>4 - 4 (4 - 3)</t>
  </si>
  <si>
    <t>Arsenal (HBK)</t>
  </si>
  <si>
    <t>Manchester United (LiveStrong)</t>
  </si>
  <si>
    <t>Lyon (Smile)</t>
  </si>
  <si>
    <t>Monaco (Jenko)</t>
  </si>
  <si>
    <t>FC Bayern (Zo0m)</t>
  </si>
  <si>
    <t>Borussia Dortmund (Smile)</t>
  </si>
  <si>
    <t>Athletic Club (Poss)</t>
  </si>
  <si>
    <t>Real Betis (NicolasRage)</t>
  </si>
  <si>
    <t>Shakhtar Donetsk (HBK)</t>
  </si>
  <si>
    <t>Lokomotiv Moscow (Poss)</t>
  </si>
  <si>
    <t>Galatasaray (Smile)</t>
  </si>
  <si>
    <t>Olympiacos (NicolasRage)</t>
  </si>
  <si>
    <t>Belgium (Veep)</t>
  </si>
  <si>
    <t>Netherlands (LiveStrong)</t>
  </si>
  <si>
    <t>Manchester City (REM)</t>
  </si>
  <si>
    <t>Brazil (REM)</t>
  </si>
  <si>
    <t>France (ReadingClub)</t>
  </si>
  <si>
    <t>Argentina (mrPanda)</t>
  </si>
  <si>
    <t>Belgium (NicolasRage)</t>
  </si>
  <si>
    <t>5 - 5 (4 - 3)</t>
  </si>
  <si>
    <t>Barcelona (Poss)</t>
  </si>
  <si>
    <t>Sevilla (LiveStrong)</t>
  </si>
  <si>
    <t>Ajax (Poss)</t>
  </si>
  <si>
    <t>Tottenham (LiveStrong)</t>
  </si>
  <si>
    <t>Porto (HBK)</t>
  </si>
  <si>
    <t xml:space="preserve"> 2 - 1(0 - 1)</t>
  </si>
  <si>
    <t>Sassuolo (Poss)</t>
  </si>
  <si>
    <t>Sampdoria (HBK)</t>
  </si>
  <si>
    <t>Fiorentina (Aphex)</t>
  </si>
  <si>
    <t>Athletic Club (forest**)</t>
  </si>
  <si>
    <t>Real Sociedad (dzekon)</t>
  </si>
  <si>
    <t>4 - 5 (2 - 0)</t>
  </si>
  <si>
    <t>Cameroon (REM)</t>
  </si>
  <si>
    <t>Greece (forest**)</t>
  </si>
  <si>
    <t>Czech Republic (HBK)</t>
  </si>
  <si>
    <t>United States (dzekon)</t>
  </si>
  <si>
    <t>Ireland (NicolasRage)</t>
  </si>
  <si>
    <t xml:space="preserve">1 - 0 (1 - 0) </t>
  </si>
  <si>
    <t>Inter (LiveStrong)</t>
  </si>
  <si>
    <t>Juventus (dzekon)</t>
  </si>
  <si>
    <t>CSKA Moscow (LiveStrong)</t>
  </si>
  <si>
    <t>Celtic (Veep)</t>
  </si>
  <si>
    <t>Dynamo Kyiv (CarlWhizzer)</t>
  </si>
  <si>
    <t>Shakhtar Donetsk (dzekon)</t>
  </si>
  <si>
    <t>Gent (NicolasRage)</t>
  </si>
  <si>
    <t xml:space="preserve"> 2 - 2 (0 - 1)</t>
  </si>
  <si>
    <t>3 - 7 (1 - 5)</t>
  </si>
  <si>
    <t>2 - 2(1 - 2)</t>
  </si>
  <si>
    <t>West Ham United (Sambo)</t>
  </si>
  <si>
    <t>Watford (Miller)</t>
  </si>
  <si>
    <t>Everton (Phantom)</t>
  </si>
  <si>
    <t>FC Bayern (REM)</t>
  </si>
  <si>
    <t>Bayer 04 (forest**)</t>
  </si>
  <si>
    <t>Borussia Monchengladbach (NicolasRage)</t>
  </si>
  <si>
    <t>3 - 6 (1 - 5)</t>
  </si>
  <si>
    <t>Leicester (REM)</t>
  </si>
  <si>
    <t>West Ham United (forest**)</t>
  </si>
  <si>
    <t>Lille (REM)</t>
  </si>
  <si>
    <t>Nice (dzekon)</t>
  </si>
  <si>
    <t>Saint-Etienne (NicolasRage)</t>
  </si>
  <si>
    <t>Denmark (REM)</t>
  </si>
  <si>
    <t>Mexico (Jenko)</t>
  </si>
  <si>
    <t>Juventus (Zo0m)</t>
  </si>
  <si>
    <t>5 - 5 (0 - 2)</t>
  </si>
  <si>
    <t>Napoli (Conab)</t>
  </si>
  <si>
    <t>Germany (dzekon)</t>
  </si>
  <si>
    <t>Portugal (NicolasRage)</t>
  </si>
  <si>
    <t>Belgium (Miller)</t>
  </si>
  <si>
    <t>France (Conab)</t>
  </si>
  <si>
    <t>1 - 7 (0 - 0)</t>
  </si>
  <si>
    <t>Porto (mrPanda)</t>
  </si>
  <si>
    <t>Arsenal (mrPanda)</t>
  </si>
  <si>
    <t>Ajax (Veep)</t>
  </si>
  <si>
    <t>Benfica (HBK)</t>
  </si>
  <si>
    <t>Chile (HBK)</t>
  </si>
  <si>
    <t>Brazil (Phantom)</t>
  </si>
  <si>
    <t>Valencia (REM)</t>
  </si>
  <si>
    <t>Marseille (Miller)</t>
  </si>
  <si>
    <t>Stade Rennais (CarlWhizzer)</t>
  </si>
  <si>
    <t>Bourdeux (REM)</t>
  </si>
  <si>
    <t>Borussia Monchengladbach (Poss)</t>
  </si>
  <si>
    <t>Liverpool (Poss)</t>
  </si>
  <si>
    <t>Lazio (HBK)</t>
  </si>
  <si>
    <t>Sampdoria (ReadingClub)</t>
  </si>
  <si>
    <t>Fiorentina (HBK)</t>
  </si>
  <si>
    <t>3 - 6 (2 - 1)</t>
  </si>
  <si>
    <t>Lazio (mrPanda)</t>
  </si>
  <si>
    <t>5 - 2 (4 - 2)</t>
  </si>
  <si>
    <t>Switzerland (Veep)</t>
  </si>
  <si>
    <t>Turkey (NicolasRage)</t>
  </si>
  <si>
    <t>Poland (REM)</t>
  </si>
  <si>
    <t xml:space="preserve">England Cyber Stars League 14:00 - 17:00         </t>
  </si>
  <si>
    <t>Burnley (Poss)</t>
  </si>
  <si>
    <t>Sheffield United (CarlWhizzer)</t>
  </si>
  <si>
    <t>Crystal Palace (REM)</t>
  </si>
  <si>
    <t>Brighton (Veep)</t>
  </si>
  <si>
    <t>Borussia Dortmund (REM)</t>
  </si>
  <si>
    <t>Basaksehir (Poss)</t>
  </si>
  <si>
    <t>Stade Rennais (ReadingClub)</t>
  </si>
  <si>
    <t>Sporting (HBK)</t>
  </si>
  <si>
    <t>PSV (RedDevil)</t>
  </si>
  <si>
    <t>Eintracht (Poss)</t>
  </si>
  <si>
    <t>Koln (ReadingClub)</t>
  </si>
  <si>
    <t>Hoffenheim (RedDevil)</t>
  </si>
  <si>
    <t>Real Sociedad (Jenko)</t>
  </si>
  <si>
    <t>Athletic Club (Phantom)</t>
  </si>
  <si>
    <t>Colombia (HBK)</t>
  </si>
  <si>
    <t>Chile (CarlWhizzer)</t>
  </si>
  <si>
    <t>Chelsea (Poss)</t>
  </si>
  <si>
    <t>Tottenham (Jenko)</t>
  </si>
  <si>
    <t>Manchester City (Ishking11)</t>
  </si>
  <si>
    <t>Juventus (RedDevil)</t>
  </si>
  <si>
    <t>Barcelona (ReadingClub)</t>
  </si>
  <si>
    <t>Nice (HBK)</t>
  </si>
  <si>
    <t>Bourdeux (LiveStrong)</t>
  </si>
  <si>
    <t>0 - 10 (0 - 5)</t>
  </si>
  <si>
    <t>Arsenal (Poss)</t>
  </si>
  <si>
    <t>Porto (LiveStrong)</t>
  </si>
  <si>
    <t>3 - 7 (1 - 1)</t>
  </si>
  <si>
    <t>Eintracht (HBK)</t>
  </si>
  <si>
    <t>Werder Bremen (Jenko)</t>
  </si>
  <si>
    <t>Koln (CarlWhizzer)</t>
  </si>
  <si>
    <t>Hoffenheim (Veep)</t>
  </si>
  <si>
    <t xml:space="preserve">France Cyber Stars League 14:00 - 17:00                </t>
  </si>
  <si>
    <t>Marseille (Poss)</t>
  </si>
  <si>
    <t>Manchester United (Miller)</t>
  </si>
  <si>
    <t>Everton (Veep)</t>
  </si>
  <si>
    <t>Leicester (ReadingClub)</t>
  </si>
  <si>
    <t>Watford (Poss)</t>
  </si>
  <si>
    <t>Chelsea (ReadingClub)</t>
  </si>
  <si>
    <t>Borussia Dortmund (LiveStrong)</t>
  </si>
  <si>
    <t>Netherlands (Poss)</t>
  </si>
  <si>
    <t>Belgium (LiveStrong)</t>
  </si>
  <si>
    <t>4 - 7 (4 - 4)</t>
  </si>
  <si>
    <t>Monaco (HBK)</t>
  </si>
  <si>
    <t>PSG (Phantom)</t>
  </si>
  <si>
    <t>Lille (NicolasRage)</t>
  </si>
  <si>
    <t xml:space="preserve">Cyber Europa League 11:00 - 14:00                </t>
  </si>
  <si>
    <t>Porto (Veep)</t>
  </si>
  <si>
    <t>Sevilla (Jenko)</t>
  </si>
  <si>
    <t xml:space="preserve">4 - 2 (3 - 2) </t>
  </si>
  <si>
    <t xml:space="preserve">Cyber Champions League 14:00 - 17:00                </t>
  </si>
  <si>
    <t>Barcelona (NicolasRage)</t>
  </si>
  <si>
    <t>Uruguay (Miller)</t>
  </si>
  <si>
    <t>Switzerland (NicolasRage)</t>
  </si>
  <si>
    <t>Inter (HBK)</t>
  </si>
  <si>
    <t>Manchester City (NicolasRage)</t>
  </si>
  <si>
    <t>Chelsea (mrPanda)</t>
  </si>
  <si>
    <t>Brazil (NicolasRage)</t>
  </si>
  <si>
    <t>France (Miller)</t>
  </si>
  <si>
    <t>0 - 8 (0 - 7)</t>
  </si>
  <si>
    <t xml:space="preserve">England Cyber Stars League 11:00 - 14:00                </t>
  </si>
  <si>
    <t>Everton (ReadingClub)</t>
  </si>
  <si>
    <t>Chelsea (Phantom)</t>
  </si>
  <si>
    <t>1 - 5 (0 -3)</t>
  </si>
  <si>
    <t>Stade Rennais (LiveStrong)</t>
  </si>
  <si>
    <t>Bourdeux (HBK)</t>
  </si>
  <si>
    <t>5 - 6 (4 - 4)</t>
  </si>
  <si>
    <t>Switzerland (Poss)</t>
  </si>
  <si>
    <t>Austria (LiveStrong)</t>
  </si>
  <si>
    <t>Turkey (HBK)</t>
  </si>
  <si>
    <t>Roma (NicolasRage)</t>
  </si>
  <si>
    <t>Milan (CarlWhizzer)</t>
  </si>
  <si>
    <t>Torino (ReadingClub)</t>
  </si>
  <si>
    <t>Atalanta (REM)</t>
  </si>
  <si>
    <t xml:space="preserve"> 2 - 5 (1 - 3)</t>
  </si>
  <si>
    <t xml:space="preserve"> 2 - 1 (2 - 0)</t>
  </si>
  <si>
    <t xml:space="preserve"> 1 - 1 (0 - 1) </t>
  </si>
  <si>
    <t>Brazil (Poss)</t>
  </si>
  <si>
    <t>4 - 6 (1 - 2)</t>
  </si>
  <si>
    <t>Argentina (NicolasRage)</t>
  </si>
  <si>
    <t>France (CarlWhizzer)</t>
  </si>
  <si>
    <t>Portugal (ReadingClub)</t>
  </si>
  <si>
    <t xml:space="preserve"> 1 - 3 (1 - 1)</t>
  </si>
  <si>
    <t xml:space="preserve"> 6 - 1 (3 - 0)</t>
  </si>
  <si>
    <t>Sporting (Poss)</t>
  </si>
  <si>
    <t>Feyenoord (HBK)</t>
  </si>
  <si>
    <t>Celtic (ReadingClub)</t>
  </si>
  <si>
    <t>PSV (NicolasRage)</t>
  </si>
  <si>
    <t>6 - 4 (4 - 0)</t>
  </si>
  <si>
    <t>Germany Cyber Stars League 17:00 - 20:00</t>
  </si>
  <si>
    <t>Werder Bremen (Poss)</t>
  </si>
  <si>
    <t>Hertha BSC (LiveStrong)</t>
  </si>
  <si>
    <t>Wolfsburg (HBK)</t>
  </si>
  <si>
    <t>Schalke 04 (NicolasRage)</t>
  </si>
  <si>
    <t>4- 0 (2 - 0)</t>
  </si>
  <si>
    <t>Sampdoria (LiveStrong)</t>
  </si>
  <si>
    <t>Udinese (CarlWhizzer)</t>
  </si>
  <si>
    <t>4 - 7 (2 - 4)</t>
  </si>
  <si>
    <t>Valladolid (LiveStrong)</t>
  </si>
  <si>
    <t>Getafe (ReadingClub)</t>
  </si>
  <si>
    <t>2 - 4(1 - 2)</t>
  </si>
  <si>
    <t>Wolfsburg (Poss)</t>
  </si>
  <si>
    <t>Basaksehir (LiveStrong)</t>
  </si>
  <si>
    <t>Gent (OLOM)</t>
  </si>
  <si>
    <t>Sweden (Poss)</t>
  </si>
  <si>
    <t>Cameroon (LiveStrong)</t>
  </si>
  <si>
    <t>Colombia (OLOM)</t>
  </si>
  <si>
    <t>5 - 2 (5 - 1)</t>
  </si>
  <si>
    <t>Hoffenheim (HBK)</t>
  </si>
  <si>
    <t>Leicester (OLOM)</t>
  </si>
  <si>
    <t>West Ham United (Veep)</t>
  </si>
  <si>
    <t>Wolverhampton (LiveStrong)</t>
  </si>
  <si>
    <t>Ajax (OLOM)</t>
  </si>
  <si>
    <t>Atalanta (LiveStrong)</t>
  </si>
  <si>
    <t>Cyber Europa League 8:00 - 11:00</t>
  </si>
  <si>
    <t>0 - 2 (0 -2)</t>
  </si>
  <si>
    <t>Spain (Poss)</t>
  </si>
  <si>
    <t>Netherlands (HBK)</t>
  </si>
  <si>
    <t>4 - 6 (3 - 4)</t>
  </si>
  <si>
    <t>Atletico Madrid (LiveStrong)</t>
  </si>
  <si>
    <t>Real Madrid (OLOM)</t>
  </si>
  <si>
    <t>Aston Villa (ReadingClub)</t>
  </si>
  <si>
    <t>Bournemouth (LiveStrong)</t>
  </si>
  <si>
    <t>Crystal Palace (OLOM)</t>
  </si>
  <si>
    <t>Manchester City (HBK)</t>
  </si>
  <si>
    <t>PSG (mrPanda)</t>
  </si>
  <si>
    <t>Liverpool (HBK)</t>
  </si>
  <si>
    <t>Fiorentina (OLOM)</t>
  </si>
  <si>
    <t>Udinese (LiveStrong)</t>
  </si>
  <si>
    <t>Parma (REM)</t>
  </si>
  <si>
    <t>Standard  (OLOM)</t>
  </si>
  <si>
    <t>AZ (Jenko)</t>
  </si>
  <si>
    <t>Rosenborg (ReadingClub)</t>
  </si>
  <si>
    <t>LASK (LiveStrong)</t>
  </si>
  <si>
    <t>Malmo (REM)</t>
  </si>
  <si>
    <t>Eintracht (Jenko)</t>
  </si>
  <si>
    <t>Werder Bremen (ReadingClub)</t>
  </si>
  <si>
    <t>Burnley (ReadingClub)</t>
  </si>
  <si>
    <t>Brighton (HBK)</t>
  </si>
  <si>
    <t>Sheffield United (Poss)</t>
  </si>
  <si>
    <t>Real Betis (REM)</t>
  </si>
  <si>
    <t>Getafe (Veep)</t>
  </si>
  <si>
    <t>Villarreal (OLOM)</t>
  </si>
  <si>
    <t>Saint-Etienne (OLOM)</t>
  </si>
  <si>
    <t>Italy Cyber Stars League 9:00 - 12:00</t>
  </si>
  <si>
    <t>Basaksehir (REM)</t>
  </si>
  <si>
    <t>Espanyol (Jenko)</t>
  </si>
  <si>
    <t>PSV (ReadingClub)</t>
  </si>
  <si>
    <t>Cyber Champions League 9:00 - 12:00</t>
  </si>
  <si>
    <t xml:space="preserve">Cyber World Cup 12:00 - 15:00                </t>
  </si>
  <si>
    <t>Uruguay (REM)</t>
  </si>
  <si>
    <t>Italy (HBK)</t>
  </si>
  <si>
    <t>England (LiveStrong)</t>
  </si>
  <si>
    <t>5 - 8 (1 - 5)</t>
  </si>
  <si>
    <t>6 - 3 (3 - 0)</t>
  </si>
  <si>
    <t>Inter (mrPanda)</t>
  </si>
  <si>
    <t>Torino (HBK)</t>
  </si>
  <si>
    <t>Valladolid (mrPanda)</t>
  </si>
  <si>
    <t>Alaves (Veep)</t>
  </si>
  <si>
    <t>Eibar (NicolasRage)</t>
  </si>
  <si>
    <t>Celta (HBK)</t>
  </si>
  <si>
    <t>Manchester United (OLOM)</t>
  </si>
  <si>
    <t>Ireland (OLOM)</t>
  </si>
  <si>
    <t>Sweden (ReadingClub)</t>
  </si>
  <si>
    <t>Greece (REM)</t>
  </si>
  <si>
    <t>United States (Jenko)</t>
  </si>
  <si>
    <t>Norway (Poss)</t>
  </si>
  <si>
    <t>Marseille (HBK)</t>
  </si>
  <si>
    <t>Mainz 05 (CarlWhizzer)</t>
  </si>
  <si>
    <t>Hertha BSC (Jenko)</t>
  </si>
  <si>
    <t>Borussia Dortmund (OLOM)</t>
  </si>
  <si>
    <t>Ajax (ReadingClub)</t>
  </si>
  <si>
    <t>Cyber Copa America 17:00 - 20:00</t>
  </si>
  <si>
    <t>Peru (OLOM)</t>
  </si>
  <si>
    <t>Paraguay  (LiveStrong)</t>
  </si>
  <si>
    <t>Feyenoord (Jenko)</t>
  </si>
  <si>
    <t>CSKA Moscow (Mistyeye)</t>
  </si>
  <si>
    <t>Celtic (NicolasRage)</t>
  </si>
  <si>
    <t>Denmark (Jenko)</t>
  </si>
  <si>
    <t>Poland (Mistyeye)</t>
  </si>
  <si>
    <t>Real Betis (HBK)</t>
  </si>
  <si>
    <t>Atletico Madrid (Poss)</t>
  </si>
  <si>
    <t>Tottenham (OLOM)</t>
  </si>
  <si>
    <t>Norwich City (mrPanda)</t>
  </si>
  <si>
    <t>Southampton (REM)</t>
  </si>
  <si>
    <t>Burnley (HBK)</t>
  </si>
  <si>
    <t>Brighton (CarlWhizzer)</t>
  </si>
  <si>
    <t>Sheffield United (NicolasRage)</t>
  </si>
  <si>
    <t>Galatasaray  (mrPanda)</t>
  </si>
  <si>
    <t>Chelsea (REM)</t>
  </si>
  <si>
    <t>Salzburg (CarlWhizzer)</t>
  </si>
  <si>
    <t>Lyon (NicolasRage)</t>
  </si>
  <si>
    <t>Inter (OLOM)</t>
  </si>
  <si>
    <t>Roma (HBK)</t>
  </si>
  <si>
    <t>Torino (Veep)</t>
  </si>
  <si>
    <t xml:space="preserve">                                                                             с  </t>
  </si>
  <si>
    <t>2 - 9 (1 - 3)</t>
  </si>
  <si>
    <t>Borussia Monchengladbach (OLOM)</t>
  </si>
  <si>
    <t>Borussia Dortmund (HBK)</t>
  </si>
  <si>
    <t>RB Leipzig (REM)</t>
  </si>
  <si>
    <t>Lyon (LiveStrong)</t>
  </si>
  <si>
    <t>Monaco (OLOM)</t>
  </si>
  <si>
    <t>4 - 4 (0 - 4)</t>
  </si>
  <si>
    <t>Stade Rennais (NicolasRage)</t>
  </si>
  <si>
    <t>Espanyol (LiveStrong)</t>
  </si>
  <si>
    <t>PSV (OLOM)</t>
  </si>
  <si>
    <t>6 - 3 (1 - 2)</t>
  </si>
  <si>
    <t>Spain Cyber Stars League 9:00 - 12:00</t>
  </si>
  <si>
    <t>Valladolid (REM)</t>
  </si>
  <si>
    <t>Alaves (RedDevil)</t>
  </si>
  <si>
    <t>Celta (Poss)</t>
  </si>
  <si>
    <t>Levante (Jenko)</t>
  </si>
  <si>
    <t>Eibar (HBK)</t>
  </si>
  <si>
    <t>0 - 3 (0 - 6)</t>
  </si>
  <si>
    <t xml:space="preserve">Cyber Europa League 12:00 - 15:00		</t>
  </si>
  <si>
    <t>Manchester United (REM)</t>
  </si>
  <si>
    <t>Inter (RedDevil)</t>
  </si>
  <si>
    <t>2 - 7 (2 - 2)</t>
  </si>
  <si>
    <t>PSG (REM)</t>
  </si>
  <si>
    <t>1 - 0 (2 - 1)</t>
  </si>
  <si>
    <t>Germany (REM)</t>
  </si>
  <si>
    <t>Argentina (HBK)</t>
  </si>
  <si>
    <t>Dynamo Kyiv (mrPanda)</t>
  </si>
  <si>
    <t>Gent (ReadingClub)</t>
  </si>
  <si>
    <t>0 - 8 (0 - 2)</t>
  </si>
  <si>
    <t>FC Bayern (OLOM)</t>
  </si>
  <si>
    <t>Borussia Dortmund (Poss)</t>
  </si>
  <si>
    <t>Burnley (Veep)</t>
  </si>
  <si>
    <t>Bournemouth (Poss)</t>
  </si>
  <si>
    <t>Ajax  (Poss)</t>
  </si>
  <si>
    <t>Sassuolo (OLOM)</t>
  </si>
  <si>
    <t>Sampdoria (CaTman)</t>
  </si>
  <si>
    <t>Fiorentina (ReadingClub)</t>
  </si>
  <si>
    <t>Parma (LiveStrong)</t>
  </si>
  <si>
    <t>Borussia Dortmund (CaTman)</t>
  </si>
  <si>
    <t>Bayer 04 (LiveStrong)</t>
  </si>
  <si>
    <t>Eibar (Jenko)</t>
  </si>
  <si>
    <t>Celta (NicolasRage)</t>
  </si>
  <si>
    <t>Alaves (Poss)</t>
  </si>
  <si>
    <t>Stade Rennais (Poss)</t>
  </si>
  <si>
    <t>Montpellier (OLOM)</t>
  </si>
  <si>
    <t xml:space="preserve"> 2 - 0 (0 - 0)</t>
  </si>
  <si>
    <t>Turkey (Veep)</t>
  </si>
  <si>
    <t>Switzerland (OLOM)</t>
  </si>
  <si>
    <t>Cyber Europa League 9:00 - 12:00</t>
  </si>
  <si>
    <t>Gent (mrPanda)</t>
  </si>
  <si>
    <t>0 - 0 (1 - 0)</t>
  </si>
  <si>
    <t>Italy (mrPanda)</t>
  </si>
  <si>
    <t>Portugal (Poss)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</si>
</sst>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9">
    <font>
      <sz val="10.0"/>
      <color rgb="FF000000"/>
      <name val="Arial"/>
    </font>
    <font>
      <b/>
      <sz val="14.0"/>
      <color theme="1"/>
      <name val="Arial"/>
    </font>
    <font/>
    <font>
      <color theme="1"/>
      <name val="Arial"/>
    </font>
    <font>
      <sz val="11.0"/>
      <color rgb="FF000000"/>
      <name val="Calibri"/>
    </font>
    <font>
      <sz val="14.0"/>
      <color theme="1"/>
      <name val="Arial"/>
    </font>
    <font>
      <sz val="14.0"/>
      <name val="Arial"/>
    </font>
    <font>
      <u/>
      <sz val="14.0"/>
      <color rgb="FF1155CC"/>
      <name val="Arial"/>
    </font>
    <font>
      <sz val="14.0"/>
      <color rgb="FF000000"/>
      <name val="Arial"/>
    </font>
    <font>
      <sz val="14.0"/>
      <color rgb="FF1155CC"/>
      <name val="Arial"/>
    </font>
    <font>
      <u/>
      <color rgb="FF1155CC"/>
      <name val="Arial"/>
    </font>
    <font>
      <b/>
      <sz val="14.0"/>
      <color rgb="FFFF0000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sz val="14.0"/>
      <color rgb="FFFF0000"/>
      <name val="Arial"/>
    </font>
    <font>
      <u/>
      <sz val="14.0"/>
      <color rgb="FF1155CC"/>
      <name val="Arial"/>
    </font>
    <font>
      <u/>
      <color rgb="FF1155CC"/>
    </font>
    <font>
      <u/>
      <sz val="14.0"/>
      <color rgb="FF1155CC"/>
      <name val="Arial"/>
    </font>
    <font>
      <b/>
      <sz val="14.0"/>
      <color theme="5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sz val="14.0"/>
      <color rgb="FF1E375C"/>
      <name val="Arial"/>
    </font>
    <font>
      <u/>
      <sz val="14.0"/>
      <color rgb="FF0000FF"/>
      <name val="Arial"/>
    </font>
    <font>
      <u/>
      <sz val="14.0"/>
      <color rgb="FF0000FF"/>
      <name val="Arial"/>
    </font>
    <font>
      <u/>
      <sz val="14.0"/>
      <color rgb="FF1155CC"/>
      <name val="Arial"/>
    </font>
    <font>
      <b/>
      <sz val="14.0"/>
      <color rgb="FF000000"/>
      <name val="Arial"/>
    </font>
    <font>
      <sz val="14.0"/>
      <color rgb="FF1E375C"/>
      <name val="Roboto"/>
    </font>
    <font>
      <u/>
      <sz val="14.0"/>
      <color rgb="FF1155CC"/>
      <name val="Arial"/>
    </font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</fills>
  <borders count="14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top style="thin">
        <color rgb="FF000000"/>
      </top>
    </border>
  </borders>
  <cellStyleXfs count="1">
    <xf borderId="0" fillId="0" fontId="0" numFmtId="0" applyAlignment="1" applyFont="1"/>
  </cellStyleXfs>
  <cellXfs count="169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bottom"/>
    </xf>
    <xf borderId="2" fillId="0" fontId="2" numFmtId="0" xfId="0" applyBorder="1" applyFont="1"/>
    <xf borderId="3" fillId="0" fontId="2" numFmtId="0" xfId="0" applyBorder="1" applyFont="1"/>
    <xf borderId="4" fillId="0" fontId="3" numFmtId="0" xfId="0" applyAlignment="1" applyBorder="1" applyFont="1">
      <alignment vertical="bottom"/>
    </xf>
    <xf borderId="4" fillId="0" fontId="4" numFmtId="0" xfId="0" applyAlignment="1" applyBorder="1" applyFont="1">
      <alignment horizontal="center" readingOrder="0" shrinkToFit="0" vertical="center" wrapText="0"/>
    </xf>
    <xf borderId="4" fillId="0" fontId="5" numFmtId="0" xfId="0" applyAlignment="1" applyBorder="1" applyFont="1">
      <alignment horizontal="center" vertical="bottom"/>
    </xf>
    <xf borderId="5" fillId="0" fontId="4" numFmtId="20" xfId="0" applyAlignment="1" applyBorder="1" applyFont="1" applyNumberFormat="1">
      <alignment horizontal="center" readingOrder="0" shrinkToFit="0" vertical="center" wrapText="0"/>
    </xf>
    <xf borderId="4" fillId="0" fontId="5" numFmtId="0" xfId="0" applyAlignment="1" applyBorder="1" applyFont="1">
      <alignment readingOrder="0" vertical="bottom"/>
    </xf>
    <xf borderId="4" fillId="0" fontId="6" numFmtId="49" xfId="0" applyAlignment="1" applyBorder="1" applyFont="1" applyNumberFormat="1">
      <alignment horizontal="center" readingOrder="0" vertical="bottom"/>
    </xf>
    <xf borderId="4" fillId="0" fontId="5" numFmtId="0" xfId="0" applyAlignment="1" applyBorder="1" applyFont="1">
      <alignment readingOrder="0" vertical="bottom"/>
    </xf>
    <xf borderId="4" fillId="0" fontId="7" numFmtId="0" xfId="0" applyAlignment="1" applyBorder="1" applyFont="1">
      <alignment horizontal="center" readingOrder="0" vertical="bottom"/>
    </xf>
    <xf borderId="4" fillId="0" fontId="6" numFmtId="0" xfId="0" applyAlignment="1" applyBorder="1" applyFont="1">
      <alignment readingOrder="0" vertical="bottom"/>
    </xf>
    <xf borderId="4" fillId="0" fontId="6" numFmtId="0" xfId="0" applyAlignment="1" applyBorder="1" applyFont="1">
      <alignment horizontal="center" readingOrder="0" vertical="bottom"/>
    </xf>
    <xf borderId="4" fillId="0" fontId="1" numFmtId="0" xfId="0" applyAlignment="1" applyBorder="1" applyFont="1">
      <alignment horizontal="center" vertical="bottom"/>
    </xf>
    <xf borderId="5" fillId="0" fontId="4" numFmtId="0" xfId="0" applyAlignment="1" applyBorder="1" applyFont="1">
      <alignment horizontal="center" readingOrder="0" shrinkToFit="0" vertical="center" wrapText="0"/>
    </xf>
    <xf borderId="4" fillId="0" fontId="5" numFmtId="0" xfId="0" applyAlignment="1" applyBorder="1" applyFont="1">
      <alignment horizontal="center" vertical="bottom"/>
    </xf>
    <xf borderId="6" fillId="0" fontId="4" numFmtId="20" xfId="0" applyAlignment="1" applyBorder="1" applyFont="1" applyNumberFormat="1">
      <alignment horizontal="center" readingOrder="0" shrinkToFit="0" vertical="center" wrapText="0"/>
    </xf>
    <xf borderId="5" fillId="0" fontId="4" numFmtId="0" xfId="0" applyAlignment="1" applyBorder="1" applyFont="1">
      <alignment horizontal="center" readingOrder="0" shrinkToFit="0" vertical="bottom" wrapText="0"/>
    </xf>
    <xf borderId="5" fillId="0" fontId="4" numFmtId="20" xfId="0" applyAlignment="1" applyBorder="1" applyFont="1" applyNumberFormat="1">
      <alignment horizontal="center" readingOrder="0" shrinkToFit="0" vertical="bottom" wrapText="0"/>
    </xf>
    <xf borderId="4" fillId="0" fontId="8" numFmtId="0" xfId="0" applyAlignment="1" applyBorder="1" applyFont="1">
      <alignment readingOrder="0" vertical="bottom"/>
    </xf>
    <xf borderId="4" fillId="0" fontId="9" numFmtId="0" xfId="0" applyAlignment="1" applyBorder="1" applyFont="1">
      <alignment horizontal="center" vertical="bottom"/>
    </xf>
    <xf borderId="4" fillId="0" fontId="4" numFmtId="20" xfId="0" applyAlignment="1" applyBorder="1" applyFont="1" applyNumberFormat="1">
      <alignment horizontal="center" vertical="bottom"/>
    </xf>
    <xf borderId="5" fillId="0" fontId="4" numFmtId="20" xfId="0" applyAlignment="1" applyBorder="1" applyFont="1" applyNumberFormat="1">
      <alignment horizontal="center" vertical="bottom"/>
    </xf>
    <xf borderId="4" fillId="0" fontId="9" numFmtId="0" xfId="0" applyAlignment="1" applyBorder="1" applyFont="1">
      <alignment horizontal="center" vertical="bottom"/>
    </xf>
    <xf borderId="4" fillId="0" fontId="5" numFmtId="49" xfId="0" applyAlignment="1" applyBorder="1" applyFont="1" applyNumberFormat="1">
      <alignment horizontal="center" vertical="bottom"/>
    </xf>
    <xf borderId="0" fillId="0" fontId="5" numFmtId="0" xfId="0" applyAlignment="1" applyFont="1">
      <alignment horizontal="center"/>
    </xf>
    <xf borderId="5" fillId="0" fontId="4" numFmtId="0" xfId="0" applyAlignment="1" applyBorder="1" applyFont="1">
      <alignment horizontal="center" shrinkToFit="0" vertical="bottom" wrapText="0"/>
    </xf>
    <xf borderId="1" fillId="0" fontId="1" numFmtId="0" xfId="0" applyAlignment="1" applyBorder="1" applyFont="1">
      <alignment horizontal="center" vertical="bottom"/>
    </xf>
    <xf borderId="4" fillId="0" fontId="3" numFmtId="0" xfId="0" applyAlignment="1" applyBorder="1" applyFont="1">
      <alignment vertical="bottom"/>
    </xf>
    <xf borderId="4" fillId="0" fontId="3" numFmtId="49" xfId="0" applyAlignment="1" applyBorder="1" applyFont="1" applyNumberFormat="1">
      <alignment vertical="bottom"/>
    </xf>
    <xf borderId="0" fillId="0" fontId="3" numFmtId="0" xfId="0" applyAlignment="1" applyFont="1">
      <alignment vertical="bottom"/>
    </xf>
    <xf borderId="4" fillId="0" fontId="5" numFmtId="0" xfId="0" applyAlignment="1" applyBorder="1" applyFont="1">
      <alignment vertical="bottom"/>
    </xf>
    <xf borderId="4" fillId="0" fontId="5" numFmtId="49" xfId="0" applyAlignment="1" applyBorder="1" applyFont="1" applyNumberFormat="1">
      <alignment horizontal="center" readingOrder="0" vertical="bottom"/>
    </xf>
    <xf borderId="4" fillId="0" fontId="5" numFmtId="0" xfId="0" applyAlignment="1" applyBorder="1" applyFont="1">
      <alignment vertical="bottom"/>
    </xf>
    <xf borderId="4" fillId="0" fontId="5" numFmtId="0" xfId="0" applyAlignment="1" applyBorder="1" applyFont="1">
      <alignment horizontal="center" readingOrder="0" vertical="bottom"/>
    </xf>
    <xf borderId="0" fillId="0" fontId="3" numFmtId="0" xfId="0" applyAlignment="1" applyFont="1">
      <alignment readingOrder="0"/>
    </xf>
    <xf borderId="0" fillId="0" fontId="5" numFmtId="0" xfId="0" applyAlignment="1" applyFont="1">
      <alignment horizontal="center" readingOrder="0"/>
    </xf>
    <xf borderId="0" fillId="0" fontId="10" numFmtId="0" xfId="0" applyAlignment="1" applyFont="1">
      <alignment readingOrder="0"/>
    </xf>
    <xf borderId="0" fillId="2" fontId="8" numFmtId="0" xfId="0" applyAlignment="1" applyFill="1" applyFont="1">
      <alignment horizontal="center" readingOrder="0"/>
    </xf>
    <xf borderId="4" fillId="0" fontId="8" numFmtId="0" xfId="0" applyAlignment="1" applyBorder="1" applyFont="1">
      <alignment vertical="bottom"/>
    </xf>
    <xf borderId="4" fillId="0" fontId="5" numFmtId="0" xfId="0" applyAlignment="1" applyBorder="1" applyFont="1">
      <alignment horizontal="left" vertical="bottom"/>
    </xf>
    <xf borderId="4" fillId="0" fontId="11" numFmtId="0" xfId="0" applyAlignment="1" applyBorder="1" applyFont="1">
      <alignment horizontal="center" readingOrder="0" vertical="bottom"/>
    </xf>
    <xf borderId="4" fillId="0" fontId="8" numFmtId="0" xfId="0" applyAlignment="1" applyBorder="1" applyFont="1">
      <alignment horizontal="center" readingOrder="0" vertical="bottom"/>
    </xf>
    <xf borderId="4" fillId="0" fontId="12" numFmtId="0" xfId="0" applyAlignment="1" applyBorder="1" applyFont="1">
      <alignment horizontal="center" vertical="bottom"/>
    </xf>
    <xf borderId="4" fillId="0" fontId="5" numFmtId="0" xfId="0" applyAlignment="1" applyBorder="1" applyFont="1">
      <alignment horizontal="left" vertical="bottom"/>
    </xf>
    <xf borderId="1" fillId="0" fontId="3" numFmtId="0" xfId="0" applyAlignment="1" applyBorder="1" applyFont="1">
      <alignment readingOrder="0"/>
    </xf>
    <xf borderId="4" fillId="0" fontId="4" numFmtId="0" xfId="0" applyAlignment="1" applyBorder="1" applyFont="1">
      <alignment horizontal="center" readingOrder="0" shrinkToFit="0" vertical="bottom" wrapText="0"/>
    </xf>
    <xf borderId="4" fillId="0" fontId="1" numFmtId="0" xfId="0" applyAlignment="1" applyBorder="1" applyFont="1">
      <alignment horizontal="center" vertical="bottom"/>
    </xf>
    <xf borderId="4" fillId="0" fontId="9" numFmtId="0" xfId="0" applyAlignment="1" applyBorder="1" applyFont="1">
      <alignment horizontal="center" vertical="bottom"/>
    </xf>
    <xf borderId="0" fillId="0" fontId="3" numFmtId="0" xfId="0" applyFont="1"/>
    <xf borderId="4" fillId="0" fontId="13" numFmtId="0" xfId="0" applyAlignment="1" applyBorder="1" applyFont="1">
      <alignment horizontal="center" vertical="bottom"/>
    </xf>
    <xf borderId="4" fillId="0" fontId="8" numFmtId="49" xfId="0" applyAlignment="1" applyBorder="1" applyFont="1" applyNumberFormat="1">
      <alignment horizontal="center" readingOrder="0" vertical="bottom"/>
    </xf>
    <xf borderId="7" fillId="0" fontId="5" numFmtId="0" xfId="0" applyAlignment="1" applyBorder="1" applyFont="1">
      <alignment horizontal="center" readingOrder="0"/>
    </xf>
    <xf borderId="0" fillId="0" fontId="5" numFmtId="0" xfId="0" applyAlignment="1" applyFont="1">
      <alignment horizontal="center"/>
    </xf>
    <xf borderId="4" fillId="0" fontId="8" numFmtId="0" xfId="0" applyAlignment="1" applyBorder="1" applyFont="1">
      <alignment horizontal="center" readingOrder="0" vertical="bottom"/>
    </xf>
    <xf borderId="4" fillId="0" fontId="3" numFmtId="0" xfId="0" applyBorder="1" applyFont="1"/>
    <xf borderId="4" fillId="0" fontId="11" numFmtId="49" xfId="0" applyAlignment="1" applyBorder="1" applyFont="1" applyNumberFormat="1">
      <alignment horizontal="center" readingOrder="0" vertical="bottom"/>
    </xf>
    <xf borderId="5" fillId="0" fontId="4" numFmtId="0" xfId="0" applyAlignment="1" applyBorder="1" applyFont="1">
      <alignment horizontal="center" shrinkToFit="0" vertical="bottom" wrapText="0"/>
    </xf>
    <xf borderId="0" fillId="0" fontId="5" numFmtId="0" xfId="0" applyAlignment="1" applyFont="1">
      <alignment readingOrder="0"/>
    </xf>
    <xf borderId="0" fillId="2" fontId="8" numFmtId="49" xfId="0" applyAlignment="1" applyFont="1" applyNumberFormat="1">
      <alignment horizontal="center" readingOrder="0"/>
    </xf>
    <xf borderId="4" fillId="0" fontId="4" numFmtId="20" xfId="0" applyAlignment="1" applyBorder="1" applyFont="1" applyNumberFormat="1">
      <alignment horizontal="center" readingOrder="0" shrinkToFit="0" vertical="bottom" wrapText="0"/>
    </xf>
    <xf borderId="0" fillId="0" fontId="4" numFmtId="0" xfId="0" applyAlignment="1" applyFont="1">
      <alignment horizontal="center" shrinkToFit="0" vertical="bottom" wrapText="0"/>
    </xf>
    <xf borderId="0" fillId="0" fontId="4" numFmtId="0" xfId="0" applyAlignment="1" applyFont="1">
      <alignment horizontal="center" readingOrder="0" shrinkToFit="0" vertical="bottom" wrapText="0"/>
    </xf>
    <xf borderId="0" fillId="0" fontId="4" numFmtId="20" xfId="0" applyAlignment="1" applyFont="1" applyNumberFormat="1">
      <alignment horizontal="center" readingOrder="0" shrinkToFit="0" vertical="bottom" wrapText="0"/>
    </xf>
    <xf borderId="8" fillId="0" fontId="3" numFmtId="0" xfId="0" applyAlignment="1" applyBorder="1" applyFont="1">
      <alignment readingOrder="0"/>
    </xf>
    <xf borderId="9" fillId="0" fontId="2" numFmtId="0" xfId="0" applyBorder="1" applyFont="1"/>
    <xf borderId="10" fillId="0" fontId="2" numFmtId="0" xfId="0" applyBorder="1" applyFont="1"/>
    <xf borderId="4" fillId="2" fontId="14" numFmtId="0" xfId="0" applyAlignment="1" applyBorder="1" applyFont="1">
      <alignment horizontal="center" readingOrder="0" vertical="bottom"/>
    </xf>
    <xf borderId="4" fillId="0" fontId="8" numFmtId="0" xfId="0" applyAlignment="1" applyBorder="1" applyFont="1">
      <alignment horizontal="center" readingOrder="0" vertical="bottom"/>
    </xf>
    <xf borderId="4" fillId="2" fontId="5" numFmtId="49" xfId="0" applyAlignment="1" applyBorder="1" applyFont="1" applyNumberFormat="1">
      <alignment horizontal="center" readingOrder="0" vertical="bottom"/>
    </xf>
    <xf borderId="4" fillId="0" fontId="5" numFmtId="0" xfId="0" applyAlignment="1" applyBorder="1" applyFont="1">
      <alignment horizontal="center" readingOrder="0" vertical="center"/>
    </xf>
    <xf borderId="1" fillId="0" fontId="1" numFmtId="0" xfId="0" applyAlignment="1" applyBorder="1" applyFont="1">
      <alignment horizontal="center" readingOrder="0" vertical="bottom"/>
    </xf>
    <xf borderId="0" fillId="0" fontId="3" numFmtId="0" xfId="0" applyAlignment="1" applyFont="1">
      <alignment horizontal="center"/>
    </xf>
    <xf borderId="0" fillId="0" fontId="11" numFmtId="0" xfId="0" applyAlignment="1" applyFont="1">
      <alignment horizontal="center"/>
    </xf>
    <xf borderId="0" fillId="0" fontId="5" numFmtId="0" xfId="0" applyFont="1"/>
    <xf borderId="4" fillId="0" fontId="9" numFmtId="0" xfId="0" applyAlignment="1" applyBorder="1" applyFont="1">
      <alignment horizontal="center" vertical="bottom"/>
    </xf>
    <xf borderId="4" fillId="0" fontId="5" numFmtId="0" xfId="0" applyAlignment="1" applyBorder="1" applyFont="1">
      <alignment horizontal="center" vertical="bottom"/>
    </xf>
    <xf borderId="4" fillId="0" fontId="8" numFmtId="0" xfId="0" applyAlignment="1" applyBorder="1" applyFont="1">
      <alignment horizontal="center" readingOrder="0" vertical="bottom"/>
    </xf>
    <xf borderId="4" fillId="0" fontId="15" numFmtId="0" xfId="0" applyAlignment="1" applyBorder="1" applyFont="1">
      <alignment horizontal="center" readingOrder="0" vertical="bottom"/>
    </xf>
    <xf borderId="11" fillId="0" fontId="16" numFmtId="0" xfId="0" applyAlignment="1" applyBorder="1" applyFont="1">
      <alignment horizontal="center" readingOrder="0" vertical="bottom"/>
    </xf>
    <xf borderId="0" fillId="2" fontId="8" numFmtId="0" xfId="0" applyAlignment="1" applyFont="1">
      <alignment horizontal="left" readingOrder="0"/>
    </xf>
    <xf borderId="4" fillId="0" fontId="5" numFmtId="49" xfId="0" applyAlignment="1" applyBorder="1" applyFont="1" applyNumberFormat="1">
      <alignment horizontal="center" readingOrder="0" vertical="bottom"/>
    </xf>
    <xf borderId="4" fillId="0" fontId="5" numFmtId="0" xfId="0" applyAlignment="1" applyBorder="1" applyFont="1">
      <alignment horizontal="center" readingOrder="0" vertical="bottom"/>
    </xf>
    <xf borderId="3" fillId="0" fontId="3" numFmtId="0" xfId="0" applyAlignment="1" applyBorder="1" applyFont="1">
      <alignment vertical="bottom"/>
    </xf>
    <xf borderId="5" fillId="0" fontId="5" numFmtId="0" xfId="0" applyAlignment="1" applyBorder="1" applyFont="1">
      <alignment horizontal="center" vertical="bottom"/>
    </xf>
    <xf borderId="11" fillId="0" fontId="5" numFmtId="0" xfId="0" applyAlignment="1" applyBorder="1" applyFont="1">
      <alignment horizontal="center" vertical="bottom"/>
    </xf>
    <xf borderId="5" fillId="0" fontId="5" numFmtId="0" xfId="0" applyAlignment="1" applyBorder="1" applyFont="1">
      <alignment vertical="bottom"/>
    </xf>
    <xf borderId="11" fillId="0" fontId="5" numFmtId="0" xfId="0" applyAlignment="1" applyBorder="1" applyFont="1">
      <alignment horizontal="center" readingOrder="0" vertical="bottom"/>
    </xf>
    <xf borderId="11" fillId="0" fontId="5" numFmtId="0" xfId="0" applyAlignment="1" applyBorder="1" applyFont="1">
      <alignment vertical="bottom"/>
    </xf>
    <xf borderId="0" fillId="0" fontId="17" numFmtId="0" xfId="0" applyAlignment="1" applyFont="1">
      <alignment readingOrder="0"/>
    </xf>
    <xf borderId="4" fillId="2" fontId="5" numFmtId="0" xfId="0" applyAlignment="1" applyBorder="1" applyFont="1">
      <alignment vertical="bottom"/>
    </xf>
    <xf borderId="4" fillId="2" fontId="5" numFmtId="0" xfId="0" applyAlignment="1" applyBorder="1" applyFont="1">
      <alignment horizontal="center" readingOrder="0" vertical="bottom"/>
    </xf>
    <xf borderId="5" fillId="2" fontId="5" numFmtId="0" xfId="0" applyAlignment="1" applyBorder="1" applyFont="1">
      <alignment vertical="bottom"/>
    </xf>
    <xf borderId="11" fillId="2" fontId="5" numFmtId="0" xfId="0" applyAlignment="1" applyBorder="1" applyFont="1">
      <alignment vertical="bottom"/>
    </xf>
    <xf borderId="11" fillId="0" fontId="9" numFmtId="0" xfId="0" applyAlignment="1" applyBorder="1" applyFont="1">
      <alignment horizontal="center" readingOrder="0" vertical="bottom"/>
    </xf>
    <xf borderId="4" fillId="0" fontId="15" numFmtId="0" xfId="0" applyAlignment="1" applyBorder="1" applyFont="1">
      <alignment horizontal="center" readingOrder="0"/>
    </xf>
    <xf borderId="11" fillId="0" fontId="18" numFmtId="0" xfId="0" applyAlignment="1" applyBorder="1" applyFont="1">
      <alignment horizontal="center" vertical="bottom"/>
    </xf>
    <xf borderId="11" fillId="0" fontId="9" numFmtId="0" xfId="0" applyAlignment="1" applyBorder="1" applyFont="1">
      <alignment horizontal="center" vertical="bottom"/>
    </xf>
    <xf borderId="4" fillId="0" fontId="9" numFmtId="0" xfId="0" applyAlignment="1" applyBorder="1" applyFont="1">
      <alignment horizontal="center" readingOrder="0" vertical="bottom"/>
    </xf>
    <xf borderId="5" fillId="0" fontId="5" numFmtId="0" xfId="0" applyAlignment="1" applyBorder="1" applyFont="1">
      <alignment readingOrder="0" vertical="bottom"/>
    </xf>
    <xf borderId="11" fillId="0" fontId="5" numFmtId="0" xfId="0" applyAlignment="1" applyBorder="1" applyFont="1">
      <alignment readingOrder="0" vertical="bottom"/>
    </xf>
    <xf borderId="4" fillId="0" fontId="9" numFmtId="0" xfId="0" applyAlignment="1" applyBorder="1" applyFont="1">
      <alignment horizontal="center" readingOrder="0" vertical="bottom"/>
    </xf>
    <xf borderId="4" fillId="0" fontId="8" numFmtId="0" xfId="0" applyAlignment="1" applyBorder="1" applyFont="1">
      <alignment horizontal="center" readingOrder="0" vertical="bottom"/>
    </xf>
    <xf borderId="4" fillId="0" fontId="9" numFmtId="0" xfId="0" applyAlignment="1" applyBorder="1" applyFont="1">
      <alignment horizontal="center" readingOrder="0" vertical="bottom"/>
    </xf>
    <xf borderId="4" fillId="0" fontId="19" numFmtId="0" xfId="0" applyAlignment="1" applyBorder="1" applyFont="1">
      <alignment horizontal="center" readingOrder="0" vertical="bottom"/>
    </xf>
    <xf borderId="4" fillId="0" fontId="5" numFmtId="0" xfId="0" applyAlignment="1" applyBorder="1" applyFont="1">
      <alignment shrinkToFit="0" vertical="bottom" wrapText="0"/>
    </xf>
    <xf borderId="0" fillId="0" fontId="5" numFmtId="0" xfId="0" applyAlignment="1" applyFont="1">
      <alignment vertical="bottom"/>
    </xf>
    <xf borderId="0" fillId="2" fontId="11" numFmtId="0" xfId="0" applyAlignment="1" applyFont="1">
      <alignment horizontal="center" readingOrder="0"/>
    </xf>
    <xf borderId="0" fillId="2" fontId="11" numFmtId="49" xfId="0" applyAlignment="1" applyFont="1" applyNumberFormat="1">
      <alignment horizontal="center" readingOrder="0"/>
    </xf>
    <xf borderId="4" fillId="2" fontId="5" numFmtId="0" xfId="0" applyAlignment="1" applyBorder="1" applyFont="1">
      <alignment vertical="bottom"/>
    </xf>
    <xf borderId="4" fillId="2" fontId="8" numFmtId="49" xfId="0" applyAlignment="1" applyBorder="1" applyFont="1" applyNumberFormat="1">
      <alignment horizontal="center" readingOrder="0" vertical="bottom"/>
    </xf>
    <xf borderId="11" fillId="0" fontId="5" numFmtId="49" xfId="0" applyAlignment="1" applyBorder="1" applyFont="1" applyNumberFormat="1">
      <alignment horizontal="center" readingOrder="0" vertical="bottom"/>
    </xf>
    <xf borderId="4" fillId="2" fontId="5" numFmtId="0" xfId="0" applyAlignment="1" applyBorder="1" applyFont="1">
      <alignment readingOrder="0" vertical="bottom"/>
    </xf>
    <xf borderId="4" fillId="2" fontId="11" numFmtId="49" xfId="0" applyAlignment="1" applyBorder="1" applyFont="1" applyNumberFormat="1">
      <alignment horizontal="center" readingOrder="0" vertical="bottom"/>
    </xf>
    <xf borderId="5" fillId="0" fontId="20" numFmtId="0" xfId="0" applyAlignment="1" applyBorder="1" applyFont="1">
      <alignment horizontal="center" vertical="bottom"/>
    </xf>
    <xf borderId="5" fillId="0" fontId="21" numFmtId="0" xfId="0" applyAlignment="1" applyBorder="1" applyFont="1">
      <alignment horizontal="center" readingOrder="0" vertical="bottom"/>
    </xf>
    <xf borderId="12" fillId="0" fontId="3" numFmtId="0" xfId="0" applyAlignment="1" applyBorder="1" applyFont="1">
      <alignment readingOrder="0"/>
    </xf>
    <xf borderId="6" fillId="0" fontId="2" numFmtId="0" xfId="0" applyBorder="1" applyFont="1"/>
    <xf borderId="0" fillId="0" fontId="5" numFmtId="0" xfId="0" applyAlignment="1" applyFont="1">
      <alignment vertical="bottom"/>
    </xf>
    <xf borderId="13" fillId="2" fontId="22" numFmtId="49" xfId="0" applyAlignment="1" applyBorder="1" applyFont="1" applyNumberFormat="1">
      <alignment horizontal="center" readingOrder="0"/>
    </xf>
    <xf borderId="4" fillId="0" fontId="9" numFmtId="0" xfId="0" applyAlignment="1" applyBorder="1" applyFont="1">
      <alignment horizontal="center" readingOrder="0" vertical="bottom"/>
    </xf>
    <xf borderId="5" fillId="0" fontId="2" numFmtId="0" xfId="0" applyBorder="1" applyFont="1"/>
    <xf borderId="0" fillId="0" fontId="1" numFmtId="0" xfId="0" applyAlignment="1" applyFont="1">
      <alignment horizontal="center" vertical="bottom"/>
    </xf>
    <xf borderId="0" fillId="2" fontId="3" numFmtId="0" xfId="0" applyFont="1"/>
    <xf borderId="0" fillId="2" fontId="22" numFmtId="49" xfId="0" applyAlignment="1" applyFont="1" applyNumberFormat="1">
      <alignment horizontal="center" readingOrder="0"/>
    </xf>
    <xf borderId="4" fillId="3" fontId="5" numFmtId="0" xfId="0" applyAlignment="1" applyBorder="1" applyFill="1" applyFont="1">
      <alignment vertical="bottom"/>
    </xf>
    <xf borderId="4" fillId="3" fontId="5" numFmtId="49" xfId="0" applyAlignment="1" applyBorder="1" applyFont="1" applyNumberFormat="1">
      <alignment horizontal="center" readingOrder="0" vertical="bottom"/>
    </xf>
    <xf borderId="4" fillId="0" fontId="8" numFmtId="49" xfId="0" applyAlignment="1" applyBorder="1" applyFont="1" applyNumberFormat="1">
      <alignment horizontal="center" readingOrder="0" vertical="bottom"/>
    </xf>
    <xf borderId="4" fillId="0" fontId="5" numFmtId="49" xfId="0" applyAlignment="1" applyBorder="1" applyFont="1" applyNumberFormat="1">
      <alignment horizontal="left" readingOrder="0" vertical="bottom"/>
    </xf>
    <xf borderId="4" fillId="2" fontId="5" numFmtId="49" xfId="0" applyAlignment="1" applyBorder="1" applyFont="1" applyNumberFormat="1">
      <alignment horizontal="left" readingOrder="0" vertical="bottom"/>
    </xf>
    <xf borderId="4" fillId="0" fontId="5" numFmtId="0" xfId="0" applyAlignment="1" applyBorder="1" applyFont="1">
      <alignment horizontal="center" vertical="bottom"/>
    </xf>
    <xf borderId="4" fillId="0" fontId="23" numFmtId="0" xfId="0" applyAlignment="1" applyBorder="1" applyFont="1">
      <alignment vertical="bottom"/>
    </xf>
    <xf borderId="4" fillId="0" fontId="24" numFmtId="0" xfId="0" applyAlignment="1" applyBorder="1" applyFont="1">
      <alignment readingOrder="0" vertical="bottom"/>
    </xf>
    <xf borderId="4" fillId="0" fontId="1" numFmtId="0" xfId="0" applyAlignment="1" applyBorder="1" applyFont="1">
      <alignment horizontal="center" readingOrder="0" vertical="bottom"/>
    </xf>
    <xf borderId="4" fillId="0" fontId="25" numFmtId="0" xfId="0" applyAlignment="1" applyBorder="1" applyFont="1">
      <alignment horizontal="center" readingOrder="0"/>
    </xf>
    <xf borderId="4" fillId="0" fontId="5" numFmtId="0" xfId="0" applyAlignment="1" applyBorder="1" applyFont="1">
      <alignment horizontal="center" readingOrder="0"/>
    </xf>
    <xf borderId="2" fillId="0" fontId="1" numFmtId="0" xfId="0" applyAlignment="1" applyBorder="1" applyFont="1">
      <alignment horizontal="center" readingOrder="0" vertical="bottom"/>
    </xf>
    <xf borderId="4" fillId="2" fontId="26" numFmtId="0" xfId="0" applyAlignment="1" applyBorder="1" applyFont="1">
      <alignment horizontal="center" readingOrder="0"/>
    </xf>
    <xf borderId="0" fillId="0" fontId="5" numFmtId="0" xfId="0" applyAlignment="1" applyFont="1">
      <alignment readingOrder="0" vertical="bottom"/>
    </xf>
    <xf borderId="0" fillId="2" fontId="27" numFmtId="0" xfId="0" applyAlignment="1" applyFont="1">
      <alignment horizontal="center" readingOrder="0"/>
    </xf>
    <xf borderId="4" fillId="0" fontId="9" numFmtId="0" xfId="0" applyAlignment="1" applyBorder="1" applyFont="1">
      <alignment horizontal="center" readingOrder="0"/>
    </xf>
    <xf borderId="4" fillId="0" fontId="15" numFmtId="49" xfId="0" applyAlignment="1" applyBorder="1" applyFont="1" applyNumberFormat="1">
      <alignment horizontal="center" readingOrder="0" vertical="bottom"/>
    </xf>
    <xf borderId="0" fillId="0" fontId="3" numFmtId="0" xfId="0" applyAlignment="1" applyFont="1">
      <alignment readingOrder="0" vertical="bottom"/>
    </xf>
    <xf borderId="4" fillId="0" fontId="5" numFmtId="49" xfId="0" applyAlignment="1" applyBorder="1" applyFont="1" applyNumberFormat="1">
      <alignment horizontal="center" readingOrder="0" shrinkToFit="0" vertical="bottom" wrapText="0"/>
    </xf>
    <xf borderId="0" fillId="0" fontId="3" numFmtId="0" xfId="0" applyAlignment="1" applyFont="1">
      <alignment shrinkToFit="0" wrapText="0"/>
    </xf>
    <xf borderId="4" fillId="2" fontId="28" numFmtId="0" xfId="0" applyAlignment="1" applyBorder="1" applyFont="1">
      <alignment horizontal="center" readingOrder="0"/>
    </xf>
    <xf borderId="12" fillId="0" fontId="3" numFmtId="0" xfId="0" applyBorder="1" applyFont="1"/>
    <xf borderId="0" fillId="0" fontId="3" numFmtId="0" xfId="0" applyAlignment="1" applyFont="1">
      <alignment vertical="bottom"/>
    </xf>
    <xf borderId="0" fillId="0" fontId="1" numFmtId="0" xfId="0" applyAlignment="1" applyFont="1">
      <alignment horizontal="center" readingOrder="0" vertical="bottom"/>
    </xf>
    <xf borderId="10" fillId="0" fontId="1" numFmtId="0" xfId="0" applyAlignment="1" applyBorder="1" applyFont="1">
      <alignment horizontal="center" readingOrder="0" vertical="bottom"/>
    </xf>
    <xf borderId="7" fillId="0" fontId="2" numFmtId="0" xfId="0" applyBorder="1" applyFont="1"/>
    <xf borderId="11" fillId="0" fontId="2" numFmtId="0" xfId="0" applyBorder="1" applyFont="1"/>
    <xf borderId="5" fillId="0" fontId="5" numFmtId="0" xfId="0" applyAlignment="1" applyBorder="1" applyFont="1">
      <alignment horizontal="center" vertical="bottom"/>
    </xf>
    <xf borderId="11" fillId="0" fontId="5" numFmtId="0" xfId="0" applyAlignment="1" applyBorder="1" applyFont="1">
      <alignment horizontal="center" vertical="bottom"/>
    </xf>
    <xf borderId="4" fillId="0" fontId="11" numFmtId="0" xfId="0" applyAlignment="1" applyBorder="1" applyFont="1">
      <alignment horizontal="center" readingOrder="0"/>
    </xf>
    <xf borderId="5" fillId="0" fontId="9" numFmtId="0" xfId="0" applyAlignment="1" applyBorder="1" applyFont="1">
      <alignment horizontal="center" readingOrder="0" vertical="bottom"/>
    </xf>
    <xf borderId="10" fillId="2" fontId="26" numFmtId="0" xfId="0" applyAlignment="1" applyBorder="1" applyFont="1">
      <alignment horizontal="center" readingOrder="0"/>
    </xf>
    <xf borderId="7" fillId="2" fontId="26" numFmtId="0" xfId="0" applyAlignment="1" applyBorder="1" applyFont="1">
      <alignment horizontal="center" readingOrder="0"/>
    </xf>
    <xf borderId="3" fillId="0" fontId="5" numFmtId="49" xfId="0" applyAlignment="1" applyBorder="1" applyFont="1" applyNumberFormat="1">
      <alignment horizontal="center" readingOrder="0" vertical="bottom"/>
    </xf>
    <xf borderId="3" fillId="0" fontId="5" numFmtId="0" xfId="0" applyAlignment="1" applyBorder="1" applyFont="1">
      <alignment vertical="bottom"/>
    </xf>
    <xf borderId="11" fillId="0" fontId="5" numFmtId="0" xfId="0" applyAlignment="1" applyBorder="1" applyFont="1">
      <alignment horizontal="center" readingOrder="0"/>
    </xf>
    <xf borderId="7" fillId="0" fontId="1" numFmtId="0" xfId="0" applyAlignment="1" applyBorder="1" applyFont="1">
      <alignment horizontal="center" readingOrder="0" vertical="bottom"/>
    </xf>
    <xf borderId="11" fillId="0" fontId="1" numFmtId="0" xfId="0" applyAlignment="1" applyBorder="1" applyFont="1">
      <alignment horizontal="center" vertical="bottom"/>
    </xf>
    <xf borderId="10" fillId="0" fontId="3" numFmtId="0" xfId="0" applyBorder="1" applyFont="1"/>
    <xf borderId="11" fillId="0" fontId="1" numFmtId="0" xfId="0" applyAlignment="1" applyBorder="1" applyFont="1">
      <alignment horizontal="center" readingOrder="0" vertical="bottom"/>
    </xf>
    <xf borderId="3" fillId="0" fontId="5" numFmtId="0" xfId="0" applyAlignment="1" applyBorder="1" applyFont="1">
      <alignment readingOrder="0" vertical="bottom"/>
    </xf>
    <xf borderId="4" fillId="2" fontId="8" numFmtId="49" xfId="0" applyAlignment="1" applyBorder="1" applyFont="1" applyNumberFormat="1">
      <alignment horizontal="center" readingOrder="0"/>
    </xf>
    <xf borderId="10" fillId="0" fontId="1" numFmtId="0" xfId="0" applyAlignment="1" applyBorder="1" applyFont="1">
      <alignment horizontal="center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86" Type="http://schemas.openxmlformats.org/officeDocument/2006/relationships/worksheet" Target="worksheets/sheet83.xml"/><Relationship Id="rId85" Type="http://schemas.openxmlformats.org/officeDocument/2006/relationships/worksheet" Target="worksheets/sheet82.xml"/><Relationship Id="rId88" Type="http://schemas.openxmlformats.org/officeDocument/2006/relationships/worksheet" Target="worksheets/sheet85.xml"/><Relationship Id="rId87" Type="http://schemas.openxmlformats.org/officeDocument/2006/relationships/worksheet" Target="worksheets/sheet84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75" Type="http://schemas.openxmlformats.org/officeDocument/2006/relationships/worksheet" Target="worksheets/sheet72.xml"/><Relationship Id="rId74" Type="http://schemas.openxmlformats.org/officeDocument/2006/relationships/worksheet" Target="worksheets/sheet71.xml"/><Relationship Id="rId77" Type="http://schemas.openxmlformats.org/officeDocument/2006/relationships/worksheet" Target="worksheets/sheet74.xml"/><Relationship Id="rId76" Type="http://schemas.openxmlformats.org/officeDocument/2006/relationships/worksheet" Target="worksheets/sheet73.xml"/><Relationship Id="rId79" Type="http://schemas.openxmlformats.org/officeDocument/2006/relationships/worksheet" Target="worksheets/sheet76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6" Type="http://schemas.openxmlformats.org/officeDocument/2006/relationships/worksheet" Target="worksheets/sheet63.xml"/><Relationship Id="rId65" Type="http://schemas.openxmlformats.org/officeDocument/2006/relationships/worksheet" Target="worksheets/sheet62.xml"/><Relationship Id="rId68" Type="http://schemas.openxmlformats.org/officeDocument/2006/relationships/worksheet" Target="worksheets/sheet65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69" Type="http://schemas.openxmlformats.org/officeDocument/2006/relationships/worksheet" Target="worksheets/sheet6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54" Type="http://schemas.openxmlformats.org/officeDocument/2006/relationships/worksheet" Target="worksheets/sheet51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59" Type="http://schemas.openxmlformats.org/officeDocument/2006/relationships/worksheet" Target="worksheets/sheet56.xml"/><Relationship Id="rId58" Type="http://schemas.openxmlformats.org/officeDocument/2006/relationships/worksheet" Target="worksheets/sheet55.xml"/><Relationship Id="rId107" Type="http://schemas.openxmlformats.org/officeDocument/2006/relationships/worksheet" Target="worksheets/sheet104.xml"/><Relationship Id="rId106" Type="http://schemas.openxmlformats.org/officeDocument/2006/relationships/worksheet" Target="worksheets/sheet103.xml"/><Relationship Id="rId105" Type="http://schemas.openxmlformats.org/officeDocument/2006/relationships/worksheet" Target="worksheets/sheet102.xml"/><Relationship Id="rId104" Type="http://schemas.openxmlformats.org/officeDocument/2006/relationships/worksheet" Target="worksheets/sheet101.xml"/><Relationship Id="rId109" Type="http://schemas.openxmlformats.org/officeDocument/2006/relationships/worksheet" Target="worksheets/sheet106.xml"/><Relationship Id="rId108" Type="http://schemas.openxmlformats.org/officeDocument/2006/relationships/worksheet" Target="worksheets/sheet105.xml"/><Relationship Id="rId103" Type="http://schemas.openxmlformats.org/officeDocument/2006/relationships/worksheet" Target="worksheets/sheet100.xml"/><Relationship Id="rId102" Type="http://schemas.openxmlformats.org/officeDocument/2006/relationships/worksheet" Target="worksheets/sheet99.xml"/><Relationship Id="rId101" Type="http://schemas.openxmlformats.org/officeDocument/2006/relationships/worksheet" Target="worksheets/sheet98.xml"/><Relationship Id="rId100" Type="http://schemas.openxmlformats.org/officeDocument/2006/relationships/worksheet" Target="worksheets/sheet97.xml"/><Relationship Id="rId95" Type="http://schemas.openxmlformats.org/officeDocument/2006/relationships/worksheet" Target="worksheets/sheet92.xml"/><Relationship Id="rId94" Type="http://schemas.openxmlformats.org/officeDocument/2006/relationships/worksheet" Target="worksheets/sheet91.xml"/><Relationship Id="rId97" Type="http://schemas.openxmlformats.org/officeDocument/2006/relationships/worksheet" Target="worksheets/sheet94.xml"/><Relationship Id="rId96" Type="http://schemas.openxmlformats.org/officeDocument/2006/relationships/worksheet" Target="worksheets/sheet93.xml"/><Relationship Id="rId99" Type="http://schemas.openxmlformats.org/officeDocument/2006/relationships/worksheet" Target="worksheets/sheet96.xml"/><Relationship Id="rId98" Type="http://schemas.openxmlformats.org/officeDocument/2006/relationships/worksheet" Target="worksheets/sheet95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93" Type="http://schemas.openxmlformats.org/officeDocument/2006/relationships/worksheet" Target="worksheets/sheet90.xml"/><Relationship Id="rId92" Type="http://schemas.openxmlformats.org/officeDocument/2006/relationships/worksheet" Target="worksheets/sheet89.xml"/><Relationship Id="rId117" Type="http://schemas.openxmlformats.org/officeDocument/2006/relationships/worksheet" Target="worksheets/sheet114.xml"/><Relationship Id="rId116" Type="http://schemas.openxmlformats.org/officeDocument/2006/relationships/worksheet" Target="worksheets/sheet113.xml"/><Relationship Id="rId115" Type="http://schemas.openxmlformats.org/officeDocument/2006/relationships/worksheet" Target="worksheets/sheet112.xml"/><Relationship Id="rId110" Type="http://schemas.openxmlformats.org/officeDocument/2006/relationships/worksheet" Target="worksheets/sheet107.xml"/><Relationship Id="rId114" Type="http://schemas.openxmlformats.org/officeDocument/2006/relationships/worksheet" Target="worksheets/sheet111.xml"/><Relationship Id="rId113" Type="http://schemas.openxmlformats.org/officeDocument/2006/relationships/worksheet" Target="worksheets/sheet110.xml"/><Relationship Id="rId112" Type="http://schemas.openxmlformats.org/officeDocument/2006/relationships/worksheet" Target="worksheets/sheet109.xml"/><Relationship Id="rId111" Type="http://schemas.openxmlformats.org/officeDocument/2006/relationships/worksheet" Target="worksheets/sheet108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nblcFp3InYo?t=7917" TargetMode="External"/><Relationship Id="rId84" Type="http://schemas.openxmlformats.org/officeDocument/2006/relationships/hyperlink" Target="https://youtu.be/6SW5ttXXiFE" TargetMode="External"/><Relationship Id="rId83" Type="http://schemas.openxmlformats.org/officeDocument/2006/relationships/hyperlink" Target="https://youtu.be/vqH2AYj7bFI" TargetMode="External"/><Relationship Id="rId42" Type="http://schemas.openxmlformats.org/officeDocument/2006/relationships/hyperlink" Target="https://youtu.be/J1lCmKKABzs" TargetMode="External"/><Relationship Id="rId41" Type="http://schemas.openxmlformats.org/officeDocument/2006/relationships/hyperlink" Target="https://youtu.be/0aqS9Y7TzPU" TargetMode="External"/><Relationship Id="rId85" Type="http://schemas.openxmlformats.org/officeDocument/2006/relationships/drawing" Target="../drawings/drawing1.xml"/><Relationship Id="rId44" Type="http://schemas.openxmlformats.org/officeDocument/2006/relationships/hyperlink" Target="https://youtu.be/J1lCmKKABzs?t=994" TargetMode="External"/><Relationship Id="rId43" Type="http://schemas.openxmlformats.org/officeDocument/2006/relationships/hyperlink" Target="https://youtu.be/0aqS9Y7TzPU?t=895" TargetMode="External"/><Relationship Id="rId46" Type="http://schemas.openxmlformats.org/officeDocument/2006/relationships/hyperlink" Target="https://youtu.be/J1lCmKKABzs?t=1894" TargetMode="External"/><Relationship Id="rId45" Type="http://schemas.openxmlformats.org/officeDocument/2006/relationships/hyperlink" Target="https://youtu.be/0aqS9Y7TzPU?t=1777" TargetMode="External"/><Relationship Id="rId80" Type="http://schemas.openxmlformats.org/officeDocument/2006/relationships/hyperlink" Target="https://youtu.be/hqQBiOoXsQI?t=7926" TargetMode="External"/><Relationship Id="rId82" Type="http://schemas.openxmlformats.org/officeDocument/2006/relationships/hyperlink" Target="https://youtu.be/fbkmqD3mJhI" TargetMode="External"/><Relationship Id="rId81" Type="http://schemas.openxmlformats.org/officeDocument/2006/relationships/hyperlink" Target="https://youtu.be/EDk2tCEe9lo" TargetMode="External"/><Relationship Id="rId1" Type="http://schemas.openxmlformats.org/officeDocument/2006/relationships/hyperlink" Target="https://youtu.be/lEkWlmvGIrQ" TargetMode="External"/><Relationship Id="rId2" Type="http://schemas.openxmlformats.org/officeDocument/2006/relationships/hyperlink" Target="https://youtu.be/2ktE6wiW2Qg" TargetMode="External"/><Relationship Id="rId3" Type="http://schemas.openxmlformats.org/officeDocument/2006/relationships/hyperlink" Target="https://youtu.be/lEkWlmvGIrQ?t=877" TargetMode="External"/><Relationship Id="rId4" Type="http://schemas.openxmlformats.org/officeDocument/2006/relationships/hyperlink" Target="https://youtu.be/2ktE6wiW2Qg?t=994" TargetMode="External"/><Relationship Id="rId9" Type="http://schemas.openxmlformats.org/officeDocument/2006/relationships/hyperlink" Target="https://youtu.be/lEkWlmvGIrQ?t=3515" TargetMode="External"/><Relationship Id="rId48" Type="http://schemas.openxmlformats.org/officeDocument/2006/relationships/hyperlink" Target="https://youtu.be/J1lCmKKABzs?t=2794" TargetMode="External"/><Relationship Id="rId47" Type="http://schemas.openxmlformats.org/officeDocument/2006/relationships/hyperlink" Target="https://youtu.be/0aqS9Y7TzPU?t=2680" TargetMode="External"/><Relationship Id="rId49" Type="http://schemas.openxmlformats.org/officeDocument/2006/relationships/hyperlink" Target="https://youtu.be/0aqS9Y7TzPU?t=3540" TargetMode="External"/><Relationship Id="rId5" Type="http://schemas.openxmlformats.org/officeDocument/2006/relationships/hyperlink" Target="https://youtu.be/lEkWlmvGIrQ?t=1774" TargetMode="External"/><Relationship Id="rId6" Type="http://schemas.openxmlformats.org/officeDocument/2006/relationships/hyperlink" Target="https://youtu.be/2ktE6wiW2Qg?t=1894" TargetMode="External"/><Relationship Id="rId7" Type="http://schemas.openxmlformats.org/officeDocument/2006/relationships/hyperlink" Target="https://youtu.be/lEkWlmvGIrQ?t=2675" TargetMode="External"/><Relationship Id="rId8" Type="http://schemas.openxmlformats.org/officeDocument/2006/relationships/hyperlink" Target="https://youtu.be/2ktE6wiW2Qg?t=2796" TargetMode="External"/><Relationship Id="rId73" Type="http://schemas.openxmlformats.org/officeDocument/2006/relationships/hyperlink" Target="https://youtu.be/KEJ5ZTMAX7o?t=5353" TargetMode="External"/><Relationship Id="rId72" Type="http://schemas.openxmlformats.org/officeDocument/2006/relationships/hyperlink" Target="https://youtu.be/hqQBiOoXsQI?t=4383" TargetMode="External"/><Relationship Id="rId31" Type="http://schemas.openxmlformats.org/officeDocument/2006/relationships/hyperlink" Target="https://youtu.be/IYJHoyrFA6w?t=4387" TargetMode="External"/><Relationship Id="rId75" Type="http://schemas.openxmlformats.org/officeDocument/2006/relationships/hyperlink" Target="https://youtu.be/KEJ5ZTMAX7o?t=6204" TargetMode="External"/><Relationship Id="rId30" Type="http://schemas.openxmlformats.org/officeDocument/2006/relationships/hyperlink" Target="https://youtu.be/nblcFp3InYo?t=3483" TargetMode="External"/><Relationship Id="rId74" Type="http://schemas.openxmlformats.org/officeDocument/2006/relationships/hyperlink" Target="https://youtu.be/hqQBiOoXsQI?t=5284" TargetMode="External"/><Relationship Id="rId33" Type="http://schemas.openxmlformats.org/officeDocument/2006/relationships/hyperlink" Target="https://youtu.be/IYJHoyrFA6w?t=5284" TargetMode="External"/><Relationship Id="rId77" Type="http://schemas.openxmlformats.org/officeDocument/2006/relationships/hyperlink" Target="https://youtu.be/KEJ5ZTMAX7o?t=7091" TargetMode="External"/><Relationship Id="rId32" Type="http://schemas.openxmlformats.org/officeDocument/2006/relationships/hyperlink" Target="https://youtu.be/nblcFp3InYo?t=4377" TargetMode="External"/><Relationship Id="rId76" Type="http://schemas.openxmlformats.org/officeDocument/2006/relationships/hyperlink" Target="https://youtu.be/hqQBiOoXsQI?t=6147" TargetMode="External"/><Relationship Id="rId35" Type="http://schemas.openxmlformats.org/officeDocument/2006/relationships/hyperlink" Target="https://youtu.be/IYJHoyrFA6w?t=6127" TargetMode="External"/><Relationship Id="rId79" Type="http://schemas.openxmlformats.org/officeDocument/2006/relationships/hyperlink" Target="https://youtu.be/KEJ5ZTMAX7o?t=7989" TargetMode="External"/><Relationship Id="rId34" Type="http://schemas.openxmlformats.org/officeDocument/2006/relationships/hyperlink" Target="https://youtu.be/nblcFp3InYo?t=5273" TargetMode="External"/><Relationship Id="rId78" Type="http://schemas.openxmlformats.org/officeDocument/2006/relationships/hyperlink" Target="https://youtu.be/hqQBiOoXsQI?t=7024" TargetMode="External"/><Relationship Id="rId71" Type="http://schemas.openxmlformats.org/officeDocument/2006/relationships/hyperlink" Target="https://youtu.be/KEJ5ZTMAX7o?t=4450" TargetMode="External"/><Relationship Id="rId70" Type="http://schemas.openxmlformats.org/officeDocument/2006/relationships/hyperlink" Target="https://youtu.be/hqQBiOoXsQI?t=3487" TargetMode="External"/><Relationship Id="rId37" Type="http://schemas.openxmlformats.org/officeDocument/2006/relationships/hyperlink" Target="https://youtu.be/IYJHoyrFA6w?t=7025" TargetMode="External"/><Relationship Id="rId36" Type="http://schemas.openxmlformats.org/officeDocument/2006/relationships/hyperlink" Target="https://youtu.be/nblcFp3InYo?t=6115" TargetMode="External"/><Relationship Id="rId39" Type="http://schemas.openxmlformats.org/officeDocument/2006/relationships/hyperlink" Target="https://youtu.be/IYJHoyrFA6w?t=7924" TargetMode="External"/><Relationship Id="rId38" Type="http://schemas.openxmlformats.org/officeDocument/2006/relationships/hyperlink" Target="https://youtu.be/nblcFp3InYo?t=7014" TargetMode="External"/><Relationship Id="rId62" Type="http://schemas.openxmlformats.org/officeDocument/2006/relationships/hyperlink" Target="https://youtu.be/hqQBiOoXsQI" TargetMode="External"/><Relationship Id="rId61" Type="http://schemas.openxmlformats.org/officeDocument/2006/relationships/hyperlink" Target="https://youtu.be/KEJ5ZTMAX7o" TargetMode="External"/><Relationship Id="rId20" Type="http://schemas.openxmlformats.org/officeDocument/2006/relationships/hyperlink" Target="https://youtu.be/2ktE6wiW2Qg?t=8074" TargetMode="External"/><Relationship Id="rId64" Type="http://schemas.openxmlformats.org/officeDocument/2006/relationships/hyperlink" Target="https://youtu.be/hqQBiOoXsQI?t=852" TargetMode="External"/><Relationship Id="rId63" Type="http://schemas.openxmlformats.org/officeDocument/2006/relationships/hyperlink" Target="https://youtu.be/KEJ5ZTMAX7o?t=918" TargetMode="External"/><Relationship Id="rId22" Type="http://schemas.openxmlformats.org/officeDocument/2006/relationships/hyperlink" Target="https://youtu.be/nblcFp3InYo" TargetMode="External"/><Relationship Id="rId66" Type="http://schemas.openxmlformats.org/officeDocument/2006/relationships/hyperlink" Target="https://youtu.be/hqQBiOoXsQI?t=1743" TargetMode="External"/><Relationship Id="rId21" Type="http://schemas.openxmlformats.org/officeDocument/2006/relationships/hyperlink" Target="https://youtu.be/IYJHoyrFA6w" TargetMode="External"/><Relationship Id="rId65" Type="http://schemas.openxmlformats.org/officeDocument/2006/relationships/hyperlink" Target="https://youtu.be/KEJ5ZTMAX7o?t=1812" TargetMode="External"/><Relationship Id="rId24" Type="http://schemas.openxmlformats.org/officeDocument/2006/relationships/hyperlink" Target="https://youtu.be/nblcFp3InYo?t=864" TargetMode="External"/><Relationship Id="rId68" Type="http://schemas.openxmlformats.org/officeDocument/2006/relationships/hyperlink" Target="https://youtu.be/hqQBiOoXsQI?t=2646" TargetMode="External"/><Relationship Id="rId23" Type="http://schemas.openxmlformats.org/officeDocument/2006/relationships/hyperlink" Target="https://youtu.be/IYJHoyrFA6w?t=854" TargetMode="External"/><Relationship Id="rId67" Type="http://schemas.openxmlformats.org/officeDocument/2006/relationships/hyperlink" Target="https://youtu.be/KEJ5ZTMAX7o?t=2721" TargetMode="External"/><Relationship Id="rId60" Type="http://schemas.openxmlformats.org/officeDocument/2006/relationships/hyperlink" Target="https://youtu.be/J1lCmKKABzs?t=8065" TargetMode="External"/><Relationship Id="rId26" Type="http://schemas.openxmlformats.org/officeDocument/2006/relationships/hyperlink" Target="https://youtu.be/nblcFp3InYo?t=1733" TargetMode="External"/><Relationship Id="rId25" Type="http://schemas.openxmlformats.org/officeDocument/2006/relationships/hyperlink" Target="https://youtu.be/IYJHoyrFA6w?t=1746" TargetMode="External"/><Relationship Id="rId69" Type="http://schemas.openxmlformats.org/officeDocument/2006/relationships/hyperlink" Target="https://youtu.be/KEJ5ZTMAX7o?t=3548" TargetMode="External"/><Relationship Id="rId28" Type="http://schemas.openxmlformats.org/officeDocument/2006/relationships/hyperlink" Target="https://youtu.be/nblcFp3InYo?t=2634" TargetMode="External"/><Relationship Id="rId27" Type="http://schemas.openxmlformats.org/officeDocument/2006/relationships/hyperlink" Target="https://youtu.be/IYJHoyrFA6w?t=2646" TargetMode="External"/><Relationship Id="rId29" Type="http://schemas.openxmlformats.org/officeDocument/2006/relationships/hyperlink" Target="https://youtu.be/IYJHoyrFA6w?t=3487" TargetMode="External"/><Relationship Id="rId51" Type="http://schemas.openxmlformats.org/officeDocument/2006/relationships/hyperlink" Target="https://youtu.be/0aqS9Y7TzPU?t=4422" TargetMode="External"/><Relationship Id="rId50" Type="http://schemas.openxmlformats.org/officeDocument/2006/relationships/hyperlink" Target="https://youtu.be/J1lCmKKABzs?t=3634" TargetMode="External"/><Relationship Id="rId53" Type="http://schemas.openxmlformats.org/officeDocument/2006/relationships/hyperlink" Target="https://youtu.be/0aqS9Y7TzPU?t=5314" TargetMode="External"/><Relationship Id="rId52" Type="http://schemas.openxmlformats.org/officeDocument/2006/relationships/hyperlink" Target="https://youtu.be/J1lCmKKABzs?t=4534" TargetMode="External"/><Relationship Id="rId11" Type="http://schemas.openxmlformats.org/officeDocument/2006/relationships/hyperlink" Target="https://youtu.be/lEkWlmvGIrQ?t=4413" TargetMode="External"/><Relationship Id="rId55" Type="http://schemas.openxmlformats.org/officeDocument/2006/relationships/hyperlink" Target="https://youtu.be/0aqS9Y7TzPU?t=6166" TargetMode="External"/><Relationship Id="rId10" Type="http://schemas.openxmlformats.org/officeDocument/2006/relationships/hyperlink" Target="https://youtu.be/2ktE6wiW2Qg?t=3634" TargetMode="External"/><Relationship Id="rId54" Type="http://schemas.openxmlformats.org/officeDocument/2006/relationships/hyperlink" Target="https://youtu.be/J1lCmKKABzs?t=5434" TargetMode="External"/><Relationship Id="rId13" Type="http://schemas.openxmlformats.org/officeDocument/2006/relationships/hyperlink" Target="https://youtu.be/lEkWlmvGIrQ?t=5311" TargetMode="External"/><Relationship Id="rId57" Type="http://schemas.openxmlformats.org/officeDocument/2006/relationships/hyperlink" Target="https://youtu.be/0aqS9Y7TzPU?t=7058" TargetMode="External"/><Relationship Id="rId12" Type="http://schemas.openxmlformats.org/officeDocument/2006/relationships/hyperlink" Target="https://youtu.be/2ktE6wiW2Qg?t=4534" TargetMode="External"/><Relationship Id="rId56" Type="http://schemas.openxmlformats.org/officeDocument/2006/relationships/hyperlink" Target="https://youtu.be/J1lCmKKABzs?t=6274" TargetMode="External"/><Relationship Id="rId15" Type="http://schemas.openxmlformats.org/officeDocument/2006/relationships/hyperlink" Target="https://youtu.be/lEkWlmvGIrQ?t=6192" TargetMode="External"/><Relationship Id="rId59" Type="http://schemas.openxmlformats.org/officeDocument/2006/relationships/hyperlink" Target="https://youtu.be/0aqS9Y7TzPU?t=7959" TargetMode="External"/><Relationship Id="rId14" Type="http://schemas.openxmlformats.org/officeDocument/2006/relationships/hyperlink" Target="https://youtu.be/2ktE6wiW2Qg?t=5434" TargetMode="External"/><Relationship Id="rId58" Type="http://schemas.openxmlformats.org/officeDocument/2006/relationships/hyperlink" Target="https://youtu.be/J1lCmKKABzs?t=7174" TargetMode="External"/><Relationship Id="rId17" Type="http://schemas.openxmlformats.org/officeDocument/2006/relationships/hyperlink" Target="https://youtu.be/lEkWlmvGIrQ?t=7084" TargetMode="External"/><Relationship Id="rId16" Type="http://schemas.openxmlformats.org/officeDocument/2006/relationships/hyperlink" Target="https://youtu.be/2ktE6wiW2Qg?t=6274" TargetMode="External"/><Relationship Id="rId19" Type="http://schemas.openxmlformats.org/officeDocument/2006/relationships/hyperlink" Target="https://youtu.be/lEkWlmvGIrQ?t=7951" TargetMode="External"/><Relationship Id="rId18" Type="http://schemas.openxmlformats.org/officeDocument/2006/relationships/hyperlink" Target="https://youtu.be/2ktE6wiW2Qg?t=7174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pbCpxeizMOU?t=7947" TargetMode="External"/><Relationship Id="rId190" Type="http://schemas.openxmlformats.org/officeDocument/2006/relationships/hyperlink" Target="https://youtu.be/7Vfu1rRNybk?t=8103" TargetMode="External"/><Relationship Id="rId42" Type="http://schemas.openxmlformats.org/officeDocument/2006/relationships/hyperlink" Target="https://youtu.be/3gXnbRVEIH0" TargetMode="External"/><Relationship Id="rId41" Type="http://schemas.openxmlformats.org/officeDocument/2006/relationships/hyperlink" Target="https://youtu.be/IiHABJCHyqo" TargetMode="External"/><Relationship Id="rId44" Type="http://schemas.openxmlformats.org/officeDocument/2006/relationships/hyperlink" Target="https://youtu.be/3gXnbRVEIH0?t=982" TargetMode="External"/><Relationship Id="rId194" Type="http://schemas.openxmlformats.org/officeDocument/2006/relationships/hyperlink" Target="https://youtu.be/cBixTOHCZQY?t=978" TargetMode="External"/><Relationship Id="rId43" Type="http://schemas.openxmlformats.org/officeDocument/2006/relationships/hyperlink" Target="https://youtu.be/IiHABJCHyqo?t=916" TargetMode="External"/><Relationship Id="rId193" Type="http://schemas.openxmlformats.org/officeDocument/2006/relationships/hyperlink" Target="https://youtu.be/7WxBeJuSKMI" TargetMode="External"/><Relationship Id="rId46" Type="http://schemas.openxmlformats.org/officeDocument/2006/relationships/hyperlink" Target="https://youtu.be/3gXnbRVEIH0?t=1881" TargetMode="External"/><Relationship Id="rId192" Type="http://schemas.openxmlformats.org/officeDocument/2006/relationships/hyperlink" Target="https://youtu.be/cBixTOHCZQY" TargetMode="External"/><Relationship Id="rId45" Type="http://schemas.openxmlformats.org/officeDocument/2006/relationships/hyperlink" Target="https://youtu.be/IiHABJCHyqo?t=1789" TargetMode="External"/><Relationship Id="rId191" Type="http://schemas.openxmlformats.org/officeDocument/2006/relationships/hyperlink" Target="https://youtu.be/YywOg6wap1s?t=8032" TargetMode="External"/><Relationship Id="rId48" Type="http://schemas.openxmlformats.org/officeDocument/2006/relationships/hyperlink" Target="https://youtu.be/3gXnbRVEIH0?t=2782" TargetMode="External"/><Relationship Id="rId187" Type="http://schemas.openxmlformats.org/officeDocument/2006/relationships/hyperlink" Target="https://youtu.be/YywOg6wap1s?t=6229" TargetMode="External"/><Relationship Id="rId47" Type="http://schemas.openxmlformats.org/officeDocument/2006/relationships/hyperlink" Target="https://youtu.be/IiHABJCHyqo?t=2694" TargetMode="External"/><Relationship Id="rId186" Type="http://schemas.openxmlformats.org/officeDocument/2006/relationships/hyperlink" Target="https://youtu.be/7Vfu1rRNybk?t=6308" TargetMode="External"/><Relationship Id="rId185" Type="http://schemas.openxmlformats.org/officeDocument/2006/relationships/hyperlink" Target="https://youtu.be/YywOg6wap1s?t=5351" TargetMode="External"/><Relationship Id="rId49" Type="http://schemas.openxmlformats.org/officeDocument/2006/relationships/hyperlink" Target="https://youtu.be/IiHABJCHyqo?t=3545" TargetMode="External"/><Relationship Id="rId184" Type="http://schemas.openxmlformats.org/officeDocument/2006/relationships/hyperlink" Target="https://youtu.be/7Vfu1rRNybk?t=5467" TargetMode="External"/><Relationship Id="rId189" Type="http://schemas.openxmlformats.org/officeDocument/2006/relationships/hyperlink" Target="https://youtu.be/YywOg6wap1s?t=7267" TargetMode="External"/><Relationship Id="rId188" Type="http://schemas.openxmlformats.org/officeDocument/2006/relationships/hyperlink" Target="https://youtu.be/7Vfu1rRNybk?t=7204" TargetMode="External"/><Relationship Id="rId31" Type="http://schemas.openxmlformats.org/officeDocument/2006/relationships/hyperlink" Target="https://youtu.be/yKjgb7_Bt0A?t=4428" TargetMode="External"/><Relationship Id="rId30" Type="http://schemas.openxmlformats.org/officeDocument/2006/relationships/hyperlink" Target="https://youtu.be/pbCpxeizMOU?t=3507" TargetMode="External"/><Relationship Id="rId33" Type="http://schemas.openxmlformats.org/officeDocument/2006/relationships/hyperlink" Target="https://youtu.be/yKjgb7_Bt0A?t=5329" TargetMode="External"/><Relationship Id="rId183" Type="http://schemas.openxmlformats.org/officeDocument/2006/relationships/hyperlink" Target="https://youtu.be/YywOg6wap1s?t=4454" TargetMode="External"/><Relationship Id="rId32" Type="http://schemas.openxmlformats.org/officeDocument/2006/relationships/hyperlink" Target="https://youtu.be/pbCpxeizMOU?t=4410" TargetMode="External"/><Relationship Id="rId182" Type="http://schemas.openxmlformats.org/officeDocument/2006/relationships/hyperlink" Target="https://youtu.be/7Vfu1rRNybk?t=4561" TargetMode="External"/><Relationship Id="rId35" Type="http://schemas.openxmlformats.org/officeDocument/2006/relationships/hyperlink" Target="https://youtu.be/yKjgb7_Bt0A?t=6176" TargetMode="External"/><Relationship Id="rId181" Type="http://schemas.openxmlformats.org/officeDocument/2006/relationships/hyperlink" Target="https://youtu.be/YywOg6wap1s?t=3551" TargetMode="External"/><Relationship Id="rId34" Type="http://schemas.openxmlformats.org/officeDocument/2006/relationships/hyperlink" Target="https://youtu.be/pbCpxeizMOU?t=5310" TargetMode="External"/><Relationship Id="rId180" Type="http://schemas.openxmlformats.org/officeDocument/2006/relationships/hyperlink" Target="https://youtu.be/7Vfu1rRNybk?t=3661" TargetMode="External"/><Relationship Id="rId37" Type="http://schemas.openxmlformats.org/officeDocument/2006/relationships/hyperlink" Target="https://youtu.be/yKjgb7_Bt0A?t=7069" TargetMode="External"/><Relationship Id="rId176" Type="http://schemas.openxmlformats.org/officeDocument/2006/relationships/hyperlink" Target="https://youtu.be/7Vfu1rRNybk?t=1939" TargetMode="External"/><Relationship Id="rId297" Type="http://schemas.openxmlformats.org/officeDocument/2006/relationships/hyperlink" Target="https://youtu.be/T98x8lh6FmM?t=1795" TargetMode="External"/><Relationship Id="rId36" Type="http://schemas.openxmlformats.org/officeDocument/2006/relationships/hyperlink" Target="https://youtu.be/pbCpxeizMOU?t=6148" TargetMode="External"/><Relationship Id="rId175" Type="http://schemas.openxmlformats.org/officeDocument/2006/relationships/hyperlink" Target="https://youtu.be/YywOg6wap1s?t=949" TargetMode="External"/><Relationship Id="rId296" Type="http://schemas.openxmlformats.org/officeDocument/2006/relationships/hyperlink" Target="https://youtu.be/swMY5yJQyeg?t=1937" TargetMode="External"/><Relationship Id="rId39" Type="http://schemas.openxmlformats.org/officeDocument/2006/relationships/hyperlink" Target="https://youtu.be/yKjgb7_Bt0A?t=7976" TargetMode="External"/><Relationship Id="rId174" Type="http://schemas.openxmlformats.org/officeDocument/2006/relationships/hyperlink" Target="https://youtu.be/7Vfu1rRNybk?t=1021" TargetMode="External"/><Relationship Id="rId295" Type="http://schemas.openxmlformats.org/officeDocument/2006/relationships/hyperlink" Target="https://youtu.be/T98x8lh6FmM?t=907" TargetMode="External"/><Relationship Id="rId38" Type="http://schemas.openxmlformats.org/officeDocument/2006/relationships/hyperlink" Target="https://youtu.be/pbCpxeizMOU?t=7047" TargetMode="External"/><Relationship Id="rId173" Type="http://schemas.openxmlformats.org/officeDocument/2006/relationships/hyperlink" Target="https://youtu.be/YywOg6wap1s?t=97" TargetMode="External"/><Relationship Id="rId294" Type="http://schemas.openxmlformats.org/officeDocument/2006/relationships/hyperlink" Target="https://youtu.be/swMY5yJQyeg" TargetMode="External"/><Relationship Id="rId179" Type="http://schemas.openxmlformats.org/officeDocument/2006/relationships/hyperlink" Target="https://youtu.be/YywOg6wap1s?t=2709" TargetMode="External"/><Relationship Id="rId178" Type="http://schemas.openxmlformats.org/officeDocument/2006/relationships/hyperlink" Target="https://youtu.be/7Vfu1rRNybk?t=2829" TargetMode="External"/><Relationship Id="rId299" Type="http://schemas.openxmlformats.org/officeDocument/2006/relationships/hyperlink" Target="https://youtu.be/T98x8lh6FmM?t=2761" TargetMode="External"/><Relationship Id="rId177" Type="http://schemas.openxmlformats.org/officeDocument/2006/relationships/hyperlink" Target="https://youtu.be/YywOg6wap1s?t=1821" TargetMode="External"/><Relationship Id="rId298" Type="http://schemas.openxmlformats.org/officeDocument/2006/relationships/hyperlink" Target="https://youtu.be/swMY5yJQyeg?t=2795" TargetMode="External"/><Relationship Id="rId20" Type="http://schemas.openxmlformats.org/officeDocument/2006/relationships/hyperlink" Target="https://youtu.be/ZAx5xbNqAWY?t=8020" TargetMode="External"/><Relationship Id="rId22" Type="http://schemas.openxmlformats.org/officeDocument/2006/relationships/hyperlink" Target="https://youtu.be/pbCpxeizMOU" TargetMode="External"/><Relationship Id="rId21" Type="http://schemas.openxmlformats.org/officeDocument/2006/relationships/hyperlink" Target="https://youtu.be/yKjgb7_Bt0A" TargetMode="External"/><Relationship Id="rId24" Type="http://schemas.openxmlformats.org/officeDocument/2006/relationships/hyperlink" Target="https://youtu.be/pbCpxeizMOU?t=871" TargetMode="External"/><Relationship Id="rId23" Type="http://schemas.openxmlformats.org/officeDocument/2006/relationships/hyperlink" Target="https://youtu.be/yKjgb7_Bt0A?t=903" TargetMode="External"/><Relationship Id="rId26" Type="http://schemas.openxmlformats.org/officeDocument/2006/relationships/hyperlink" Target="https://youtu.be/pbCpxeizMOU?t=1766" TargetMode="External"/><Relationship Id="rId25" Type="http://schemas.openxmlformats.org/officeDocument/2006/relationships/hyperlink" Target="https://youtu.be/yKjgb7_Bt0A?t=1788" TargetMode="External"/><Relationship Id="rId28" Type="http://schemas.openxmlformats.org/officeDocument/2006/relationships/hyperlink" Target="https://youtu.be/pbCpxeizMOU?t=2668" TargetMode="External"/><Relationship Id="rId27" Type="http://schemas.openxmlformats.org/officeDocument/2006/relationships/hyperlink" Target="https://youtu.be/yKjgb7_Bt0A?t=2688" TargetMode="External"/><Relationship Id="rId29" Type="http://schemas.openxmlformats.org/officeDocument/2006/relationships/hyperlink" Target="https://youtu.be/yKjgb7_Bt0A?t=3539" TargetMode="External"/><Relationship Id="rId11" Type="http://schemas.openxmlformats.org/officeDocument/2006/relationships/hyperlink" Target="https://youtu.be/0pGlwVFkuns?t=4438" TargetMode="External"/><Relationship Id="rId10" Type="http://schemas.openxmlformats.org/officeDocument/2006/relationships/hyperlink" Target="https://youtu.be/ZAx5xbNqAWY?t=3581" TargetMode="External"/><Relationship Id="rId13" Type="http://schemas.openxmlformats.org/officeDocument/2006/relationships/hyperlink" Target="https://youtu.be/0pGlwVFkuns?t=5343" TargetMode="External"/><Relationship Id="rId12" Type="http://schemas.openxmlformats.org/officeDocument/2006/relationships/hyperlink" Target="https://youtu.be/ZAx5xbNqAWY?t=4481" TargetMode="External"/><Relationship Id="rId15" Type="http://schemas.openxmlformats.org/officeDocument/2006/relationships/hyperlink" Target="https://youtu.be/0pGlwVFkuns?t=6178" TargetMode="External"/><Relationship Id="rId198" Type="http://schemas.openxmlformats.org/officeDocument/2006/relationships/hyperlink" Target="https://youtu.be/cBixTOHCZQY?t=2651" TargetMode="External"/><Relationship Id="rId14" Type="http://schemas.openxmlformats.org/officeDocument/2006/relationships/hyperlink" Target="https://youtu.be/ZAx5xbNqAWY?t=5381" TargetMode="External"/><Relationship Id="rId197" Type="http://schemas.openxmlformats.org/officeDocument/2006/relationships/hyperlink" Target="https://youtu.be/7WxBeJuSKMI?t=1643" TargetMode="External"/><Relationship Id="rId17" Type="http://schemas.openxmlformats.org/officeDocument/2006/relationships/hyperlink" Target="https://youtu.be/0pGlwVFkuns?t=7079" TargetMode="External"/><Relationship Id="rId196" Type="http://schemas.openxmlformats.org/officeDocument/2006/relationships/hyperlink" Target="https://youtu.be/cBixTOHCZQY?t=1811" TargetMode="External"/><Relationship Id="rId16" Type="http://schemas.openxmlformats.org/officeDocument/2006/relationships/hyperlink" Target="https://youtu.be/ZAx5xbNqAWY?t=6221" TargetMode="External"/><Relationship Id="rId195" Type="http://schemas.openxmlformats.org/officeDocument/2006/relationships/hyperlink" Target="https://youtu.be/7WxBeJuSKMI?t=845" TargetMode="External"/><Relationship Id="rId19" Type="http://schemas.openxmlformats.org/officeDocument/2006/relationships/hyperlink" Target="https://youtu.be/0pGlwVFkuns?t=7981" TargetMode="External"/><Relationship Id="rId18" Type="http://schemas.openxmlformats.org/officeDocument/2006/relationships/hyperlink" Target="https://youtu.be/ZAx5xbNqAWY?t=7122" TargetMode="External"/><Relationship Id="rId199" Type="http://schemas.openxmlformats.org/officeDocument/2006/relationships/hyperlink" Target="https://youtu.be/7WxBeJuSKMI?t=2514" TargetMode="External"/><Relationship Id="rId84" Type="http://schemas.openxmlformats.org/officeDocument/2006/relationships/hyperlink" Target="https://youtu.be/EqtAU6X7mhU?t=886" TargetMode="External"/><Relationship Id="rId83" Type="http://schemas.openxmlformats.org/officeDocument/2006/relationships/hyperlink" Target="https://youtu.be/M4fwJHNlsV4?t=746" TargetMode="External"/><Relationship Id="rId86" Type="http://schemas.openxmlformats.org/officeDocument/2006/relationships/hyperlink" Target="https://youtu.be/EqtAU6X7mhU?t=1715" TargetMode="External"/><Relationship Id="rId85" Type="http://schemas.openxmlformats.org/officeDocument/2006/relationships/hyperlink" Target="https://youtu.be/M4fwJHNlsV4?t=1703" TargetMode="External"/><Relationship Id="rId88" Type="http://schemas.openxmlformats.org/officeDocument/2006/relationships/hyperlink" Target="https://youtu.be/EqtAU6X7mhU?t=2695" TargetMode="External"/><Relationship Id="rId150" Type="http://schemas.openxmlformats.org/officeDocument/2006/relationships/hyperlink" Target="https://youtu.be/9HuRbR4gCPc?t=3669" TargetMode="External"/><Relationship Id="rId271" Type="http://schemas.openxmlformats.org/officeDocument/2006/relationships/hyperlink" Target="https://youtu.be/UCnMWawAyBs?t=7944" TargetMode="External"/><Relationship Id="rId87" Type="http://schemas.openxmlformats.org/officeDocument/2006/relationships/hyperlink" Target="https://youtu.be/M4fwJHNlsV4?t=2528" TargetMode="External"/><Relationship Id="rId270" Type="http://schemas.openxmlformats.org/officeDocument/2006/relationships/hyperlink" Target="https://youtu.be/QPjhAfzaVsE?t=8082" TargetMode="External"/><Relationship Id="rId89" Type="http://schemas.openxmlformats.org/officeDocument/2006/relationships/hyperlink" Target="https://youtu.be/M4fwJHNlsV4?t=3401" TargetMode="External"/><Relationship Id="rId80" Type="http://schemas.openxmlformats.org/officeDocument/2006/relationships/hyperlink" Target="https://youtu.be/SQfAEUewXGs?t=7922" TargetMode="External"/><Relationship Id="rId82" Type="http://schemas.openxmlformats.org/officeDocument/2006/relationships/hyperlink" Target="https://youtu.be/EqtAU6X7mhU" TargetMode="External"/><Relationship Id="rId81" Type="http://schemas.openxmlformats.org/officeDocument/2006/relationships/hyperlink" Target="https://youtu.be/M4fwJHNlsV4" TargetMode="External"/><Relationship Id="rId1" Type="http://schemas.openxmlformats.org/officeDocument/2006/relationships/hyperlink" Target="https://youtu.be/0pGlwVFkuns" TargetMode="External"/><Relationship Id="rId2" Type="http://schemas.openxmlformats.org/officeDocument/2006/relationships/hyperlink" Target="https://youtu.be/ZAx5xbNqAWY" TargetMode="External"/><Relationship Id="rId3" Type="http://schemas.openxmlformats.org/officeDocument/2006/relationships/hyperlink" Target="https://youtu.be/0pGlwVFkuns?t=906" TargetMode="External"/><Relationship Id="rId149" Type="http://schemas.openxmlformats.org/officeDocument/2006/relationships/hyperlink" Target="https://youtu.be/kW_9vbzJkhY?t=3687" TargetMode="External"/><Relationship Id="rId4" Type="http://schemas.openxmlformats.org/officeDocument/2006/relationships/hyperlink" Target="https://youtu.be/ZAx5xbNqAWY?t=940" TargetMode="External"/><Relationship Id="rId148" Type="http://schemas.openxmlformats.org/officeDocument/2006/relationships/hyperlink" Target="https://youtu.be/9HuRbR4gCPc?t=2808" TargetMode="External"/><Relationship Id="rId269" Type="http://schemas.openxmlformats.org/officeDocument/2006/relationships/hyperlink" Target="https://youtu.be/UCnMWawAyBs?t=7039" TargetMode="External"/><Relationship Id="rId9" Type="http://schemas.openxmlformats.org/officeDocument/2006/relationships/hyperlink" Target="https://youtu.be/0pGlwVFkuns?t=3541" TargetMode="External"/><Relationship Id="rId143" Type="http://schemas.openxmlformats.org/officeDocument/2006/relationships/hyperlink" Target="https://youtu.be/kW_9vbzJkhY?t=1036" TargetMode="External"/><Relationship Id="rId264" Type="http://schemas.openxmlformats.org/officeDocument/2006/relationships/hyperlink" Target="https://youtu.be/QPjhAfzaVsE?t=5435" TargetMode="External"/><Relationship Id="rId142" Type="http://schemas.openxmlformats.org/officeDocument/2006/relationships/hyperlink" Target="https://youtu.be/9HuRbR4gCPc" TargetMode="External"/><Relationship Id="rId263" Type="http://schemas.openxmlformats.org/officeDocument/2006/relationships/hyperlink" Target="https://youtu.be/UCnMWawAyBs?t=4427" TargetMode="External"/><Relationship Id="rId141" Type="http://schemas.openxmlformats.org/officeDocument/2006/relationships/hyperlink" Target="https://youtu.be/kW_9vbzJkhY" TargetMode="External"/><Relationship Id="rId262" Type="http://schemas.openxmlformats.org/officeDocument/2006/relationships/hyperlink" Target="https://youtu.be/QPjhAfzaVsE?t=4534" TargetMode="External"/><Relationship Id="rId140" Type="http://schemas.openxmlformats.org/officeDocument/2006/relationships/hyperlink" Target="https://youtu.be/CalnZPBGbUk?t=7945" TargetMode="External"/><Relationship Id="rId261" Type="http://schemas.openxmlformats.org/officeDocument/2006/relationships/hyperlink" Target="https://youtu.be/UCnMWawAyBs?t=3506" TargetMode="External"/><Relationship Id="rId5" Type="http://schemas.openxmlformats.org/officeDocument/2006/relationships/hyperlink" Target="https://youtu.be/0pGlwVFkuns?t=1843" TargetMode="External"/><Relationship Id="rId147" Type="http://schemas.openxmlformats.org/officeDocument/2006/relationships/hyperlink" Target="https://youtu.be/kW_9vbzJkhY?t=2833" TargetMode="External"/><Relationship Id="rId268" Type="http://schemas.openxmlformats.org/officeDocument/2006/relationships/hyperlink" Target="https://youtu.be/QPjhAfzaVsE?t=7172" TargetMode="External"/><Relationship Id="rId6" Type="http://schemas.openxmlformats.org/officeDocument/2006/relationships/hyperlink" Target="https://youtu.be/ZAx5xbNqAWY?t=1841" TargetMode="External"/><Relationship Id="rId146" Type="http://schemas.openxmlformats.org/officeDocument/2006/relationships/hyperlink" Target="https://youtu.be/9HuRbR4gCPc?t=1910" TargetMode="External"/><Relationship Id="rId267" Type="http://schemas.openxmlformats.org/officeDocument/2006/relationships/hyperlink" Target="https://youtu.be/UCnMWawAyBs?t=6142" TargetMode="External"/><Relationship Id="rId7" Type="http://schemas.openxmlformats.org/officeDocument/2006/relationships/hyperlink" Target="https://youtu.be/0pGlwVFkuns?t=2703" TargetMode="External"/><Relationship Id="rId145" Type="http://schemas.openxmlformats.org/officeDocument/2006/relationships/hyperlink" Target="https://youtu.be/kW_9vbzJkhY?t=1933" TargetMode="External"/><Relationship Id="rId266" Type="http://schemas.openxmlformats.org/officeDocument/2006/relationships/hyperlink" Target="https://youtu.be/QPjhAfzaVsE?t=6294" TargetMode="External"/><Relationship Id="rId8" Type="http://schemas.openxmlformats.org/officeDocument/2006/relationships/hyperlink" Target="https://youtu.be/ZAx5xbNqAWY?t=2741" TargetMode="External"/><Relationship Id="rId144" Type="http://schemas.openxmlformats.org/officeDocument/2006/relationships/hyperlink" Target="https://youtu.be/9HuRbR4gCPc?t=1008" TargetMode="External"/><Relationship Id="rId265" Type="http://schemas.openxmlformats.org/officeDocument/2006/relationships/hyperlink" Target="https://youtu.be/UCnMWawAyBs?t=5299" TargetMode="External"/><Relationship Id="rId73" Type="http://schemas.openxmlformats.org/officeDocument/2006/relationships/hyperlink" Target="https://youtu.be/M_Azrpy9Bwc?t=5334" TargetMode="External"/><Relationship Id="rId72" Type="http://schemas.openxmlformats.org/officeDocument/2006/relationships/hyperlink" Target="https://youtu.be/SQfAEUewXGs?t=4384" TargetMode="External"/><Relationship Id="rId75" Type="http://schemas.openxmlformats.org/officeDocument/2006/relationships/hyperlink" Target="https://youtu.be/M_Azrpy9Bwc?t=6176" TargetMode="External"/><Relationship Id="rId74" Type="http://schemas.openxmlformats.org/officeDocument/2006/relationships/hyperlink" Target="https://youtu.be/SQfAEUewXGs?t=5282" TargetMode="External"/><Relationship Id="rId77" Type="http://schemas.openxmlformats.org/officeDocument/2006/relationships/hyperlink" Target="https://youtu.be/M_Azrpy9Bwc?t=7075" TargetMode="External"/><Relationship Id="rId260" Type="http://schemas.openxmlformats.org/officeDocument/2006/relationships/hyperlink" Target="https://youtu.be/QPjhAfzaVsE?t=3641" TargetMode="External"/><Relationship Id="rId76" Type="http://schemas.openxmlformats.org/officeDocument/2006/relationships/hyperlink" Target="https://youtu.be/SQfAEUewXGs?t=6131" TargetMode="External"/><Relationship Id="rId79" Type="http://schemas.openxmlformats.org/officeDocument/2006/relationships/hyperlink" Target="https://youtu.be/M_Azrpy9Bwc?t=7976" TargetMode="External"/><Relationship Id="rId78" Type="http://schemas.openxmlformats.org/officeDocument/2006/relationships/hyperlink" Target="https://youtu.be/SQfAEUewXGs?t=7031" TargetMode="External"/><Relationship Id="rId71" Type="http://schemas.openxmlformats.org/officeDocument/2006/relationships/hyperlink" Target="https://youtu.be/M_Azrpy9Bwc?t=4435" TargetMode="External"/><Relationship Id="rId70" Type="http://schemas.openxmlformats.org/officeDocument/2006/relationships/hyperlink" Target="https://youtu.be/SQfAEUewXGs?t=3483" TargetMode="External"/><Relationship Id="rId139" Type="http://schemas.openxmlformats.org/officeDocument/2006/relationships/hyperlink" Target="https://youtu.be/l_ZVRZNy5Dg?t=8013" TargetMode="External"/><Relationship Id="rId138" Type="http://schemas.openxmlformats.org/officeDocument/2006/relationships/hyperlink" Target="https://youtu.be/CalnZPBGbUk?t=7052" TargetMode="External"/><Relationship Id="rId259" Type="http://schemas.openxmlformats.org/officeDocument/2006/relationships/hyperlink" Target="https://youtu.be/UCnMWawAyBs?t=2662" TargetMode="External"/><Relationship Id="rId137" Type="http://schemas.openxmlformats.org/officeDocument/2006/relationships/hyperlink" Target="https://youtu.be/l_ZVRZNy5Dg?t=7110" TargetMode="External"/><Relationship Id="rId258" Type="http://schemas.openxmlformats.org/officeDocument/2006/relationships/hyperlink" Target="https://youtu.be/QPjhAfzaVsE?t=2795" TargetMode="External"/><Relationship Id="rId132" Type="http://schemas.openxmlformats.org/officeDocument/2006/relationships/hyperlink" Target="https://youtu.be/CalnZPBGbUk?t=4411" TargetMode="External"/><Relationship Id="rId253" Type="http://schemas.openxmlformats.org/officeDocument/2006/relationships/hyperlink" Target="https://youtu.be/UCnMWawAyBs" TargetMode="External"/><Relationship Id="rId131" Type="http://schemas.openxmlformats.org/officeDocument/2006/relationships/hyperlink" Target="https://youtu.be/l_ZVRZNy5Dg?t=4467" TargetMode="External"/><Relationship Id="rId252" Type="http://schemas.openxmlformats.org/officeDocument/2006/relationships/hyperlink" Target="https://youtu.be/QPjhAfzaVsE" TargetMode="External"/><Relationship Id="rId130" Type="http://schemas.openxmlformats.org/officeDocument/2006/relationships/hyperlink" Target="https://youtu.be/CalnZPBGbUk?t=3461" TargetMode="External"/><Relationship Id="rId251" Type="http://schemas.openxmlformats.org/officeDocument/2006/relationships/hyperlink" Target="https://youtu.be/BDgr9rpySs8?t=7829" TargetMode="External"/><Relationship Id="rId250" Type="http://schemas.openxmlformats.org/officeDocument/2006/relationships/hyperlink" Target="https://youtu.be/538IxCG8Ogc?t=7930" TargetMode="External"/><Relationship Id="rId136" Type="http://schemas.openxmlformats.org/officeDocument/2006/relationships/hyperlink" Target="https://youtu.be/CalnZPBGbUk?t=6211" TargetMode="External"/><Relationship Id="rId257" Type="http://schemas.openxmlformats.org/officeDocument/2006/relationships/hyperlink" Target="https://youtu.be/UCnMWawAyBs?t=1759" TargetMode="External"/><Relationship Id="rId135" Type="http://schemas.openxmlformats.org/officeDocument/2006/relationships/hyperlink" Target="https://youtu.be/l_ZVRZNy5Dg?t=6267" TargetMode="External"/><Relationship Id="rId256" Type="http://schemas.openxmlformats.org/officeDocument/2006/relationships/hyperlink" Target="https://youtu.be/QPjhAfzaVsE?t=1896" TargetMode="External"/><Relationship Id="rId134" Type="http://schemas.openxmlformats.org/officeDocument/2006/relationships/hyperlink" Target="https://youtu.be/CalnZPBGbUk?t=5369" TargetMode="External"/><Relationship Id="rId255" Type="http://schemas.openxmlformats.org/officeDocument/2006/relationships/hyperlink" Target="https://youtu.be/UCnMWawAyBs?t=859" TargetMode="External"/><Relationship Id="rId133" Type="http://schemas.openxmlformats.org/officeDocument/2006/relationships/hyperlink" Target="https://youtu.be/l_ZVRZNy5Dg?t=5370" TargetMode="External"/><Relationship Id="rId254" Type="http://schemas.openxmlformats.org/officeDocument/2006/relationships/hyperlink" Target="https://youtu.be/QPjhAfzaVsE?t=1002" TargetMode="External"/><Relationship Id="rId62" Type="http://schemas.openxmlformats.org/officeDocument/2006/relationships/hyperlink" Target="https://youtu.be/SQfAEUewXGs" TargetMode="External"/><Relationship Id="rId61" Type="http://schemas.openxmlformats.org/officeDocument/2006/relationships/hyperlink" Target="https://youtu.be/M_Azrpy9Bwc" TargetMode="External"/><Relationship Id="rId64" Type="http://schemas.openxmlformats.org/officeDocument/2006/relationships/hyperlink" Target="https://youtu.be/SQfAEUewXGs?t=859" TargetMode="External"/><Relationship Id="rId63" Type="http://schemas.openxmlformats.org/officeDocument/2006/relationships/hyperlink" Target="https://youtu.be/M_Azrpy9Bwc?t=897" TargetMode="External"/><Relationship Id="rId66" Type="http://schemas.openxmlformats.org/officeDocument/2006/relationships/hyperlink" Target="https://youtu.be/SQfAEUewXGs?t=1743" TargetMode="External"/><Relationship Id="rId172" Type="http://schemas.openxmlformats.org/officeDocument/2006/relationships/hyperlink" Target="https://youtu.be/7Vfu1rRNybk" TargetMode="External"/><Relationship Id="rId293" Type="http://schemas.openxmlformats.org/officeDocument/2006/relationships/hyperlink" Target="https://youtu.be/T98x8lh6FmM" TargetMode="External"/><Relationship Id="rId65" Type="http://schemas.openxmlformats.org/officeDocument/2006/relationships/hyperlink" Target="https://youtu.be/M_Azrpy9Bwc?t=1794" TargetMode="External"/><Relationship Id="rId171" Type="http://schemas.openxmlformats.org/officeDocument/2006/relationships/hyperlink" Target="https://youtu.be/LpdaAPP0iyg?t=8005" TargetMode="External"/><Relationship Id="rId292" Type="http://schemas.openxmlformats.org/officeDocument/2006/relationships/hyperlink" Target="https://youtu.be/swMY5yJQyeg" TargetMode="External"/><Relationship Id="rId68" Type="http://schemas.openxmlformats.org/officeDocument/2006/relationships/hyperlink" Target="https://youtu.be/SQfAEUewXGs?t=2649" TargetMode="External"/><Relationship Id="rId170" Type="http://schemas.openxmlformats.org/officeDocument/2006/relationships/hyperlink" Target="https://youtu.be/LpdaAPP0iyg?t=7108" TargetMode="External"/><Relationship Id="rId291" Type="http://schemas.openxmlformats.org/officeDocument/2006/relationships/hyperlink" Target="https://youtu.be/7WxBeJuSKMI?t=7621" TargetMode="External"/><Relationship Id="rId67" Type="http://schemas.openxmlformats.org/officeDocument/2006/relationships/hyperlink" Target="https://youtu.be/M_Azrpy9Bwc?t=2696" TargetMode="External"/><Relationship Id="rId290" Type="http://schemas.openxmlformats.org/officeDocument/2006/relationships/hyperlink" Target="https://youtu.be/XEXgOaRNxkU?t=7968" TargetMode="External"/><Relationship Id="rId60" Type="http://schemas.openxmlformats.org/officeDocument/2006/relationships/hyperlink" Target="https://youtu.be/3gXnbRVEIH0?t=8062" TargetMode="External"/><Relationship Id="rId165" Type="http://schemas.openxmlformats.org/officeDocument/2006/relationships/hyperlink" Target="https://youtu.be/LpdaAPP0iyg?t=2741" TargetMode="External"/><Relationship Id="rId286" Type="http://schemas.openxmlformats.org/officeDocument/2006/relationships/hyperlink" Target="https://youtu.be/XEXgOaRNxkU?t=6177" TargetMode="External"/><Relationship Id="rId69" Type="http://schemas.openxmlformats.org/officeDocument/2006/relationships/hyperlink" Target="https://youtu.be/M_Azrpy9Bwc?t=3534" TargetMode="External"/><Relationship Id="rId164" Type="http://schemas.openxmlformats.org/officeDocument/2006/relationships/hyperlink" Target="https://youtu.be/LpdaAPP0iyg?t=1839" TargetMode="External"/><Relationship Id="rId285" Type="http://schemas.openxmlformats.org/officeDocument/2006/relationships/hyperlink" Target="https://youtu.be/7WxBeJuSKMI?t=5009" TargetMode="External"/><Relationship Id="rId163" Type="http://schemas.openxmlformats.org/officeDocument/2006/relationships/hyperlink" Target="https://youtu.be/LpdaAPP0iyg?t=972" TargetMode="External"/><Relationship Id="rId284" Type="http://schemas.openxmlformats.org/officeDocument/2006/relationships/hyperlink" Target="https://youtu.be/XEXgOaRNxkU?t=5359" TargetMode="External"/><Relationship Id="rId162" Type="http://schemas.openxmlformats.org/officeDocument/2006/relationships/hyperlink" Target="https://youtu.be/89OWrwtiI2E" TargetMode="External"/><Relationship Id="rId283" Type="http://schemas.openxmlformats.org/officeDocument/2006/relationships/hyperlink" Target="https://youtu.be/7WxBeJuSKMI?t=4151" TargetMode="External"/><Relationship Id="rId169" Type="http://schemas.openxmlformats.org/officeDocument/2006/relationships/hyperlink" Target="https://youtu.be/LpdaAPP0iyg?t=6207" TargetMode="External"/><Relationship Id="rId168" Type="http://schemas.openxmlformats.org/officeDocument/2006/relationships/hyperlink" Target="https://youtu.be/LpdaAPP0iyg?t=5364" TargetMode="External"/><Relationship Id="rId289" Type="http://schemas.openxmlformats.org/officeDocument/2006/relationships/hyperlink" Target="https://youtu.be/7WxBeJuSKMI?t=6718" TargetMode="External"/><Relationship Id="rId167" Type="http://schemas.openxmlformats.org/officeDocument/2006/relationships/hyperlink" Target="https://youtu.be/LpdaAPP0iyg?t=4465" TargetMode="External"/><Relationship Id="rId288" Type="http://schemas.openxmlformats.org/officeDocument/2006/relationships/hyperlink" Target="https://youtu.be/XEXgOaRNxkU?t=7067" TargetMode="External"/><Relationship Id="rId166" Type="http://schemas.openxmlformats.org/officeDocument/2006/relationships/hyperlink" Target="https://youtu.be/LpdaAPP0iyg?t=3566" TargetMode="External"/><Relationship Id="rId287" Type="http://schemas.openxmlformats.org/officeDocument/2006/relationships/hyperlink" Target="https://youtu.be/7WxBeJuSKMI?t=5829" TargetMode="External"/><Relationship Id="rId51" Type="http://schemas.openxmlformats.org/officeDocument/2006/relationships/hyperlink" Target="https://youtu.be/IiHABJCHyqo?t=4430" TargetMode="External"/><Relationship Id="rId50" Type="http://schemas.openxmlformats.org/officeDocument/2006/relationships/hyperlink" Target="https://youtu.be/3gXnbRVEIH0?t=3621" TargetMode="External"/><Relationship Id="rId53" Type="http://schemas.openxmlformats.org/officeDocument/2006/relationships/hyperlink" Target="https://youtu.be/IiHABJCHyqo?t=5332" TargetMode="External"/><Relationship Id="rId52" Type="http://schemas.openxmlformats.org/officeDocument/2006/relationships/hyperlink" Target="https://youtu.be/3gXnbRVEIH0?t=4521" TargetMode="External"/><Relationship Id="rId55" Type="http://schemas.openxmlformats.org/officeDocument/2006/relationships/hyperlink" Target="https://youtu.be/IiHABJCHyqo?t=6172" TargetMode="External"/><Relationship Id="rId161" Type="http://schemas.openxmlformats.org/officeDocument/2006/relationships/hyperlink" Target="https://youtu.be/LpdaAPP0iyg" TargetMode="External"/><Relationship Id="rId282" Type="http://schemas.openxmlformats.org/officeDocument/2006/relationships/hyperlink" Target="https://youtu.be/XEXgOaRNxkU?t=4468" TargetMode="External"/><Relationship Id="rId54" Type="http://schemas.openxmlformats.org/officeDocument/2006/relationships/hyperlink" Target="https://youtu.be/3gXnbRVEIH0?t=5421" TargetMode="External"/><Relationship Id="rId160" Type="http://schemas.openxmlformats.org/officeDocument/2006/relationships/hyperlink" Target="https://youtu.be/9HuRbR4gCPc?t=8085" TargetMode="External"/><Relationship Id="rId281" Type="http://schemas.openxmlformats.org/officeDocument/2006/relationships/hyperlink" Target="https://youtu.be/7WxBeJuSKMI?t=3335" TargetMode="External"/><Relationship Id="rId57" Type="http://schemas.openxmlformats.org/officeDocument/2006/relationships/hyperlink" Target="https://youtu.be/IiHABJCHyqo?t=7069" TargetMode="External"/><Relationship Id="rId280" Type="http://schemas.openxmlformats.org/officeDocument/2006/relationships/hyperlink" Target="https://youtu.be/XEXgOaRNxkU?t=3574" TargetMode="External"/><Relationship Id="rId56" Type="http://schemas.openxmlformats.org/officeDocument/2006/relationships/hyperlink" Target="https://youtu.be/3gXnbRVEIH0?t=6261" TargetMode="External"/><Relationship Id="rId159" Type="http://schemas.openxmlformats.org/officeDocument/2006/relationships/hyperlink" Target="https://youtu.be/kW_9vbzJkhY?t=8111" TargetMode="External"/><Relationship Id="rId59" Type="http://schemas.openxmlformats.org/officeDocument/2006/relationships/hyperlink" Target="https://youtu.be/IiHABJCHyqo?t=7978" TargetMode="External"/><Relationship Id="rId154" Type="http://schemas.openxmlformats.org/officeDocument/2006/relationships/hyperlink" Target="https://youtu.be/9HuRbR4gCPc?t=5462" TargetMode="External"/><Relationship Id="rId275" Type="http://schemas.openxmlformats.org/officeDocument/2006/relationships/hyperlink" Target="https://youtu.be/7WxBeJuSKMI?t=845" TargetMode="External"/><Relationship Id="rId58" Type="http://schemas.openxmlformats.org/officeDocument/2006/relationships/hyperlink" Target="https://youtu.be/3gXnbRVEIH0?t=7162" TargetMode="External"/><Relationship Id="rId153" Type="http://schemas.openxmlformats.org/officeDocument/2006/relationships/hyperlink" Target="https://youtu.be/kW_9vbzJkhY?t=5474" TargetMode="External"/><Relationship Id="rId274" Type="http://schemas.openxmlformats.org/officeDocument/2006/relationships/hyperlink" Target="https://youtu.be/XEXgOaRNxkU?t=893" TargetMode="External"/><Relationship Id="rId152" Type="http://schemas.openxmlformats.org/officeDocument/2006/relationships/hyperlink" Target="https://youtu.be/9HuRbR4gCPc?t=4566" TargetMode="External"/><Relationship Id="rId273" Type="http://schemas.openxmlformats.org/officeDocument/2006/relationships/hyperlink" Target="https://youtu.be/UlNgduna3Xg" TargetMode="External"/><Relationship Id="rId151" Type="http://schemas.openxmlformats.org/officeDocument/2006/relationships/hyperlink" Target="https://youtu.be/kW_9vbzJkhY?t=4576" TargetMode="External"/><Relationship Id="rId272" Type="http://schemas.openxmlformats.org/officeDocument/2006/relationships/hyperlink" Target="https://youtu.be/XEXgOaRNxkU" TargetMode="External"/><Relationship Id="rId158" Type="http://schemas.openxmlformats.org/officeDocument/2006/relationships/hyperlink" Target="https://youtu.be/9HuRbR4gCPc?t=7184" TargetMode="External"/><Relationship Id="rId279" Type="http://schemas.openxmlformats.org/officeDocument/2006/relationships/hyperlink" Target="https://youtu.be/7WxBeJuSKMI?t=2514" TargetMode="External"/><Relationship Id="rId157" Type="http://schemas.openxmlformats.org/officeDocument/2006/relationships/hyperlink" Target="https://youtu.be/kW_9vbzJkhY?t=7214" TargetMode="External"/><Relationship Id="rId278" Type="http://schemas.openxmlformats.org/officeDocument/2006/relationships/hyperlink" Target="https://youtu.be/XEXgOaRNxkU?t=2702" TargetMode="External"/><Relationship Id="rId156" Type="http://schemas.openxmlformats.org/officeDocument/2006/relationships/hyperlink" Target="https://youtu.be/9HuRbR4gCPc?t=6306" TargetMode="External"/><Relationship Id="rId277" Type="http://schemas.openxmlformats.org/officeDocument/2006/relationships/hyperlink" Target="https://youtu.be/7WxBeJuSKMI?t=1625" TargetMode="External"/><Relationship Id="rId155" Type="http://schemas.openxmlformats.org/officeDocument/2006/relationships/hyperlink" Target="https://youtu.be/kW_9vbzJkhY?t=6308" TargetMode="External"/><Relationship Id="rId276" Type="http://schemas.openxmlformats.org/officeDocument/2006/relationships/hyperlink" Target="https://youtu.be/XEXgOaRNxkU?t=1830" TargetMode="External"/><Relationship Id="rId107" Type="http://schemas.openxmlformats.org/officeDocument/2006/relationships/hyperlink" Target="https://youtu.be/EKGLrV6_E5E?t=2650" TargetMode="External"/><Relationship Id="rId228" Type="http://schemas.openxmlformats.org/officeDocument/2006/relationships/hyperlink" Target="https://youtu.be/P5JZGhYyv9s?t=7136" TargetMode="External"/><Relationship Id="rId349" Type="http://schemas.openxmlformats.org/officeDocument/2006/relationships/hyperlink" Target="https://youtu.be/p497hupq2y8?t=6996" TargetMode="External"/><Relationship Id="rId106" Type="http://schemas.openxmlformats.org/officeDocument/2006/relationships/hyperlink" Target="https://youtu.be/HFEXfaJesic?t=1825" TargetMode="External"/><Relationship Id="rId227" Type="http://schemas.openxmlformats.org/officeDocument/2006/relationships/hyperlink" Target="https://youtu.be/ZcPOK7LyOSQ?t=6181" TargetMode="External"/><Relationship Id="rId348" Type="http://schemas.openxmlformats.org/officeDocument/2006/relationships/hyperlink" Target="https://youtu.be/OeYacH8RksU?t=7210" TargetMode="External"/><Relationship Id="rId105" Type="http://schemas.openxmlformats.org/officeDocument/2006/relationships/hyperlink" Target="https://youtu.be/EKGLrV6_E5E?t=1776" TargetMode="External"/><Relationship Id="rId226" Type="http://schemas.openxmlformats.org/officeDocument/2006/relationships/hyperlink" Target="https://youtu.be/P5JZGhYyv9s?t=6303" TargetMode="External"/><Relationship Id="rId347" Type="http://schemas.openxmlformats.org/officeDocument/2006/relationships/hyperlink" Target="https://youtu.be/p497hupq2y8?t=6093" TargetMode="External"/><Relationship Id="rId104" Type="http://schemas.openxmlformats.org/officeDocument/2006/relationships/hyperlink" Target="https://youtu.be/HFEXfaJesic?t=975" TargetMode="External"/><Relationship Id="rId225" Type="http://schemas.openxmlformats.org/officeDocument/2006/relationships/hyperlink" Target="https://youtu.be/ZcPOK7LyOSQ?t=5384" TargetMode="External"/><Relationship Id="rId346" Type="http://schemas.openxmlformats.org/officeDocument/2006/relationships/hyperlink" Target="https://youtu.be/OeYacH8RksU?t=6317" TargetMode="External"/><Relationship Id="rId109" Type="http://schemas.openxmlformats.org/officeDocument/2006/relationships/hyperlink" Target="https://youtu.be/EKGLrV6_E5E?t=3498" TargetMode="External"/><Relationship Id="rId108" Type="http://schemas.openxmlformats.org/officeDocument/2006/relationships/hyperlink" Target="https://youtu.be/HFEXfaJesic?t=2707" TargetMode="External"/><Relationship Id="rId229" Type="http://schemas.openxmlformats.org/officeDocument/2006/relationships/hyperlink" Target="https://youtu.be/ZcPOK7LyOSQ?t=7022" TargetMode="External"/><Relationship Id="rId220" Type="http://schemas.openxmlformats.org/officeDocument/2006/relationships/hyperlink" Target="https://youtu.be/P5JZGhYyv9s?t=3766" TargetMode="External"/><Relationship Id="rId341" Type="http://schemas.openxmlformats.org/officeDocument/2006/relationships/hyperlink" Target="https://youtu.be/p497hupq2y8?t=3473" TargetMode="External"/><Relationship Id="rId340" Type="http://schemas.openxmlformats.org/officeDocument/2006/relationships/hyperlink" Target="https://youtu.be/OeYacH8RksU?t=3670" TargetMode="External"/><Relationship Id="rId103" Type="http://schemas.openxmlformats.org/officeDocument/2006/relationships/hyperlink" Target="https://youtu.be/EKGLrV6_E5E?t=896" TargetMode="External"/><Relationship Id="rId224" Type="http://schemas.openxmlformats.org/officeDocument/2006/relationships/hyperlink" Target="https://youtu.be/P5JZGhYyv9s?t=5465" TargetMode="External"/><Relationship Id="rId345" Type="http://schemas.openxmlformats.org/officeDocument/2006/relationships/hyperlink" Target="https://youtu.be/p497hupq2y8?t=5253" TargetMode="External"/><Relationship Id="rId102" Type="http://schemas.openxmlformats.org/officeDocument/2006/relationships/hyperlink" Target="https://youtu.be/HFEXfaJesic" TargetMode="External"/><Relationship Id="rId223" Type="http://schemas.openxmlformats.org/officeDocument/2006/relationships/hyperlink" Target="https://youtu.be/ZcPOK7LyOSQ?t=4489" TargetMode="External"/><Relationship Id="rId344" Type="http://schemas.openxmlformats.org/officeDocument/2006/relationships/hyperlink" Target="https://youtu.be/OeYacH8RksU?t=5469" TargetMode="External"/><Relationship Id="rId101" Type="http://schemas.openxmlformats.org/officeDocument/2006/relationships/hyperlink" Target="https://youtu.be/EKGLrV6_E5E" TargetMode="External"/><Relationship Id="rId222" Type="http://schemas.openxmlformats.org/officeDocument/2006/relationships/hyperlink" Target="https://youtu.be/P5JZGhYyv9s?t=4634" TargetMode="External"/><Relationship Id="rId343" Type="http://schemas.openxmlformats.org/officeDocument/2006/relationships/hyperlink" Target="https://youtu.be/p497hupq2y8?t=4354" TargetMode="External"/><Relationship Id="rId100" Type="http://schemas.openxmlformats.org/officeDocument/2006/relationships/hyperlink" Target="https://youtu.be/EqtAU6X7mhU?t=7854" TargetMode="External"/><Relationship Id="rId221" Type="http://schemas.openxmlformats.org/officeDocument/2006/relationships/hyperlink" Target="https://youtu.be/ZcPOK7LyOSQ?t=3605" TargetMode="External"/><Relationship Id="rId342" Type="http://schemas.openxmlformats.org/officeDocument/2006/relationships/hyperlink" Target="https://youtu.be/OeYacH8RksU?t=4573" TargetMode="External"/><Relationship Id="rId217" Type="http://schemas.openxmlformats.org/officeDocument/2006/relationships/hyperlink" Target="https://youtu.be/ZcPOK7LyOSQ?t=1802" TargetMode="External"/><Relationship Id="rId338" Type="http://schemas.openxmlformats.org/officeDocument/2006/relationships/hyperlink" Target="https://youtu.be/OeYacH8RksU?t=2831" TargetMode="External"/><Relationship Id="rId216" Type="http://schemas.openxmlformats.org/officeDocument/2006/relationships/hyperlink" Target="https://youtu.be/P5JZGhYyv9s?t=1958" TargetMode="External"/><Relationship Id="rId337" Type="http://schemas.openxmlformats.org/officeDocument/2006/relationships/hyperlink" Target="https://youtu.be/p497hupq2y8?t=1671" TargetMode="External"/><Relationship Id="rId215" Type="http://schemas.openxmlformats.org/officeDocument/2006/relationships/hyperlink" Target="https://youtu.be/ZcPOK7LyOSQ?t=905" TargetMode="External"/><Relationship Id="rId336" Type="http://schemas.openxmlformats.org/officeDocument/2006/relationships/hyperlink" Target="https://youtu.be/OeYacH8RksU?t=1936" TargetMode="External"/><Relationship Id="rId214" Type="http://schemas.openxmlformats.org/officeDocument/2006/relationships/hyperlink" Target="https://youtu.be/P5JZGhYyv9s?t=1090" TargetMode="External"/><Relationship Id="rId335" Type="http://schemas.openxmlformats.org/officeDocument/2006/relationships/hyperlink" Target="https://youtu.be/p497hupq2y8?t=838" TargetMode="External"/><Relationship Id="rId219" Type="http://schemas.openxmlformats.org/officeDocument/2006/relationships/hyperlink" Target="https://youtu.be/ZcPOK7LyOSQ?t=2666" TargetMode="External"/><Relationship Id="rId218" Type="http://schemas.openxmlformats.org/officeDocument/2006/relationships/hyperlink" Target="https://youtu.be/P5JZGhYyv9s?t=2820" TargetMode="External"/><Relationship Id="rId339" Type="http://schemas.openxmlformats.org/officeDocument/2006/relationships/hyperlink" Target="https://youtu.be/p497hupq2y8?t=2613" TargetMode="External"/><Relationship Id="rId330" Type="http://schemas.openxmlformats.org/officeDocument/2006/relationships/hyperlink" Target="https://youtu.be/TR8u3WcnKJc?t=7989" TargetMode="External"/><Relationship Id="rId213" Type="http://schemas.openxmlformats.org/officeDocument/2006/relationships/hyperlink" Target="https://youtu.be/ZcPOK7LyOSQ" TargetMode="External"/><Relationship Id="rId334" Type="http://schemas.openxmlformats.org/officeDocument/2006/relationships/hyperlink" Target="https://youtu.be/OeYacH8RksU?t=1029" TargetMode="External"/><Relationship Id="rId212" Type="http://schemas.openxmlformats.org/officeDocument/2006/relationships/hyperlink" Target="https://youtu.be/P5JZGhYyv9s?t=201" TargetMode="External"/><Relationship Id="rId333" Type="http://schemas.openxmlformats.org/officeDocument/2006/relationships/hyperlink" Target="https://youtu.be/p497hupq2y8" TargetMode="External"/><Relationship Id="rId211" Type="http://schemas.openxmlformats.org/officeDocument/2006/relationships/hyperlink" Target="https://youtu.be/7WxBeJuSKMI?t=7622" TargetMode="External"/><Relationship Id="rId332" Type="http://schemas.openxmlformats.org/officeDocument/2006/relationships/hyperlink" Target="https://youtu.be/OeYacH8RksU" TargetMode="External"/><Relationship Id="rId210" Type="http://schemas.openxmlformats.org/officeDocument/2006/relationships/hyperlink" Target="https://youtu.be/cBixTOHCZQY?t=7780" TargetMode="External"/><Relationship Id="rId331" Type="http://schemas.openxmlformats.org/officeDocument/2006/relationships/hyperlink" Target="https://youtu.be/r4wWTpWJzqI?t=8029" TargetMode="External"/><Relationship Id="rId129" Type="http://schemas.openxmlformats.org/officeDocument/2006/relationships/hyperlink" Target="https://youtu.be/l_ZVRZNy5Dg?t=3573" TargetMode="External"/><Relationship Id="rId128" Type="http://schemas.openxmlformats.org/officeDocument/2006/relationships/hyperlink" Target="https://youtu.be/CalnZPBGbUk?t=2590" TargetMode="External"/><Relationship Id="rId249" Type="http://schemas.openxmlformats.org/officeDocument/2006/relationships/hyperlink" Target="https://youtu.be/BDgr9rpySs8?t=6928" TargetMode="External"/><Relationship Id="rId127" Type="http://schemas.openxmlformats.org/officeDocument/2006/relationships/hyperlink" Target="https://youtu.be/l_ZVRZNy5Dg?t=2728" TargetMode="External"/><Relationship Id="rId248" Type="http://schemas.openxmlformats.org/officeDocument/2006/relationships/hyperlink" Target="https://youtu.be/538IxCG8Ogc?t=7025" TargetMode="External"/><Relationship Id="rId126" Type="http://schemas.openxmlformats.org/officeDocument/2006/relationships/hyperlink" Target="https://youtu.be/CalnZPBGbUk?t=1719" TargetMode="External"/><Relationship Id="rId247" Type="http://schemas.openxmlformats.org/officeDocument/2006/relationships/hyperlink" Target="https://youtu.be/BDgr9rpySs8?t=6032" TargetMode="External"/><Relationship Id="rId121" Type="http://schemas.openxmlformats.org/officeDocument/2006/relationships/hyperlink" Target="https://youtu.be/l_ZVRZNy5Dg" TargetMode="External"/><Relationship Id="rId242" Type="http://schemas.openxmlformats.org/officeDocument/2006/relationships/hyperlink" Target="https://youtu.be/538IxCG8Ogc?t=4386" TargetMode="External"/><Relationship Id="rId120" Type="http://schemas.openxmlformats.org/officeDocument/2006/relationships/hyperlink" Target="https://youtu.be/HFEXfaJesic?t=7970" TargetMode="External"/><Relationship Id="rId241" Type="http://schemas.openxmlformats.org/officeDocument/2006/relationships/hyperlink" Target="https://youtu.be/BDgr9rpySs8?t=3401" TargetMode="External"/><Relationship Id="rId240" Type="http://schemas.openxmlformats.org/officeDocument/2006/relationships/hyperlink" Target="https://youtu.be/538IxCG8Ogc?t=3501" TargetMode="External"/><Relationship Id="rId125" Type="http://schemas.openxmlformats.org/officeDocument/2006/relationships/hyperlink" Target="https://youtu.be/l_ZVRZNy5Dg?t=1828" TargetMode="External"/><Relationship Id="rId246" Type="http://schemas.openxmlformats.org/officeDocument/2006/relationships/hyperlink" Target="https://youtu.be/538IxCG8Ogc?t=6130" TargetMode="External"/><Relationship Id="rId124" Type="http://schemas.openxmlformats.org/officeDocument/2006/relationships/hyperlink" Target="https://youtu.be/CalnZPBGbUk?t=885" TargetMode="External"/><Relationship Id="rId245" Type="http://schemas.openxmlformats.org/officeDocument/2006/relationships/hyperlink" Target="https://youtu.be/BDgr9rpySs8?t=5199" TargetMode="External"/><Relationship Id="rId123" Type="http://schemas.openxmlformats.org/officeDocument/2006/relationships/hyperlink" Target="https://youtu.be/l_ZVRZNy5Dg?t=964" TargetMode="External"/><Relationship Id="rId244" Type="http://schemas.openxmlformats.org/officeDocument/2006/relationships/hyperlink" Target="https://youtu.be/538IxCG8Ogc?t=5291" TargetMode="External"/><Relationship Id="rId122" Type="http://schemas.openxmlformats.org/officeDocument/2006/relationships/hyperlink" Target="https://youtu.be/CalnZPBGbUk" TargetMode="External"/><Relationship Id="rId243" Type="http://schemas.openxmlformats.org/officeDocument/2006/relationships/hyperlink" Target="https://youtu.be/BDgr9rpySs8?t=4298" TargetMode="External"/><Relationship Id="rId95" Type="http://schemas.openxmlformats.org/officeDocument/2006/relationships/hyperlink" Target="https://youtu.be/M4fwJHNlsV4?t=6009" TargetMode="External"/><Relationship Id="rId94" Type="http://schemas.openxmlformats.org/officeDocument/2006/relationships/hyperlink" Target="https://youtu.be/EqtAU6X7mhU?t=5296" TargetMode="External"/><Relationship Id="rId97" Type="http://schemas.openxmlformats.org/officeDocument/2006/relationships/hyperlink" Target="https://youtu.be/M4fwJHNlsV4?t=6875" TargetMode="External"/><Relationship Id="rId96" Type="http://schemas.openxmlformats.org/officeDocument/2006/relationships/hyperlink" Target="https://youtu.be/EqtAU6X7mhU?t=6053" TargetMode="External"/><Relationship Id="rId99" Type="http://schemas.openxmlformats.org/officeDocument/2006/relationships/hyperlink" Target="https://youtu.be/M4fwJHNlsV4?t=7741" TargetMode="External"/><Relationship Id="rId98" Type="http://schemas.openxmlformats.org/officeDocument/2006/relationships/hyperlink" Target="https://youtu.be/EqtAU6X7mhU?t=6997" TargetMode="External"/><Relationship Id="rId91" Type="http://schemas.openxmlformats.org/officeDocument/2006/relationships/hyperlink" Target="https://youtu.be/M4fwJHNlsV4?t=4280" TargetMode="External"/><Relationship Id="rId90" Type="http://schemas.openxmlformats.org/officeDocument/2006/relationships/hyperlink" Target="https://youtu.be/EqtAU6X7mhU?t=3545" TargetMode="External"/><Relationship Id="rId93" Type="http://schemas.openxmlformats.org/officeDocument/2006/relationships/hyperlink" Target="https://youtu.be/M4fwJHNlsV4?t=5155" TargetMode="External"/><Relationship Id="rId92" Type="http://schemas.openxmlformats.org/officeDocument/2006/relationships/hyperlink" Target="https://youtu.be/EqtAU6X7mhU?t=4381" TargetMode="External"/><Relationship Id="rId118" Type="http://schemas.openxmlformats.org/officeDocument/2006/relationships/hyperlink" Target="https://youtu.be/HFEXfaJesic?t=7082" TargetMode="External"/><Relationship Id="rId239" Type="http://schemas.openxmlformats.org/officeDocument/2006/relationships/hyperlink" Target="https://youtu.be/BDgr9rpySs8?t=2551" TargetMode="External"/><Relationship Id="rId117" Type="http://schemas.openxmlformats.org/officeDocument/2006/relationships/hyperlink" Target="https://youtu.be/EKGLrV6_E5E?t=7073" TargetMode="External"/><Relationship Id="rId238" Type="http://schemas.openxmlformats.org/officeDocument/2006/relationships/hyperlink" Target="https://youtu.be/538IxCG8Ogc?t=2657" TargetMode="External"/><Relationship Id="rId116" Type="http://schemas.openxmlformats.org/officeDocument/2006/relationships/hyperlink" Target="https://youtu.be/HFEXfaJesic?t=6218" TargetMode="External"/><Relationship Id="rId237" Type="http://schemas.openxmlformats.org/officeDocument/2006/relationships/hyperlink" Target="https://youtu.be/BDgr9rpySs8?t=1687" TargetMode="External"/><Relationship Id="rId115" Type="http://schemas.openxmlformats.org/officeDocument/2006/relationships/hyperlink" Target="https://youtu.be/EKGLrV6_E5E?t=6204" TargetMode="External"/><Relationship Id="rId236" Type="http://schemas.openxmlformats.org/officeDocument/2006/relationships/hyperlink" Target="https://youtu.be/538IxCG8Ogc?t=1766" TargetMode="External"/><Relationship Id="rId119" Type="http://schemas.openxmlformats.org/officeDocument/2006/relationships/hyperlink" Target="https://youtu.be/EKGLrV6_E5E?t=7930" TargetMode="External"/><Relationship Id="rId110" Type="http://schemas.openxmlformats.org/officeDocument/2006/relationships/hyperlink" Target="https://youtu.be/HFEXfaJesic?t=3550" TargetMode="External"/><Relationship Id="rId231" Type="http://schemas.openxmlformats.org/officeDocument/2006/relationships/hyperlink" Target="https://youtu.be/ZcPOK7LyOSQ?t=7919" TargetMode="External"/><Relationship Id="rId352" Type="http://schemas.openxmlformats.org/officeDocument/2006/relationships/drawing" Target="../drawings/drawing3.xml"/><Relationship Id="rId230" Type="http://schemas.openxmlformats.org/officeDocument/2006/relationships/hyperlink" Target="https://youtu.be/P5JZGhYyv9s?t=8034" TargetMode="External"/><Relationship Id="rId351" Type="http://schemas.openxmlformats.org/officeDocument/2006/relationships/hyperlink" Target="https://youtu.be/p497hupq2y8?t=7895" TargetMode="External"/><Relationship Id="rId350" Type="http://schemas.openxmlformats.org/officeDocument/2006/relationships/hyperlink" Target="https://youtu.be/OeYacH8RksU?t=8112" TargetMode="External"/><Relationship Id="rId114" Type="http://schemas.openxmlformats.org/officeDocument/2006/relationships/hyperlink" Target="https://youtu.be/HFEXfaJesic?t=5340" TargetMode="External"/><Relationship Id="rId235" Type="http://schemas.openxmlformats.org/officeDocument/2006/relationships/hyperlink" Target="https://youtu.be/BDgr9rpySs8?t=843" TargetMode="External"/><Relationship Id="rId113" Type="http://schemas.openxmlformats.org/officeDocument/2006/relationships/hyperlink" Target="https://youtu.be/EKGLrV6_E5E?t=5289" TargetMode="External"/><Relationship Id="rId234" Type="http://schemas.openxmlformats.org/officeDocument/2006/relationships/hyperlink" Target="https://youtu.be/538IxCG8Ogc?t=913" TargetMode="External"/><Relationship Id="rId112" Type="http://schemas.openxmlformats.org/officeDocument/2006/relationships/hyperlink" Target="https://youtu.be/HFEXfaJesic?t=4437" TargetMode="External"/><Relationship Id="rId233" Type="http://schemas.openxmlformats.org/officeDocument/2006/relationships/hyperlink" Target="https://youtu.be/BDgr9rpySs8" TargetMode="External"/><Relationship Id="rId111" Type="http://schemas.openxmlformats.org/officeDocument/2006/relationships/hyperlink" Target="https://youtu.be/EKGLrV6_E5E?t=4392" TargetMode="External"/><Relationship Id="rId232" Type="http://schemas.openxmlformats.org/officeDocument/2006/relationships/hyperlink" Target="https://youtu.be/538IxCG8Ogc" TargetMode="External"/><Relationship Id="rId305" Type="http://schemas.openxmlformats.org/officeDocument/2006/relationships/hyperlink" Target="https://youtu.be/T98x8lh6FmM?t=5334" TargetMode="External"/><Relationship Id="rId304" Type="http://schemas.openxmlformats.org/officeDocument/2006/relationships/hyperlink" Target="https://youtu.be/swMY5yJQyeg?t=5366" TargetMode="External"/><Relationship Id="rId303" Type="http://schemas.openxmlformats.org/officeDocument/2006/relationships/hyperlink" Target="https://youtu.be/T98x8lh6FmM?t=4430" TargetMode="External"/><Relationship Id="rId302" Type="http://schemas.openxmlformats.org/officeDocument/2006/relationships/hyperlink" Target="https://youtu.be/swMY5yJQyeg?t=4469" TargetMode="External"/><Relationship Id="rId309" Type="http://schemas.openxmlformats.org/officeDocument/2006/relationships/hyperlink" Target="https://youtu.be/T98x8lh6FmM?t=7072" TargetMode="External"/><Relationship Id="rId308" Type="http://schemas.openxmlformats.org/officeDocument/2006/relationships/hyperlink" Target="https://youtu.be/swMY5yJQyeg?t=7104" TargetMode="External"/><Relationship Id="rId307" Type="http://schemas.openxmlformats.org/officeDocument/2006/relationships/hyperlink" Target="https://youtu.be/T98x8lh6FmM?t=6170" TargetMode="External"/><Relationship Id="rId306" Type="http://schemas.openxmlformats.org/officeDocument/2006/relationships/hyperlink" Target="https://youtu.be/swMY5yJQyeg?t=6205" TargetMode="External"/><Relationship Id="rId301" Type="http://schemas.openxmlformats.org/officeDocument/2006/relationships/hyperlink" Target="https://youtu.be/T98x8lh6FmM?t=3562" TargetMode="External"/><Relationship Id="rId300" Type="http://schemas.openxmlformats.org/officeDocument/2006/relationships/hyperlink" Target="https://youtu.be/swMY5yJQyeg?t=3583" TargetMode="External"/><Relationship Id="rId206" Type="http://schemas.openxmlformats.org/officeDocument/2006/relationships/hyperlink" Target="https://youtu.be/cBixTOHCZQY?t=5996" TargetMode="External"/><Relationship Id="rId327" Type="http://schemas.openxmlformats.org/officeDocument/2006/relationships/hyperlink" Target="https://youtu.be/r4wWTpWJzqI?t=6229" TargetMode="External"/><Relationship Id="rId205" Type="http://schemas.openxmlformats.org/officeDocument/2006/relationships/hyperlink" Target="https://youtu.be/7WxBeJuSKMI?t=5025" TargetMode="External"/><Relationship Id="rId326" Type="http://schemas.openxmlformats.org/officeDocument/2006/relationships/hyperlink" Target="https://youtu.be/TR8u3WcnKJc?t=6189" TargetMode="External"/><Relationship Id="rId204" Type="http://schemas.openxmlformats.org/officeDocument/2006/relationships/hyperlink" Target="https://youtu.be/cBixTOHCZQY?t=5138" TargetMode="External"/><Relationship Id="rId325" Type="http://schemas.openxmlformats.org/officeDocument/2006/relationships/hyperlink" Target="https://youtu.be/r4wWTpWJzqI?t=5389" TargetMode="External"/><Relationship Id="rId203" Type="http://schemas.openxmlformats.org/officeDocument/2006/relationships/hyperlink" Target="https://youtu.be/7WxBeJuSKMI?t=4152" TargetMode="External"/><Relationship Id="rId324" Type="http://schemas.openxmlformats.org/officeDocument/2006/relationships/hyperlink" Target="https://youtu.be/TR8u3WcnKJc?t=5347" TargetMode="External"/><Relationship Id="rId209" Type="http://schemas.openxmlformats.org/officeDocument/2006/relationships/hyperlink" Target="https://youtu.be/7WxBeJuSKMI?t=6721" TargetMode="External"/><Relationship Id="rId208" Type="http://schemas.openxmlformats.org/officeDocument/2006/relationships/hyperlink" Target="https://youtu.be/cBixTOHCZQY?t=6886" TargetMode="External"/><Relationship Id="rId329" Type="http://schemas.openxmlformats.org/officeDocument/2006/relationships/hyperlink" Target="https://youtu.be/r4wWTpWJzqI?t=7129" TargetMode="External"/><Relationship Id="rId207" Type="http://schemas.openxmlformats.org/officeDocument/2006/relationships/hyperlink" Target="https://youtu.be/7WxBeJuSKMI?t=5839" TargetMode="External"/><Relationship Id="rId328" Type="http://schemas.openxmlformats.org/officeDocument/2006/relationships/hyperlink" Target="https://youtu.be/TR8u3WcnKJc?t=7099" TargetMode="External"/><Relationship Id="rId202" Type="http://schemas.openxmlformats.org/officeDocument/2006/relationships/hyperlink" Target="https://youtu.be/cBixTOHCZQY?t=4308" TargetMode="External"/><Relationship Id="rId323" Type="http://schemas.openxmlformats.org/officeDocument/2006/relationships/hyperlink" Target="https://youtu.be/r4wWTpWJzqI?t=4489" TargetMode="External"/><Relationship Id="rId201" Type="http://schemas.openxmlformats.org/officeDocument/2006/relationships/hyperlink" Target="https://youtu.be/7WxBeJuSKMI?t=3352" TargetMode="External"/><Relationship Id="rId322" Type="http://schemas.openxmlformats.org/officeDocument/2006/relationships/hyperlink" Target="https://youtu.be/TR8u3WcnKJc?t=4448" TargetMode="External"/><Relationship Id="rId200" Type="http://schemas.openxmlformats.org/officeDocument/2006/relationships/hyperlink" Target="https://youtu.be/cBixTOHCZQY?t=3509" TargetMode="External"/><Relationship Id="rId321" Type="http://schemas.openxmlformats.org/officeDocument/2006/relationships/hyperlink" Target="https://youtu.be/r4wWTpWJzqI?t=3589" TargetMode="External"/><Relationship Id="rId320" Type="http://schemas.openxmlformats.org/officeDocument/2006/relationships/hyperlink" Target="https://youtu.be/TR8u3WcnKJc?t=3547" TargetMode="External"/><Relationship Id="rId316" Type="http://schemas.openxmlformats.org/officeDocument/2006/relationships/hyperlink" Target="https://youtu.be/TR8u3WcnKJc?t=1891" TargetMode="External"/><Relationship Id="rId315" Type="http://schemas.openxmlformats.org/officeDocument/2006/relationships/hyperlink" Target="https://youtu.be/r4wWTpWJzqI?t=979" TargetMode="External"/><Relationship Id="rId314" Type="http://schemas.openxmlformats.org/officeDocument/2006/relationships/hyperlink" Target="https://youtu.be/TR8u3WcnKJc?t=938" TargetMode="External"/><Relationship Id="rId313" Type="http://schemas.openxmlformats.org/officeDocument/2006/relationships/hyperlink" Target="https://youtu.be/r4wWTpWJzqI" TargetMode="External"/><Relationship Id="rId319" Type="http://schemas.openxmlformats.org/officeDocument/2006/relationships/hyperlink" Target="https://youtu.be/r4wWTpWJzqI?t=2748" TargetMode="External"/><Relationship Id="rId318" Type="http://schemas.openxmlformats.org/officeDocument/2006/relationships/hyperlink" Target="https://youtu.be/TR8u3WcnKJc?t=2711" TargetMode="External"/><Relationship Id="rId317" Type="http://schemas.openxmlformats.org/officeDocument/2006/relationships/hyperlink" Target="https://youtu.be/r4wWTpWJzqI?t=1849" TargetMode="External"/><Relationship Id="rId312" Type="http://schemas.openxmlformats.org/officeDocument/2006/relationships/hyperlink" Target="https://youtu.be/TR8u3WcnKJc" TargetMode="External"/><Relationship Id="rId311" Type="http://schemas.openxmlformats.org/officeDocument/2006/relationships/hyperlink" Target="https://youtu.be/T98x8lh6FmM?t=7970" TargetMode="External"/><Relationship Id="rId310" Type="http://schemas.openxmlformats.org/officeDocument/2006/relationships/hyperlink" Target="https://youtu.be/swMY5yJQyeg?t=8007" TargetMode="External"/></Relationships>
</file>

<file path=xl/worksheets/_rels/sheet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v6XSq_4XK6g?t=8058" TargetMode="External"/><Relationship Id="rId190" Type="http://schemas.openxmlformats.org/officeDocument/2006/relationships/hyperlink" Target="https://youtu.be/ebKvSP_PCck?t=3578" TargetMode="External"/><Relationship Id="rId42" Type="http://schemas.openxmlformats.org/officeDocument/2006/relationships/hyperlink" Target="https://youtu.be/Rg31RX1lS4k" TargetMode="External"/><Relationship Id="rId41" Type="http://schemas.openxmlformats.org/officeDocument/2006/relationships/hyperlink" Target="https://youtu.be/4oX70LdCQgE" TargetMode="External"/><Relationship Id="rId44" Type="http://schemas.openxmlformats.org/officeDocument/2006/relationships/hyperlink" Target="https://youtu.be/Rg31RX1lS4k?t=867" TargetMode="External"/><Relationship Id="rId194" Type="http://schemas.openxmlformats.org/officeDocument/2006/relationships/hyperlink" Target="https://youtu.be/ebKvSP_PCck?t=5370" TargetMode="External"/><Relationship Id="rId43" Type="http://schemas.openxmlformats.org/officeDocument/2006/relationships/hyperlink" Target="https://youtu.be/4oX70LdCQgE?t=904" TargetMode="External"/><Relationship Id="rId193" Type="http://schemas.openxmlformats.org/officeDocument/2006/relationships/hyperlink" Target="https://youtu.be/g-qsZ4sLreQ?t=5502" TargetMode="External"/><Relationship Id="rId46" Type="http://schemas.openxmlformats.org/officeDocument/2006/relationships/hyperlink" Target="https://youtu.be/Rg31RX1lS4k?t=1696" TargetMode="External"/><Relationship Id="rId192" Type="http://schemas.openxmlformats.org/officeDocument/2006/relationships/hyperlink" Target="https://youtu.be/ebKvSP_PCck?t=4470" TargetMode="External"/><Relationship Id="rId45" Type="http://schemas.openxmlformats.org/officeDocument/2006/relationships/hyperlink" Target="https://youtu.be/4oX70LdCQgE?t=1801" TargetMode="External"/><Relationship Id="rId191" Type="http://schemas.openxmlformats.org/officeDocument/2006/relationships/hyperlink" Target="https://youtu.be/g-qsZ4sLreQ?t=4603" TargetMode="External"/><Relationship Id="rId48" Type="http://schemas.openxmlformats.org/officeDocument/2006/relationships/hyperlink" Target="https://youtu.be/Rg31RX1lS4k?t=2645" TargetMode="External"/><Relationship Id="rId187" Type="http://schemas.openxmlformats.org/officeDocument/2006/relationships/hyperlink" Target="https://youtu.be/g-qsZ4sLreQ?t=2862" TargetMode="External"/><Relationship Id="rId47" Type="http://schemas.openxmlformats.org/officeDocument/2006/relationships/hyperlink" Target="https://youtu.be/4oX70LdCQgE?t=2692" TargetMode="External"/><Relationship Id="rId186" Type="http://schemas.openxmlformats.org/officeDocument/2006/relationships/hyperlink" Target="https://youtu.be/ebKvSP_PCck?t=1831" TargetMode="External"/><Relationship Id="rId185" Type="http://schemas.openxmlformats.org/officeDocument/2006/relationships/hyperlink" Target="https://youtu.be/g-qsZ4sLreQ?t=1963" TargetMode="External"/><Relationship Id="rId49" Type="http://schemas.openxmlformats.org/officeDocument/2006/relationships/hyperlink" Target="https://youtu.be/4oX70LdCQgE?t=3536" TargetMode="External"/><Relationship Id="rId184" Type="http://schemas.openxmlformats.org/officeDocument/2006/relationships/hyperlink" Target="https://youtu.be/ebKvSP_PCck?t=935" TargetMode="External"/><Relationship Id="rId189" Type="http://schemas.openxmlformats.org/officeDocument/2006/relationships/hyperlink" Target="https://youtu.be/g-qsZ4sLreQ?t=3699" TargetMode="External"/><Relationship Id="rId188" Type="http://schemas.openxmlformats.org/officeDocument/2006/relationships/hyperlink" Target="https://youtu.be/ebKvSP_PCck?t=2738" TargetMode="External"/><Relationship Id="rId31" Type="http://schemas.openxmlformats.org/officeDocument/2006/relationships/hyperlink" Target="https://youtu.be/yJ91ZB0HgTY?t=4438" TargetMode="External"/><Relationship Id="rId30" Type="http://schemas.openxmlformats.org/officeDocument/2006/relationships/hyperlink" Target="https://youtu.be/v6XSq_4XK6g?t=3619" TargetMode="External"/><Relationship Id="rId33" Type="http://schemas.openxmlformats.org/officeDocument/2006/relationships/hyperlink" Target="https://youtu.be/yJ91ZB0HgTY?t=5337" TargetMode="External"/><Relationship Id="rId183" Type="http://schemas.openxmlformats.org/officeDocument/2006/relationships/hyperlink" Target="https://youtu.be/g-qsZ4sLreQ?t=1091" TargetMode="External"/><Relationship Id="rId32" Type="http://schemas.openxmlformats.org/officeDocument/2006/relationships/hyperlink" Target="https://youtu.be/v6XSq_4XK6g?t=4518" TargetMode="External"/><Relationship Id="rId182" Type="http://schemas.openxmlformats.org/officeDocument/2006/relationships/hyperlink" Target="https://youtu.be/ebKvSP_PCck" TargetMode="External"/><Relationship Id="rId35" Type="http://schemas.openxmlformats.org/officeDocument/2006/relationships/hyperlink" Target="https://youtu.be/yJ91ZB0HgTY?t=6182" TargetMode="External"/><Relationship Id="rId181" Type="http://schemas.openxmlformats.org/officeDocument/2006/relationships/hyperlink" Target="https://youtu.be/g-qsZ4sLreQ" TargetMode="External"/><Relationship Id="rId34" Type="http://schemas.openxmlformats.org/officeDocument/2006/relationships/hyperlink" Target="https://youtu.be/v6XSq_4XK6g?t=5419" TargetMode="External"/><Relationship Id="rId180" Type="http://schemas.openxmlformats.org/officeDocument/2006/relationships/hyperlink" Target="https://youtu.be/_dL72tGiz9Q?t=8047" TargetMode="External"/><Relationship Id="rId37" Type="http://schemas.openxmlformats.org/officeDocument/2006/relationships/hyperlink" Target="https://youtu.be/yJ91ZB0HgTY?t=7076" TargetMode="External"/><Relationship Id="rId176" Type="http://schemas.openxmlformats.org/officeDocument/2006/relationships/hyperlink" Target="https://youtu.be/_dL72tGiz9Q?t=6202" TargetMode="External"/><Relationship Id="rId297" Type="http://schemas.openxmlformats.org/officeDocument/2006/relationships/hyperlink" Target="https://youtu.be/6pMAKB4AhjM?t=7166" TargetMode="External"/><Relationship Id="rId36" Type="http://schemas.openxmlformats.org/officeDocument/2006/relationships/hyperlink" Target="https://youtu.be/v6XSq_4XK6g?t=6259" TargetMode="External"/><Relationship Id="rId175" Type="http://schemas.openxmlformats.org/officeDocument/2006/relationships/hyperlink" Target="https://youtu.be/GHPQHDigQaw?t=6331" TargetMode="External"/><Relationship Id="rId296" Type="http://schemas.openxmlformats.org/officeDocument/2006/relationships/hyperlink" Target="https://youtu.be/Wyf9HEuQzYA?t=7060" TargetMode="External"/><Relationship Id="rId39" Type="http://schemas.openxmlformats.org/officeDocument/2006/relationships/hyperlink" Target="https://youtu.be/yJ91ZB0HgTY?t=7949" TargetMode="External"/><Relationship Id="rId174" Type="http://schemas.openxmlformats.org/officeDocument/2006/relationships/hyperlink" Target="https://youtu.be/_dL72tGiz9Q?t=5362" TargetMode="External"/><Relationship Id="rId295" Type="http://schemas.openxmlformats.org/officeDocument/2006/relationships/hyperlink" Target="https://youtu.be/6pMAKB4AhjM?t=6266" TargetMode="External"/><Relationship Id="rId38" Type="http://schemas.openxmlformats.org/officeDocument/2006/relationships/hyperlink" Target="https://youtu.be/v6XSq_4XK6g?t=7159" TargetMode="External"/><Relationship Id="rId173" Type="http://schemas.openxmlformats.org/officeDocument/2006/relationships/hyperlink" Target="https://youtu.be/GHPQHDigQaw?t=5453" TargetMode="External"/><Relationship Id="rId294" Type="http://schemas.openxmlformats.org/officeDocument/2006/relationships/hyperlink" Target="https://youtu.be/Wyf9HEuQzYA?t=6166" TargetMode="External"/><Relationship Id="rId179" Type="http://schemas.openxmlformats.org/officeDocument/2006/relationships/hyperlink" Target="https://youtu.be/GHPQHDigQaw?t=8022" TargetMode="External"/><Relationship Id="rId178" Type="http://schemas.openxmlformats.org/officeDocument/2006/relationships/hyperlink" Target="https://youtu.be/_dL72tGiz9Q?t=7198" TargetMode="External"/><Relationship Id="rId299" Type="http://schemas.openxmlformats.org/officeDocument/2006/relationships/hyperlink" Target="https://youtu.be/6pMAKB4AhjM?t=8066" TargetMode="External"/><Relationship Id="rId177" Type="http://schemas.openxmlformats.org/officeDocument/2006/relationships/hyperlink" Target="https://youtu.be/GHPQHDigQaw?t=7202" TargetMode="External"/><Relationship Id="rId298" Type="http://schemas.openxmlformats.org/officeDocument/2006/relationships/hyperlink" Target="https://youtu.be/Wyf9HEuQzYA?t=7945" TargetMode="External"/><Relationship Id="rId20" Type="http://schemas.openxmlformats.org/officeDocument/2006/relationships/hyperlink" Target="https://youtu.be/S_q4OXOoyp8?t=7921" TargetMode="External"/><Relationship Id="rId22" Type="http://schemas.openxmlformats.org/officeDocument/2006/relationships/hyperlink" Target="https://youtu.be/v6XSq_4XK6g" TargetMode="External"/><Relationship Id="rId21" Type="http://schemas.openxmlformats.org/officeDocument/2006/relationships/hyperlink" Target="https://youtu.be/yJ91ZB0HgTY" TargetMode="External"/><Relationship Id="rId24" Type="http://schemas.openxmlformats.org/officeDocument/2006/relationships/hyperlink" Target="https://youtu.be/v6XSq_4XK6g?t=978" TargetMode="External"/><Relationship Id="rId23" Type="http://schemas.openxmlformats.org/officeDocument/2006/relationships/hyperlink" Target="https://youtu.be/yJ91ZB0HgTY?t=897" TargetMode="External"/><Relationship Id="rId26" Type="http://schemas.openxmlformats.org/officeDocument/2006/relationships/hyperlink" Target="https://youtu.be/v6XSq_4XK6g?t=1880" TargetMode="External"/><Relationship Id="rId25" Type="http://schemas.openxmlformats.org/officeDocument/2006/relationships/hyperlink" Target="https://youtu.be/yJ91ZB0HgTY?t=1796" TargetMode="External"/><Relationship Id="rId28" Type="http://schemas.openxmlformats.org/officeDocument/2006/relationships/hyperlink" Target="https://youtu.be/v6XSq_4XK6g?t=2778" TargetMode="External"/><Relationship Id="rId27" Type="http://schemas.openxmlformats.org/officeDocument/2006/relationships/hyperlink" Target="https://youtu.be/yJ91ZB0HgTY?t=2698" TargetMode="External"/><Relationship Id="rId29" Type="http://schemas.openxmlformats.org/officeDocument/2006/relationships/hyperlink" Target="https://youtu.be/yJ91ZB0HgTY?t=3536" TargetMode="External"/><Relationship Id="rId11" Type="http://schemas.openxmlformats.org/officeDocument/2006/relationships/hyperlink" Target="https://youtu.be/XgSwBqO-muI?t=4409" TargetMode="External"/><Relationship Id="rId10" Type="http://schemas.openxmlformats.org/officeDocument/2006/relationships/hyperlink" Target="https://youtu.be/S_q4OXOoyp8?t=3494" TargetMode="External"/><Relationship Id="rId13" Type="http://schemas.openxmlformats.org/officeDocument/2006/relationships/hyperlink" Target="https://youtu.be/XgSwBqO-muI?t=5302" TargetMode="External"/><Relationship Id="rId12" Type="http://schemas.openxmlformats.org/officeDocument/2006/relationships/hyperlink" Target="https://youtu.be/S_q4OXOoyp8?t=4380" TargetMode="External"/><Relationship Id="rId15" Type="http://schemas.openxmlformats.org/officeDocument/2006/relationships/hyperlink" Target="https://youtu.be/XgSwBqO-muI?t=6157" TargetMode="External"/><Relationship Id="rId198" Type="http://schemas.openxmlformats.org/officeDocument/2006/relationships/hyperlink" Target="https://youtu.be/ebKvSP_PCck?t=7111" TargetMode="External"/><Relationship Id="rId14" Type="http://schemas.openxmlformats.org/officeDocument/2006/relationships/hyperlink" Target="https://youtu.be/S_q4OXOoyp8?t=5288" TargetMode="External"/><Relationship Id="rId197" Type="http://schemas.openxmlformats.org/officeDocument/2006/relationships/hyperlink" Target="https://youtu.be/g-qsZ4sLreQ?t=7248" TargetMode="External"/><Relationship Id="rId17" Type="http://schemas.openxmlformats.org/officeDocument/2006/relationships/hyperlink" Target="https://youtu.be/XgSwBqO-muI?t=7050" TargetMode="External"/><Relationship Id="rId196" Type="http://schemas.openxmlformats.org/officeDocument/2006/relationships/hyperlink" Target="https://youtu.be/ebKvSP_PCck?t=6212" TargetMode="External"/><Relationship Id="rId16" Type="http://schemas.openxmlformats.org/officeDocument/2006/relationships/hyperlink" Target="https://youtu.be/S_q4OXOoyp8?t=6149" TargetMode="External"/><Relationship Id="rId195" Type="http://schemas.openxmlformats.org/officeDocument/2006/relationships/hyperlink" Target="https://youtu.be/g-qsZ4sLreQ?t=6370" TargetMode="External"/><Relationship Id="rId19" Type="http://schemas.openxmlformats.org/officeDocument/2006/relationships/hyperlink" Target="https://youtu.be/XgSwBqO-muI?t=7950" TargetMode="External"/><Relationship Id="rId18" Type="http://schemas.openxmlformats.org/officeDocument/2006/relationships/hyperlink" Target="https://youtu.be/S_q4OXOoyp8?t=7022" TargetMode="External"/><Relationship Id="rId199" Type="http://schemas.openxmlformats.org/officeDocument/2006/relationships/hyperlink" Target="https://youtu.be/g-qsZ4sLreQ?t=8149" TargetMode="External"/><Relationship Id="rId84" Type="http://schemas.openxmlformats.org/officeDocument/2006/relationships/hyperlink" Target="https://youtu.be/wmfaBersJxA?t=920" TargetMode="External"/><Relationship Id="rId83" Type="http://schemas.openxmlformats.org/officeDocument/2006/relationships/hyperlink" Target="https://youtu.be/iyhAVgEF28I?t=996" TargetMode="External"/><Relationship Id="rId86" Type="http://schemas.openxmlformats.org/officeDocument/2006/relationships/hyperlink" Target="https://youtu.be/wmfaBersJxA?t=1745" TargetMode="External"/><Relationship Id="rId85" Type="http://schemas.openxmlformats.org/officeDocument/2006/relationships/hyperlink" Target="https://youtu.be/iyhAVgEF28I?t=1853" TargetMode="External"/><Relationship Id="rId88" Type="http://schemas.openxmlformats.org/officeDocument/2006/relationships/hyperlink" Target="https://youtu.be/wmfaBersJxA?t=2487" TargetMode="External"/><Relationship Id="rId150" Type="http://schemas.openxmlformats.org/officeDocument/2006/relationships/hyperlink" Target="https://youtu.be/JqO-IVMrL-M?t=3594" TargetMode="External"/><Relationship Id="rId271" Type="http://schemas.openxmlformats.org/officeDocument/2006/relationships/hyperlink" Target="https://youtu.be/UHf01SBgsAs?t=4545" TargetMode="External"/><Relationship Id="rId87" Type="http://schemas.openxmlformats.org/officeDocument/2006/relationships/hyperlink" Target="https://youtu.be/iyhAVgEF28I?t=2751" TargetMode="External"/><Relationship Id="rId270" Type="http://schemas.openxmlformats.org/officeDocument/2006/relationships/hyperlink" Target="https://youtu.be/n3Y4TjXU1FA?t=4473" TargetMode="External"/><Relationship Id="rId89" Type="http://schemas.openxmlformats.org/officeDocument/2006/relationships/hyperlink" Target="https://youtu.be/iyhAVgEF28I?t=3593" TargetMode="External"/><Relationship Id="rId80" Type="http://schemas.openxmlformats.org/officeDocument/2006/relationships/hyperlink" Target="https://youtu.be/iqVnepqzqTc?t=8063" TargetMode="External"/><Relationship Id="rId82" Type="http://schemas.openxmlformats.org/officeDocument/2006/relationships/hyperlink" Target="https://youtu.be/wmfaBersJxA" TargetMode="External"/><Relationship Id="rId81" Type="http://schemas.openxmlformats.org/officeDocument/2006/relationships/hyperlink" Target="https://youtu.be/iyhAVgEF28I" TargetMode="External"/><Relationship Id="rId1" Type="http://schemas.openxmlformats.org/officeDocument/2006/relationships/hyperlink" Target="https://youtu.be/XgSwBqO-muI" TargetMode="External"/><Relationship Id="rId2" Type="http://schemas.openxmlformats.org/officeDocument/2006/relationships/hyperlink" Target="https://youtu.be/S_q4OXOoyp8" TargetMode="External"/><Relationship Id="rId3" Type="http://schemas.openxmlformats.org/officeDocument/2006/relationships/hyperlink" Target="https://youtu.be/XgSwBqO-muI?t=921" TargetMode="External"/><Relationship Id="rId149" Type="http://schemas.openxmlformats.org/officeDocument/2006/relationships/hyperlink" Target="https://youtu.be/2O7BYyalqFY?t=3689" TargetMode="External"/><Relationship Id="rId4" Type="http://schemas.openxmlformats.org/officeDocument/2006/relationships/hyperlink" Target="https://youtu.be/S_q4OXOoyp8?t=868" TargetMode="External"/><Relationship Id="rId148" Type="http://schemas.openxmlformats.org/officeDocument/2006/relationships/hyperlink" Target="https://youtu.be/JqO-IVMrL-M?t=2761" TargetMode="External"/><Relationship Id="rId269" Type="http://schemas.openxmlformats.org/officeDocument/2006/relationships/hyperlink" Target="https://youtu.be/UHf01SBgsAs?t=3670" TargetMode="External"/><Relationship Id="rId9" Type="http://schemas.openxmlformats.org/officeDocument/2006/relationships/hyperlink" Target="https://youtu.be/XgSwBqO-muI?t=3508" TargetMode="External"/><Relationship Id="rId143" Type="http://schemas.openxmlformats.org/officeDocument/2006/relationships/hyperlink" Target="https://youtu.be/2O7BYyalqFY?t=1054" TargetMode="External"/><Relationship Id="rId264" Type="http://schemas.openxmlformats.org/officeDocument/2006/relationships/hyperlink" Target="https://youtu.be/n3Y4TjXU1FA?t=1797" TargetMode="External"/><Relationship Id="rId142" Type="http://schemas.openxmlformats.org/officeDocument/2006/relationships/hyperlink" Target="https://youtu.be/JqO-IVMrL-M" TargetMode="External"/><Relationship Id="rId263" Type="http://schemas.openxmlformats.org/officeDocument/2006/relationships/hyperlink" Target="https://youtu.be/UHf01SBgsAs?t=1005" TargetMode="External"/><Relationship Id="rId141" Type="http://schemas.openxmlformats.org/officeDocument/2006/relationships/hyperlink" Target="https://youtu.be/2O7BYyalqFY" TargetMode="External"/><Relationship Id="rId262" Type="http://schemas.openxmlformats.org/officeDocument/2006/relationships/hyperlink" Target="https://youtu.be/n3Y4TjXU1FA?t=902" TargetMode="External"/><Relationship Id="rId140" Type="http://schemas.openxmlformats.org/officeDocument/2006/relationships/hyperlink" Target="https://youtu.be/tVlNCwx-fXY?t=8202" TargetMode="External"/><Relationship Id="rId261" Type="http://schemas.openxmlformats.org/officeDocument/2006/relationships/hyperlink" Target="https://youtu.be/UHf01SBgsAs" TargetMode="External"/><Relationship Id="rId5" Type="http://schemas.openxmlformats.org/officeDocument/2006/relationships/hyperlink" Target="https://youtu.be/XgSwBqO-muI?t=1768" TargetMode="External"/><Relationship Id="rId147" Type="http://schemas.openxmlformats.org/officeDocument/2006/relationships/hyperlink" Target="https://youtu.be/2O7BYyalqFY?t=2843" TargetMode="External"/><Relationship Id="rId268" Type="http://schemas.openxmlformats.org/officeDocument/2006/relationships/hyperlink" Target="https://youtu.be/n3Y4TjXU1FA?t=3572" TargetMode="External"/><Relationship Id="rId6" Type="http://schemas.openxmlformats.org/officeDocument/2006/relationships/hyperlink" Target="https://youtu.be/S_q4OXOoyp8?t=1742" TargetMode="External"/><Relationship Id="rId146" Type="http://schemas.openxmlformats.org/officeDocument/2006/relationships/hyperlink" Target="https://youtu.be/JqO-IVMrL-M?t=1862" TargetMode="External"/><Relationship Id="rId267" Type="http://schemas.openxmlformats.org/officeDocument/2006/relationships/hyperlink" Target="https://youtu.be/UHf01SBgsAs?t=2814" TargetMode="External"/><Relationship Id="rId7" Type="http://schemas.openxmlformats.org/officeDocument/2006/relationships/hyperlink" Target="https://youtu.be/XgSwBqO-muI?t=2671" TargetMode="External"/><Relationship Id="rId145" Type="http://schemas.openxmlformats.org/officeDocument/2006/relationships/hyperlink" Target="https://youtu.be/2O7BYyalqFY?t=1984" TargetMode="External"/><Relationship Id="rId266" Type="http://schemas.openxmlformats.org/officeDocument/2006/relationships/hyperlink" Target="https://youtu.be/n3Y4TjXU1FA?t=2698" TargetMode="External"/><Relationship Id="rId8" Type="http://schemas.openxmlformats.org/officeDocument/2006/relationships/hyperlink" Target="https://youtu.be/S_q4OXOoyp8?t=2640" TargetMode="External"/><Relationship Id="rId144" Type="http://schemas.openxmlformats.org/officeDocument/2006/relationships/hyperlink" Target="https://youtu.be/JqO-IVMrL-M?t=1002" TargetMode="External"/><Relationship Id="rId265" Type="http://schemas.openxmlformats.org/officeDocument/2006/relationships/hyperlink" Target="https://youtu.be/UHf01SBgsAs?t=1894" TargetMode="External"/><Relationship Id="rId73" Type="http://schemas.openxmlformats.org/officeDocument/2006/relationships/hyperlink" Target="https://youtu.be/o4nvgwdJK8k?t=5347" TargetMode="External"/><Relationship Id="rId72" Type="http://schemas.openxmlformats.org/officeDocument/2006/relationships/hyperlink" Target="https://youtu.be/iqVnepqzqTc?t=4524" TargetMode="External"/><Relationship Id="rId75" Type="http://schemas.openxmlformats.org/officeDocument/2006/relationships/hyperlink" Target="https://youtu.be/o4nvgwdJK8k?t=6201" TargetMode="External"/><Relationship Id="rId74" Type="http://schemas.openxmlformats.org/officeDocument/2006/relationships/hyperlink" Target="https://youtu.be/iqVnepqzqTc?t=5424" TargetMode="External"/><Relationship Id="rId77" Type="http://schemas.openxmlformats.org/officeDocument/2006/relationships/hyperlink" Target="https://youtu.be/o4nvgwdJK8k?t=7089" TargetMode="External"/><Relationship Id="rId260" Type="http://schemas.openxmlformats.org/officeDocument/2006/relationships/hyperlink" Target="https://youtu.be/n3Y4TjXU1FA" TargetMode="External"/><Relationship Id="rId76" Type="http://schemas.openxmlformats.org/officeDocument/2006/relationships/hyperlink" Target="https://youtu.be/iqVnepqzqTc?t=6264" TargetMode="External"/><Relationship Id="rId79" Type="http://schemas.openxmlformats.org/officeDocument/2006/relationships/hyperlink" Target="https://youtu.be/o4nvgwdJK8k?t=7990" TargetMode="External"/><Relationship Id="rId78" Type="http://schemas.openxmlformats.org/officeDocument/2006/relationships/hyperlink" Target="https://youtu.be/iqVnepqzqTc?t=7163" TargetMode="External"/><Relationship Id="rId71" Type="http://schemas.openxmlformats.org/officeDocument/2006/relationships/hyperlink" Target="https://youtu.be/o4nvgwdJK8k?t=4454" TargetMode="External"/><Relationship Id="rId70" Type="http://schemas.openxmlformats.org/officeDocument/2006/relationships/hyperlink" Target="https://youtu.be/iqVnepqzqTc?t=3623" TargetMode="External"/><Relationship Id="rId139" Type="http://schemas.openxmlformats.org/officeDocument/2006/relationships/hyperlink" Target="https://youtu.be/oe5cOFy6SWg?t=8103" TargetMode="External"/><Relationship Id="rId138" Type="http://schemas.openxmlformats.org/officeDocument/2006/relationships/hyperlink" Target="https://youtu.be/tVlNCwx-fXY?t=7230" TargetMode="External"/><Relationship Id="rId259" Type="http://schemas.openxmlformats.org/officeDocument/2006/relationships/hyperlink" Target="https://youtu.be/JV2x-KmskRU?t=8076" TargetMode="External"/><Relationship Id="rId137" Type="http://schemas.openxmlformats.org/officeDocument/2006/relationships/hyperlink" Target="https://youtu.be/oe5cOFy6SWg?t=7128" TargetMode="External"/><Relationship Id="rId258" Type="http://schemas.openxmlformats.org/officeDocument/2006/relationships/hyperlink" Target="https://youtu.be/sau5q7_dHy0?t=7126" TargetMode="External"/><Relationship Id="rId132" Type="http://schemas.openxmlformats.org/officeDocument/2006/relationships/hyperlink" Target="https://youtu.be/tVlNCwx-fXY?t=4621" TargetMode="External"/><Relationship Id="rId253" Type="http://schemas.openxmlformats.org/officeDocument/2006/relationships/hyperlink" Target="https://youtu.be/JV2x-KmskRU?t=5436" TargetMode="External"/><Relationship Id="rId131" Type="http://schemas.openxmlformats.org/officeDocument/2006/relationships/hyperlink" Target="https://youtu.be/oe5cOFy6SWg?t=4476" TargetMode="External"/><Relationship Id="rId252" Type="http://schemas.openxmlformats.org/officeDocument/2006/relationships/hyperlink" Target="https://youtu.be/sau5q7_dHy0?t=4489" TargetMode="External"/><Relationship Id="rId130" Type="http://schemas.openxmlformats.org/officeDocument/2006/relationships/hyperlink" Target="https://youtu.be/tVlNCwx-fXY?t=3723" TargetMode="External"/><Relationship Id="rId251" Type="http://schemas.openxmlformats.org/officeDocument/2006/relationships/hyperlink" Target="https://youtu.be/JV2x-KmskRU?t=4536" TargetMode="External"/><Relationship Id="rId250" Type="http://schemas.openxmlformats.org/officeDocument/2006/relationships/hyperlink" Target="https://youtu.be/sau5q7_dHy0?t=3585" TargetMode="External"/><Relationship Id="rId136" Type="http://schemas.openxmlformats.org/officeDocument/2006/relationships/hyperlink" Target="https://youtu.be/tVlNCwx-fXY?t=6370" TargetMode="External"/><Relationship Id="rId257" Type="http://schemas.openxmlformats.org/officeDocument/2006/relationships/hyperlink" Target="https://youtu.be/JV2x-KmskRU?t=7176" TargetMode="External"/><Relationship Id="rId135" Type="http://schemas.openxmlformats.org/officeDocument/2006/relationships/hyperlink" Target="https://youtu.be/oe5cOFy6SWg?t=6245" TargetMode="External"/><Relationship Id="rId256" Type="http://schemas.openxmlformats.org/officeDocument/2006/relationships/hyperlink" Target="https://youtu.be/sau5q7_dHy0?t=6243" TargetMode="External"/><Relationship Id="rId134" Type="http://schemas.openxmlformats.org/officeDocument/2006/relationships/hyperlink" Target="https://youtu.be/tVlNCwx-fXY?t=5495" TargetMode="External"/><Relationship Id="rId255" Type="http://schemas.openxmlformats.org/officeDocument/2006/relationships/hyperlink" Target="https://youtu.be/JV2x-KmskRU?t=6276" TargetMode="External"/><Relationship Id="rId133" Type="http://schemas.openxmlformats.org/officeDocument/2006/relationships/hyperlink" Target="https://youtu.be/oe5cOFy6SWg?t=5387" TargetMode="External"/><Relationship Id="rId254" Type="http://schemas.openxmlformats.org/officeDocument/2006/relationships/hyperlink" Target="https://youtu.be/sau5q7_dHy0?t=5348" TargetMode="External"/><Relationship Id="rId62" Type="http://schemas.openxmlformats.org/officeDocument/2006/relationships/hyperlink" Target="https://youtu.be/iqVnepqzqTc" TargetMode="External"/><Relationship Id="rId61" Type="http://schemas.openxmlformats.org/officeDocument/2006/relationships/hyperlink" Target="https://youtu.be/o4nvgwdJK8k" TargetMode="External"/><Relationship Id="rId64" Type="http://schemas.openxmlformats.org/officeDocument/2006/relationships/hyperlink" Target="https://youtu.be/iqVnepqzqTc?t=984" TargetMode="External"/><Relationship Id="rId63" Type="http://schemas.openxmlformats.org/officeDocument/2006/relationships/hyperlink" Target="https://youtu.be/o4nvgwdJK8k?t=919" TargetMode="External"/><Relationship Id="rId66" Type="http://schemas.openxmlformats.org/officeDocument/2006/relationships/hyperlink" Target="https://youtu.be/iqVnepqzqTc?t=1884" TargetMode="External"/><Relationship Id="rId172" Type="http://schemas.openxmlformats.org/officeDocument/2006/relationships/hyperlink" Target="https://youtu.be/_dL72tGiz9Q?t=4508" TargetMode="External"/><Relationship Id="rId293" Type="http://schemas.openxmlformats.org/officeDocument/2006/relationships/hyperlink" Target="https://youtu.be/6pMAKB4AhjM?t=5426" TargetMode="External"/><Relationship Id="rId65" Type="http://schemas.openxmlformats.org/officeDocument/2006/relationships/hyperlink" Target="https://youtu.be/o4nvgwdJK8k?t=1809" TargetMode="External"/><Relationship Id="rId171" Type="http://schemas.openxmlformats.org/officeDocument/2006/relationships/hyperlink" Target="https://youtu.be/GHPQHDigQaw?t=4539" TargetMode="External"/><Relationship Id="rId292" Type="http://schemas.openxmlformats.org/officeDocument/2006/relationships/hyperlink" Target="https://youtu.be/Wyf9HEuQzYA?t=5304" TargetMode="External"/><Relationship Id="rId68" Type="http://schemas.openxmlformats.org/officeDocument/2006/relationships/hyperlink" Target="https://youtu.be/iqVnepqzqTc?t=2784" TargetMode="External"/><Relationship Id="rId170" Type="http://schemas.openxmlformats.org/officeDocument/2006/relationships/hyperlink" Target="https://youtu.be/_dL72tGiz9Q?t=3563" TargetMode="External"/><Relationship Id="rId291" Type="http://schemas.openxmlformats.org/officeDocument/2006/relationships/hyperlink" Target="https://youtu.be/6pMAKB4AhjM?t=4526" TargetMode="External"/><Relationship Id="rId67" Type="http://schemas.openxmlformats.org/officeDocument/2006/relationships/hyperlink" Target="https://youtu.be/o4nvgwdJK8k?t=2705" TargetMode="External"/><Relationship Id="rId290" Type="http://schemas.openxmlformats.org/officeDocument/2006/relationships/hyperlink" Target="https://youtu.be/Wyf9HEuQzYA?t=4412" TargetMode="External"/><Relationship Id="rId60" Type="http://schemas.openxmlformats.org/officeDocument/2006/relationships/hyperlink" Target="https://youtu.be/Rg31RX1lS4k?t=7926" TargetMode="External"/><Relationship Id="rId165" Type="http://schemas.openxmlformats.org/officeDocument/2006/relationships/hyperlink" Target="https://youtu.be/GHPQHDigQaw?t=1820" TargetMode="External"/><Relationship Id="rId286" Type="http://schemas.openxmlformats.org/officeDocument/2006/relationships/hyperlink" Target="https://youtu.be/Wyf9HEuQzYA?t=2666" TargetMode="External"/><Relationship Id="rId69" Type="http://schemas.openxmlformats.org/officeDocument/2006/relationships/hyperlink" Target="https://youtu.be/o4nvgwdJK8k?t=3545" TargetMode="External"/><Relationship Id="rId164" Type="http://schemas.openxmlformats.org/officeDocument/2006/relationships/hyperlink" Target="https://youtu.be/_dL72tGiz9Q?t=922" TargetMode="External"/><Relationship Id="rId285" Type="http://schemas.openxmlformats.org/officeDocument/2006/relationships/hyperlink" Target="https://youtu.be/6pMAKB4AhjM?t=1886" TargetMode="External"/><Relationship Id="rId163" Type="http://schemas.openxmlformats.org/officeDocument/2006/relationships/hyperlink" Target="https://youtu.be/GHPQHDigQaw?t=906" TargetMode="External"/><Relationship Id="rId284" Type="http://schemas.openxmlformats.org/officeDocument/2006/relationships/hyperlink" Target="https://youtu.be/Wyf9HEuQzYA?t=1768" TargetMode="External"/><Relationship Id="rId162" Type="http://schemas.openxmlformats.org/officeDocument/2006/relationships/hyperlink" Target="https://youtu.be/_dL72tGiz9Q" TargetMode="External"/><Relationship Id="rId283" Type="http://schemas.openxmlformats.org/officeDocument/2006/relationships/hyperlink" Target="https://youtu.be/6pMAKB4AhjM?t=986" TargetMode="External"/><Relationship Id="rId169" Type="http://schemas.openxmlformats.org/officeDocument/2006/relationships/hyperlink" Target="https://youtu.be/GHPQHDigQaw?t=3590" TargetMode="External"/><Relationship Id="rId168" Type="http://schemas.openxmlformats.org/officeDocument/2006/relationships/hyperlink" Target="https://youtu.be/_dL72tGiz9Q?t=2722" TargetMode="External"/><Relationship Id="rId289" Type="http://schemas.openxmlformats.org/officeDocument/2006/relationships/hyperlink" Target="https://youtu.be/6pMAKB4AhjM?t=3626" TargetMode="External"/><Relationship Id="rId167" Type="http://schemas.openxmlformats.org/officeDocument/2006/relationships/hyperlink" Target="https://youtu.be/GHPQHDigQaw?t=2690" TargetMode="External"/><Relationship Id="rId288" Type="http://schemas.openxmlformats.org/officeDocument/2006/relationships/hyperlink" Target="https://youtu.be/Wyf9HEuQzYA?t=3505" TargetMode="External"/><Relationship Id="rId166" Type="http://schemas.openxmlformats.org/officeDocument/2006/relationships/hyperlink" Target="https://youtu.be/_dL72tGiz9Q?t=1821" TargetMode="External"/><Relationship Id="rId287" Type="http://schemas.openxmlformats.org/officeDocument/2006/relationships/hyperlink" Target="https://youtu.be/6pMAKB4AhjM?t=2786" TargetMode="External"/><Relationship Id="rId51" Type="http://schemas.openxmlformats.org/officeDocument/2006/relationships/hyperlink" Target="https://youtu.be/4oX70LdCQgE?t=4433" TargetMode="External"/><Relationship Id="rId50" Type="http://schemas.openxmlformats.org/officeDocument/2006/relationships/hyperlink" Target="https://youtu.be/Rg31RX1lS4k?t=3493" TargetMode="External"/><Relationship Id="rId53" Type="http://schemas.openxmlformats.org/officeDocument/2006/relationships/hyperlink" Target="https://youtu.be/4oX70LdCQgE?t=5332" TargetMode="External"/><Relationship Id="rId52" Type="http://schemas.openxmlformats.org/officeDocument/2006/relationships/hyperlink" Target="https://youtu.be/Rg31RX1lS4k?t=4385" TargetMode="External"/><Relationship Id="rId55" Type="http://schemas.openxmlformats.org/officeDocument/2006/relationships/hyperlink" Target="https://youtu.be/4oX70LdCQgE?t=6181" TargetMode="External"/><Relationship Id="rId161" Type="http://schemas.openxmlformats.org/officeDocument/2006/relationships/hyperlink" Target="https://youtu.be/GHPQHDigQaw" TargetMode="External"/><Relationship Id="rId282" Type="http://schemas.openxmlformats.org/officeDocument/2006/relationships/hyperlink" Target="https://youtu.be/Wyf9HEuQzYA?t=869" TargetMode="External"/><Relationship Id="rId54" Type="http://schemas.openxmlformats.org/officeDocument/2006/relationships/hyperlink" Target="https://youtu.be/Rg31RX1lS4k?t=5301" TargetMode="External"/><Relationship Id="rId160" Type="http://schemas.openxmlformats.org/officeDocument/2006/relationships/hyperlink" Target="https://youtu.be/JqO-IVMrL-M?t=7137" TargetMode="External"/><Relationship Id="rId281" Type="http://schemas.openxmlformats.org/officeDocument/2006/relationships/hyperlink" Target="https://youtu.be/6pMAKB4AhjM" TargetMode="External"/><Relationship Id="rId57" Type="http://schemas.openxmlformats.org/officeDocument/2006/relationships/hyperlink" Target="https://youtu.be/4oX70LdCQgE?t=7075" TargetMode="External"/><Relationship Id="rId280" Type="http://schemas.openxmlformats.org/officeDocument/2006/relationships/hyperlink" Target="https://youtu.be/Wyf9HEuQzYA" TargetMode="External"/><Relationship Id="rId56" Type="http://schemas.openxmlformats.org/officeDocument/2006/relationships/hyperlink" Target="https://youtu.be/Rg31RX1lS4k?t=6181" TargetMode="External"/><Relationship Id="rId159" Type="http://schemas.openxmlformats.org/officeDocument/2006/relationships/hyperlink" Target="https://youtu.be/2O7BYyalqFY?t=8124" TargetMode="External"/><Relationship Id="rId59" Type="http://schemas.openxmlformats.org/officeDocument/2006/relationships/hyperlink" Target="https://youtu.be/4oX70LdCQgE?t=7990" TargetMode="External"/><Relationship Id="rId154" Type="http://schemas.openxmlformats.org/officeDocument/2006/relationships/hyperlink" Target="https://youtu.be/JqO-IVMrL-M?t=5387" TargetMode="External"/><Relationship Id="rId275" Type="http://schemas.openxmlformats.org/officeDocument/2006/relationships/hyperlink" Target="https://youtu.be/UHf01SBgsAs?t=6284" TargetMode="External"/><Relationship Id="rId58" Type="http://schemas.openxmlformats.org/officeDocument/2006/relationships/hyperlink" Target="https://youtu.be/Rg31RX1lS4k?t=7027" TargetMode="External"/><Relationship Id="rId153" Type="http://schemas.openxmlformats.org/officeDocument/2006/relationships/hyperlink" Target="https://youtu.be/2O7BYyalqFY?t=5488" TargetMode="External"/><Relationship Id="rId274" Type="http://schemas.openxmlformats.org/officeDocument/2006/relationships/hyperlink" Target="https://youtu.be/n3Y4TjXU1FA?t=6181" TargetMode="External"/><Relationship Id="rId152" Type="http://schemas.openxmlformats.org/officeDocument/2006/relationships/hyperlink" Target="https://youtu.be/JqO-IVMrL-M?t=4491" TargetMode="External"/><Relationship Id="rId273" Type="http://schemas.openxmlformats.org/officeDocument/2006/relationships/hyperlink" Target="https://youtu.be/UHf01SBgsAs?t=5441" TargetMode="External"/><Relationship Id="rId151" Type="http://schemas.openxmlformats.org/officeDocument/2006/relationships/hyperlink" Target="https://youtu.be/2O7BYyalqFY?t=4584" TargetMode="External"/><Relationship Id="rId272" Type="http://schemas.openxmlformats.org/officeDocument/2006/relationships/hyperlink" Target="https://youtu.be/n3Y4TjXU1FA?t=5363" TargetMode="External"/><Relationship Id="rId158" Type="http://schemas.openxmlformats.org/officeDocument/2006/relationships/hyperlink" Target="https://youtu.be/JqO-IVMrL-M?t=7137" TargetMode="External"/><Relationship Id="rId279" Type="http://schemas.openxmlformats.org/officeDocument/2006/relationships/hyperlink" Target="https://youtu.be/UHf01SBgsAs?t=8077" TargetMode="External"/><Relationship Id="rId157" Type="http://schemas.openxmlformats.org/officeDocument/2006/relationships/hyperlink" Target="https://youtu.be/2O7BYyalqFY?t=7229" TargetMode="External"/><Relationship Id="rId278" Type="http://schemas.openxmlformats.org/officeDocument/2006/relationships/hyperlink" Target="https://youtu.be/n3Y4TjXU1FA?t=7974" TargetMode="External"/><Relationship Id="rId156" Type="http://schemas.openxmlformats.org/officeDocument/2006/relationships/hyperlink" Target="https://youtu.be/JqO-IVMrL-M?t=6225" TargetMode="External"/><Relationship Id="rId277" Type="http://schemas.openxmlformats.org/officeDocument/2006/relationships/hyperlink" Target="https://youtu.be/UHf01SBgsAs?t=7174" TargetMode="External"/><Relationship Id="rId155" Type="http://schemas.openxmlformats.org/officeDocument/2006/relationships/hyperlink" Target="https://youtu.be/2O7BYyalqFY?t=6329" TargetMode="External"/><Relationship Id="rId276" Type="http://schemas.openxmlformats.org/officeDocument/2006/relationships/hyperlink" Target="https://youtu.be/n3Y4TjXU1FA?t=7076" TargetMode="External"/><Relationship Id="rId107" Type="http://schemas.openxmlformats.org/officeDocument/2006/relationships/hyperlink" Target="https://youtu.be/kD3KkHbTnCo?t=2729" TargetMode="External"/><Relationship Id="rId228" Type="http://schemas.openxmlformats.org/officeDocument/2006/relationships/hyperlink" Target="https://youtu.be/G6ufd8cHU5I?t=2699" TargetMode="External"/><Relationship Id="rId349" Type="http://schemas.openxmlformats.org/officeDocument/2006/relationships/hyperlink" Target="https://youtu.be/ncghNE_NzOA?t=3734" TargetMode="External"/><Relationship Id="rId106" Type="http://schemas.openxmlformats.org/officeDocument/2006/relationships/hyperlink" Target="https://youtu.be/O-ipjp3h1cA?t=1884" TargetMode="External"/><Relationship Id="rId227" Type="http://schemas.openxmlformats.org/officeDocument/2006/relationships/hyperlink" Target="https://youtu.be/t7-JV9_gIxY?t=2691" TargetMode="External"/><Relationship Id="rId348" Type="http://schemas.openxmlformats.org/officeDocument/2006/relationships/hyperlink" Target="https://youtu.be/NeIygW2I6fg?t=3537" TargetMode="External"/><Relationship Id="rId105" Type="http://schemas.openxmlformats.org/officeDocument/2006/relationships/hyperlink" Target="https://youtu.be/kD3KkHbTnCo?t=1837" TargetMode="External"/><Relationship Id="rId226" Type="http://schemas.openxmlformats.org/officeDocument/2006/relationships/hyperlink" Target="https://youtu.be/G6ufd8cHU5I?t=1799" TargetMode="External"/><Relationship Id="rId347" Type="http://schemas.openxmlformats.org/officeDocument/2006/relationships/hyperlink" Target="https://youtu.be/ncghNE_NzOA?t=2891" TargetMode="External"/><Relationship Id="rId104" Type="http://schemas.openxmlformats.org/officeDocument/2006/relationships/hyperlink" Target="https://youtu.be/O-ipjp3h1cA?t=1017" TargetMode="External"/><Relationship Id="rId225" Type="http://schemas.openxmlformats.org/officeDocument/2006/relationships/hyperlink" Target="https://youtu.be/t7-JV9_gIxY?t=1788" TargetMode="External"/><Relationship Id="rId346" Type="http://schemas.openxmlformats.org/officeDocument/2006/relationships/hyperlink" Target="https://youtu.be/NeIygW2I6fg?t=2694" TargetMode="External"/><Relationship Id="rId109" Type="http://schemas.openxmlformats.org/officeDocument/2006/relationships/hyperlink" Target="https://youtu.be/kD3KkHbTnCo?t=3624" TargetMode="External"/><Relationship Id="rId108" Type="http://schemas.openxmlformats.org/officeDocument/2006/relationships/hyperlink" Target="https://youtu.be/O-ipjp3h1cA?t=2785" TargetMode="External"/><Relationship Id="rId229" Type="http://schemas.openxmlformats.org/officeDocument/2006/relationships/hyperlink" Target="https://youtu.be/t7-JV9_gIxY?t=3544" TargetMode="External"/><Relationship Id="rId220" Type="http://schemas.openxmlformats.org/officeDocument/2006/relationships/hyperlink" Target="https://youtu.be/6gPLRVkVe5M?t=7804" TargetMode="External"/><Relationship Id="rId341" Type="http://schemas.openxmlformats.org/officeDocument/2006/relationships/hyperlink" Target="https://youtu.be/ncghNE_NzOA" TargetMode="External"/><Relationship Id="rId340" Type="http://schemas.openxmlformats.org/officeDocument/2006/relationships/hyperlink" Target="https://youtu.be/NeIygW2I6fg" TargetMode="External"/><Relationship Id="rId103" Type="http://schemas.openxmlformats.org/officeDocument/2006/relationships/hyperlink" Target="https://youtu.be/kD3KkHbTnCo?t=975" TargetMode="External"/><Relationship Id="rId224" Type="http://schemas.openxmlformats.org/officeDocument/2006/relationships/hyperlink" Target="https://youtu.be/G6ufd8cHU5I?t=904" TargetMode="External"/><Relationship Id="rId345" Type="http://schemas.openxmlformats.org/officeDocument/2006/relationships/hyperlink" Target="https://youtu.be/ncghNE_NzOA?t=1992" TargetMode="External"/><Relationship Id="rId102" Type="http://schemas.openxmlformats.org/officeDocument/2006/relationships/hyperlink" Target="https://youtu.be/O-ipjp3h1cA" TargetMode="External"/><Relationship Id="rId223" Type="http://schemas.openxmlformats.org/officeDocument/2006/relationships/hyperlink" Target="https://youtu.be/t7-JV9_gIxY?t=890" TargetMode="External"/><Relationship Id="rId344" Type="http://schemas.openxmlformats.org/officeDocument/2006/relationships/hyperlink" Target="https://youtu.be/NeIygW2I6fg?t=1796" TargetMode="External"/><Relationship Id="rId101" Type="http://schemas.openxmlformats.org/officeDocument/2006/relationships/hyperlink" Target="https://youtu.be/kD3KkHbTnCo" TargetMode="External"/><Relationship Id="rId222" Type="http://schemas.openxmlformats.org/officeDocument/2006/relationships/hyperlink" Target="https://youtu.be/G6ufd8cHU5I" TargetMode="External"/><Relationship Id="rId343" Type="http://schemas.openxmlformats.org/officeDocument/2006/relationships/hyperlink" Target="https://youtu.be/ncghNE_NzOA?t=1093" TargetMode="External"/><Relationship Id="rId100" Type="http://schemas.openxmlformats.org/officeDocument/2006/relationships/hyperlink" Target="https://youtu.be/wmfaBersJxA?t=7947" TargetMode="External"/><Relationship Id="rId221" Type="http://schemas.openxmlformats.org/officeDocument/2006/relationships/hyperlink" Target="https://youtu.be/t7-JV9_gIxY?t=50" TargetMode="External"/><Relationship Id="rId342" Type="http://schemas.openxmlformats.org/officeDocument/2006/relationships/hyperlink" Target="https://youtu.be/NeIygW2I6fg?t=894" TargetMode="External"/><Relationship Id="rId217" Type="http://schemas.openxmlformats.org/officeDocument/2006/relationships/hyperlink" Target="https://youtu.be/UQZWwOusLd8?t=7084" TargetMode="External"/><Relationship Id="rId338" Type="http://schemas.openxmlformats.org/officeDocument/2006/relationships/hyperlink" Target="https://youtu.be/MtMZVWprxgQ?t=7957" TargetMode="External"/><Relationship Id="rId216" Type="http://schemas.openxmlformats.org/officeDocument/2006/relationships/hyperlink" Target="https://youtu.be/6gPLRVkVe5M?t=6006" TargetMode="External"/><Relationship Id="rId337" Type="http://schemas.openxmlformats.org/officeDocument/2006/relationships/hyperlink" Target="https://youtu.be/nvv4TwOQOiE?t=7112" TargetMode="External"/><Relationship Id="rId215" Type="http://schemas.openxmlformats.org/officeDocument/2006/relationships/hyperlink" Target="https://youtu.be/UQZWwOusLd8?t=6241" TargetMode="External"/><Relationship Id="rId336" Type="http://schemas.openxmlformats.org/officeDocument/2006/relationships/hyperlink" Target="https://youtu.be/MtMZVWprxgQ?t=7058" TargetMode="External"/><Relationship Id="rId214" Type="http://schemas.openxmlformats.org/officeDocument/2006/relationships/hyperlink" Target="https://youtu.be/6gPLRVkVe5M?t=5165" TargetMode="External"/><Relationship Id="rId335" Type="http://schemas.openxmlformats.org/officeDocument/2006/relationships/hyperlink" Target="https://youtu.be/nvv4TwOQOiE?t=6216" TargetMode="External"/><Relationship Id="rId219" Type="http://schemas.openxmlformats.org/officeDocument/2006/relationships/hyperlink" Target="https://youtu.be/UQZWwOusLd8?t=7981" TargetMode="External"/><Relationship Id="rId218" Type="http://schemas.openxmlformats.org/officeDocument/2006/relationships/hyperlink" Target="https://youtu.be/6gPLRVkVe5M?t=6903" TargetMode="External"/><Relationship Id="rId339" Type="http://schemas.openxmlformats.org/officeDocument/2006/relationships/hyperlink" Target="https://youtu.be/nvv4TwOQOiE?t=8014" TargetMode="External"/><Relationship Id="rId330" Type="http://schemas.openxmlformats.org/officeDocument/2006/relationships/hyperlink" Target="https://youtu.be/MtMZVWprxgQ?t=4418" TargetMode="External"/><Relationship Id="rId213" Type="http://schemas.openxmlformats.org/officeDocument/2006/relationships/hyperlink" Target="https://youtu.be/UQZWwOusLd8?t=5346" TargetMode="External"/><Relationship Id="rId334" Type="http://schemas.openxmlformats.org/officeDocument/2006/relationships/hyperlink" Target="https://youtu.be/MtMZVWprxgQ?t=6156" TargetMode="External"/><Relationship Id="rId212" Type="http://schemas.openxmlformats.org/officeDocument/2006/relationships/hyperlink" Target="https://youtu.be/6gPLRVkVe5M?t=4263" TargetMode="External"/><Relationship Id="rId333" Type="http://schemas.openxmlformats.org/officeDocument/2006/relationships/hyperlink" Target="https://youtu.be/nvv4TwOQOiE?t=5376" TargetMode="External"/><Relationship Id="rId211" Type="http://schemas.openxmlformats.org/officeDocument/2006/relationships/hyperlink" Target="https://youtu.be/UQZWwOusLd8?t=4442" TargetMode="External"/><Relationship Id="rId332" Type="http://schemas.openxmlformats.org/officeDocument/2006/relationships/hyperlink" Target="https://youtu.be/MtMZVWprxgQ?t=5316" TargetMode="External"/><Relationship Id="rId210" Type="http://schemas.openxmlformats.org/officeDocument/2006/relationships/hyperlink" Target="https://youtu.be/6gPLRVkVe5M?t=3363" TargetMode="External"/><Relationship Id="rId331" Type="http://schemas.openxmlformats.org/officeDocument/2006/relationships/hyperlink" Target="https://youtu.be/nvv4TwOQOiE?t=4473" TargetMode="External"/><Relationship Id="rId129" Type="http://schemas.openxmlformats.org/officeDocument/2006/relationships/hyperlink" Target="https://youtu.be/oe5cOFy6SWg?t=3577" TargetMode="External"/><Relationship Id="rId128" Type="http://schemas.openxmlformats.org/officeDocument/2006/relationships/hyperlink" Target="https://youtu.be/tVlNCwx-fXY?t=2826" TargetMode="External"/><Relationship Id="rId249" Type="http://schemas.openxmlformats.org/officeDocument/2006/relationships/hyperlink" Target="https://youtu.be/JV2x-KmskRU?t=3637" TargetMode="External"/><Relationship Id="rId127" Type="http://schemas.openxmlformats.org/officeDocument/2006/relationships/hyperlink" Target="https://youtu.be/oe5cOFy6SWg?t=2728" TargetMode="External"/><Relationship Id="rId248" Type="http://schemas.openxmlformats.org/officeDocument/2006/relationships/hyperlink" Target="https://youtu.be/sau5q7_dHy0?t=2690" TargetMode="External"/><Relationship Id="rId126" Type="http://schemas.openxmlformats.org/officeDocument/2006/relationships/hyperlink" Target="https://youtu.be/tVlNCwx-fXY?t=1974" TargetMode="External"/><Relationship Id="rId247" Type="http://schemas.openxmlformats.org/officeDocument/2006/relationships/hyperlink" Target="https://youtu.be/JV2x-KmskRU?t=2796" TargetMode="External"/><Relationship Id="rId121" Type="http://schemas.openxmlformats.org/officeDocument/2006/relationships/hyperlink" Target="https://youtu.be/oe5cOFy6SWg" TargetMode="External"/><Relationship Id="rId242" Type="http://schemas.openxmlformats.org/officeDocument/2006/relationships/hyperlink" Target="https://youtu.be/sau5q7_dHy0?t=58" TargetMode="External"/><Relationship Id="rId120" Type="http://schemas.openxmlformats.org/officeDocument/2006/relationships/hyperlink" Target="https://youtu.be/O-ipjp3h1cA?t=8060" TargetMode="External"/><Relationship Id="rId241" Type="http://schemas.openxmlformats.org/officeDocument/2006/relationships/hyperlink" Target="https://youtu.be/JV2x-KmskRU" TargetMode="External"/><Relationship Id="rId240" Type="http://schemas.openxmlformats.org/officeDocument/2006/relationships/hyperlink" Target="https://youtu.be/G6ufd8cHU5I?t=7981" TargetMode="External"/><Relationship Id="rId360" Type="http://schemas.openxmlformats.org/officeDocument/2006/relationships/drawing" Target="../drawings/drawing4.xml"/><Relationship Id="rId125" Type="http://schemas.openxmlformats.org/officeDocument/2006/relationships/hyperlink" Target="https://youtu.be/oe5cOFy6SWg?t=1838" TargetMode="External"/><Relationship Id="rId246" Type="http://schemas.openxmlformats.org/officeDocument/2006/relationships/hyperlink" Target="https://youtu.be/sau5q7_dHy0?t=1846" TargetMode="External"/><Relationship Id="rId124" Type="http://schemas.openxmlformats.org/officeDocument/2006/relationships/hyperlink" Target="https://youtu.be/tVlNCwx-fXY?t=1106" TargetMode="External"/><Relationship Id="rId245" Type="http://schemas.openxmlformats.org/officeDocument/2006/relationships/hyperlink" Target="https://youtu.be/JV2x-KmskRU?t=1897" TargetMode="External"/><Relationship Id="rId123" Type="http://schemas.openxmlformats.org/officeDocument/2006/relationships/hyperlink" Target="https://youtu.be/oe5cOFy6SWg?t=958" TargetMode="External"/><Relationship Id="rId244" Type="http://schemas.openxmlformats.org/officeDocument/2006/relationships/hyperlink" Target="https://youtu.be/sau5q7_dHy0?t=964" TargetMode="External"/><Relationship Id="rId122" Type="http://schemas.openxmlformats.org/officeDocument/2006/relationships/hyperlink" Target="https://youtu.be/tVlNCwx-fXY" TargetMode="External"/><Relationship Id="rId243" Type="http://schemas.openxmlformats.org/officeDocument/2006/relationships/hyperlink" Target="https://youtu.be/JV2x-KmskRU?t=997" TargetMode="External"/><Relationship Id="rId95" Type="http://schemas.openxmlformats.org/officeDocument/2006/relationships/hyperlink" Target="https://youtu.be/iyhAVgEF28I?t=6232" TargetMode="External"/><Relationship Id="rId94" Type="http://schemas.openxmlformats.org/officeDocument/2006/relationships/hyperlink" Target="https://youtu.be/wmfaBersJxA?t=5274" TargetMode="External"/><Relationship Id="rId97" Type="http://schemas.openxmlformats.org/officeDocument/2006/relationships/hyperlink" Target="https://youtu.be/iyhAVgEF28I?t=7128" TargetMode="External"/><Relationship Id="rId96" Type="http://schemas.openxmlformats.org/officeDocument/2006/relationships/hyperlink" Target="https://youtu.be/wmfaBersJxA?t=6145" TargetMode="External"/><Relationship Id="rId99" Type="http://schemas.openxmlformats.org/officeDocument/2006/relationships/hyperlink" Target="https://youtu.be/iyhAVgEF28I?t=8033" TargetMode="External"/><Relationship Id="rId98" Type="http://schemas.openxmlformats.org/officeDocument/2006/relationships/hyperlink" Target="https://youtu.be/wmfaBersJxA?t=7046" TargetMode="External"/><Relationship Id="rId91" Type="http://schemas.openxmlformats.org/officeDocument/2006/relationships/hyperlink" Target="https://youtu.be/iyhAVgEF28I?t=4495" TargetMode="External"/><Relationship Id="rId90" Type="http://schemas.openxmlformats.org/officeDocument/2006/relationships/hyperlink" Target="https://youtu.be/wmfaBersJxA?t=3494" TargetMode="External"/><Relationship Id="rId93" Type="http://schemas.openxmlformats.org/officeDocument/2006/relationships/hyperlink" Target="https://youtu.be/iyhAVgEF28I?t=5390" TargetMode="External"/><Relationship Id="rId92" Type="http://schemas.openxmlformats.org/officeDocument/2006/relationships/hyperlink" Target="https://youtu.be/wmfaBersJxA?t=4395" TargetMode="External"/><Relationship Id="rId118" Type="http://schemas.openxmlformats.org/officeDocument/2006/relationships/hyperlink" Target="https://youtu.be/O-ipjp3h1cA?t=7166" TargetMode="External"/><Relationship Id="rId239" Type="http://schemas.openxmlformats.org/officeDocument/2006/relationships/hyperlink" Target="https://youtu.be/t7-JV9_gIxY?t=7975" TargetMode="External"/><Relationship Id="rId117" Type="http://schemas.openxmlformats.org/officeDocument/2006/relationships/hyperlink" Target="https://youtu.be/kD3KkHbTnCo?t=7100" TargetMode="External"/><Relationship Id="rId238" Type="http://schemas.openxmlformats.org/officeDocument/2006/relationships/hyperlink" Target="https://youtu.be/G6ufd8cHU5I?t=7076" TargetMode="External"/><Relationship Id="rId359" Type="http://schemas.openxmlformats.org/officeDocument/2006/relationships/hyperlink" Target="https://youtu.be/ncghNE_NzOA?t=8172" TargetMode="External"/><Relationship Id="rId116" Type="http://schemas.openxmlformats.org/officeDocument/2006/relationships/hyperlink" Target="https://youtu.be/O-ipjp3h1cA?t=6278" TargetMode="External"/><Relationship Id="rId237" Type="http://schemas.openxmlformats.org/officeDocument/2006/relationships/hyperlink" Target="https://youtu.be/t7-JV9_gIxY?t=7068" TargetMode="External"/><Relationship Id="rId358" Type="http://schemas.openxmlformats.org/officeDocument/2006/relationships/hyperlink" Target="https://youtu.be/NeIygW2I6fg?t=7975" TargetMode="External"/><Relationship Id="rId115" Type="http://schemas.openxmlformats.org/officeDocument/2006/relationships/hyperlink" Target="https://youtu.be/kD3KkHbTnCo?t=6202" TargetMode="External"/><Relationship Id="rId236" Type="http://schemas.openxmlformats.org/officeDocument/2006/relationships/hyperlink" Target="https://youtu.be/G6ufd8cHU5I?t=6199" TargetMode="External"/><Relationship Id="rId357" Type="http://schemas.openxmlformats.org/officeDocument/2006/relationships/hyperlink" Target="https://youtu.be/ncghNE_NzOA?t=7273" TargetMode="External"/><Relationship Id="rId119" Type="http://schemas.openxmlformats.org/officeDocument/2006/relationships/hyperlink" Target="https://youtu.be/kD3KkHbTnCo?t=8004" TargetMode="External"/><Relationship Id="rId110" Type="http://schemas.openxmlformats.org/officeDocument/2006/relationships/hyperlink" Target="https://youtu.be/O-ipjp3h1cA?t=3701" TargetMode="External"/><Relationship Id="rId231" Type="http://schemas.openxmlformats.org/officeDocument/2006/relationships/hyperlink" Target="https://youtu.be/t7-JV9_gIxY?t=4430" TargetMode="External"/><Relationship Id="rId352" Type="http://schemas.openxmlformats.org/officeDocument/2006/relationships/hyperlink" Target="https://youtu.be/NeIygW2I6fg?t=5337" TargetMode="External"/><Relationship Id="rId230" Type="http://schemas.openxmlformats.org/officeDocument/2006/relationships/hyperlink" Target="https://youtu.be/G6ufd8cHU5I?t=3536" TargetMode="External"/><Relationship Id="rId351" Type="http://schemas.openxmlformats.org/officeDocument/2006/relationships/hyperlink" Target="https://youtu.be/ncghNE_NzOA?t=4632" TargetMode="External"/><Relationship Id="rId350" Type="http://schemas.openxmlformats.org/officeDocument/2006/relationships/hyperlink" Target="https://youtu.be/NeIygW2I6fg?t=4434" TargetMode="External"/><Relationship Id="rId114" Type="http://schemas.openxmlformats.org/officeDocument/2006/relationships/hyperlink" Target="https://youtu.be/O-ipjp3h1cA?t=5448" TargetMode="External"/><Relationship Id="rId235" Type="http://schemas.openxmlformats.org/officeDocument/2006/relationships/hyperlink" Target="https://youtu.be/t7-JV9_gIxY?t=6167" TargetMode="External"/><Relationship Id="rId356" Type="http://schemas.openxmlformats.org/officeDocument/2006/relationships/hyperlink" Target="https://youtu.be/NeIygW2I6fg?t=7074" TargetMode="External"/><Relationship Id="rId113" Type="http://schemas.openxmlformats.org/officeDocument/2006/relationships/hyperlink" Target="https://youtu.be/kD3KkHbTnCo?t=5374" TargetMode="External"/><Relationship Id="rId234" Type="http://schemas.openxmlformats.org/officeDocument/2006/relationships/hyperlink" Target="https://youtu.be/G6ufd8cHU5I?t=5339" TargetMode="External"/><Relationship Id="rId355" Type="http://schemas.openxmlformats.org/officeDocument/2006/relationships/hyperlink" Target="https://youtu.be/ncghNE_NzOA?t=6372" TargetMode="External"/><Relationship Id="rId112" Type="http://schemas.openxmlformats.org/officeDocument/2006/relationships/hyperlink" Target="https://youtu.be/O-ipjp3h1cA?t=4567" TargetMode="External"/><Relationship Id="rId233" Type="http://schemas.openxmlformats.org/officeDocument/2006/relationships/hyperlink" Target="https://youtu.be/t7-JV9_gIxY?t=5330" TargetMode="External"/><Relationship Id="rId354" Type="http://schemas.openxmlformats.org/officeDocument/2006/relationships/hyperlink" Target="https://youtu.be/NeIygW2I6fg?t=6173" TargetMode="External"/><Relationship Id="rId111" Type="http://schemas.openxmlformats.org/officeDocument/2006/relationships/hyperlink" Target="https://youtu.be/kD3KkHbTnCo?t=4462" TargetMode="External"/><Relationship Id="rId232" Type="http://schemas.openxmlformats.org/officeDocument/2006/relationships/hyperlink" Target="https://youtu.be/G6ufd8cHU5I?t=4439" TargetMode="External"/><Relationship Id="rId353" Type="http://schemas.openxmlformats.org/officeDocument/2006/relationships/hyperlink" Target="https://youtu.be/ncghNE_NzOA?t=5533" TargetMode="External"/><Relationship Id="rId305" Type="http://schemas.openxmlformats.org/officeDocument/2006/relationships/hyperlink" Target="https://youtu.be/opt6yOdY9_s?t=2028" TargetMode="External"/><Relationship Id="rId304" Type="http://schemas.openxmlformats.org/officeDocument/2006/relationships/hyperlink" Target="https://youtu.be/z58aXUJ9zFY?t=1802" TargetMode="External"/><Relationship Id="rId303" Type="http://schemas.openxmlformats.org/officeDocument/2006/relationships/hyperlink" Target="https://youtu.be/opt6yOdY9_s?t=1150" TargetMode="External"/><Relationship Id="rId302" Type="http://schemas.openxmlformats.org/officeDocument/2006/relationships/hyperlink" Target="https://youtu.be/z58aXUJ9zFY?t=945" TargetMode="External"/><Relationship Id="rId309" Type="http://schemas.openxmlformats.org/officeDocument/2006/relationships/hyperlink" Target="https://youtu.be/opt6yOdY9_s?t=3749" TargetMode="External"/><Relationship Id="rId308" Type="http://schemas.openxmlformats.org/officeDocument/2006/relationships/hyperlink" Target="https://youtu.be/z58aXUJ9zFY?t=3551" TargetMode="External"/><Relationship Id="rId307" Type="http://schemas.openxmlformats.org/officeDocument/2006/relationships/hyperlink" Target="https://youtu.be/opt6yOdY9_s?t=2899" TargetMode="External"/><Relationship Id="rId306" Type="http://schemas.openxmlformats.org/officeDocument/2006/relationships/hyperlink" Target="https://youtu.be/z58aXUJ9zFY?t=2701" TargetMode="External"/><Relationship Id="rId301" Type="http://schemas.openxmlformats.org/officeDocument/2006/relationships/hyperlink" Target="https://youtu.be/opt6yOdY9_s" TargetMode="External"/><Relationship Id="rId300" Type="http://schemas.openxmlformats.org/officeDocument/2006/relationships/hyperlink" Target="https://youtu.be/z58aXUJ9zFY" TargetMode="External"/><Relationship Id="rId206" Type="http://schemas.openxmlformats.org/officeDocument/2006/relationships/hyperlink" Target="https://youtu.be/6gPLRVkVe5M?t=1624" TargetMode="External"/><Relationship Id="rId327" Type="http://schemas.openxmlformats.org/officeDocument/2006/relationships/hyperlink" Target="https://youtu.be/nvv4TwOQOiE?t=2736" TargetMode="External"/><Relationship Id="rId205" Type="http://schemas.openxmlformats.org/officeDocument/2006/relationships/hyperlink" Target="https://youtu.be/UQZWwOusLd8?t=1801" TargetMode="External"/><Relationship Id="rId326" Type="http://schemas.openxmlformats.org/officeDocument/2006/relationships/hyperlink" Target="https://youtu.be/MtMZVWprxgQ?t=2684" TargetMode="External"/><Relationship Id="rId204" Type="http://schemas.openxmlformats.org/officeDocument/2006/relationships/hyperlink" Target="https://youtu.be/6gPLRVkVe5M?t=746" TargetMode="External"/><Relationship Id="rId325" Type="http://schemas.openxmlformats.org/officeDocument/2006/relationships/hyperlink" Target="https://youtu.be/nvv4TwOQOiE?t=1837" TargetMode="External"/><Relationship Id="rId203" Type="http://schemas.openxmlformats.org/officeDocument/2006/relationships/hyperlink" Target="https://youtu.be/UQZWwOusLd8?t=907" TargetMode="External"/><Relationship Id="rId324" Type="http://schemas.openxmlformats.org/officeDocument/2006/relationships/hyperlink" Target="https://youtu.be/MtMZVWprxgQ?t=1777" TargetMode="External"/><Relationship Id="rId209" Type="http://schemas.openxmlformats.org/officeDocument/2006/relationships/hyperlink" Target="https://youtu.be/UQZWwOusLd8?t=3543" TargetMode="External"/><Relationship Id="rId208" Type="http://schemas.openxmlformats.org/officeDocument/2006/relationships/hyperlink" Target="https://youtu.be/6gPLRVkVe5M?t=2522" TargetMode="External"/><Relationship Id="rId329" Type="http://schemas.openxmlformats.org/officeDocument/2006/relationships/hyperlink" Target="https://youtu.be/nvv4TwOQOiE?t=3578" TargetMode="External"/><Relationship Id="rId207" Type="http://schemas.openxmlformats.org/officeDocument/2006/relationships/hyperlink" Target="https://youtu.be/UQZWwOusLd8?t=2703" TargetMode="External"/><Relationship Id="rId328" Type="http://schemas.openxmlformats.org/officeDocument/2006/relationships/hyperlink" Target="https://youtu.be/MtMZVWprxgQ?t=3523" TargetMode="External"/><Relationship Id="rId202" Type="http://schemas.openxmlformats.org/officeDocument/2006/relationships/hyperlink" Target="https://youtu.be/6gPLRVkVe5M" TargetMode="External"/><Relationship Id="rId323" Type="http://schemas.openxmlformats.org/officeDocument/2006/relationships/hyperlink" Target="https://youtu.be/nvv4TwOQOiE?t=942" TargetMode="External"/><Relationship Id="rId201" Type="http://schemas.openxmlformats.org/officeDocument/2006/relationships/hyperlink" Target="https://youtu.be/UQZWwOusLd8?t=37" TargetMode="External"/><Relationship Id="rId322" Type="http://schemas.openxmlformats.org/officeDocument/2006/relationships/hyperlink" Target="https://youtu.be/MtMZVWprxgQ?t=876" TargetMode="External"/><Relationship Id="rId200" Type="http://schemas.openxmlformats.org/officeDocument/2006/relationships/hyperlink" Target="https://youtu.be/ebKvSP_PCck?t=8012" TargetMode="External"/><Relationship Id="rId321" Type="http://schemas.openxmlformats.org/officeDocument/2006/relationships/hyperlink" Target="https://youtu.be/nvv4TwOQOiE" TargetMode="External"/><Relationship Id="rId320" Type="http://schemas.openxmlformats.org/officeDocument/2006/relationships/hyperlink" Target="https://youtu.be/MtMZVWprxgQ" TargetMode="External"/><Relationship Id="rId316" Type="http://schemas.openxmlformats.org/officeDocument/2006/relationships/hyperlink" Target="https://youtu.be/z58aXUJ9zFY?t=7080" TargetMode="External"/><Relationship Id="rId315" Type="http://schemas.openxmlformats.org/officeDocument/2006/relationships/hyperlink" Target="https://youtu.be/opt6yOdY9_s?t=6385" TargetMode="External"/><Relationship Id="rId314" Type="http://schemas.openxmlformats.org/officeDocument/2006/relationships/hyperlink" Target="https://youtu.be/z58aXUJ9zFY?t=6185" TargetMode="External"/><Relationship Id="rId313" Type="http://schemas.openxmlformats.org/officeDocument/2006/relationships/hyperlink" Target="https://youtu.be/opt6yOdY9_s?t=5539" TargetMode="External"/><Relationship Id="rId319" Type="http://schemas.openxmlformats.org/officeDocument/2006/relationships/hyperlink" Target="https://youtu.be/opt6yOdY9_s?t=8185" TargetMode="External"/><Relationship Id="rId318" Type="http://schemas.openxmlformats.org/officeDocument/2006/relationships/hyperlink" Target="https://youtu.be/z58aXUJ9zFY?t=7981" TargetMode="External"/><Relationship Id="rId317" Type="http://schemas.openxmlformats.org/officeDocument/2006/relationships/hyperlink" Target="https://youtu.be/opt6yOdY9_s?t=7278" TargetMode="External"/><Relationship Id="rId312" Type="http://schemas.openxmlformats.org/officeDocument/2006/relationships/hyperlink" Target="https://youtu.be/z58aXUJ9zFY?t=5344" TargetMode="External"/><Relationship Id="rId311" Type="http://schemas.openxmlformats.org/officeDocument/2006/relationships/hyperlink" Target="https://youtu.be/opt6yOdY9_s?t=4644" TargetMode="External"/><Relationship Id="rId310" Type="http://schemas.openxmlformats.org/officeDocument/2006/relationships/hyperlink" Target="https://youtu.be/z58aXUJ9zFY?t=4471" TargetMode="External"/></Relationships>
</file>

<file path=xl/worksheets/_rels/sheet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zWYKsdrTiiA?t=3553" TargetMode="External"/><Relationship Id="rId190" Type="http://schemas.openxmlformats.org/officeDocument/2006/relationships/hyperlink" Target="https://youtu.be/NxhKYdtsgqg?t=2403" TargetMode="External"/><Relationship Id="rId42" Type="http://schemas.openxmlformats.org/officeDocument/2006/relationships/hyperlink" Target="https://youtu.be/zWYKsdrTiiA?t=4440" TargetMode="External"/><Relationship Id="rId41" Type="http://schemas.openxmlformats.org/officeDocument/2006/relationships/hyperlink" Target="https://youtu.be/n-LFAiKIReA?t=3631" TargetMode="External"/><Relationship Id="rId44" Type="http://schemas.openxmlformats.org/officeDocument/2006/relationships/hyperlink" Target="https://youtu.be/zWYKsdrTiiA?t=5336" TargetMode="External"/><Relationship Id="rId194" Type="http://schemas.openxmlformats.org/officeDocument/2006/relationships/hyperlink" Target="https://youtu.be/NxhKYdtsgqg?t=4158" TargetMode="External"/><Relationship Id="rId43" Type="http://schemas.openxmlformats.org/officeDocument/2006/relationships/hyperlink" Target="https://youtu.be/n-LFAiKIReA?t=4521" TargetMode="External"/><Relationship Id="rId193" Type="http://schemas.openxmlformats.org/officeDocument/2006/relationships/hyperlink" Target="https://youtu.be/jJMmeUbWOoI?t=4389" TargetMode="External"/><Relationship Id="rId46" Type="http://schemas.openxmlformats.org/officeDocument/2006/relationships/hyperlink" Target="https://youtu.be/zWYKsdrTiiA?t=6241" TargetMode="External"/><Relationship Id="rId192" Type="http://schemas.openxmlformats.org/officeDocument/2006/relationships/hyperlink" Target="https://youtu.be/NxhKYdtsgqg?t=3271" TargetMode="External"/><Relationship Id="rId45" Type="http://schemas.openxmlformats.org/officeDocument/2006/relationships/hyperlink" Target="https://youtu.be/n-LFAiKIReA?t=5421" TargetMode="External"/><Relationship Id="rId191" Type="http://schemas.openxmlformats.org/officeDocument/2006/relationships/hyperlink" Target="https://youtu.be/jJMmeUbWOoI?t=3489" TargetMode="External"/><Relationship Id="rId48" Type="http://schemas.openxmlformats.org/officeDocument/2006/relationships/hyperlink" Target="https://youtu.be/zWYKsdrTiiA?t=7075" TargetMode="External"/><Relationship Id="rId187" Type="http://schemas.openxmlformats.org/officeDocument/2006/relationships/hyperlink" Target="https://youtu.be/jJMmeUbWOoI?t=1757" TargetMode="External"/><Relationship Id="rId47" Type="http://schemas.openxmlformats.org/officeDocument/2006/relationships/hyperlink" Target="https://youtu.be/n-LFAiKIReA?t=6260" TargetMode="External"/><Relationship Id="rId186" Type="http://schemas.openxmlformats.org/officeDocument/2006/relationships/hyperlink" Target="https://youtu.be/NxhKYdtsgqg?t=669" TargetMode="External"/><Relationship Id="rId185" Type="http://schemas.openxmlformats.org/officeDocument/2006/relationships/hyperlink" Target="https://youtu.be/jJMmeUbWOoI?t=858" TargetMode="External"/><Relationship Id="rId49" Type="http://schemas.openxmlformats.org/officeDocument/2006/relationships/hyperlink" Target="https://youtu.be/n-LFAiKIReA?t=7162" TargetMode="External"/><Relationship Id="rId184" Type="http://schemas.openxmlformats.org/officeDocument/2006/relationships/hyperlink" Target="https://youtu.be/NxhKYdtsgqg" TargetMode="External"/><Relationship Id="rId189" Type="http://schemas.openxmlformats.org/officeDocument/2006/relationships/hyperlink" Target="https://youtu.be/jJMmeUbWOoI?t=2651" TargetMode="External"/><Relationship Id="rId188" Type="http://schemas.openxmlformats.org/officeDocument/2006/relationships/hyperlink" Target="https://youtu.be/NxhKYdtsgqg?t=1525" TargetMode="External"/><Relationship Id="rId31" Type="http://schemas.openxmlformats.org/officeDocument/2006/relationships/hyperlink" Target="https://youtu.be/8qcpFA0ix10?t=8320" TargetMode="External"/><Relationship Id="rId30" Type="http://schemas.openxmlformats.org/officeDocument/2006/relationships/hyperlink" Target="https://youtu.be/8qcpFA0ix10?t=7562" TargetMode="External"/><Relationship Id="rId33" Type="http://schemas.openxmlformats.org/officeDocument/2006/relationships/hyperlink" Target="https://youtu.be/n-LFAiKIReA" TargetMode="External"/><Relationship Id="rId183" Type="http://schemas.openxmlformats.org/officeDocument/2006/relationships/hyperlink" Target="https://youtu.be/jJMmeUbWOoI" TargetMode="External"/><Relationship Id="rId32" Type="http://schemas.openxmlformats.org/officeDocument/2006/relationships/hyperlink" Target="https://youtu.be/zWYKsdrTiiA" TargetMode="External"/><Relationship Id="rId182" Type="http://schemas.openxmlformats.org/officeDocument/2006/relationships/hyperlink" Target="https://youtu.be/8Zi9c4Mxack?t=8150" TargetMode="External"/><Relationship Id="rId35" Type="http://schemas.openxmlformats.org/officeDocument/2006/relationships/hyperlink" Target="https://youtu.be/n-LFAiKIReA?t=980" TargetMode="External"/><Relationship Id="rId181" Type="http://schemas.openxmlformats.org/officeDocument/2006/relationships/hyperlink" Target="https://youtu.be/aK5BnluUZ3w?t=8122" TargetMode="External"/><Relationship Id="rId34" Type="http://schemas.openxmlformats.org/officeDocument/2006/relationships/hyperlink" Target="https://youtu.be/zWYKsdrTiiA?t=920" TargetMode="External"/><Relationship Id="rId180" Type="http://schemas.openxmlformats.org/officeDocument/2006/relationships/hyperlink" Target="https://youtu.be/8Zi9c4Mxack?t=7249" TargetMode="External"/><Relationship Id="rId37" Type="http://schemas.openxmlformats.org/officeDocument/2006/relationships/hyperlink" Target="https://youtu.be/n-LFAiKIReA?t=1881" TargetMode="External"/><Relationship Id="rId176" Type="http://schemas.openxmlformats.org/officeDocument/2006/relationships/hyperlink" Target="https://youtu.be/8Zi9c4Mxack?t=5509" TargetMode="External"/><Relationship Id="rId297" Type="http://schemas.openxmlformats.org/officeDocument/2006/relationships/hyperlink" Target="https://youtu.be/zX3ot4fc8y4?t=6231" TargetMode="External"/><Relationship Id="rId36" Type="http://schemas.openxmlformats.org/officeDocument/2006/relationships/hyperlink" Target="https://youtu.be/zWYKsdrTiiA?t=1797" TargetMode="External"/><Relationship Id="rId175" Type="http://schemas.openxmlformats.org/officeDocument/2006/relationships/hyperlink" Target="https://youtu.be/aK5BnluUZ3w?t=5523" TargetMode="External"/><Relationship Id="rId296" Type="http://schemas.openxmlformats.org/officeDocument/2006/relationships/hyperlink" Target="https://youtu.be/8ipZ_CpWWD8?t=5418" TargetMode="External"/><Relationship Id="rId39" Type="http://schemas.openxmlformats.org/officeDocument/2006/relationships/hyperlink" Target="https://youtu.be/n-LFAiKIReA?t=2781" TargetMode="External"/><Relationship Id="rId174" Type="http://schemas.openxmlformats.org/officeDocument/2006/relationships/hyperlink" Target="https://youtu.be/8Zi9c4Mxack?t=4687" TargetMode="External"/><Relationship Id="rId295" Type="http://schemas.openxmlformats.org/officeDocument/2006/relationships/hyperlink" Target="https://youtu.be/zX3ot4fc8y4?t=5362" TargetMode="External"/><Relationship Id="rId38" Type="http://schemas.openxmlformats.org/officeDocument/2006/relationships/hyperlink" Target="https://youtu.be/zWYKsdrTiiA?t=2692" TargetMode="External"/><Relationship Id="rId173" Type="http://schemas.openxmlformats.org/officeDocument/2006/relationships/hyperlink" Target="https://youtu.be/aK5BnluUZ3w?t=4703" TargetMode="External"/><Relationship Id="rId294" Type="http://schemas.openxmlformats.org/officeDocument/2006/relationships/hyperlink" Target="https://youtu.be/8ipZ_CpWWD8?t=4519" TargetMode="External"/><Relationship Id="rId179" Type="http://schemas.openxmlformats.org/officeDocument/2006/relationships/hyperlink" Target="https://youtu.be/aK5BnluUZ3w?t=7224" TargetMode="External"/><Relationship Id="rId178" Type="http://schemas.openxmlformats.org/officeDocument/2006/relationships/hyperlink" Target="https://youtu.be/8Zi9c4Mxack?t=6352" TargetMode="External"/><Relationship Id="rId299" Type="http://schemas.openxmlformats.org/officeDocument/2006/relationships/hyperlink" Target="https://youtu.be/zX3ot4fc8y4?t=7103" TargetMode="External"/><Relationship Id="rId177" Type="http://schemas.openxmlformats.org/officeDocument/2006/relationships/hyperlink" Target="https://youtu.be/aK5BnluUZ3w?t=6374" TargetMode="External"/><Relationship Id="rId298" Type="http://schemas.openxmlformats.org/officeDocument/2006/relationships/hyperlink" Target="https://youtu.be/8ipZ_CpWWD8?t=6259" TargetMode="External"/><Relationship Id="rId20" Type="http://schemas.openxmlformats.org/officeDocument/2006/relationships/hyperlink" Target="https://youtu.be/1VyzxRnA-Ow?t=8062" TargetMode="External"/><Relationship Id="rId22" Type="http://schemas.openxmlformats.org/officeDocument/2006/relationships/hyperlink" Target="https://youtu.be/ifLxv1chKUk" TargetMode="External"/><Relationship Id="rId21" Type="http://schemas.openxmlformats.org/officeDocument/2006/relationships/hyperlink" Target="https://youtu.be/8qcpFA0ix10" TargetMode="External"/><Relationship Id="rId24" Type="http://schemas.openxmlformats.org/officeDocument/2006/relationships/hyperlink" Target="https://youtu.be/8qcpFA0ix10?t=1803" TargetMode="External"/><Relationship Id="rId23" Type="http://schemas.openxmlformats.org/officeDocument/2006/relationships/hyperlink" Target="https://youtu.be/8qcpFA0ix10?t=907" TargetMode="External"/><Relationship Id="rId26" Type="http://schemas.openxmlformats.org/officeDocument/2006/relationships/hyperlink" Target="https://youtu.be/8qcpFA0ix10?t=3535" TargetMode="External"/><Relationship Id="rId25" Type="http://schemas.openxmlformats.org/officeDocument/2006/relationships/hyperlink" Target="https://youtu.be/8qcpFA0ix10?t=2696" TargetMode="External"/><Relationship Id="rId28" Type="http://schemas.openxmlformats.org/officeDocument/2006/relationships/hyperlink" Target="https://youtu.be/8qcpFA0ix10?t=5427" TargetMode="External"/><Relationship Id="rId27" Type="http://schemas.openxmlformats.org/officeDocument/2006/relationships/hyperlink" Target="https://youtu.be/8qcpFA0ix10?t=4438" TargetMode="External"/><Relationship Id="rId29" Type="http://schemas.openxmlformats.org/officeDocument/2006/relationships/hyperlink" Target="https://youtu.be/8qcpFA0ix10?t=6385" TargetMode="External"/><Relationship Id="rId11" Type="http://schemas.openxmlformats.org/officeDocument/2006/relationships/hyperlink" Target="https://youtu.be/F4v_5sqkbwQ?t=4444" TargetMode="External"/><Relationship Id="rId10" Type="http://schemas.openxmlformats.org/officeDocument/2006/relationships/hyperlink" Target="https://youtu.be/1VyzxRnA-Ow?t=3621" TargetMode="External"/><Relationship Id="rId13" Type="http://schemas.openxmlformats.org/officeDocument/2006/relationships/hyperlink" Target="https://youtu.be/F4v_5sqkbwQ?t=5390" TargetMode="External"/><Relationship Id="rId12" Type="http://schemas.openxmlformats.org/officeDocument/2006/relationships/hyperlink" Target="https://youtu.be/1VyzxRnA-Ow?t=4521" TargetMode="External"/><Relationship Id="rId15" Type="http://schemas.openxmlformats.org/officeDocument/2006/relationships/hyperlink" Target="https://youtu.be/F4v_5sqkbwQ?t=6248" TargetMode="External"/><Relationship Id="rId198" Type="http://schemas.openxmlformats.org/officeDocument/2006/relationships/hyperlink" Target="https://youtu.be/NxhKYdtsgqg?t=5878" TargetMode="External"/><Relationship Id="rId14" Type="http://schemas.openxmlformats.org/officeDocument/2006/relationships/hyperlink" Target="https://youtu.be/1VyzxRnA-Ow?t=5421" TargetMode="External"/><Relationship Id="rId197" Type="http://schemas.openxmlformats.org/officeDocument/2006/relationships/hyperlink" Target="https://youtu.be/jJMmeUbWOoI?t=6143" TargetMode="External"/><Relationship Id="rId17" Type="http://schemas.openxmlformats.org/officeDocument/2006/relationships/hyperlink" Target="https://youtu.be/F4v_5sqkbwQ?t=7080" TargetMode="External"/><Relationship Id="rId196" Type="http://schemas.openxmlformats.org/officeDocument/2006/relationships/hyperlink" Target="https://youtu.be/NxhKYdtsgqg?t=5034" TargetMode="External"/><Relationship Id="rId16" Type="http://schemas.openxmlformats.org/officeDocument/2006/relationships/hyperlink" Target="https://youtu.be/1VyzxRnA-Ow?t=6260" TargetMode="External"/><Relationship Id="rId195" Type="http://schemas.openxmlformats.org/officeDocument/2006/relationships/hyperlink" Target="https://youtu.be/jJMmeUbWOoI?t=5290" TargetMode="External"/><Relationship Id="rId19" Type="http://schemas.openxmlformats.org/officeDocument/2006/relationships/hyperlink" Target="https://youtu.be/F4v_5sqkbwQ?t=7974" TargetMode="External"/><Relationship Id="rId18" Type="http://schemas.openxmlformats.org/officeDocument/2006/relationships/hyperlink" Target="https://youtu.be/1VyzxRnA-Ow?t=7161" TargetMode="External"/><Relationship Id="rId199" Type="http://schemas.openxmlformats.org/officeDocument/2006/relationships/hyperlink" Target="https://youtu.be/jJMmeUbWOoI?t=7031" TargetMode="External"/><Relationship Id="rId84" Type="http://schemas.openxmlformats.org/officeDocument/2006/relationships/hyperlink" Target="https://youtu.be/5DXv1nzcrc8" TargetMode="External"/><Relationship Id="rId83" Type="http://schemas.openxmlformats.org/officeDocument/2006/relationships/hyperlink" Target="https://youtu.be/TdOqOTdl8vk" TargetMode="External"/><Relationship Id="rId86" Type="http://schemas.openxmlformats.org/officeDocument/2006/relationships/hyperlink" Target="https://youtu.be/5DXv1nzcrc8?t=856" TargetMode="External"/><Relationship Id="rId85" Type="http://schemas.openxmlformats.org/officeDocument/2006/relationships/hyperlink" Target="https://youtu.be/TdOqOTdl8vk?t=1421" TargetMode="External"/><Relationship Id="rId88" Type="http://schemas.openxmlformats.org/officeDocument/2006/relationships/hyperlink" Target="https://youtu.be/5DXv1nzcrc8?t=1654" TargetMode="External"/><Relationship Id="rId150" Type="http://schemas.openxmlformats.org/officeDocument/2006/relationships/hyperlink" Target="https://youtu.be/zYJ2CNb6Tyg?t=2621" TargetMode="External"/><Relationship Id="rId271" Type="http://schemas.openxmlformats.org/officeDocument/2006/relationships/hyperlink" Target="https://youtu.be/33ES84YfX6Y?t=3794" TargetMode="External"/><Relationship Id="rId87" Type="http://schemas.openxmlformats.org/officeDocument/2006/relationships/hyperlink" Target="https://youtu.be/TdOqOTdl8vk?t=2243" TargetMode="External"/><Relationship Id="rId270" Type="http://schemas.openxmlformats.org/officeDocument/2006/relationships/hyperlink" Target="https://youtu.be/NtXYcHUVnDQ?t=2646" TargetMode="External"/><Relationship Id="rId89" Type="http://schemas.openxmlformats.org/officeDocument/2006/relationships/hyperlink" Target="https://youtu.be/TdOqOTdl8vk?t=3077" TargetMode="External"/><Relationship Id="rId80" Type="http://schemas.openxmlformats.org/officeDocument/2006/relationships/hyperlink" Target="https://youtu.be/jW0HbCWCwng?t=7034" TargetMode="External"/><Relationship Id="rId82" Type="http://schemas.openxmlformats.org/officeDocument/2006/relationships/hyperlink" Target="https://youtu.be/jW0HbCWCwng?t=7922" TargetMode="External"/><Relationship Id="rId81" Type="http://schemas.openxmlformats.org/officeDocument/2006/relationships/hyperlink" Target="https://youtu.be/-x0R8zIrJd0?t=7982" TargetMode="External"/><Relationship Id="rId1" Type="http://schemas.openxmlformats.org/officeDocument/2006/relationships/hyperlink" Target="https://youtu.be/F4v_5sqkbwQ" TargetMode="External"/><Relationship Id="rId2" Type="http://schemas.openxmlformats.org/officeDocument/2006/relationships/hyperlink" Target="https://youtu.be/1VyzxRnA-Ow" TargetMode="External"/><Relationship Id="rId3" Type="http://schemas.openxmlformats.org/officeDocument/2006/relationships/hyperlink" Target="https://youtu.be/F4v_5sqkbwQ?t=926" TargetMode="External"/><Relationship Id="rId149" Type="http://schemas.openxmlformats.org/officeDocument/2006/relationships/hyperlink" Target="https://youtu.be/mGDAN_q34kM?t=2814" TargetMode="External"/><Relationship Id="rId4" Type="http://schemas.openxmlformats.org/officeDocument/2006/relationships/hyperlink" Target="https://youtu.be/1VyzxRnA-Ow?t=980" TargetMode="External"/><Relationship Id="rId148" Type="http://schemas.openxmlformats.org/officeDocument/2006/relationships/hyperlink" Target="https://youtu.be/zYJ2CNb6Tyg?t=1748" TargetMode="External"/><Relationship Id="rId269" Type="http://schemas.openxmlformats.org/officeDocument/2006/relationships/hyperlink" Target="https://youtu.be/33ES84YfX6Y?t=2939" TargetMode="External"/><Relationship Id="rId9" Type="http://schemas.openxmlformats.org/officeDocument/2006/relationships/hyperlink" Target="https://youtu.be/F4v_5sqkbwQ?t=3538" TargetMode="External"/><Relationship Id="rId143" Type="http://schemas.openxmlformats.org/officeDocument/2006/relationships/hyperlink" Target="https://youtu.be/mGDAN_q34kM" TargetMode="External"/><Relationship Id="rId264" Type="http://schemas.openxmlformats.org/officeDocument/2006/relationships/hyperlink" Target="https://youtu.be/NtXYcHUVnDQ" TargetMode="External"/><Relationship Id="rId142" Type="http://schemas.openxmlformats.org/officeDocument/2006/relationships/hyperlink" Target="https://youtu.be/6MhAJszlvqw?t=8128" TargetMode="External"/><Relationship Id="rId263" Type="http://schemas.openxmlformats.org/officeDocument/2006/relationships/hyperlink" Target="https://youtu.be/33ES84YfX6Y" TargetMode="External"/><Relationship Id="rId141" Type="http://schemas.openxmlformats.org/officeDocument/2006/relationships/hyperlink" Target="https://youtu.be/9Z-YFgN7zh4?t=8151" TargetMode="External"/><Relationship Id="rId262" Type="http://schemas.openxmlformats.org/officeDocument/2006/relationships/hyperlink" Target="https://youtu.be/10Pe_gi0YEY?t=8029" TargetMode="External"/><Relationship Id="rId140" Type="http://schemas.openxmlformats.org/officeDocument/2006/relationships/hyperlink" Target="https://youtu.be/6MhAJszlvqw?t=7221" TargetMode="External"/><Relationship Id="rId261" Type="http://schemas.openxmlformats.org/officeDocument/2006/relationships/hyperlink" Target="https://youtu.be/Ggsi6nRA160?t=7973" TargetMode="External"/><Relationship Id="rId5" Type="http://schemas.openxmlformats.org/officeDocument/2006/relationships/hyperlink" Target="https://youtu.be/F4v_5sqkbwQ?t=1839" TargetMode="External"/><Relationship Id="rId147" Type="http://schemas.openxmlformats.org/officeDocument/2006/relationships/hyperlink" Target="https://youtu.be/mGDAN_q34kM?t=1905" TargetMode="External"/><Relationship Id="rId268" Type="http://schemas.openxmlformats.org/officeDocument/2006/relationships/hyperlink" Target="https://youtu.be/NtXYcHUVnDQ?t=1744" TargetMode="External"/><Relationship Id="rId6" Type="http://schemas.openxmlformats.org/officeDocument/2006/relationships/hyperlink" Target="https://youtu.be/1VyzxRnA-Ow?t=1881" TargetMode="External"/><Relationship Id="rId146" Type="http://schemas.openxmlformats.org/officeDocument/2006/relationships/hyperlink" Target="https://youtu.be/zYJ2CNb6Tyg?t=841" TargetMode="External"/><Relationship Id="rId267" Type="http://schemas.openxmlformats.org/officeDocument/2006/relationships/hyperlink" Target="https://youtu.be/33ES84YfX6Y?t=2096" TargetMode="External"/><Relationship Id="rId7" Type="http://schemas.openxmlformats.org/officeDocument/2006/relationships/hyperlink" Target="https://youtu.be/F4v_5sqkbwQ?t=2731" TargetMode="External"/><Relationship Id="rId145" Type="http://schemas.openxmlformats.org/officeDocument/2006/relationships/hyperlink" Target="https://youtu.be/mGDAN_q34kM?t=1000" TargetMode="External"/><Relationship Id="rId266" Type="http://schemas.openxmlformats.org/officeDocument/2006/relationships/hyperlink" Target="https://youtu.be/NtXYcHUVnDQ?t=874" TargetMode="External"/><Relationship Id="rId8" Type="http://schemas.openxmlformats.org/officeDocument/2006/relationships/hyperlink" Target="https://youtu.be/1VyzxRnA-Ow?t=2780" TargetMode="External"/><Relationship Id="rId144" Type="http://schemas.openxmlformats.org/officeDocument/2006/relationships/hyperlink" Target="https://youtu.be/zYJ2CNb6Tyg" TargetMode="External"/><Relationship Id="rId265" Type="http://schemas.openxmlformats.org/officeDocument/2006/relationships/hyperlink" Target="https://youtu.be/33ES84YfX6Y?t=1219" TargetMode="External"/><Relationship Id="rId73" Type="http://schemas.openxmlformats.org/officeDocument/2006/relationships/hyperlink" Target="https://youtu.be/-x0R8zIrJd0?t=4511" TargetMode="External"/><Relationship Id="rId72" Type="http://schemas.openxmlformats.org/officeDocument/2006/relationships/hyperlink" Target="https://youtu.be/jW0HbCWCwng?t=3561" TargetMode="External"/><Relationship Id="rId75" Type="http://schemas.openxmlformats.org/officeDocument/2006/relationships/hyperlink" Target="https://youtu.be/-x0R8zIrJd0?t=5373" TargetMode="External"/><Relationship Id="rId74" Type="http://schemas.openxmlformats.org/officeDocument/2006/relationships/hyperlink" Target="https://youtu.be/jW0HbCWCwng?t=4433" TargetMode="External"/><Relationship Id="rId77" Type="http://schemas.openxmlformats.org/officeDocument/2006/relationships/hyperlink" Target="https://youtu.be/-x0R8zIrJd0?t=6225" TargetMode="External"/><Relationship Id="rId260" Type="http://schemas.openxmlformats.org/officeDocument/2006/relationships/hyperlink" Target="https://youtu.be/10Pe_gi0YEY?t=7132" TargetMode="External"/><Relationship Id="rId76" Type="http://schemas.openxmlformats.org/officeDocument/2006/relationships/hyperlink" Target="https://youtu.be/jW0HbCWCwng?t=5268" TargetMode="External"/><Relationship Id="rId79" Type="http://schemas.openxmlformats.org/officeDocument/2006/relationships/hyperlink" Target="https://youtu.be/-x0R8zIrJd0?t=7075" TargetMode="External"/><Relationship Id="rId78" Type="http://schemas.openxmlformats.org/officeDocument/2006/relationships/hyperlink" Target="https://youtu.be/jW0HbCWCwng?t=6120" TargetMode="External"/><Relationship Id="rId71" Type="http://schemas.openxmlformats.org/officeDocument/2006/relationships/hyperlink" Target="https://youtu.be/-x0R8zIrJd0?t=3652" TargetMode="External"/><Relationship Id="rId70" Type="http://schemas.openxmlformats.org/officeDocument/2006/relationships/hyperlink" Target="https://youtu.be/jW0HbCWCwng?t=2683" TargetMode="External"/><Relationship Id="rId139" Type="http://schemas.openxmlformats.org/officeDocument/2006/relationships/hyperlink" Target="https://youtu.be/9Z-YFgN7zh4?t=7254" TargetMode="External"/><Relationship Id="rId138" Type="http://schemas.openxmlformats.org/officeDocument/2006/relationships/hyperlink" Target="https://youtu.be/6MhAJszlvqw?t=6297" TargetMode="External"/><Relationship Id="rId259" Type="http://schemas.openxmlformats.org/officeDocument/2006/relationships/hyperlink" Target="https://youtu.be/Ggsi6nRA160?t=7071" TargetMode="External"/><Relationship Id="rId137" Type="http://schemas.openxmlformats.org/officeDocument/2006/relationships/hyperlink" Target="https://youtu.be/9Z-YFgN7zh4?t=6372" TargetMode="External"/><Relationship Id="rId258" Type="http://schemas.openxmlformats.org/officeDocument/2006/relationships/hyperlink" Target="https://youtu.be/10Pe_gi0YEY?t=6232" TargetMode="External"/><Relationship Id="rId132" Type="http://schemas.openxmlformats.org/officeDocument/2006/relationships/hyperlink" Target="https://youtu.be/6MhAJszlvqw?t=3648" TargetMode="External"/><Relationship Id="rId253" Type="http://schemas.openxmlformats.org/officeDocument/2006/relationships/hyperlink" Target="https://youtu.be/Ggsi6nRA160?t=4431" TargetMode="External"/><Relationship Id="rId131" Type="http://schemas.openxmlformats.org/officeDocument/2006/relationships/hyperlink" Target="https://youtu.be/9Z-YFgN7zh4?t=3726" TargetMode="External"/><Relationship Id="rId252" Type="http://schemas.openxmlformats.org/officeDocument/2006/relationships/hyperlink" Target="https://youtu.be/10Pe_gi0YEY?t=3628" TargetMode="External"/><Relationship Id="rId130" Type="http://schemas.openxmlformats.org/officeDocument/2006/relationships/hyperlink" Target="https://youtu.be/6MhAJszlvqw?t=2842" TargetMode="External"/><Relationship Id="rId251" Type="http://schemas.openxmlformats.org/officeDocument/2006/relationships/hyperlink" Target="https://youtu.be/Ggsi6nRA160?t=3538" TargetMode="External"/><Relationship Id="rId250" Type="http://schemas.openxmlformats.org/officeDocument/2006/relationships/hyperlink" Target="https://youtu.be/10Pe_gi0YEY?t=2772" TargetMode="External"/><Relationship Id="rId136" Type="http://schemas.openxmlformats.org/officeDocument/2006/relationships/hyperlink" Target="https://youtu.be/6MhAJszlvqw?t=5442" TargetMode="External"/><Relationship Id="rId257" Type="http://schemas.openxmlformats.org/officeDocument/2006/relationships/hyperlink" Target="https://youtu.be/Ggsi6nRA160?t=6235" TargetMode="External"/><Relationship Id="rId135" Type="http://schemas.openxmlformats.org/officeDocument/2006/relationships/hyperlink" Target="https://youtu.be/9Z-YFgN7zh4?t=5511" TargetMode="External"/><Relationship Id="rId256" Type="http://schemas.openxmlformats.org/officeDocument/2006/relationships/hyperlink" Target="https://youtu.be/10Pe_gi0YEY?t=5392" TargetMode="External"/><Relationship Id="rId134" Type="http://schemas.openxmlformats.org/officeDocument/2006/relationships/hyperlink" Target="https://youtu.be/6MhAJszlvqw?t=4582" TargetMode="External"/><Relationship Id="rId255" Type="http://schemas.openxmlformats.org/officeDocument/2006/relationships/hyperlink" Target="https://youtu.be/Ggsi6nRA160?t=5331" TargetMode="External"/><Relationship Id="rId133" Type="http://schemas.openxmlformats.org/officeDocument/2006/relationships/hyperlink" Target="https://youtu.be/9Z-YFgN7zh4?t=4671" TargetMode="External"/><Relationship Id="rId254" Type="http://schemas.openxmlformats.org/officeDocument/2006/relationships/hyperlink" Target="https://youtu.be/10Pe_gi0YEY?t=4491" TargetMode="External"/><Relationship Id="rId62" Type="http://schemas.openxmlformats.org/officeDocument/2006/relationships/hyperlink" Target="https://youtu.be/6NIaxMRDJVw?t=7872" TargetMode="External"/><Relationship Id="rId61" Type="http://schemas.openxmlformats.org/officeDocument/2006/relationships/hyperlink" Target="https://youtu.be/6NIaxMRDJVw?t=6970" TargetMode="External"/><Relationship Id="rId64" Type="http://schemas.openxmlformats.org/officeDocument/2006/relationships/hyperlink" Target="https://youtu.be/jW0HbCWCwng" TargetMode="External"/><Relationship Id="rId63" Type="http://schemas.openxmlformats.org/officeDocument/2006/relationships/hyperlink" Target="https://youtu.be/-x0R8zIrJd0" TargetMode="External"/><Relationship Id="rId66" Type="http://schemas.openxmlformats.org/officeDocument/2006/relationships/hyperlink" Target="https://youtu.be/jW0HbCWCwng?t=902" TargetMode="External"/><Relationship Id="rId172" Type="http://schemas.openxmlformats.org/officeDocument/2006/relationships/hyperlink" Target="https://youtu.be/8Zi9c4Mxack?t=3804" TargetMode="External"/><Relationship Id="rId293" Type="http://schemas.openxmlformats.org/officeDocument/2006/relationships/hyperlink" Target="https://youtu.be/zX3ot4fc8y4?t=4465" TargetMode="External"/><Relationship Id="rId65" Type="http://schemas.openxmlformats.org/officeDocument/2006/relationships/hyperlink" Target="https://youtu.be/-x0R8zIrJd0?t=1087" TargetMode="External"/><Relationship Id="rId171" Type="http://schemas.openxmlformats.org/officeDocument/2006/relationships/hyperlink" Target="https://youtu.be/aK5BnluUZ3w?t=3706" TargetMode="External"/><Relationship Id="rId292" Type="http://schemas.openxmlformats.org/officeDocument/2006/relationships/hyperlink" Target="https://youtu.be/8ipZ_CpWWD8?t=3619" TargetMode="External"/><Relationship Id="rId68" Type="http://schemas.openxmlformats.org/officeDocument/2006/relationships/hyperlink" Target="https://youtu.be/jW0HbCWCwng?t=1834" TargetMode="External"/><Relationship Id="rId170" Type="http://schemas.openxmlformats.org/officeDocument/2006/relationships/hyperlink" Target="https://youtu.be/8Zi9c4Mxack?t=2921" TargetMode="External"/><Relationship Id="rId291" Type="http://schemas.openxmlformats.org/officeDocument/2006/relationships/hyperlink" Target="https://youtu.be/zX3ot4fc8y4?t=3591" TargetMode="External"/><Relationship Id="rId67" Type="http://schemas.openxmlformats.org/officeDocument/2006/relationships/hyperlink" Target="https://youtu.be/-x0R8zIrJd0?t=1987" TargetMode="External"/><Relationship Id="rId290" Type="http://schemas.openxmlformats.org/officeDocument/2006/relationships/hyperlink" Target="https://youtu.be/8ipZ_CpWWD8?t=2778" TargetMode="External"/><Relationship Id="rId60" Type="http://schemas.openxmlformats.org/officeDocument/2006/relationships/hyperlink" Target="https://youtu.be/6NIaxMRDJVw?t=6065" TargetMode="External"/><Relationship Id="rId165" Type="http://schemas.openxmlformats.org/officeDocument/2006/relationships/hyperlink" Target="https://youtu.be/aK5BnluUZ3w?t=1042" TargetMode="External"/><Relationship Id="rId286" Type="http://schemas.openxmlformats.org/officeDocument/2006/relationships/hyperlink" Target="https://youtu.be/8ipZ_CpWWD8?t=984" TargetMode="External"/><Relationship Id="rId69" Type="http://schemas.openxmlformats.org/officeDocument/2006/relationships/hyperlink" Target="https://youtu.be/-x0R8zIrJd0?t=2761" TargetMode="External"/><Relationship Id="rId164" Type="http://schemas.openxmlformats.org/officeDocument/2006/relationships/hyperlink" Target="https://youtu.be/8Zi9c4Mxack" TargetMode="External"/><Relationship Id="rId285" Type="http://schemas.openxmlformats.org/officeDocument/2006/relationships/hyperlink" Target="https://youtu.be/zX3ot4fc8y4?t=921" TargetMode="External"/><Relationship Id="rId163" Type="http://schemas.openxmlformats.org/officeDocument/2006/relationships/hyperlink" Target="https://youtu.be/aK5BnluUZ3w" TargetMode="External"/><Relationship Id="rId284" Type="http://schemas.openxmlformats.org/officeDocument/2006/relationships/hyperlink" Target="https://youtu.be/8ipZ_CpWWD8" TargetMode="External"/><Relationship Id="rId162" Type="http://schemas.openxmlformats.org/officeDocument/2006/relationships/hyperlink" Target="https://youtu.be/zYJ2CNb6Tyg?t=7880" TargetMode="External"/><Relationship Id="rId283" Type="http://schemas.openxmlformats.org/officeDocument/2006/relationships/hyperlink" Target="https://youtu.be/zX3ot4fc8y4" TargetMode="External"/><Relationship Id="rId169" Type="http://schemas.openxmlformats.org/officeDocument/2006/relationships/hyperlink" Target="https://youtu.be/aK5BnluUZ3w?t=2859" TargetMode="External"/><Relationship Id="rId168" Type="http://schemas.openxmlformats.org/officeDocument/2006/relationships/hyperlink" Target="https://youtu.be/8Zi9c4Mxack?t=1969" TargetMode="External"/><Relationship Id="rId289" Type="http://schemas.openxmlformats.org/officeDocument/2006/relationships/hyperlink" Target="https://youtu.be/zX3ot4fc8y4?t=2722" TargetMode="External"/><Relationship Id="rId167" Type="http://schemas.openxmlformats.org/officeDocument/2006/relationships/hyperlink" Target="https://youtu.be/aK5BnluUZ3w?t=1951" TargetMode="External"/><Relationship Id="rId288" Type="http://schemas.openxmlformats.org/officeDocument/2006/relationships/hyperlink" Target="https://youtu.be/8ipZ_CpWWD8?t=1879" TargetMode="External"/><Relationship Id="rId166" Type="http://schemas.openxmlformats.org/officeDocument/2006/relationships/hyperlink" Target="https://youtu.be/8Zi9c4Mxack?t=1070" TargetMode="External"/><Relationship Id="rId287" Type="http://schemas.openxmlformats.org/officeDocument/2006/relationships/hyperlink" Target="https://youtu.be/zX3ot4fc8y4?t=1830" TargetMode="External"/><Relationship Id="rId51" Type="http://schemas.openxmlformats.org/officeDocument/2006/relationships/hyperlink" Target="https://youtu.be/n-LFAiKIReA?t=8061" TargetMode="External"/><Relationship Id="rId50" Type="http://schemas.openxmlformats.org/officeDocument/2006/relationships/hyperlink" Target="https://youtu.be/zWYKsdrTiiA?t=7990" TargetMode="External"/><Relationship Id="rId53" Type="http://schemas.openxmlformats.org/officeDocument/2006/relationships/hyperlink" Target="https://youtu.be/LiuNwfk8PRM" TargetMode="External"/><Relationship Id="rId52" Type="http://schemas.openxmlformats.org/officeDocument/2006/relationships/hyperlink" Target="https://youtu.be/6NIaxMRDJVw" TargetMode="External"/><Relationship Id="rId55" Type="http://schemas.openxmlformats.org/officeDocument/2006/relationships/hyperlink" Target="https://youtu.be/6NIaxMRDJVw?t=1714" TargetMode="External"/><Relationship Id="rId161" Type="http://schemas.openxmlformats.org/officeDocument/2006/relationships/hyperlink" Target="https://youtu.be/mGDAN_q34kM?t=8022" TargetMode="External"/><Relationship Id="rId282" Type="http://schemas.openxmlformats.org/officeDocument/2006/relationships/hyperlink" Target="https://youtu.be/NtXYcHUVnDQ?t=7929" TargetMode="External"/><Relationship Id="rId54" Type="http://schemas.openxmlformats.org/officeDocument/2006/relationships/hyperlink" Target="https://youtu.be/6NIaxMRDJVw?t=905" TargetMode="External"/><Relationship Id="rId160" Type="http://schemas.openxmlformats.org/officeDocument/2006/relationships/hyperlink" Target="https://youtu.be/zYJ2CNb6Tyg?t=7031" TargetMode="External"/><Relationship Id="rId281" Type="http://schemas.openxmlformats.org/officeDocument/2006/relationships/hyperlink" Target="https://youtu.be/33ES84YfX6Y?t=8171" TargetMode="External"/><Relationship Id="rId57" Type="http://schemas.openxmlformats.org/officeDocument/2006/relationships/hyperlink" Target="https://youtu.be/6NIaxMRDJVw?t=3426" TargetMode="External"/><Relationship Id="rId280" Type="http://schemas.openxmlformats.org/officeDocument/2006/relationships/hyperlink" Target="https://youtu.be/NtXYcHUVnDQ?t=7027" TargetMode="External"/><Relationship Id="rId56" Type="http://schemas.openxmlformats.org/officeDocument/2006/relationships/hyperlink" Target="https://youtu.be/6NIaxMRDJVw?t=2588" TargetMode="External"/><Relationship Id="rId159" Type="http://schemas.openxmlformats.org/officeDocument/2006/relationships/hyperlink" Target="https://youtu.be/mGDAN_q34kM?t=7180" TargetMode="External"/><Relationship Id="rId59" Type="http://schemas.openxmlformats.org/officeDocument/2006/relationships/hyperlink" Target="https://youtu.be/6NIaxMRDJVw?t=5224" TargetMode="External"/><Relationship Id="rId154" Type="http://schemas.openxmlformats.org/officeDocument/2006/relationships/hyperlink" Target="https://youtu.be/zYJ2CNb6Tyg?t=4384" TargetMode="External"/><Relationship Id="rId275" Type="http://schemas.openxmlformats.org/officeDocument/2006/relationships/hyperlink" Target="https://youtu.be/33ES84YfX6Y?t=5565" TargetMode="External"/><Relationship Id="rId58" Type="http://schemas.openxmlformats.org/officeDocument/2006/relationships/hyperlink" Target="https://youtu.be/6NIaxMRDJVw?t=4327" TargetMode="External"/><Relationship Id="rId153" Type="http://schemas.openxmlformats.org/officeDocument/2006/relationships/hyperlink" Target="https://youtu.be/mGDAN_q34kM?t=4574" TargetMode="External"/><Relationship Id="rId274" Type="http://schemas.openxmlformats.org/officeDocument/2006/relationships/hyperlink" Target="https://youtu.be/NtXYcHUVnDQ?t=4386" TargetMode="External"/><Relationship Id="rId152" Type="http://schemas.openxmlformats.org/officeDocument/2006/relationships/hyperlink" Target="https://youtu.be/zYJ2CNb6Tyg?t=3492" TargetMode="External"/><Relationship Id="rId273" Type="http://schemas.openxmlformats.org/officeDocument/2006/relationships/hyperlink" Target="https://youtu.be/33ES84YfX6Y?t=4667" TargetMode="External"/><Relationship Id="rId151" Type="http://schemas.openxmlformats.org/officeDocument/2006/relationships/hyperlink" Target="https://youtu.be/mGDAN_q34kM?t=3678" TargetMode="External"/><Relationship Id="rId272" Type="http://schemas.openxmlformats.org/officeDocument/2006/relationships/hyperlink" Target="https://youtu.be/NtXYcHUVnDQ?t=3546" TargetMode="External"/><Relationship Id="rId158" Type="http://schemas.openxmlformats.org/officeDocument/2006/relationships/hyperlink" Target="https://youtu.be/zYJ2CNb6Tyg?t=6182" TargetMode="External"/><Relationship Id="rId279" Type="http://schemas.openxmlformats.org/officeDocument/2006/relationships/hyperlink" Target="https://youtu.be/33ES84YfX6Y?t=7310" TargetMode="External"/><Relationship Id="rId157" Type="http://schemas.openxmlformats.org/officeDocument/2006/relationships/hyperlink" Target="https://youtu.be/mGDAN_q34kM?t=6342" TargetMode="External"/><Relationship Id="rId278" Type="http://schemas.openxmlformats.org/officeDocument/2006/relationships/hyperlink" Target="https://youtu.be/NtXYcHUVnDQ?t=6125" TargetMode="External"/><Relationship Id="rId156" Type="http://schemas.openxmlformats.org/officeDocument/2006/relationships/hyperlink" Target="https://youtu.be/zYJ2CNb6Tyg?t=5304" TargetMode="External"/><Relationship Id="rId277" Type="http://schemas.openxmlformats.org/officeDocument/2006/relationships/hyperlink" Target="https://youtu.be/33ES84YfX6Y?t=6420" TargetMode="External"/><Relationship Id="rId155" Type="http://schemas.openxmlformats.org/officeDocument/2006/relationships/hyperlink" Target="https://youtu.be/mGDAN_q34kM?t=5467" TargetMode="External"/><Relationship Id="rId276" Type="http://schemas.openxmlformats.org/officeDocument/2006/relationships/hyperlink" Target="https://youtu.be/NtXYcHUVnDQ?t=5285" TargetMode="External"/><Relationship Id="rId107" Type="http://schemas.openxmlformats.org/officeDocument/2006/relationships/hyperlink" Target="https://youtu.be/7j80sPO_OYE?t=1839" TargetMode="External"/><Relationship Id="rId228" Type="http://schemas.openxmlformats.org/officeDocument/2006/relationships/hyperlink" Target="https://youtu.be/dia0bBuhwAk?t=1753" TargetMode="External"/><Relationship Id="rId106" Type="http://schemas.openxmlformats.org/officeDocument/2006/relationships/hyperlink" Target="https://youtu.be/R5bMXiku9aY?t=810" TargetMode="External"/><Relationship Id="rId227" Type="http://schemas.openxmlformats.org/officeDocument/2006/relationships/hyperlink" Target="https://youtu.be/Q1MXWCnxabU?t=2055" TargetMode="External"/><Relationship Id="rId105" Type="http://schemas.openxmlformats.org/officeDocument/2006/relationships/hyperlink" Target="https://youtu.be/7j80sPO_OYE?t=986" TargetMode="External"/><Relationship Id="rId226" Type="http://schemas.openxmlformats.org/officeDocument/2006/relationships/hyperlink" Target="https://youtu.be/dia0bBuhwAk?t=900" TargetMode="External"/><Relationship Id="rId104" Type="http://schemas.openxmlformats.org/officeDocument/2006/relationships/hyperlink" Target="https://youtu.be/R5bMXiku9aY" TargetMode="External"/><Relationship Id="rId225" Type="http://schemas.openxmlformats.org/officeDocument/2006/relationships/hyperlink" Target="https://youtu.be/Q1MXWCnxabU?t=1140" TargetMode="External"/><Relationship Id="rId109" Type="http://schemas.openxmlformats.org/officeDocument/2006/relationships/hyperlink" Target="https://youtu.be/7j80sPO_OYE?t=2734" TargetMode="External"/><Relationship Id="rId108" Type="http://schemas.openxmlformats.org/officeDocument/2006/relationships/hyperlink" Target="https://youtu.be/R5bMXiku9aY?t=1716" TargetMode="External"/><Relationship Id="rId229" Type="http://schemas.openxmlformats.org/officeDocument/2006/relationships/hyperlink" Target="https://youtu.be/Q1MXWCnxabU?t=3024" TargetMode="External"/><Relationship Id="rId220" Type="http://schemas.openxmlformats.org/officeDocument/2006/relationships/hyperlink" Target="https://youtu.be/lFky5t__oh4?t=7133" TargetMode="External"/><Relationship Id="rId341" Type="http://schemas.openxmlformats.org/officeDocument/2006/relationships/hyperlink" Target="https://youtu.be/gZWOMLnq-wY?t=7997" TargetMode="External"/><Relationship Id="rId340" Type="http://schemas.openxmlformats.org/officeDocument/2006/relationships/hyperlink" Target="https://youtu.be/PyAyrMFdgpI?t=7149" TargetMode="External"/><Relationship Id="rId103" Type="http://schemas.openxmlformats.org/officeDocument/2006/relationships/hyperlink" Target="https://youtu.be/7j80sPO_OYE" TargetMode="External"/><Relationship Id="rId224" Type="http://schemas.openxmlformats.org/officeDocument/2006/relationships/hyperlink" Target="https://youtu.be/dia0bBuhwAk" TargetMode="External"/><Relationship Id="rId102" Type="http://schemas.openxmlformats.org/officeDocument/2006/relationships/hyperlink" Target="https://youtu.be/5DXv1nzcrc8?t=7672" TargetMode="External"/><Relationship Id="rId223" Type="http://schemas.openxmlformats.org/officeDocument/2006/relationships/hyperlink" Target="https://youtu.be/Q1MXWCnxabU" TargetMode="External"/><Relationship Id="rId101" Type="http://schemas.openxmlformats.org/officeDocument/2006/relationships/hyperlink" Target="https://youtu.be/TdOqOTdl8vk?t=7846" TargetMode="External"/><Relationship Id="rId222" Type="http://schemas.openxmlformats.org/officeDocument/2006/relationships/hyperlink" Target="https://youtu.be/lFky5t__oh4?t=8034" TargetMode="External"/><Relationship Id="rId343" Type="http://schemas.openxmlformats.org/officeDocument/2006/relationships/drawing" Target="../drawings/drawing5.xml"/><Relationship Id="rId100" Type="http://schemas.openxmlformats.org/officeDocument/2006/relationships/hyperlink" Target="https://youtu.be/5DXv1nzcrc8?t=6773" TargetMode="External"/><Relationship Id="rId221" Type="http://schemas.openxmlformats.org/officeDocument/2006/relationships/hyperlink" Target="https://youtu.be/FctAQWIDOoo?t=8016" TargetMode="External"/><Relationship Id="rId342" Type="http://schemas.openxmlformats.org/officeDocument/2006/relationships/hyperlink" Target="https://youtu.be/PyAyrMFdgpI?t=8048" TargetMode="External"/><Relationship Id="rId217" Type="http://schemas.openxmlformats.org/officeDocument/2006/relationships/hyperlink" Target="https://youtu.be/FctAQWIDOoo?t=6215" TargetMode="External"/><Relationship Id="rId338" Type="http://schemas.openxmlformats.org/officeDocument/2006/relationships/hyperlink" Target="https://youtu.be/PyAyrMFdgpI?t=6249" TargetMode="External"/><Relationship Id="rId216" Type="http://schemas.openxmlformats.org/officeDocument/2006/relationships/hyperlink" Target="https://youtu.be/lFky5t__oh4?t=5394" TargetMode="External"/><Relationship Id="rId337" Type="http://schemas.openxmlformats.org/officeDocument/2006/relationships/hyperlink" Target="https://youtu.be/gZWOMLnq-wY?t=6197" TargetMode="External"/><Relationship Id="rId215" Type="http://schemas.openxmlformats.org/officeDocument/2006/relationships/hyperlink" Target="https://youtu.be/FctAQWIDOoo?t=5375" TargetMode="External"/><Relationship Id="rId336" Type="http://schemas.openxmlformats.org/officeDocument/2006/relationships/hyperlink" Target="https://youtu.be/PyAyrMFdgpI?t=5408" TargetMode="External"/><Relationship Id="rId214" Type="http://schemas.openxmlformats.org/officeDocument/2006/relationships/hyperlink" Target="https://youtu.be/lFky5t__oh4?t=4493" TargetMode="External"/><Relationship Id="rId335" Type="http://schemas.openxmlformats.org/officeDocument/2006/relationships/hyperlink" Target="https://youtu.be/gZWOMLnq-wY?t=5355" TargetMode="External"/><Relationship Id="rId219" Type="http://schemas.openxmlformats.org/officeDocument/2006/relationships/hyperlink" Target="https://youtu.be/FctAQWIDOoo?t=7116" TargetMode="External"/><Relationship Id="rId218" Type="http://schemas.openxmlformats.org/officeDocument/2006/relationships/hyperlink" Target="https://youtu.be/lFky5t__oh4?t=6234" TargetMode="External"/><Relationship Id="rId339" Type="http://schemas.openxmlformats.org/officeDocument/2006/relationships/hyperlink" Target="https://youtu.be/gZWOMLnq-wY?t=7097" TargetMode="External"/><Relationship Id="rId330" Type="http://schemas.openxmlformats.org/officeDocument/2006/relationships/hyperlink" Target="https://youtu.be/PyAyrMFdgpI?t=2769" TargetMode="External"/><Relationship Id="rId213" Type="http://schemas.openxmlformats.org/officeDocument/2006/relationships/hyperlink" Target="https://youtu.be/FctAQWIDOoo?t=4477" TargetMode="External"/><Relationship Id="rId334" Type="http://schemas.openxmlformats.org/officeDocument/2006/relationships/hyperlink" Target="https://youtu.be/PyAyrMFdgpI?t=4509" TargetMode="External"/><Relationship Id="rId212" Type="http://schemas.openxmlformats.org/officeDocument/2006/relationships/hyperlink" Target="https://youtu.be/lFky5t__oh4?t=3594" TargetMode="External"/><Relationship Id="rId333" Type="http://schemas.openxmlformats.org/officeDocument/2006/relationships/hyperlink" Target="https://youtu.be/gZWOMLnq-wY?t=4464" TargetMode="External"/><Relationship Id="rId211" Type="http://schemas.openxmlformats.org/officeDocument/2006/relationships/hyperlink" Target="https://youtu.be/FctAQWIDOoo?t=3579" TargetMode="External"/><Relationship Id="rId332" Type="http://schemas.openxmlformats.org/officeDocument/2006/relationships/hyperlink" Target="https://youtu.be/PyAyrMFdgpI?t=3608" TargetMode="External"/><Relationship Id="rId210" Type="http://schemas.openxmlformats.org/officeDocument/2006/relationships/hyperlink" Target="https://youtu.be/lFky5t__oh4?t=2754" TargetMode="External"/><Relationship Id="rId331" Type="http://schemas.openxmlformats.org/officeDocument/2006/relationships/hyperlink" Target="https://youtu.be/gZWOMLnq-wY?t=3557" TargetMode="External"/><Relationship Id="rId129" Type="http://schemas.openxmlformats.org/officeDocument/2006/relationships/hyperlink" Target="https://youtu.be/9Z-YFgN7zh4?t=2904" TargetMode="External"/><Relationship Id="rId128" Type="http://schemas.openxmlformats.org/officeDocument/2006/relationships/hyperlink" Target="https://youtu.be/6MhAJszlvqw?t=1905" TargetMode="External"/><Relationship Id="rId249" Type="http://schemas.openxmlformats.org/officeDocument/2006/relationships/hyperlink" Target="https://youtu.be/Ggsi6nRA160?t=2693" TargetMode="External"/><Relationship Id="rId127" Type="http://schemas.openxmlformats.org/officeDocument/2006/relationships/hyperlink" Target="https://youtu.be/9Z-YFgN7zh4?t=2001" TargetMode="External"/><Relationship Id="rId248" Type="http://schemas.openxmlformats.org/officeDocument/2006/relationships/hyperlink" Target="https://youtu.be/10Pe_gi0YEY?t=1852" TargetMode="External"/><Relationship Id="rId126" Type="http://schemas.openxmlformats.org/officeDocument/2006/relationships/hyperlink" Target="https://youtu.be/6MhAJszlvqw?t=1077" TargetMode="External"/><Relationship Id="rId247" Type="http://schemas.openxmlformats.org/officeDocument/2006/relationships/hyperlink" Target="https://youtu.be/Ggsi6nRA160?t=1792" TargetMode="External"/><Relationship Id="rId121" Type="http://schemas.openxmlformats.org/officeDocument/2006/relationships/hyperlink" Target="https://youtu.be/7j80sPO_OYE?t=8013" TargetMode="External"/><Relationship Id="rId242" Type="http://schemas.openxmlformats.org/officeDocument/2006/relationships/hyperlink" Target="https://youtu.be/dia0bBuhwAk?t=7935" TargetMode="External"/><Relationship Id="rId120" Type="http://schemas.openxmlformats.org/officeDocument/2006/relationships/hyperlink" Target="https://youtu.be/R5bMXiku9aY?t=7005" TargetMode="External"/><Relationship Id="rId241" Type="http://schemas.openxmlformats.org/officeDocument/2006/relationships/hyperlink" Target="https://youtu.be/Q1MXWCnxabU?t=8206" TargetMode="External"/><Relationship Id="rId240" Type="http://schemas.openxmlformats.org/officeDocument/2006/relationships/hyperlink" Target="https://youtu.be/dia0bBuhwAk?t=7060" TargetMode="External"/><Relationship Id="rId125" Type="http://schemas.openxmlformats.org/officeDocument/2006/relationships/hyperlink" Target="https://youtu.be/9Z-YFgN7zh4?t=1148" TargetMode="External"/><Relationship Id="rId246" Type="http://schemas.openxmlformats.org/officeDocument/2006/relationships/hyperlink" Target="https://youtu.be/10Pe_gi0YEY?t=961" TargetMode="External"/><Relationship Id="rId124" Type="http://schemas.openxmlformats.org/officeDocument/2006/relationships/hyperlink" Target="https://youtu.be/6MhAJszlvqw" TargetMode="External"/><Relationship Id="rId245" Type="http://schemas.openxmlformats.org/officeDocument/2006/relationships/hyperlink" Target="https://youtu.be/Ggsi6nRA160?t=957" TargetMode="External"/><Relationship Id="rId123" Type="http://schemas.openxmlformats.org/officeDocument/2006/relationships/hyperlink" Target="https://youtu.be/9Z-YFgN7zh4?t=239" TargetMode="External"/><Relationship Id="rId244" Type="http://schemas.openxmlformats.org/officeDocument/2006/relationships/hyperlink" Target="https://youtu.be/10Pe_gi0YEY" TargetMode="External"/><Relationship Id="rId122" Type="http://schemas.openxmlformats.org/officeDocument/2006/relationships/hyperlink" Target="https://youtu.be/R5bMXiku9aY?t=7893" TargetMode="External"/><Relationship Id="rId243" Type="http://schemas.openxmlformats.org/officeDocument/2006/relationships/hyperlink" Target="https://youtu.be/Ggsi6nRA160" TargetMode="External"/><Relationship Id="rId95" Type="http://schemas.openxmlformats.org/officeDocument/2006/relationships/hyperlink" Target="https://youtu.be/TdOqOTdl8vk?t=5469" TargetMode="External"/><Relationship Id="rId94" Type="http://schemas.openxmlformats.org/officeDocument/2006/relationships/hyperlink" Target="https://youtu.be/5DXv1nzcrc8?t=4422" TargetMode="External"/><Relationship Id="rId97" Type="http://schemas.openxmlformats.org/officeDocument/2006/relationships/hyperlink" Target="https://youtu.be/TdOqOTdl8vk?t=6271" TargetMode="External"/><Relationship Id="rId96" Type="http://schemas.openxmlformats.org/officeDocument/2006/relationships/hyperlink" Target="https://youtu.be/5DXv1nzcrc8?t=5197" TargetMode="External"/><Relationship Id="rId99" Type="http://schemas.openxmlformats.org/officeDocument/2006/relationships/hyperlink" Target="https://youtu.be/TdOqOTdl8vk?t=7053" TargetMode="External"/><Relationship Id="rId98" Type="http://schemas.openxmlformats.org/officeDocument/2006/relationships/hyperlink" Target="https://youtu.be/5DXv1nzcrc8?t=6004" TargetMode="External"/><Relationship Id="rId91" Type="http://schemas.openxmlformats.org/officeDocument/2006/relationships/hyperlink" Target="https://youtu.be/TdOqOTdl8vk?t=3859" TargetMode="External"/><Relationship Id="rId90" Type="http://schemas.openxmlformats.org/officeDocument/2006/relationships/hyperlink" Target="https://youtu.be/5DXv1nzcrc8?t=2853" TargetMode="External"/><Relationship Id="rId93" Type="http://schemas.openxmlformats.org/officeDocument/2006/relationships/hyperlink" Target="https://youtu.be/TdOqOTdl8vk?t=4687" TargetMode="External"/><Relationship Id="rId92" Type="http://schemas.openxmlformats.org/officeDocument/2006/relationships/hyperlink" Target="https://youtu.be/5DXv1nzcrc8?t=3643" TargetMode="External"/><Relationship Id="rId118" Type="http://schemas.openxmlformats.org/officeDocument/2006/relationships/hyperlink" Target="https://youtu.be/R5bMXiku9aY?t=6089" TargetMode="External"/><Relationship Id="rId239" Type="http://schemas.openxmlformats.org/officeDocument/2006/relationships/hyperlink" Target="https://youtu.be/Q1MXWCnxabU?t=7302" TargetMode="External"/><Relationship Id="rId117" Type="http://schemas.openxmlformats.org/officeDocument/2006/relationships/hyperlink" Target="https://youtu.be/7j80sPO_OYE?t=6288" TargetMode="External"/><Relationship Id="rId238" Type="http://schemas.openxmlformats.org/officeDocument/2006/relationships/hyperlink" Target="https://youtu.be/dia0bBuhwAk?t=6174" TargetMode="External"/><Relationship Id="rId116" Type="http://schemas.openxmlformats.org/officeDocument/2006/relationships/hyperlink" Target="https://youtu.be/R5bMXiku9aY?t=5251" TargetMode="External"/><Relationship Id="rId237" Type="http://schemas.openxmlformats.org/officeDocument/2006/relationships/hyperlink" Target="https://youtu.be/Q1MXWCnxabU?t=6435" TargetMode="External"/><Relationship Id="rId115" Type="http://schemas.openxmlformats.org/officeDocument/2006/relationships/hyperlink" Target="https://youtu.be/7j80sPO_OYE?t=5377" TargetMode="External"/><Relationship Id="rId236" Type="http://schemas.openxmlformats.org/officeDocument/2006/relationships/hyperlink" Target="https://youtu.be/dia0bBuhwAk?t=5318" TargetMode="External"/><Relationship Id="rId119" Type="http://schemas.openxmlformats.org/officeDocument/2006/relationships/hyperlink" Target="https://youtu.be/7j80sPO_OYE?t=7120" TargetMode="External"/><Relationship Id="rId110" Type="http://schemas.openxmlformats.org/officeDocument/2006/relationships/hyperlink" Target="https://youtu.be/R5bMXiku9aY?t=2609" TargetMode="External"/><Relationship Id="rId231" Type="http://schemas.openxmlformats.org/officeDocument/2006/relationships/hyperlink" Target="https://youtu.be/Q1MXWCnxabU?t=3874" TargetMode="External"/><Relationship Id="rId230" Type="http://schemas.openxmlformats.org/officeDocument/2006/relationships/hyperlink" Target="https://youtu.be/dia0bBuhwAk?t=2777" TargetMode="External"/><Relationship Id="rId114" Type="http://schemas.openxmlformats.org/officeDocument/2006/relationships/hyperlink" Target="https://youtu.be/R5bMXiku9aY?t=4343" TargetMode="External"/><Relationship Id="rId235" Type="http://schemas.openxmlformats.org/officeDocument/2006/relationships/hyperlink" Target="https://youtu.be/Q1MXWCnxabU?t=5585" TargetMode="External"/><Relationship Id="rId113" Type="http://schemas.openxmlformats.org/officeDocument/2006/relationships/hyperlink" Target="https://youtu.be/7j80sPO_OYE?t=4480" TargetMode="External"/><Relationship Id="rId234" Type="http://schemas.openxmlformats.org/officeDocument/2006/relationships/hyperlink" Target="https://youtu.be/dia0bBuhwAk?t=4510" TargetMode="External"/><Relationship Id="rId112" Type="http://schemas.openxmlformats.org/officeDocument/2006/relationships/hyperlink" Target="https://youtu.be/R5bMXiku9aY?t=3452" TargetMode="External"/><Relationship Id="rId233" Type="http://schemas.openxmlformats.org/officeDocument/2006/relationships/hyperlink" Target="https://youtu.be/Q1MXWCnxabU?t=4711" TargetMode="External"/><Relationship Id="rId111" Type="http://schemas.openxmlformats.org/officeDocument/2006/relationships/hyperlink" Target="https://youtu.be/7j80sPO_OYE?t=3577" TargetMode="External"/><Relationship Id="rId232" Type="http://schemas.openxmlformats.org/officeDocument/2006/relationships/hyperlink" Target="https://youtu.be/dia0bBuhwAk?t=3692" TargetMode="External"/><Relationship Id="rId305" Type="http://schemas.openxmlformats.org/officeDocument/2006/relationships/hyperlink" Target="https://youtu.be/2PcCj9j-Gmc?t=879" TargetMode="External"/><Relationship Id="rId304" Type="http://schemas.openxmlformats.org/officeDocument/2006/relationships/hyperlink" Target="https://youtu.be/ugjFrG5hOlk" TargetMode="External"/><Relationship Id="rId303" Type="http://schemas.openxmlformats.org/officeDocument/2006/relationships/hyperlink" Target="https://youtu.be/2PcCj9j-Gmc" TargetMode="External"/><Relationship Id="rId302" Type="http://schemas.openxmlformats.org/officeDocument/2006/relationships/hyperlink" Target="https://youtu.be/8ipZ_CpWWD8?t=8058" TargetMode="External"/><Relationship Id="rId309" Type="http://schemas.openxmlformats.org/officeDocument/2006/relationships/hyperlink" Target="https://youtu.be/2PcCj9j-Gmc?t=2677" TargetMode="External"/><Relationship Id="rId308" Type="http://schemas.openxmlformats.org/officeDocument/2006/relationships/hyperlink" Target="https://youtu.be/ugjFrG5hOlk?t=1765" TargetMode="External"/><Relationship Id="rId307" Type="http://schemas.openxmlformats.org/officeDocument/2006/relationships/hyperlink" Target="https://youtu.be/2PcCj9j-Gmc?t=1794" TargetMode="External"/><Relationship Id="rId306" Type="http://schemas.openxmlformats.org/officeDocument/2006/relationships/hyperlink" Target="https://youtu.be/ugjFrG5hOlk?t=868" TargetMode="External"/><Relationship Id="rId301" Type="http://schemas.openxmlformats.org/officeDocument/2006/relationships/hyperlink" Target="https://youtu.be/zX3ot4fc8y4?t=8001" TargetMode="External"/><Relationship Id="rId300" Type="http://schemas.openxmlformats.org/officeDocument/2006/relationships/hyperlink" Target="https://youtu.be/8ipZ_CpWWD8?t=7158" TargetMode="External"/><Relationship Id="rId206" Type="http://schemas.openxmlformats.org/officeDocument/2006/relationships/hyperlink" Target="https://youtu.be/lFky5t__oh4?t=953" TargetMode="External"/><Relationship Id="rId327" Type="http://schemas.openxmlformats.org/officeDocument/2006/relationships/hyperlink" Target="https://youtu.be/gZWOMLnq-wY?t=1821" TargetMode="External"/><Relationship Id="rId205" Type="http://schemas.openxmlformats.org/officeDocument/2006/relationships/hyperlink" Target="https://youtu.be/FctAQWIDOoo?t=945" TargetMode="External"/><Relationship Id="rId326" Type="http://schemas.openxmlformats.org/officeDocument/2006/relationships/hyperlink" Target="https://youtu.be/PyAyrMFdgpI?t=967" TargetMode="External"/><Relationship Id="rId204" Type="http://schemas.openxmlformats.org/officeDocument/2006/relationships/hyperlink" Target="https://youtu.be/lFky5t__oh4" TargetMode="External"/><Relationship Id="rId325" Type="http://schemas.openxmlformats.org/officeDocument/2006/relationships/hyperlink" Target="https://youtu.be/gZWOMLnq-wY?t=918" TargetMode="External"/><Relationship Id="rId203" Type="http://schemas.openxmlformats.org/officeDocument/2006/relationships/hyperlink" Target="https://youtu.be/FctAQWIDOoo" TargetMode="External"/><Relationship Id="rId324" Type="http://schemas.openxmlformats.org/officeDocument/2006/relationships/hyperlink" Target="https://youtu.be/PyAyrMFdgpI" TargetMode="External"/><Relationship Id="rId209" Type="http://schemas.openxmlformats.org/officeDocument/2006/relationships/hyperlink" Target="https://youtu.be/FctAQWIDOoo?t=2738" TargetMode="External"/><Relationship Id="rId208" Type="http://schemas.openxmlformats.org/officeDocument/2006/relationships/hyperlink" Target="https://youtu.be/lFky5t__oh4?t=1854" TargetMode="External"/><Relationship Id="rId329" Type="http://schemas.openxmlformats.org/officeDocument/2006/relationships/hyperlink" Target="https://youtu.be/gZWOMLnq-wY?t=2716" TargetMode="External"/><Relationship Id="rId207" Type="http://schemas.openxmlformats.org/officeDocument/2006/relationships/hyperlink" Target="https://youtu.be/FctAQWIDOoo?t=1838" TargetMode="External"/><Relationship Id="rId328" Type="http://schemas.openxmlformats.org/officeDocument/2006/relationships/hyperlink" Target="https://youtu.be/PyAyrMFdgpI?t=1869" TargetMode="External"/><Relationship Id="rId202" Type="http://schemas.openxmlformats.org/officeDocument/2006/relationships/hyperlink" Target="https://youtu.be/NxhKYdtsgqg?t=7714" TargetMode="External"/><Relationship Id="rId323" Type="http://schemas.openxmlformats.org/officeDocument/2006/relationships/hyperlink" Target="https://youtu.be/gZWOMLnq-wY" TargetMode="External"/><Relationship Id="rId201" Type="http://schemas.openxmlformats.org/officeDocument/2006/relationships/hyperlink" Target="https://youtu.be/jJMmeUbWOoI?t=7930" TargetMode="External"/><Relationship Id="rId322" Type="http://schemas.openxmlformats.org/officeDocument/2006/relationships/hyperlink" Target="https://youtu.be/ugjFrG5hOlk?t=7935" TargetMode="External"/><Relationship Id="rId200" Type="http://schemas.openxmlformats.org/officeDocument/2006/relationships/hyperlink" Target="https://youtu.be/NxhKYdtsgqg?t=6798" TargetMode="External"/><Relationship Id="rId321" Type="http://schemas.openxmlformats.org/officeDocument/2006/relationships/hyperlink" Target="https://youtu.be/2PcCj9j-Gmc?t=7958" TargetMode="External"/><Relationship Id="rId320" Type="http://schemas.openxmlformats.org/officeDocument/2006/relationships/hyperlink" Target="https://youtu.be/ugjFrG5hOlk?t=7030" TargetMode="External"/><Relationship Id="rId316" Type="http://schemas.openxmlformats.org/officeDocument/2006/relationships/hyperlink" Target="https://youtu.be/ugjFrG5hOlk?t=5290" TargetMode="External"/><Relationship Id="rId315" Type="http://schemas.openxmlformats.org/officeDocument/2006/relationships/hyperlink" Target="https://youtu.be/2PcCj9j-Gmc?t=5318" TargetMode="External"/><Relationship Id="rId314" Type="http://schemas.openxmlformats.org/officeDocument/2006/relationships/hyperlink" Target="https://youtu.be/ugjFrG5hOlk?t=4396" TargetMode="External"/><Relationship Id="rId313" Type="http://schemas.openxmlformats.org/officeDocument/2006/relationships/hyperlink" Target="https://youtu.be/2PcCj9j-Gmc?t=4421" TargetMode="External"/><Relationship Id="rId319" Type="http://schemas.openxmlformats.org/officeDocument/2006/relationships/hyperlink" Target="https://youtu.be/2PcCj9j-Gmc?t=7074" TargetMode="External"/><Relationship Id="rId318" Type="http://schemas.openxmlformats.org/officeDocument/2006/relationships/hyperlink" Target="https://youtu.be/ugjFrG5hOlk?t=6158" TargetMode="External"/><Relationship Id="rId317" Type="http://schemas.openxmlformats.org/officeDocument/2006/relationships/hyperlink" Target="https://youtu.be/2PcCj9j-Gmc?t=6161" TargetMode="External"/><Relationship Id="rId312" Type="http://schemas.openxmlformats.org/officeDocument/2006/relationships/hyperlink" Target="https://youtu.be/ugjFrG5hOlk?t=3504" TargetMode="External"/><Relationship Id="rId311" Type="http://schemas.openxmlformats.org/officeDocument/2006/relationships/hyperlink" Target="https://youtu.be/2PcCj9j-Gmc?t=3533" TargetMode="External"/><Relationship Id="rId310" Type="http://schemas.openxmlformats.org/officeDocument/2006/relationships/hyperlink" Target="https://youtu.be/ugjFrG5hOlk?t=2655" TargetMode="External"/></Relationships>
</file>

<file path=xl/worksheets/_rels/sheet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ZDPrgLBt5Pg?t=7916" TargetMode="External"/><Relationship Id="rId190" Type="http://schemas.openxmlformats.org/officeDocument/2006/relationships/hyperlink" Target="https://youtu.be/O8vPOzhYpFM?t=3622" TargetMode="External"/><Relationship Id="rId42" Type="http://schemas.openxmlformats.org/officeDocument/2006/relationships/hyperlink" Target="https://youtu.be/brWW7fIWkHo" TargetMode="External"/><Relationship Id="rId41" Type="http://schemas.openxmlformats.org/officeDocument/2006/relationships/hyperlink" Target="https://youtu.be/OWUAGCrPUu4" TargetMode="External"/><Relationship Id="rId44" Type="http://schemas.openxmlformats.org/officeDocument/2006/relationships/hyperlink" Target="https://youtu.be/brWW7fIWkHo?t=897" TargetMode="External"/><Relationship Id="rId194" Type="http://schemas.openxmlformats.org/officeDocument/2006/relationships/hyperlink" Target="https://youtu.be/O8vPOzhYpFM?t=5361" TargetMode="External"/><Relationship Id="rId43" Type="http://schemas.openxmlformats.org/officeDocument/2006/relationships/hyperlink" Target="https://youtu.be/OWUAGCrPUu4?t=893" TargetMode="External"/><Relationship Id="rId193" Type="http://schemas.openxmlformats.org/officeDocument/2006/relationships/hyperlink" Target="https://youtu.be/JtxKTOEps1M?t=5437" TargetMode="External"/><Relationship Id="rId46" Type="http://schemas.openxmlformats.org/officeDocument/2006/relationships/hyperlink" Target="https://youtu.be/brWW7fIWkHo?t=1779" TargetMode="External"/><Relationship Id="rId192" Type="http://schemas.openxmlformats.org/officeDocument/2006/relationships/hyperlink" Target="https://youtu.be/O8vPOzhYpFM?t=4490" TargetMode="External"/><Relationship Id="rId45" Type="http://schemas.openxmlformats.org/officeDocument/2006/relationships/hyperlink" Target="https://youtu.be/OWUAGCrPUu4?t=1803" TargetMode="External"/><Relationship Id="rId191" Type="http://schemas.openxmlformats.org/officeDocument/2006/relationships/hyperlink" Target="https://youtu.be/JtxKTOEps1M?t=4537" TargetMode="External"/><Relationship Id="rId48" Type="http://schemas.openxmlformats.org/officeDocument/2006/relationships/hyperlink" Target="https://youtu.be/brWW7fIWkHo?t=3508" TargetMode="External"/><Relationship Id="rId187" Type="http://schemas.openxmlformats.org/officeDocument/2006/relationships/hyperlink" Target="https://youtu.be/JtxKTOEps1M?t=2797" TargetMode="External"/><Relationship Id="rId47" Type="http://schemas.openxmlformats.org/officeDocument/2006/relationships/hyperlink" Target="https://youtu.be/OWUAGCrPUu4?t=2701" TargetMode="External"/><Relationship Id="rId186" Type="http://schemas.openxmlformats.org/officeDocument/2006/relationships/hyperlink" Target="https://youtu.be/O8vPOzhYpFM?t=1830" TargetMode="External"/><Relationship Id="rId185" Type="http://schemas.openxmlformats.org/officeDocument/2006/relationships/hyperlink" Target="https://youtu.be/JtxKTOEps1M?t=1923" TargetMode="External"/><Relationship Id="rId49" Type="http://schemas.openxmlformats.org/officeDocument/2006/relationships/hyperlink" Target="https://youtu.be/OWUAGCrPUu4?t=3538" TargetMode="External"/><Relationship Id="rId184" Type="http://schemas.openxmlformats.org/officeDocument/2006/relationships/hyperlink" Target="https://youtu.be/O8vPOzhYpFM?t=929" TargetMode="External"/><Relationship Id="rId189" Type="http://schemas.openxmlformats.org/officeDocument/2006/relationships/hyperlink" Target="https://youtu.be/JtxKTOEps1M?t=3646" TargetMode="External"/><Relationship Id="rId188" Type="http://schemas.openxmlformats.org/officeDocument/2006/relationships/hyperlink" Target="https://youtu.be/O8vPOzhYpFM?t=2722" TargetMode="External"/><Relationship Id="rId31" Type="http://schemas.openxmlformats.org/officeDocument/2006/relationships/hyperlink" Target="https://youtu.be/nqvXQlkvGnE?t=4375" TargetMode="External"/><Relationship Id="rId30" Type="http://schemas.openxmlformats.org/officeDocument/2006/relationships/hyperlink" Target="https://youtu.be/ZDPrgLBt5Pg?t=3481" TargetMode="External"/><Relationship Id="rId33" Type="http://schemas.openxmlformats.org/officeDocument/2006/relationships/hyperlink" Target="https://youtu.be/nqvXQlkvGnE?t=5250" TargetMode="External"/><Relationship Id="rId183" Type="http://schemas.openxmlformats.org/officeDocument/2006/relationships/hyperlink" Target="https://youtu.be/JtxKTOEps1M?t=1010" TargetMode="External"/><Relationship Id="rId32" Type="http://schemas.openxmlformats.org/officeDocument/2006/relationships/hyperlink" Target="https://youtu.be/ZDPrgLBt5Pg?t=4375" TargetMode="External"/><Relationship Id="rId182" Type="http://schemas.openxmlformats.org/officeDocument/2006/relationships/hyperlink" Target="https://youtu.be/O8vPOzhYpFM" TargetMode="External"/><Relationship Id="rId35" Type="http://schemas.openxmlformats.org/officeDocument/2006/relationships/hyperlink" Target="https://youtu.be/nqvXQlkvGnE?t=6087" TargetMode="External"/><Relationship Id="rId181" Type="http://schemas.openxmlformats.org/officeDocument/2006/relationships/hyperlink" Target="https://youtu.be/JtxKTOEps1M" TargetMode="External"/><Relationship Id="rId34" Type="http://schemas.openxmlformats.org/officeDocument/2006/relationships/hyperlink" Target="https://youtu.be/ZDPrgLBt5Pg?t=5276" TargetMode="External"/><Relationship Id="rId180" Type="http://schemas.openxmlformats.org/officeDocument/2006/relationships/hyperlink" Target="https://youtu.be/8D8pZtxecYI?t=7880" TargetMode="External"/><Relationship Id="rId37" Type="http://schemas.openxmlformats.org/officeDocument/2006/relationships/hyperlink" Target="https://youtu.be/nqvXQlkvGnE?t=6983" TargetMode="External"/><Relationship Id="rId176" Type="http://schemas.openxmlformats.org/officeDocument/2006/relationships/hyperlink" Target="https://youtu.be/8D8pZtxecYI?t=6098" TargetMode="External"/><Relationship Id="rId297" Type="http://schemas.openxmlformats.org/officeDocument/2006/relationships/hyperlink" Target="https://youtu.be/eBezB-g_-rA?t=7196" TargetMode="External"/><Relationship Id="rId36" Type="http://schemas.openxmlformats.org/officeDocument/2006/relationships/hyperlink" Target="https://youtu.be/ZDPrgLBt5Pg?t=6115" TargetMode="External"/><Relationship Id="rId175" Type="http://schemas.openxmlformats.org/officeDocument/2006/relationships/hyperlink" Target="https://youtu.be/57b5Q9ZbGwk?t=6234" TargetMode="External"/><Relationship Id="rId296" Type="http://schemas.openxmlformats.org/officeDocument/2006/relationships/hyperlink" Target="https://youtu.be/GmdxLS9cSFI?t=6301" TargetMode="External"/><Relationship Id="rId39" Type="http://schemas.openxmlformats.org/officeDocument/2006/relationships/hyperlink" Target="https://youtu.be/nqvXQlkvGnE?t=7883" TargetMode="External"/><Relationship Id="rId174" Type="http://schemas.openxmlformats.org/officeDocument/2006/relationships/hyperlink" Target="https://youtu.be/8D8pZtxecYI?t=5260" TargetMode="External"/><Relationship Id="rId295" Type="http://schemas.openxmlformats.org/officeDocument/2006/relationships/hyperlink" Target="https://youtu.be/eBezB-g_-rA?t=6363" TargetMode="External"/><Relationship Id="rId38" Type="http://schemas.openxmlformats.org/officeDocument/2006/relationships/hyperlink" Target="https://youtu.be/ZDPrgLBt5Pg?t=7015" TargetMode="External"/><Relationship Id="rId173" Type="http://schemas.openxmlformats.org/officeDocument/2006/relationships/hyperlink" Target="https://youtu.be/57b5Q9ZbGwk?t=5335" TargetMode="External"/><Relationship Id="rId294" Type="http://schemas.openxmlformats.org/officeDocument/2006/relationships/hyperlink" Target="https://youtu.be/GmdxLS9cSFI?t=5525" TargetMode="External"/><Relationship Id="rId179" Type="http://schemas.openxmlformats.org/officeDocument/2006/relationships/hyperlink" Target="https://youtu.be/57b5Q9ZbGwk?t=7974" TargetMode="External"/><Relationship Id="rId178" Type="http://schemas.openxmlformats.org/officeDocument/2006/relationships/hyperlink" Target="https://youtu.be/8D8pZtxecYI?t=6992" TargetMode="External"/><Relationship Id="rId299" Type="http://schemas.openxmlformats.org/officeDocument/2006/relationships/hyperlink" Target="https://youtu.be/eBezB-g_-rA?t=8022" TargetMode="External"/><Relationship Id="rId177" Type="http://schemas.openxmlformats.org/officeDocument/2006/relationships/hyperlink" Target="https://youtu.be/57b5Q9ZbGwk?t=7078" TargetMode="External"/><Relationship Id="rId298" Type="http://schemas.openxmlformats.org/officeDocument/2006/relationships/hyperlink" Target="https://youtu.be/GmdxLS9cSFI?t=7141" TargetMode="External"/><Relationship Id="rId20" Type="http://schemas.openxmlformats.org/officeDocument/2006/relationships/hyperlink" Target="https://youtu.be/U-RnDsx6rVE?t=7923" TargetMode="External"/><Relationship Id="rId22" Type="http://schemas.openxmlformats.org/officeDocument/2006/relationships/hyperlink" Target="https://youtu.be/ZDPrgLBt5Pg" TargetMode="External"/><Relationship Id="rId21" Type="http://schemas.openxmlformats.org/officeDocument/2006/relationships/hyperlink" Target="https://youtu.be/nqvXQlkvGnE" TargetMode="External"/><Relationship Id="rId24" Type="http://schemas.openxmlformats.org/officeDocument/2006/relationships/hyperlink" Target="https://youtu.be/ZDPrgLBt5Pg?t=835" TargetMode="External"/><Relationship Id="rId23" Type="http://schemas.openxmlformats.org/officeDocument/2006/relationships/hyperlink" Target="https://youtu.be/nqvXQlkvGnE?t=872" TargetMode="External"/><Relationship Id="rId26" Type="http://schemas.openxmlformats.org/officeDocument/2006/relationships/hyperlink" Target="https://youtu.be/ZDPrgLBt5Pg?t=1735" TargetMode="External"/><Relationship Id="rId25" Type="http://schemas.openxmlformats.org/officeDocument/2006/relationships/hyperlink" Target="https://youtu.be/nqvXQlkvGnE?t=1709" TargetMode="External"/><Relationship Id="rId28" Type="http://schemas.openxmlformats.org/officeDocument/2006/relationships/hyperlink" Target="https://youtu.be/ZDPrgLBt5Pg?t=2635" TargetMode="External"/><Relationship Id="rId27" Type="http://schemas.openxmlformats.org/officeDocument/2006/relationships/hyperlink" Target="https://youtu.be/nqvXQlkvGnE?t=2603" TargetMode="External"/><Relationship Id="rId29" Type="http://schemas.openxmlformats.org/officeDocument/2006/relationships/hyperlink" Target="https://youtu.be/nqvXQlkvGnE?t=3475" TargetMode="External"/><Relationship Id="rId11" Type="http://schemas.openxmlformats.org/officeDocument/2006/relationships/hyperlink" Target="https://youtu.be/jicqTNDXE9I?t=4280" TargetMode="External"/><Relationship Id="rId10" Type="http://schemas.openxmlformats.org/officeDocument/2006/relationships/hyperlink" Target="https://youtu.be/U-RnDsx6rVE?t=3484" TargetMode="External"/><Relationship Id="rId13" Type="http://schemas.openxmlformats.org/officeDocument/2006/relationships/hyperlink" Target="https://youtu.be/jicqTNDXE9I?t=5310" TargetMode="External"/><Relationship Id="rId12" Type="http://schemas.openxmlformats.org/officeDocument/2006/relationships/hyperlink" Target="https://youtu.be/U-RnDsx6rVE?t=4384" TargetMode="External"/><Relationship Id="rId15" Type="http://schemas.openxmlformats.org/officeDocument/2006/relationships/hyperlink" Target="https://youtu.be/jicqTNDXE9I?t=6171" TargetMode="External"/><Relationship Id="rId198" Type="http://schemas.openxmlformats.org/officeDocument/2006/relationships/hyperlink" Target="https://youtu.be/O8vPOzhYpFM?t=7096" TargetMode="External"/><Relationship Id="rId14" Type="http://schemas.openxmlformats.org/officeDocument/2006/relationships/hyperlink" Target="https://youtu.be/U-RnDsx6rVE?t=5289" TargetMode="External"/><Relationship Id="rId197" Type="http://schemas.openxmlformats.org/officeDocument/2006/relationships/hyperlink" Target="https://youtu.be/JtxKTOEps1M?t=7187" TargetMode="External"/><Relationship Id="rId17" Type="http://schemas.openxmlformats.org/officeDocument/2006/relationships/hyperlink" Target="https://youtu.be/jicqTNDXE9I?t=7098" TargetMode="External"/><Relationship Id="rId196" Type="http://schemas.openxmlformats.org/officeDocument/2006/relationships/hyperlink" Target="https://youtu.be/O8vPOzhYpFM?t=6216" TargetMode="External"/><Relationship Id="rId16" Type="http://schemas.openxmlformats.org/officeDocument/2006/relationships/hyperlink" Target="https://youtu.be/U-RnDsx6rVE?t=6170" TargetMode="External"/><Relationship Id="rId195" Type="http://schemas.openxmlformats.org/officeDocument/2006/relationships/hyperlink" Target="https://youtu.be/JtxKTOEps1M?t=6294" TargetMode="External"/><Relationship Id="rId19" Type="http://schemas.openxmlformats.org/officeDocument/2006/relationships/hyperlink" Target="https://youtu.be/jicqTNDXE9I?t=7949" TargetMode="External"/><Relationship Id="rId18" Type="http://schemas.openxmlformats.org/officeDocument/2006/relationships/hyperlink" Target="https://youtu.be/U-RnDsx6rVE?t=7034" TargetMode="External"/><Relationship Id="rId199" Type="http://schemas.openxmlformats.org/officeDocument/2006/relationships/hyperlink" Target="https://youtu.be/JtxKTOEps1M?t=8091" TargetMode="External"/><Relationship Id="rId84" Type="http://schemas.openxmlformats.org/officeDocument/2006/relationships/hyperlink" Target="https://youtu.be/Ug4h1Kn6SzI?t=895" TargetMode="External"/><Relationship Id="rId83" Type="http://schemas.openxmlformats.org/officeDocument/2006/relationships/hyperlink" Target="https://youtu.be/ndpTkuxo0v4?t=896" TargetMode="External"/><Relationship Id="rId86" Type="http://schemas.openxmlformats.org/officeDocument/2006/relationships/hyperlink" Target="https://youtu.be/Ug4h1Kn6SzI?t=1734" TargetMode="External"/><Relationship Id="rId85" Type="http://schemas.openxmlformats.org/officeDocument/2006/relationships/hyperlink" Target="https://youtu.be/ndpTkuxo0v4?t=1933" TargetMode="External"/><Relationship Id="rId88" Type="http://schemas.openxmlformats.org/officeDocument/2006/relationships/hyperlink" Target="https://youtu.be/Ug4h1Kn6SzI?t=2620" TargetMode="External"/><Relationship Id="rId150" Type="http://schemas.openxmlformats.org/officeDocument/2006/relationships/hyperlink" Target="https://youtu.be/P31Kj7m2_aw?t=3632" TargetMode="External"/><Relationship Id="rId271" Type="http://schemas.openxmlformats.org/officeDocument/2006/relationships/hyperlink" Target="https://youtu.be/JhXqcQ58u1g?t=4661" TargetMode="External"/><Relationship Id="rId87" Type="http://schemas.openxmlformats.org/officeDocument/2006/relationships/hyperlink" Target="https://youtu.be/ndpTkuxo0v4?t=2738" TargetMode="External"/><Relationship Id="rId270" Type="http://schemas.openxmlformats.org/officeDocument/2006/relationships/hyperlink" Target="https://youtu.be/fvtSGblXnAI?t=3544" TargetMode="External"/><Relationship Id="rId89" Type="http://schemas.openxmlformats.org/officeDocument/2006/relationships/hyperlink" Target="https://youtu.be/ndpTkuxo0v4?t=3613" TargetMode="External"/><Relationship Id="rId80" Type="http://schemas.openxmlformats.org/officeDocument/2006/relationships/hyperlink" Target="https://youtu.be/oHdcAaE5qSY?t=8061" TargetMode="External"/><Relationship Id="rId82" Type="http://schemas.openxmlformats.org/officeDocument/2006/relationships/hyperlink" Target="https://youtu.be/Ug4h1Kn6SzI" TargetMode="External"/><Relationship Id="rId81" Type="http://schemas.openxmlformats.org/officeDocument/2006/relationships/hyperlink" Target="https://youtu.be/ndpTkuxo0v4" TargetMode="External"/><Relationship Id="rId1" Type="http://schemas.openxmlformats.org/officeDocument/2006/relationships/hyperlink" Target="https://youtu.be/jicqTNDXE9I" TargetMode="External"/><Relationship Id="rId2" Type="http://schemas.openxmlformats.org/officeDocument/2006/relationships/hyperlink" Target="https://youtu.be/U-RnDsx6rVE" TargetMode="External"/><Relationship Id="rId3" Type="http://schemas.openxmlformats.org/officeDocument/2006/relationships/hyperlink" Target="https://youtu.be/jicqTNDXE9I?t=884" TargetMode="External"/><Relationship Id="rId149" Type="http://schemas.openxmlformats.org/officeDocument/2006/relationships/hyperlink" Target="https://youtu.be/D7-FXG28xQc?t=3685" TargetMode="External"/><Relationship Id="rId4" Type="http://schemas.openxmlformats.org/officeDocument/2006/relationships/hyperlink" Target="https://youtu.be/U-RnDsx6rVE?t=843" TargetMode="External"/><Relationship Id="rId148" Type="http://schemas.openxmlformats.org/officeDocument/2006/relationships/hyperlink" Target="https://youtu.be/P31Kj7m2_aw?t=2775" TargetMode="External"/><Relationship Id="rId269" Type="http://schemas.openxmlformats.org/officeDocument/2006/relationships/hyperlink" Target="https://youtu.be/JhXqcQ58u1g?t=3769" TargetMode="External"/><Relationship Id="rId9" Type="http://schemas.openxmlformats.org/officeDocument/2006/relationships/hyperlink" Target="https://youtu.be/jicqTNDXE9I?t=3538" TargetMode="External"/><Relationship Id="rId143" Type="http://schemas.openxmlformats.org/officeDocument/2006/relationships/hyperlink" Target="https://youtu.be/D7-FXG28xQc?t=1047" TargetMode="External"/><Relationship Id="rId264" Type="http://schemas.openxmlformats.org/officeDocument/2006/relationships/hyperlink" Target="https://youtu.be/fvtSGblXnAI?t=894" TargetMode="External"/><Relationship Id="rId142" Type="http://schemas.openxmlformats.org/officeDocument/2006/relationships/hyperlink" Target="https://youtu.be/P31Kj7m2_aw" TargetMode="External"/><Relationship Id="rId263" Type="http://schemas.openxmlformats.org/officeDocument/2006/relationships/hyperlink" Target="https://youtu.be/JhXqcQ58u1g?t=1113" TargetMode="External"/><Relationship Id="rId141" Type="http://schemas.openxmlformats.org/officeDocument/2006/relationships/hyperlink" Target="https://youtu.be/D7-FXG28xQc" TargetMode="External"/><Relationship Id="rId262" Type="http://schemas.openxmlformats.org/officeDocument/2006/relationships/hyperlink" Target="https://youtu.be/fvtSGblXnAI" TargetMode="External"/><Relationship Id="rId140" Type="http://schemas.openxmlformats.org/officeDocument/2006/relationships/hyperlink" Target="https://youtu.be/adPZY5aUJOc?t=7885" TargetMode="External"/><Relationship Id="rId261" Type="http://schemas.openxmlformats.org/officeDocument/2006/relationships/hyperlink" Target="https://youtu.be/JhXqcQ58u1g" TargetMode="External"/><Relationship Id="rId5" Type="http://schemas.openxmlformats.org/officeDocument/2006/relationships/hyperlink" Target="https://youtu.be/jicqTNDXE9I?t=1770" TargetMode="External"/><Relationship Id="rId147" Type="http://schemas.openxmlformats.org/officeDocument/2006/relationships/hyperlink" Target="https://youtu.be/D7-FXG28xQc?t=2837" TargetMode="External"/><Relationship Id="rId268" Type="http://schemas.openxmlformats.org/officeDocument/2006/relationships/hyperlink" Target="https://youtu.be/fvtSGblXnAI?t=2697" TargetMode="External"/><Relationship Id="rId6" Type="http://schemas.openxmlformats.org/officeDocument/2006/relationships/hyperlink" Target="https://youtu.be/U-RnDsx6rVE?t=1744" TargetMode="External"/><Relationship Id="rId146" Type="http://schemas.openxmlformats.org/officeDocument/2006/relationships/hyperlink" Target="https://youtu.be/P31Kj7m2_aw?t=1889" TargetMode="External"/><Relationship Id="rId267" Type="http://schemas.openxmlformats.org/officeDocument/2006/relationships/hyperlink" Target="https://youtu.be/JhXqcQ58u1g?t=2912" TargetMode="External"/><Relationship Id="rId7" Type="http://schemas.openxmlformats.org/officeDocument/2006/relationships/hyperlink" Target="https://youtu.be/jicqTNDXE9I?t=2675" TargetMode="External"/><Relationship Id="rId145" Type="http://schemas.openxmlformats.org/officeDocument/2006/relationships/hyperlink" Target="https://youtu.be/D7-FXG28xQc?t=1949" TargetMode="External"/><Relationship Id="rId266" Type="http://schemas.openxmlformats.org/officeDocument/2006/relationships/hyperlink" Target="https://youtu.be/fvtSGblXnAI?t=1797" TargetMode="External"/><Relationship Id="rId8" Type="http://schemas.openxmlformats.org/officeDocument/2006/relationships/hyperlink" Target="https://youtu.be/U-RnDsx6rVE?t=2645" TargetMode="External"/><Relationship Id="rId144" Type="http://schemas.openxmlformats.org/officeDocument/2006/relationships/hyperlink" Target="https://youtu.be/P31Kj7m2_aw?t=986" TargetMode="External"/><Relationship Id="rId265" Type="http://schemas.openxmlformats.org/officeDocument/2006/relationships/hyperlink" Target="https://youtu.be/JhXqcQ58u1g?t=2015" TargetMode="External"/><Relationship Id="rId73" Type="http://schemas.openxmlformats.org/officeDocument/2006/relationships/hyperlink" Target="https://youtu.be/tSxy_XqyDI8?t=5307" TargetMode="External"/><Relationship Id="rId72" Type="http://schemas.openxmlformats.org/officeDocument/2006/relationships/hyperlink" Target="https://youtu.be/oHdcAaE5qSY?t=4521" TargetMode="External"/><Relationship Id="rId75" Type="http://schemas.openxmlformats.org/officeDocument/2006/relationships/hyperlink" Target="https://youtu.be/tSxy_XqyDI8?t=6156" TargetMode="External"/><Relationship Id="rId74" Type="http://schemas.openxmlformats.org/officeDocument/2006/relationships/hyperlink" Target="https://youtu.be/oHdcAaE5qSY?t=5422" TargetMode="External"/><Relationship Id="rId77" Type="http://schemas.openxmlformats.org/officeDocument/2006/relationships/hyperlink" Target="https://youtu.be/tSxy_XqyDI8?t=7044" TargetMode="External"/><Relationship Id="rId260" Type="http://schemas.openxmlformats.org/officeDocument/2006/relationships/hyperlink" Target="https://youtu.be/E9bha3bH_ag?t=7586" TargetMode="External"/><Relationship Id="rId76" Type="http://schemas.openxmlformats.org/officeDocument/2006/relationships/hyperlink" Target="https://youtu.be/oHdcAaE5qSY?t=6261" TargetMode="External"/><Relationship Id="rId79" Type="http://schemas.openxmlformats.org/officeDocument/2006/relationships/hyperlink" Target="https://youtu.be/tSxy_XqyDI8?t=7946" TargetMode="External"/><Relationship Id="rId78" Type="http://schemas.openxmlformats.org/officeDocument/2006/relationships/hyperlink" Target="https://youtu.be/oHdcAaE5qSY?t=7160" TargetMode="External"/><Relationship Id="rId71" Type="http://schemas.openxmlformats.org/officeDocument/2006/relationships/hyperlink" Target="https://youtu.be/tSxy_XqyDI8?t=4418" TargetMode="External"/><Relationship Id="rId70" Type="http://schemas.openxmlformats.org/officeDocument/2006/relationships/hyperlink" Target="https://youtu.be/oHdcAaE5qSY?t=3651" TargetMode="External"/><Relationship Id="rId139" Type="http://schemas.openxmlformats.org/officeDocument/2006/relationships/hyperlink" Target="https://youtu.be/vUMVBKKPaAU?t=7971" TargetMode="External"/><Relationship Id="rId138" Type="http://schemas.openxmlformats.org/officeDocument/2006/relationships/hyperlink" Target="https://youtu.be/adPZY5aUJOc?t=6988" TargetMode="External"/><Relationship Id="rId259" Type="http://schemas.openxmlformats.org/officeDocument/2006/relationships/hyperlink" Target="https://youtu.be/Da_6OrptrjQ?t=7759" TargetMode="External"/><Relationship Id="rId137" Type="http://schemas.openxmlformats.org/officeDocument/2006/relationships/hyperlink" Target="https://youtu.be/vUMVBKKPaAU?t=7038" TargetMode="External"/><Relationship Id="rId258" Type="http://schemas.openxmlformats.org/officeDocument/2006/relationships/hyperlink" Target="https://youtu.be/E9bha3bH_ag?t=6762" TargetMode="External"/><Relationship Id="rId132" Type="http://schemas.openxmlformats.org/officeDocument/2006/relationships/hyperlink" Target="https://youtu.be/adPZY5aUJOc?t=4360" TargetMode="External"/><Relationship Id="rId253" Type="http://schemas.openxmlformats.org/officeDocument/2006/relationships/hyperlink" Target="https://youtu.be/Da_6OrptrjQ?t=5288" TargetMode="External"/><Relationship Id="rId131" Type="http://schemas.openxmlformats.org/officeDocument/2006/relationships/hyperlink" Target="https://youtu.be/vUMVBKKPaAU?t=4366" TargetMode="External"/><Relationship Id="rId252" Type="http://schemas.openxmlformats.org/officeDocument/2006/relationships/hyperlink" Target="https://youtu.be/E9bha3bH_ag?t=4252" TargetMode="External"/><Relationship Id="rId130" Type="http://schemas.openxmlformats.org/officeDocument/2006/relationships/hyperlink" Target="https://youtu.be/adPZY5aUJOc?t=3457" TargetMode="External"/><Relationship Id="rId251" Type="http://schemas.openxmlformats.org/officeDocument/2006/relationships/hyperlink" Target="https://youtu.be/Da_6OrptrjQ?t=4480" TargetMode="External"/><Relationship Id="rId250" Type="http://schemas.openxmlformats.org/officeDocument/2006/relationships/hyperlink" Target="https://youtu.be/E9bha3bH_ag?t=3461" TargetMode="External"/><Relationship Id="rId136" Type="http://schemas.openxmlformats.org/officeDocument/2006/relationships/hyperlink" Target="https://youtu.be/adPZY5aUJOc?t=6088" TargetMode="External"/><Relationship Id="rId257" Type="http://schemas.openxmlformats.org/officeDocument/2006/relationships/hyperlink" Target="https://youtu.be/Da_6OrptrjQ?t=6945" TargetMode="External"/><Relationship Id="rId135" Type="http://schemas.openxmlformats.org/officeDocument/2006/relationships/hyperlink" Target="https://youtu.be/vUMVBKKPaAU?t=6162" TargetMode="External"/><Relationship Id="rId256" Type="http://schemas.openxmlformats.org/officeDocument/2006/relationships/hyperlink" Target="https://youtu.be/E9bha3bH_ag?t=5981" TargetMode="External"/><Relationship Id="rId134" Type="http://schemas.openxmlformats.org/officeDocument/2006/relationships/hyperlink" Target="https://youtu.be/adPZY5aUJOc?t=5270" TargetMode="External"/><Relationship Id="rId255" Type="http://schemas.openxmlformats.org/officeDocument/2006/relationships/hyperlink" Target="https://youtu.be/Da_6OrptrjQ?t=6102" TargetMode="External"/><Relationship Id="rId133" Type="http://schemas.openxmlformats.org/officeDocument/2006/relationships/hyperlink" Target="https://youtu.be/vUMVBKKPaAU?t=5278" TargetMode="External"/><Relationship Id="rId254" Type="http://schemas.openxmlformats.org/officeDocument/2006/relationships/hyperlink" Target="https://youtu.be/E9bha3bH_ag?t=5106" TargetMode="External"/><Relationship Id="rId62" Type="http://schemas.openxmlformats.org/officeDocument/2006/relationships/hyperlink" Target="https://youtu.be/oHdcAaE5qSY" TargetMode="External"/><Relationship Id="rId61" Type="http://schemas.openxmlformats.org/officeDocument/2006/relationships/hyperlink" Target="https://youtu.be/tSxy_XqyDI8" TargetMode="External"/><Relationship Id="rId64" Type="http://schemas.openxmlformats.org/officeDocument/2006/relationships/hyperlink" Target="https://youtu.be/oHdcAaE5qSY?t=980" TargetMode="External"/><Relationship Id="rId63" Type="http://schemas.openxmlformats.org/officeDocument/2006/relationships/hyperlink" Target="https://youtu.be/tSxy_XqyDI8?t=892" TargetMode="External"/><Relationship Id="rId66" Type="http://schemas.openxmlformats.org/officeDocument/2006/relationships/hyperlink" Target="https://youtu.be/oHdcAaE5qSY?t=1881" TargetMode="External"/><Relationship Id="rId172" Type="http://schemas.openxmlformats.org/officeDocument/2006/relationships/hyperlink" Target="https://youtu.be/8D8pZtxecYI?t=4363" TargetMode="External"/><Relationship Id="rId293" Type="http://schemas.openxmlformats.org/officeDocument/2006/relationships/hyperlink" Target="https://youtu.be/eBezB-g_-rA?t=5534" TargetMode="External"/><Relationship Id="rId65" Type="http://schemas.openxmlformats.org/officeDocument/2006/relationships/hyperlink" Target="https://youtu.be/tSxy_XqyDI8?t=1795" TargetMode="External"/><Relationship Id="rId171" Type="http://schemas.openxmlformats.org/officeDocument/2006/relationships/hyperlink" Target="https://youtu.be/57b5Q9ZbGwk?t=4453" TargetMode="External"/><Relationship Id="rId292" Type="http://schemas.openxmlformats.org/officeDocument/2006/relationships/hyperlink" Target="https://youtu.be/GmdxLS9cSFI?t=4674" TargetMode="External"/><Relationship Id="rId68" Type="http://schemas.openxmlformats.org/officeDocument/2006/relationships/hyperlink" Target="https://youtu.be/oHdcAaE5qSY?t=2870" TargetMode="External"/><Relationship Id="rId170" Type="http://schemas.openxmlformats.org/officeDocument/2006/relationships/hyperlink" Target="https://youtu.be/8D8pZtxecYI?t=3481" TargetMode="External"/><Relationship Id="rId291" Type="http://schemas.openxmlformats.org/officeDocument/2006/relationships/hyperlink" Target="https://youtu.be/eBezB-g_-rA?t=4687" TargetMode="External"/><Relationship Id="rId67" Type="http://schemas.openxmlformats.org/officeDocument/2006/relationships/hyperlink" Target="https://youtu.be/tSxy_XqyDI8?t=2673" TargetMode="External"/><Relationship Id="rId290" Type="http://schemas.openxmlformats.org/officeDocument/2006/relationships/hyperlink" Target="https://youtu.be/GmdxLS9cSFI?t=3743" TargetMode="External"/><Relationship Id="rId60" Type="http://schemas.openxmlformats.org/officeDocument/2006/relationships/hyperlink" Target="https://youtu.be/brWW7fIWkHo?t=7949" TargetMode="External"/><Relationship Id="rId165" Type="http://schemas.openxmlformats.org/officeDocument/2006/relationships/hyperlink" Target="https://youtu.be/57b5Q9ZbGwk?t=1794" TargetMode="External"/><Relationship Id="rId286" Type="http://schemas.openxmlformats.org/officeDocument/2006/relationships/hyperlink" Target="https://youtu.be/GmdxLS9cSFI?t=2018" TargetMode="External"/><Relationship Id="rId69" Type="http://schemas.openxmlformats.org/officeDocument/2006/relationships/hyperlink" Target="https://youtu.be/tSxy_XqyDI8?t=3507" TargetMode="External"/><Relationship Id="rId164" Type="http://schemas.openxmlformats.org/officeDocument/2006/relationships/hyperlink" Target="https://youtu.be/8D8pZtxecYI?t=837" TargetMode="External"/><Relationship Id="rId285" Type="http://schemas.openxmlformats.org/officeDocument/2006/relationships/hyperlink" Target="https://youtu.be/eBezB-g_-rA?t=2038" TargetMode="External"/><Relationship Id="rId163" Type="http://schemas.openxmlformats.org/officeDocument/2006/relationships/hyperlink" Target="https://youtu.be/57b5Q9ZbGwk?t=897" TargetMode="External"/><Relationship Id="rId284" Type="http://schemas.openxmlformats.org/officeDocument/2006/relationships/hyperlink" Target="https://youtu.be/GmdxLS9cSFI?t=1172" TargetMode="External"/><Relationship Id="rId162" Type="http://schemas.openxmlformats.org/officeDocument/2006/relationships/hyperlink" Target="https://youtu.be/8D8pZtxecYI" TargetMode="External"/><Relationship Id="rId283" Type="http://schemas.openxmlformats.org/officeDocument/2006/relationships/hyperlink" Target="https://youtu.be/eBezB-g_-rA?t=1162" TargetMode="External"/><Relationship Id="rId169" Type="http://schemas.openxmlformats.org/officeDocument/2006/relationships/hyperlink" Target="https://youtu.be/57b5Q9ZbGwk?t=3590" TargetMode="External"/><Relationship Id="rId168" Type="http://schemas.openxmlformats.org/officeDocument/2006/relationships/hyperlink" Target="https://youtu.be/8D8pZtxecYI?t=2599" TargetMode="External"/><Relationship Id="rId289" Type="http://schemas.openxmlformats.org/officeDocument/2006/relationships/hyperlink" Target="https://youtu.be/eBezB-g_-rA?t=3756" TargetMode="External"/><Relationship Id="rId167" Type="http://schemas.openxmlformats.org/officeDocument/2006/relationships/hyperlink" Target="https://youtu.be/57b5Q9ZbGwk?t=2692" TargetMode="External"/><Relationship Id="rId288" Type="http://schemas.openxmlformats.org/officeDocument/2006/relationships/hyperlink" Target="https://youtu.be/GmdxLS9cSFI?t=2874" TargetMode="External"/><Relationship Id="rId166" Type="http://schemas.openxmlformats.org/officeDocument/2006/relationships/hyperlink" Target="https://youtu.be/8D8pZtxecYI?t=1709" TargetMode="External"/><Relationship Id="rId287" Type="http://schemas.openxmlformats.org/officeDocument/2006/relationships/hyperlink" Target="https://youtu.be/eBezB-g_-rA?t=2918" TargetMode="External"/><Relationship Id="rId51" Type="http://schemas.openxmlformats.org/officeDocument/2006/relationships/hyperlink" Target="https://youtu.be/OWUAGCrPUu4?t=4429" TargetMode="External"/><Relationship Id="rId50" Type="http://schemas.openxmlformats.org/officeDocument/2006/relationships/hyperlink" Target="https://youtu.be/brWW7fIWkHo?t=4419" TargetMode="External"/><Relationship Id="rId53" Type="http://schemas.openxmlformats.org/officeDocument/2006/relationships/hyperlink" Target="https://youtu.be/OWUAGCrPUu4?t=5328" TargetMode="External"/><Relationship Id="rId52" Type="http://schemas.openxmlformats.org/officeDocument/2006/relationships/hyperlink" Target="https://youtu.be/brWW7fIWkHo?t=5309" TargetMode="External"/><Relationship Id="rId55" Type="http://schemas.openxmlformats.org/officeDocument/2006/relationships/hyperlink" Target="https://youtu.be/OWUAGCrPUu4?t=6170" TargetMode="External"/><Relationship Id="rId161" Type="http://schemas.openxmlformats.org/officeDocument/2006/relationships/hyperlink" Target="https://youtu.be/57b5Q9ZbGwk" TargetMode="External"/><Relationship Id="rId282" Type="http://schemas.openxmlformats.org/officeDocument/2006/relationships/hyperlink" Target="https://youtu.be/GmdxLS9cSFI" TargetMode="External"/><Relationship Id="rId54" Type="http://schemas.openxmlformats.org/officeDocument/2006/relationships/hyperlink" Target="https://youtu.be/brWW7fIWkHo?t=6153" TargetMode="External"/><Relationship Id="rId160" Type="http://schemas.openxmlformats.org/officeDocument/2006/relationships/hyperlink" Target="https://youtu.be/P31Kj7m2_aw?t=8052" TargetMode="External"/><Relationship Id="rId281" Type="http://schemas.openxmlformats.org/officeDocument/2006/relationships/hyperlink" Target="https://youtu.be/eBezB-g_-rA" TargetMode="External"/><Relationship Id="rId57" Type="http://schemas.openxmlformats.org/officeDocument/2006/relationships/hyperlink" Target="https://youtu.be/OWUAGCrPUu4?t=7071" TargetMode="External"/><Relationship Id="rId280" Type="http://schemas.openxmlformats.org/officeDocument/2006/relationships/hyperlink" Target="https://youtu.be/fvtSGblXnAI?t=7974" TargetMode="External"/><Relationship Id="rId56" Type="http://schemas.openxmlformats.org/officeDocument/2006/relationships/hyperlink" Target="https://youtu.be/brWW7fIWkHo?t=7051" TargetMode="External"/><Relationship Id="rId159" Type="http://schemas.openxmlformats.org/officeDocument/2006/relationships/hyperlink" Target="https://youtu.be/D7-FXG28xQc?t=8105" TargetMode="External"/><Relationship Id="rId59" Type="http://schemas.openxmlformats.org/officeDocument/2006/relationships/hyperlink" Target="https://youtu.be/OWUAGCrPUu4?t=7975" TargetMode="External"/><Relationship Id="rId154" Type="http://schemas.openxmlformats.org/officeDocument/2006/relationships/hyperlink" Target="https://youtu.be/P31Kj7m2_aw?t=5408" TargetMode="External"/><Relationship Id="rId275" Type="http://schemas.openxmlformats.org/officeDocument/2006/relationships/hyperlink" Target="https://youtu.be/JhXqcQ58u1g?t=6405" TargetMode="External"/><Relationship Id="rId58" Type="http://schemas.openxmlformats.org/officeDocument/2006/relationships/hyperlink" Target="https://youtu.be/brWW7fIWkHo?t=7053" TargetMode="External"/><Relationship Id="rId153" Type="http://schemas.openxmlformats.org/officeDocument/2006/relationships/hyperlink" Target="https://youtu.be/D7-FXG28xQc?t=5463" TargetMode="External"/><Relationship Id="rId274" Type="http://schemas.openxmlformats.org/officeDocument/2006/relationships/hyperlink" Target="https://youtu.be/fvtSGblXnAI?t=5340" TargetMode="External"/><Relationship Id="rId152" Type="http://schemas.openxmlformats.org/officeDocument/2006/relationships/hyperlink" Target="https://youtu.be/P31Kj7m2_aw?t=4512" TargetMode="External"/><Relationship Id="rId273" Type="http://schemas.openxmlformats.org/officeDocument/2006/relationships/hyperlink" Target="https://youtu.be/JhXqcQ58u1g?t=5564" TargetMode="External"/><Relationship Id="rId151" Type="http://schemas.openxmlformats.org/officeDocument/2006/relationships/hyperlink" Target="https://youtu.be/D7-FXG28xQc?t=4586" TargetMode="External"/><Relationship Id="rId272" Type="http://schemas.openxmlformats.org/officeDocument/2006/relationships/hyperlink" Target="https://youtu.be/fvtSGblXnAI?t=4440" TargetMode="External"/><Relationship Id="rId158" Type="http://schemas.openxmlformats.org/officeDocument/2006/relationships/hyperlink" Target="https://youtu.be/P31Kj7m2_aw?t=7160" TargetMode="External"/><Relationship Id="rId279" Type="http://schemas.openxmlformats.org/officeDocument/2006/relationships/hyperlink" Target="https://youtu.be/JhXqcQ58u1g?t=8194" TargetMode="External"/><Relationship Id="rId157" Type="http://schemas.openxmlformats.org/officeDocument/2006/relationships/hyperlink" Target="https://youtu.be/D7-FXG28xQc?t=7207" TargetMode="External"/><Relationship Id="rId278" Type="http://schemas.openxmlformats.org/officeDocument/2006/relationships/hyperlink" Target="https://youtu.be/fvtSGblXnAI?t=7082" TargetMode="External"/><Relationship Id="rId156" Type="http://schemas.openxmlformats.org/officeDocument/2006/relationships/hyperlink" Target="https://youtu.be/P31Kj7m2_aw?t=6255" TargetMode="External"/><Relationship Id="rId277" Type="http://schemas.openxmlformats.org/officeDocument/2006/relationships/hyperlink" Target="https://youtu.be/JhXqcQ58u1g?t=7306" TargetMode="External"/><Relationship Id="rId155" Type="http://schemas.openxmlformats.org/officeDocument/2006/relationships/hyperlink" Target="https://youtu.be/D7-FXG28xQc?t=6311" TargetMode="External"/><Relationship Id="rId276" Type="http://schemas.openxmlformats.org/officeDocument/2006/relationships/hyperlink" Target="https://youtu.be/fvtSGblXnAI?t=6179" TargetMode="External"/><Relationship Id="rId107" Type="http://schemas.openxmlformats.org/officeDocument/2006/relationships/hyperlink" Target="https://youtu.be/HzU6qHHrHWw?t=2751" TargetMode="External"/><Relationship Id="rId228" Type="http://schemas.openxmlformats.org/officeDocument/2006/relationships/hyperlink" Target="https://youtu.be/FD2kuFdPhqY?t=2684" TargetMode="External"/><Relationship Id="rId349" Type="http://schemas.openxmlformats.org/officeDocument/2006/relationships/hyperlink" Target="https://youtu.be/iuS1qCHGraU?t=3641" TargetMode="External"/><Relationship Id="rId106" Type="http://schemas.openxmlformats.org/officeDocument/2006/relationships/hyperlink" Target="https://youtu.be/ELOZjDZtbao?t=1847" TargetMode="External"/><Relationship Id="rId227" Type="http://schemas.openxmlformats.org/officeDocument/2006/relationships/hyperlink" Target="https://youtu.be/jCZ3nVEjHZI?t=2701" TargetMode="External"/><Relationship Id="rId348" Type="http://schemas.openxmlformats.org/officeDocument/2006/relationships/hyperlink" Target="https://youtu.be/IHA9Ax6lI0Q?t=2630" TargetMode="External"/><Relationship Id="rId105" Type="http://schemas.openxmlformats.org/officeDocument/2006/relationships/hyperlink" Target="https://youtu.be/HzU6qHHrHWw?t=1953" TargetMode="External"/><Relationship Id="rId226" Type="http://schemas.openxmlformats.org/officeDocument/2006/relationships/hyperlink" Target="https://youtu.be/FD2kuFdPhqY?t=1788" TargetMode="External"/><Relationship Id="rId347" Type="http://schemas.openxmlformats.org/officeDocument/2006/relationships/hyperlink" Target="https://youtu.be/iuS1qCHGraU?t=2795" TargetMode="External"/><Relationship Id="rId104" Type="http://schemas.openxmlformats.org/officeDocument/2006/relationships/hyperlink" Target="https://youtu.be/ELOZjDZtbao?t=987" TargetMode="External"/><Relationship Id="rId225" Type="http://schemas.openxmlformats.org/officeDocument/2006/relationships/hyperlink" Target="https://youtu.be/jCZ3nVEjHZI?t=1805" TargetMode="External"/><Relationship Id="rId346" Type="http://schemas.openxmlformats.org/officeDocument/2006/relationships/hyperlink" Target="https://youtu.be/IHA9Ax6lI0Q?t=1729" TargetMode="External"/><Relationship Id="rId109" Type="http://schemas.openxmlformats.org/officeDocument/2006/relationships/hyperlink" Target="https://youtu.be/HzU6qHHrHWw?t=3613" TargetMode="External"/><Relationship Id="rId108" Type="http://schemas.openxmlformats.org/officeDocument/2006/relationships/hyperlink" Target="https://youtu.be/ELOZjDZtbao?t=2688" TargetMode="External"/><Relationship Id="rId229" Type="http://schemas.openxmlformats.org/officeDocument/2006/relationships/hyperlink" Target="https://youtu.be/jCZ3nVEjHZI?t=3543" TargetMode="External"/><Relationship Id="rId220" Type="http://schemas.openxmlformats.org/officeDocument/2006/relationships/hyperlink" Target="https://youtu.be/W8928X-XWe8?t=7619" TargetMode="External"/><Relationship Id="rId341" Type="http://schemas.openxmlformats.org/officeDocument/2006/relationships/hyperlink" Target="https://youtu.be/iuS1qCHGraU" TargetMode="External"/><Relationship Id="rId340" Type="http://schemas.openxmlformats.org/officeDocument/2006/relationships/hyperlink" Target="https://youtu.be/8fqiZ6QVH1E?t=7986" TargetMode="External"/><Relationship Id="rId103" Type="http://schemas.openxmlformats.org/officeDocument/2006/relationships/hyperlink" Target="https://youtu.be/HzU6qHHrHWw?t=1001" TargetMode="External"/><Relationship Id="rId224" Type="http://schemas.openxmlformats.org/officeDocument/2006/relationships/hyperlink" Target="https://youtu.be/FD2kuFdPhqY?t=887" TargetMode="External"/><Relationship Id="rId345" Type="http://schemas.openxmlformats.org/officeDocument/2006/relationships/hyperlink" Target="https://youtu.be/iuS1qCHGraU?t=1894" TargetMode="External"/><Relationship Id="rId102" Type="http://schemas.openxmlformats.org/officeDocument/2006/relationships/hyperlink" Target="https://youtu.be/ELOZjDZtbao" TargetMode="External"/><Relationship Id="rId223" Type="http://schemas.openxmlformats.org/officeDocument/2006/relationships/hyperlink" Target="https://youtu.be/jCZ3nVEjHZI?t=915" TargetMode="External"/><Relationship Id="rId344" Type="http://schemas.openxmlformats.org/officeDocument/2006/relationships/hyperlink" Target="https://youtu.be/IHA9Ax6lI0Q?t=830" TargetMode="External"/><Relationship Id="rId101" Type="http://schemas.openxmlformats.org/officeDocument/2006/relationships/hyperlink" Target="https://youtu.be/HzU6qHHrHWw" TargetMode="External"/><Relationship Id="rId222" Type="http://schemas.openxmlformats.org/officeDocument/2006/relationships/hyperlink" Target="https://youtu.be/FD2kuFdPhqY" TargetMode="External"/><Relationship Id="rId343" Type="http://schemas.openxmlformats.org/officeDocument/2006/relationships/hyperlink" Target="https://youtu.be/iuS1qCHGraU?t=994" TargetMode="External"/><Relationship Id="rId100" Type="http://schemas.openxmlformats.org/officeDocument/2006/relationships/hyperlink" Target="https://youtu.be/Ug4h1Kn6SzI?t=7831" TargetMode="External"/><Relationship Id="rId221" Type="http://schemas.openxmlformats.org/officeDocument/2006/relationships/hyperlink" Target="https://youtu.be/jCZ3nVEjHZI" TargetMode="External"/><Relationship Id="rId342" Type="http://schemas.openxmlformats.org/officeDocument/2006/relationships/hyperlink" Target="https://youtu.be/IHA9Ax6lI0Q" TargetMode="External"/><Relationship Id="rId217" Type="http://schemas.openxmlformats.org/officeDocument/2006/relationships/hyperlink" Target="https://youtu.be/4W9-DbAgKXI?t=6729" TargetMode="External"/><Relationship Id="rId338" Type="http://schemas.openxmlformats.org/officeDocument/2006/relationships/hyperlink" Target="https://youtu.be/8fqiZ6QVH1E?t=7086" TargetMode="External"/><Relationship Id="rId216" Type="http://schemas.openxmlformats.org/officeDocument/2006/relationships/hyperlink" Target="https://youtu.be/W8928X-XWe8?t=5969" TargetMode="External"/><Relationship Id="rId337" Type="http://schemas.openxmlformats.org/officeDocument/2006/relationships/hyperlink" Target="https://youtu.be/UqArZ6n-6Bc?t=7052" TargetMode="External"/><Relationship Id="rId215" Type="http://schemas.openxmlformats.org/officeDocument/2006/relationships/hyperlink" Target="https://youtu.be/4W9-DbAgKXI?t=5889" TargetMode="External"/><Relationship Id="rId336" Type="http://schemas.openxmlformats.org/officeDocument/2006/relationships/hyperlink" Target="https://youtu.be/8fqiZ6QVH1E?t=6185" TargetMode="External"/><Relationship Id="rId214" Type="http://schemas.openxmlformats.org/officeDocument/2006/relationships/hyperlink" Target="https://youtu.be/W8928X-XWe8?t=5065" TargetMode="External"/><Relationship Id="rId335" Type="http://schemas.openxmlformats.org/officeDocument/2006/relationships/hyperlink" Target="https://youtu.be/UqArZ6n-6Bc?t=6159" TargetMode="External"/><Relationship Id="rId219" Type="http://schemas.openxmlformats.org/officeDocument/2006/relationships/hyperlink" Target="https://youtu.be/4W9-DbAgKXI?t=7496" TargetMode="External"/><Relationship Id="rId218" Type="http://schemas.openxmlformats.org/officeDocument/2006/relationships/hyperlink" Target="https://youtu.be/W8928X-XWe8?t=6802" TargetMode="External"/><Relationship Id="rId339" Type="http://schemas.openxmlformats.org/officeDocument/2006/relationships/hyperlink" Target="https://youtu.be/UqArZ6n-6Bc?t=7955" TargetMode="External"/><Relationship Id="rId330" Type="http://schemas.openxmlformats.org/officeDocument/2006/relationships/hyperlink" Target="https://youtu.be/8fqiZ6QVH1E?t=3546" TargetMode="External"/><Relationship Id="rId213" Type="http://schemas.openxmlformats.org/officeDocument/2006/relationships/hyperlink" Target="https://youtu.be/4W9-DbAgKXI?t=5082" TargetMode="External"/><Relationship Id="rId334" Type="http://schemas.openxmlformats.org/officeDocument/2006/relationships/hyperlink" Target="https://youtu.be/8fqiZ6QVH1E?t=5345" TargetMode="External"/><Relationship Id="rId212" Type="http://schemas.openxmlformats.org/officeDocument/2006/relationships/hyperlink" Target="https://youtu.be/W8928X-XWe8?t=4232" TargetMode="External"/><Relationship Id="rId333" Type="http://schemas.openxmlformats.org/officeDocument/2006/relationships/hyperlink" Target="https://youtu.be/UqArZ6n-6Bc?t=5311" TargetMode="External"/><Relationship Id="rId211" Type="http://schemas.openxmlformats.org/officeDocument/2006/relationships/hyperlink" Target="https://youtu.be/4W9-DbAgKXI?t=4275" TargetMode="External"/><Relationship Id="rId332" Type="http://schemas.openxmlformats.org/officeDocument/2006/relationships/hyperlink" Target="https://youtu.be/8fqiZ6QVH1E?t=4446" TargetMode="External"/><Relationship Id="rId210" Type="http://schemas.openxmlformats.org/officeDocument/2006/relationships/hyperlink" Target="https://youtu.be/W8928X-XWe8?t=3386" TargetMode="External"/><Relationship Id="rId331" Type="http://schemas.openxmlformats.org/officeDocument/2006/relationships/hyperlink" Target="https://youtu.be/UqArZ6n-6Bc?t=4420" TargetMode="External"/><Relationship Id="rId129" Type="http://schemas.openxmlformats.org/officeDocument/2006/relationships/hyperlink" Target="https://youtu.be/vUMVBKKPaAU?t=3583" TargetMode="External"/><Relationship Id="rId128" Type="http://schemas.openxmlformats.org/officeDocument/2006/relationships/hyperlink" Target="https://youtu.be/adPZY5aUJOc?t=2617" TargetMode="External"/><Relationship Id="rId249" Type="http://schemas.openxmlformats.org/officeDocument/2006/relationships/hyperlink" Target="https://youtu.be/Da_6OrptrjQ?t=3665" TargetMode="External"/><Relationship Id="rId127" Type="http://schemas.openxmlformats.org/officeDocument/2006/relationships/hyperlink" Target="https://youtu.be/vUMVBKKPaAU?t=2707" TargetMode="External"/><Relationship Id="rId248" Type="http://schemas.openxmlformats.org/officeDocument/2006/relationships/hyperlink" Target="https://youtu.be/E9bha3bH_ag?t=2589" TargetMode="External"/><Relationship Id="rId126" Type="http://schemas.openxmlformats.org/officeDocument/2006/relationships/hyperlink" Target="https://youtu.be/adPZY5aUJOc?t=1715" TargetMode="External"/><Relationship Id="rId247" Type="http://schemas.openxmlformats.org/officeDocument/2006/relationships/hyperlink" Target="https://youtu.be/Da_6OrptrjQ?t=2796" TargetMode="External"/><Relationship Id="rId121" Type="http://schemas.openxmlformats.org/officeDocument/2006/relationships/hyperlink" Target="https://youtu.be/vUMVBKKPaAU" TargetMode="External"/><Relationship Id="rId242" Type="http://schemas.openxmlformats.org/officeDocument/2006/relationships/hyperlink" Target="https://youtu.be/E9bha3bH_ag" TargetMode="External"/><Relationship Id="rId120" Type="http://schemas.openxmlformats.org/officeDocument/2006/relationships/hyperlink" Target="https://youtu.be/ELOZjDZtbao?t=7962" TargetMode="External"/><Relationship Id="rId241" Type="http://schemas.openxmlformats.org/officeDocument/2006/relationships/hyperlink" Target="https://youtu.be/Da_6OrptrjQ" TargetMode="External"/><Relationship Id="rId240" Type="http://schemas.openxmlformats.org/officeDocument/2006/relationships/hyperlink" Target="https://youtu.be/FD2kuFdPhqY?t=7965" TargetMode="External"/><Relationship Id="rId361" Type="http://schemas.openxmlformats.org/officeDocument/2006/relationships/drawing" Target="../drawings/drawing6.xml"/><Relationship Id="rId360" Type="http://schemas.openxmlformats.org/officeDocument/2006/relationships/hyperlink" Target="https://youtu.be/IHA9Ax6lI0Q?t=7909" TargetMode="External"/><Relationship Id="rId125" Type="http://schemas.openxmlformats.org/officeDocument/2006/relationships/hyperlink" Target="https://youtu.be/vUMVBKKPaAU?t=1837" TargetMode="External"/><Relationship Id="rId246" Type="http://schemas.openxmlformats.org/officeDocument/2006/relationships/hyperlink" Target="https://youtu.be/E9bha3bH_ag?t=1750" TargetMode="External"/><Relationship Id="rId124" Type="http://schemas.openxmlformats.org/officeDocument/2006/relationships/hyperlink" Target="https://youtu.be/adPZY5aUJOc?t=823" TargetMode="External"/><Relationship Id="rId245" Type="http://schemas.openxmlformats.org/officeDocument/2006/relationships/hyperlink" Target="https://youtu.be/Da_6OrptrjQ?t=1974" TargetMode="External"/><Relationship Id="rId123" Type="http://schemas.openxmlformats.org/officeDocument/2006/relationships/hyperlink" Target="https://youtu.be/vUMVBKKPaAU?t=890" TargetMode="External"/><Relationship Id="rId244" Type="http://schemas.openxmlformats.org/officeDocument/2006/relationships/hyperlink" Target="https://youtu.be/E9bha3bH_ag?t=933" TargetMode="External"/><Relationship Id="rId122" Type="http://schemas.openxmlformats.org/officeDocument/2006/relationships/hyperlink" Target="https://youtu.be/adPZY5aUJOc" TargetMode="External"/><Relationship Id="rId243" Type="http://schemas.openxmlformats.org/officeDocument/2006/relationships/hyperlink" Target="https://youtu.be/Da_6OrptrjQ?t=1097" TargetMode="External"/><Relationship Id="rId95" Type="http://schemas.openxmlformats.org/officeDocument/2006/relationships/hyperlink" Target="https://youtu.be/ndpTkuxo0v4?t=6182" TargetMode="External"/><Relationship Id="rId94" Type="http://schemas.openxmlformats.org/officeDocument/2006/relationships/hyperlink" Target="https://youtu.be/Ug4h1Kn6SzI?t=5216" TargetMode="External"/><Relationship Id="rId97" Type="http://schemas.openxmlformats.org/officeDocument/2006/relationships/hyperlink" Target="https://youtu.be/ndpTkuxo0v4?t=7078" TargetMode="External"/><Relationship Id="rId96" Type="http://schemas.openxmlformats.org/officeDocument/2006/relationships/hyperlink" Target="https://youtu.be/Ug4h1Kn6SzI?t=6060" TargetMode="External"/><Relationship Id="rId99" Type="http://schemas.openxmlformats.org/officeDocument/2006/relationships/hyperlink" Target="https://youtu.be/ndpTkuxo0v4?t=7925" TargetMode="External"/><Relationship Id="rId98" Type="http://schemas.openxmlformats.org/officeDocument/2006/relationships/hyperlink" Target="https://youtu.be/Ug4h1Kn6SzI?t=6951" TargetMode="External"/><Relationship Id="rId91" Type="http://schemas.openxmlformats.org/officeDocument/2006/relationships/hyperlink" Target="https://youtu.be/ndpTkuxo0v4?t=4552" TargetMode="External"/><Relationship Id="rId90" Type="http://schemas.openxmlformats.org/officeDocument/2006/relationships/hyperlink" Target="https://youtu.be/Ug4h1Kn6SzI?t=3469" TargetMode="External"/><Relationship Id="rId93" Type="http://schemas.openxmlformats.org/officeDocument/2006/relationships/hyperlink" Target="https://youtu.be/ndpTkuxo0v4?t=5405" TargetMode="External"/><Relationship Id="rId92" Type="http://schemas.openxmlformats.org/officeDocument/2006/relationships/hyperlink" Target="https://youtu.be/Ug4h1Kn6SzI?t=4337" TargetMode="External"/><Relationship Id="rId118" Type="http://schemas.openxmlformats.org/officeDocument/2006/relationships/hyperlink" Target="https://youtu.be/ELOZjDZtbao?t=7078" TargetMode="External"/><Relationship Id="rId239" Type="http://schemas.openxmlformats.org/officeDocument/2006/relationships/hyperlink" Target="https://youtu.be/jCZ3nVEjHZI?t=7981" TargetMode="External"/><Relationship Id="rId117" Type="http://schemas.openxmlformats.org/officeDocument/2006/relationships/hyperlink" Target="https://youtu.be/HzU6qHHrHWw?t=7182" TargetMode="External"/><Relationship Id="rId238" Type="http://schemas.openxmlformats.org/officeDocument/2006/relationships/hyperlink" Target="https://youtu.be/FD2kuFdPhqY?t=7064" TargetMode="External"/><Relationship Id="rId359" Type="http://schemas.openxmlformats.org/officeDocument/2006/relationships/hyperlink" Target="https://youtu.be/iuS1qCHGraU?t=8079" TargetMode="External"/><Relationship Id="rId116" Type="http://schemas.openxmlformats.org/officeDocument/2006/relationships/hyperlink" Target="https://youtu.be/ELOZjDZtbao?t=6158" TargetMode="External"/><Relationship Id="rId237" Type="http://schemas.openxmlformats.org/officeDocument/2006/relationships/hyperlink" Target="https://youtu.be/jCZ3nVEjHZI?t=7072" TargetMode="External"/><Relationship Id="rId358" Type="http://schemas.openxmlformats.org/officeDocument/2006/relationships/hyperlink" Target="https://youtu.be/IHA9Ax6lI0Q?t=7038" TargetMode="External"/><Relationship Id="rId115" Type="http://schemas.openxmlformats.org/officeDocument/2006/relationships/hyperlink" Target="https://youtu.be/HzU6qHHrHWw?t=6278" TargetMode="External"/><Relationship Id="rId236" Type="http://schemas.openxmlformats.org/officeDocument/2006/relationships/hyperlink" Target="https://youtu.be/FD2kuFdPhqY?t=6173" TargetMode="External"/><Relationship Id="rId357" Type="http://schemas.openxmlformats.org/officeDocument/2006/relationships/hyperlink" Target="https://youtu.be/iuS1qCHGraU?t=7205" TargetMode="External"/><Relationship Id="rId119" Type="http://schemas.openxmlformats.org/officeDocument/2006/relationships/hyperlink" Target="https://youtu.be/HzU6qHHrHWw?t=8053" TargetMode="External"/><Relationship Id="rId110" Type="http://schemas.openxmlformats.org/officeDocument/2006/relationships/hyperlink" Target="https://youtu.be/ELOZjDZtbao?t=3572" TargetMode="External"/><Relationship Id="rId231" Type="http://schemas.openxmlformats.org/officeDocument/2006/relationships/hyperlink" Target="https://youtu.be/jCZ3nVEjHZI?t=4437" TargetMode="External"/><Relationship Id="rId352" Type="http://schemas.openxmlformats.org/officeDocument/2006/relationships/hyperlink" Target="https://youtu.be/IHA9Ax6lI0Q?t=4370" TargetMode="External"/><Relationship Id="rId230" Type="http://schemas.openxmlformats.org/officeDocument/2006/relationships/hyperlink" Target="https://youtu.be/FD2kuFdPhqY?t=3526" TargetMode="External"/><Relationship Id="rId351" Type="http://schemas.openxmlformats.org/officeDocument/2006/relationships/hyperlink" Target="https://youtu.be/iuS1qCHGraU?t=4536" TargetMode="External"/><Relationship Id="rId350" Type="http://schemas.openxmlformats.org/officeDocument/2006/relationships/hyperlink" Target="https://youtu.be/IHA9Ax6lI0Q?t=3468" TargetMode="External"/><Relationship Id="rId114" Type="http://schemas.openxmlformats.org/officeDocument/2006/relationships/hyperlink" Target="https://youtu.be/ELOZjDZtbao?t=5316" TargetMode="External"/><Relationship Id="rId235" Type="http://schemas.openxmlformats.org/officeDocument/2006/relationships/hyperlink" Target="https://youtu.be/jCZ3nVEjHZI?t=6200" TargetMode="External"/><Relationship Id="rId356" Type="http://schemas.openxmlformats.org/officeDocument/2006/relationships/hyperlink" Target="https://youtu.be/IHA9Ax6lI0Q?t=6109" TargetMode="External"/><Relationship Id="rId113" Type="http://schemas.openxmlformats.org/officeDocument/2006/relationships/hyperlink" Target="https://youtu.be/HzU6qHHrHWw?t=5426" TargetMode="External"/><Relationship Id="rId234" Type="http://schemas.openxmlformats.org/officeDocument/2006/relationships/hyperlink" Target="https://youtu.be/FD2kuFdPhqY?t=5326" TargetMode="External"/><Relationship Id="rId355" Type="http://schemas.openxmlformats.org/officeDocument/2006/relationships/hyperlink" Target="https://youtu.be/iuS1qCHGraU?t=6378" TargetMode="External"/><Relationship Id="rId112" Type="http://schemas.openxmlformats.org/officeDocument/2006/relationships/hyperlink" Target="https://youtu.be/ELOZjDZtbao?t=4428" TargetMode="External"/><Relationship Id="rId233" Type="http://schemas.openxmlformats.org/officeDocument/2006/relationships/hyperlink" Target="https://youtu.be/jCZ3nVEjHZI?t=5332" TargetMode="External"/><Relationship Id="rId354" Type="http://schemas.openxmlformats.org/officeDocument/2006/relationships/hyperlink" Target="https://youtu.be/IHA9Ax6lI0Q?t=5269" TargetMode="External"/><Relationship Id="rId111" Type="http://schemas.openxmlformats.org/officeDocument/2006/relationships/hyperlink" Target="https://youtu.be/HzU6qHHrHWw?t=4519" TargetMode="External"/><Relationship Id="rId232" Type="http://schemas.openxmlformats.org/officeDocument/2006/relationships/hyperlink" Target="https://youtu.be/FD2kuFdPhqY?t=4429" TargetMode="External"/><Relationship Id="rId353" Type="http://schemas.openxmlformats.org/officeDocument/2006/relationships/hyperlink" Target="https://youtu.be/iuS1qCHGraU?t=5437" TargetMode="External"/><Relationship Id="rId305" Type="http://schemas.openxmlformats.org/officeDocument/2006/relationships/hyperlink" Target="https://youtu.be/SCAiZWJAdz4?t=1794" TargetMode="External"/><Relationship Id="rId304" Type="http://schemas.openxmlformats.org/officeDocument/2006/relationships/hyperlink" Target="https://youtu.be/zlOvJOZc904?t=892" TargetMode="External"/><Relationship Id="rId303" Type="http://schemas.openxmlformats.org/officeDocument/2006/relationships/hyperlink" Target="https://youtu.be/SCAiZWJAdz4?t=1001" TargetMode="External"/><Relationship Id="rId302" Type="http://schemas.openxmlformats.org/officeDocument/2006/relationships/hyperlink" Target="https://youtu.be/zlOvJOZc904" TargetMode="External"/><Relationship Id="rId309" Type="http://schemas.openxmlformats.org/officeDocument/2006/relationships/hyperlink" Target="https://youtu.be/SCAiZWJAdz4?t=3478" TargetMode="External"/><Relationship Id="rId308" Type="http://schemas.openxmlformats.org/officeDocument/2006/relationships/hyperlink" Target="https://youtu.be/zlOvJOZc904?t=2696" TargetMode="External"/><Relationship Id="rId307" Type="http://schemas.openxmlformats.org/officeDocument/2006/relationships/hyperlink" Target="https://youtu.be/SCAiZWJAdz4?t=2633" TargetMode="External"/><Relationship Id="rId306" Type="http://schemas.openxmlformats.org/officeDocument/2006/relationships/hyperlink" Target="https://youtu.be/zlOvJOZc904?t=1791" TargetMode="External"/><Relationship Id="rId301" Type="http://schemas.openxmlformats.org/officeDocument/2006/relationships/hyperlink" Target="https://youtu.be/SCAiZWJAdz4" TargetMode="External"/><Relationship Id="rId300" Type="http://schemas.openxmlformats.org/officeDocument/2006/relationships/hyperlink" Target="https://youtu.be/GmdxLS9cSFI?t=7985" TargetMode="External"/><Relationship Id="rId206" Type="http://schemas.openxmlformats.org/officeDocument/2006/relationships/hyperlink" Target="https://youtu.be/W8928X-XWe8?t=1779" TargetMode="External"/><Relationship Id="rId327" Type="http://schemas.openxmlformats.org/officeDocument/2006/relationships/hyperlink" Target="https://youtu.be/UqArZ6n-6Bc?t=2671" TargetMode="External"/><Relationship Id="rId205" Type="http://schemas.openxmlformats.org/officeDocument/2006/relationships/hyperlink" Target="https://youtu.be/4W9-DbAgKXI?t=1720" TargetMode="External"/><Relationship Id="rId326" Type="http://schemas.openxmlformats.org/officeDocument/2006/relationships/hyperlink" Target="https://youtu.be/8fqiZ6QVH1E?t=1806" TargetMode="External"/><Relationship Id="rId204" Type="http://schemas.openxmlformats.org/officeDocument/2006/relationships/hyperlink" Target="https://youtu.be/W8928X-XWe8?t=875" TargetMode="External"/><Relationship Id="rId325" Type="http://schemas.openxmlformats.org/officeDocument/2006/relationships/hyperlink" Target="https://youtu.be/UqArZ6n-6Bc?t=1779" TargetMode="External"/><Relationship Id="rId203" Type="http://schemas.openxmlformats.org/officeDocument/2006/relationships/hyperlink" Target="https://youtu.be/4W9-DbAgKXI?t=840" TargetMode="External"/><Relationship Id="rId324" Type="http://schemas.openxmlformats.org/officeDocument/2006/relationships/hyperlink" Target="https://youtu.be/8fqiZ6QVH1E?t=906" TargetMode="External"/><Relationship Id="rId209" Type="http://schemas.openxmlformats.org/officeDocument/2006/relationships/hyperlink" Target="https://youtu.be/4W9-DbAgKXI?t=3374" TargetMode="External"/><Relationship Id="rId208" Type="http://schemas.openxmlformats.org/officeDocument/2006/relationships/hyperlink" Target="https://youtu.be/W8928X-XWe8?t=2554" TargetMode="External"/><Relationship Id="rId329" Type="http://schemas.openxmlformats.org/officeDocument/2006/relationships/hyperlink" Target="https://youtu.be/UqArZ6n-6Bc?t=3516" TargetMode="External"/><Relationship Id="rId207" Type="http://schemas.openxmlformats.org/officeDocument/2006/relationships/hyperlink" Target="https://youtu.be/4W9-DbAgKXI?t=2547" TargetMode="External"/><Relationship Id="rId328" Type="http://schemas.openxmlformats.org/officeDocument/2006/relationships/hyperlink" Target="https://youtu.be/8fqiZ6QVH1E?t=2707" TargetMode="External"/><Relationship Id="rId202" Type="http://schemas.openxmlformats.org/officeDocument/2006/relationships/hyperlink" Target="https://youtu.be/W8928X-XWe8" TargetMode="External"/><Relationship Id="rId323" Type="http://schemas.openxmlformats.org/officeDocument/2006/relationships/hyperlink" Target="https://youtu.be/UqArZ6n-6Bc?t=903" TargetMode="External"/><Relationship Id="rId201" Type="http://schemas.openxmlformats.org/officeDocument/2006/relationships/hyperlink" Target="https://youtu.be/4W9-DbAgKXI" TargetMode="External"/><Relationship Id="rId322" Type="http://schemas.openxmlformats.org/officeDocument/2006/relationships/hyperlink" Target="https://youtu.be/8fqiZ6QVH1E" TargetMode="External"/><Relationship Id="rId200" Type="http://schemas.openxmlformats.org/officeDocument/2006/relationships/hyperlink" Target="https://youtu.be/O8vPOzhYpFM?t=8002" TargetMode="External"/><Relationship Id="rId321" Type="http://schemas.openxmlformats.org/officeDocument/2006/relationships/hyperlink" Target="https://youtu.be/UqArZ6n-6Bc" TargetMode="External"/><Relationship Id="rId320" Type="http://schemas.openxmlformats.org/officeDocument/2006/relationships/hyperlink" Target="https://youtu.be/zlOvJOZc904?t=7973" TargetMode="External"/><Relationship Id="rId316" Type="http://schemas.openxmlformats.org/officeDocument/2006/relationships/hyperlink" Target="https://youtu.be/zlOvJOZc904?t=6174" TargetMode="External"/><Relationship Id="rId315" Type="http://schemas.openxmlformats.org/officeDocument/2006/relationships/hyperlink" Target="https://youtu.be/SCAiZWJAdz4?t=6112" TargetMode="External"/><Relationship Id="rId314" Type="http://schemas.openxmlformats.org/officeDocument/2006/relationships/hyperlink" Target="https://youtu.be/zlOvJOZc904?t=5330" TargetMode="External"/><Relationship Id="rId313" Type="http://schemas.openxmlformats.org/officeDocument/2006/relationships/hyperlink" Target="https://youtu.be/SCAiZWJAdz4?t=5267" TargetMode="External"/><Relationship Id="rId319" Type="http://schemas.openxmlformats.org/officeDocument/2006/relationships/hyperlink" Target="https://youtu.be/SCAiZWJAdz4?t=7902" TargetMode="External"/><Relationship Id="rId318" Type="http://schemas.openxmlformats.org/officeDocument/2006/relationships/hyperlink" Target="https://youtu.be/zlOvJOZc904?t=7071" TargetMode="External"/><Relationship Id="rId317" Type="http://schemas.openxmlformats.org/officeDocument/2006/relationships/hyperlink" Target="https://youtu.be/SCAiZWJAdz4?t=7000" TargetMode="External"/><Relationship Id="rId312" Type="http://schemas.openxmlformats.org/officeDocument/2006/relationships/hyperlink" Target="https://youtu.be/zlOvJOZc904?t=4429" TargetMode="External"/><Relationship Id="rId311" Type="http://schemas.openxmlformats.org/officeDocument/2006/relationships/hyperlink" Target="https://youtu.be/SCAiZWJAdz4?t=4391" TargetMode="External"/><Relationship Id="rId310" Type="http://schemas.openxmlformats.org/officeDocument/2006/relationships/hyperlink" Target="https://youtu.be/zlOvJOZc904?t=3531" TargetMode="External"/></Relationships>
</file>

<file path=xl/worksheets/_rels/sheet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7FpUnhn2ATY?t=7899" TargetMode="External"/><Relationship Id="rId190" Type="http://schemas.openxmlformats.org/officeDocument/2006/relationships/hyperlink" Target="https://youtu.be/XxAMh6XAMfw?t=4635" TargetMode="External"/><Relationship Id="rId42" Type="http://schemas.openxmlformats.org/officeDocument/2006/relationships/hyperlink" Target="https://youtu.be/ccCCVrSMI00" TargetMode="External"/><Relationship Id="rId41" Type="http://schemas.openxmlformats.org/officeDocument/2006/relationships/hyperlink" Target="https://youtu.be/UcxOH4-kk_M" TargetMode="External"/><Relationship Id="rId44" Type="http://schemas.openxmlformats.org/officeDocument/2006/relationships/hyperlink" Target="https://youtu.be/ccCCVrSMI00?t=1010" TargetMode="External"/><Relationship Id="rId194" Type="http://schemas.openxmlformats.org/officeDocument/2006/relationships/hyperlink" Target="https://youtu.be/XxAMh6XAMfw?t=6430" TargetMode="External"/><Relationship Id="rId43" Type="http://schemas.openxmlformats.org/officeDocument/2006/relationships/hyperlink" Target="https://youtu.be/UcxOH4-kk_M?t=912" TargetMode="External"/><Relationship Id="rId193" Type="http://schemas.openxmlformats.org/officeDocument/2006/relationships/hyperlink" Target="https://youtu.be/2HReLePJPZk?t=5401" TargetMode="External"/><Relationship Id="rId46" Type="http://schemas.openxmlformats.org/officeDocument/2006/relationships/hyperlink" Target="https://youtu.be/ccCCVrSMI00?t=1901" TargetMode="External"/><Relationship Id="rId192" Type="http://schemas.openxmlformats.org/officeDocument/2006/relationships/hyperlink" Target="https://youtu.be/XxAMh6XAMfw?t=5543" TargetMode="External"/><Relationship Id="rId45" Type="http://schemas.openxmlformats.org/officeDocument/2006/relationships/hyperlink" Target="https://youtu.be/UcxOH4-kk_M?t=1801" TargetMode="External"/><Relationship Id="rId191" Type="http://schemas.openxmlformats.org/officeDocument/2006/relationships/hyperlink" Target="https://youtu.be/2HReLePJPZk?t=4505" TargetMode="External"/><Relationship Id="rId48" Type="http://schemas.openxmlformats.org/officeDocument/2006/relationships/hyperlink" Target="https://youtu.be/ccCCVrSMI00?t=2799" TargetMode="External"/><Relationship Id="rId187" Type="http://schemas.openxmlformats.org/officeDocument/2006/relationships/hyperlink" Target="https://youtu.be/2HReLePJPZk?t=2761" TargetMode="External"/><Relationship Id="rId47" Type="http://schemas.openxmlformats.org/officeDocument/2006/relationships/hyperlink" Target="https://youtu.be/UcxOH4-kk_M?t=2694" TargetMode="External"/><Relationship Id="rId186" Type="http://schemas.openxmlformats.org/officeDocument/2006/relationships/hyperlink" Target="https://youtu.be/XxAMh6XAMfw?t=2897" TargetMode="External"/><Relationship Id="rId185" Type="http://schemas.openxmlformats.org/officeDocument/2006/relationships/hyperlink" Target="https://youtu.be/2HReLePJPZk?t=1865" TargetMode="External"/><Relationship Id="rId49" Type="http://schemas.openxmlformats.org/officeDocument/2006/relationships/hyperlink" Target="https://youtu.be/UcxOH4-kk_M?t=3542" TargetMode="External"/><Relationship Id="rId184" Type="http://schemas.openxmlformats.org/officeDocument/2006/relationships/hyperlink" Target="https://youtu.be/XxAMh6XAMfw?t=2012" TargetMode="External"/><Relationship Id="rId189" Type="http://schemas.openxmlformats.org/officeDocument/2006/relationships/hyperlink" Target="https://youtu.be/2HReLePJPZk?t=3606" TargetMode="External"/><Relationship Id="rId188" Type="http://schemas.openxmlformats.org/officeDocument/2006/relationships/hyperlink" Target="https://youtu.be/XxAMh6XAMfw?t=3744" TargetMode="External"/><Relationship Id="rId31" Type="http://schemas.openxmlformats.org/officeDocument/2006/relationships/hyperlink" Target="https://youtu.be/sG4SNBBroIQ?t=4442" TargetMode="External"/><Relationship Id="rId30" Type="http://schemas.openxmlformats.org/officeDocument/2006/relationships/hyperlink" Target="https://youtu.be/7FpUnhn2ATY?t=3468" TargetMode="External"/><Relationship Id="rId33" Type="http://schemas.openxmlformats.org/officeDocument/2006/relationships/hyperlink" Target="https://youtu.be/sG4SNBBroIQ?t=5342" TargetMode="External"/><Relationship Id="rId183" Type="http://schemas.openxmlformats.org/officeDocument/2006/relationships/hyperlink" Target="https://youtu.be/2HReLePJPZk?t=962" TargetMode="External"/><Relationship Id="rId32" Type="http://schemas.openxmlformats.org/officeDocument/2006/relationships/hyperlink" Target="https://youtu.be/7FpUnhn2ATY?t=4360" TargetMode="External"/><Relationship Id="rId182" Type="http://schemas.openxmlformats.org/officeDocument/2006/relationships/hyperlink" Target="https://youtu.be/XxAMh6XAMfw?t=1128" TargetMode="External"/><Relationship Id="rId35" Type="http://schemas.openxmlformats.org/officeDocument/2006/relationships/hyperlink" Target="https://youtu.be/sG4SNBBroIQ?t=6181" TargetMode="External"/><Relationship Id="rId181" Type="http://schemas.openxmlformats.org/officeDocument/2006/relationships/hyperlink" Target="https://youtu.be/2HReLePJPZk" TargetMode="External"/><Relationship Id="rId34" Type="http://schemas.openxmlformats.org/officeDocument/2006/relationships/hyperlink" Target="https://youtu.be/7FpUnhn2ATY?t=5259" TargetMode="External"/><Relationship Id="rId180" Type="http://schemas.openxmlformats.org/officeDocument/2006/relationships/hyperlink" Target="https://youtu.be/XxAMh6XAMfw" TargetMode="External"/><Relationship Id="rId37" Type="http://schemas.openxmlformats.org/officeDocument/2006/relationships/hyperlink" Target="https://youtu.be/sG4SNBBroIQ?t=7082" TargetMode="External"/><Relationship Id="rId176" Type="http://schemas.openxmlformats.org/officeDocument/2006/relationships/hyperlink" Target="https://youtu.be/WjCslvpfaTU?t=7166" TargetMode="External"/><Relationship Id="rId297" Type="http://schemas.openxmlformats.org/officeDocument/2006/relationships/hyperlink" Target="https://youtu.be/N0dOogPEPyI?t=7076" TargetMode="External"/><Relationship Id="rId36" Type="http://schemas.openxmlformats.org/officeDocument/2006/relationships/hyperlink" Target="https://youtu.be/7FpUnhn2ATY?t=6142" TargetMode="External"/><Relationship Id="rId175" Type="http://schemas.openxmlformats.org/officeDocument/2006/relationships/hyperlink" Target="https://youtu.be/xnLPZgPD2Lc?t=6119" TargetMode="External"/><Relationship Id="rId296" Type="http://schemas.openxmlformats.org/officeDocument/2006/relationships/hyperlink" Target="https://youtu.be/vkjkHCk_CoA?t=7080" TargetMode="External"/><Relationship Id="rId39" Type="http://schemas.openxmlformats.org/officeDocument/2006/relationships/hyperlink" Target="https://youtu.be/sG4SNBBroIQ?t=7981" TargetMode="External"/><Relationship Id="rId174" Type="http://schemas.openxmlformats.org/officeDocument/2006/relationships/hyperlink" Target="https://youtu.be/WjCslvpfaTU?t=6278" TargetMode="External"/><Relationship Id="rId295" Type="http://schemas.openxmlformats.org/officeDocument/2006/relationships/hyperlink" Target="https://youtu.be/N0dOogPEPyI?t=6233" TargetMode="External"/><Relationship Id="rId38" Type="http://schemas.openxmlformats.org/officeDocument/2006/relationships/hyperlink" Target="https://youtu.be/7FpUnhn2ATY?t=6998" TargetMode="External"/><Relationship Id="rId173" Type="http://schemas.openxmlformats.org/officeDocument/2006/relationships/hyperlink" Target="https://youtu.be/xnLPZgPD2Lc?t=5269" TargetMode="External"/><Relationship Id="rId294" Type="http://schemas.openxmlformats.org/officeDocument/2006/relationships/hyperlink" Target="https://youtu.be/vkjkHCk_CoA?t=6183" TargetMode="External"/><Relationship Id="rId179" Type="http://schemas.openxmlformats.org/officeDocument/2006/relationships/hyperlink" Target="https://youtu.be/xnLPZgPD2Lc?t=7899" TargetMode="External"/><Relationship Id="rId178" Type="http://schemas.openxmlformats.org/officeDocument/2006/relationships/hyperlink" Target="https://youtu.be/WjCslvpfaTU?t=8064" TargetMode="External"/><Relationship Id="rId299" Type="http://schemas.openxmlformats.org/officeDocument/2006/relationships/hyperlink" Target="https://youtu.be/N0dOogPEPyI?t=7994" TargetMode="External"/><Relationship Id="rId177" Type="http://schemas.openxmlformats.org/officeDocument/2006/relationships/hyperlink" Target="https://youtu.be/xnLPZgPD2Lc?t=6999" TargetMode="External"/><Relationship Id="rId298" Type="http://schemas.openxmlformats.org/officeDocument/2006/relationships/hyperlink" Target="https://youtu.be/vkjkHCk_CoA?t=7981" TargetMode="External"/><Relationship Id="rId20" Type="http://schemas.openxmlformats.org/officeDocument/2006/relationships/hyperlink" Target="https://youtu.be/6NiF6wqG2CU?t=8080" TargetMode="External"/><Relationship Id="rId22" Type="http://schemas.openxmlformats.org/officeDocument/2006/relationships/hyperlink" Target="https://youtu.be/7FpUnhn2ATY" TargetMode="External"/><Relationship Id="rId21" Type="http://schemas.openxmlformats.org/officeDocument/2006/relationships/hyperlink" Target="https://youtu.be/sG4SNBBroIQ" TargetMode="External"/><Relationship Id="rId24" Type="http://schemas.openxmlformats.org/officeDocument/2006/relationships/hyperlink" Target="https://youtu.be/7FpUnhn2ATY?t=900" TargetMode="External"/><Relationship Id="rId23" Type="http://schemas.openxmlformats.org/officeDocument/2006/relationships/hyperlink" Target="https://youtu.be/sG4SNBBroIQ?t=935" TargetMode="External"/><Relationship Id="rId26" Type="http://schemas.openxmlformats.org/officeDocument/2006/relationships/hyperlink" Target="https://youtu.be/7FpUnhn2ATY?t=1752" TargetMode="External"/><Relationship Id="rId25" Type="http://schemas.openxmlformats.org/officeDocument/2006/relationships/hyperlink" Target="https://youtu.be/sG4SNBBroIQ?t=1830" TargetMode="External"/><Relationship Id="rId28" Type="http://schemas.openxmlformats.org/officeDocument/2006/relationships/hyperlink" Target="https://youtu.be/7FpUnhn2ATY?t=2644" TargetMode="External"/><Relationship Id="rId27" Type="http://schemas.openxmlformats.org/officeDocument/2006/relationships/hyperlink" Target="https://youtu.be/sG4SNBBroIQ?t=2702" TargetMode="External"/><Relationship Id="rId29" Type="http://schemas.openxmlformats.org/officeDocument/2006/relationships/hyperlink" Target="https://youtu.be/sG4SNBBroIQ?t=3545" TargetMode="External"/><Relationship Id="rId11" Type="http://schemas.openxmlformats.org/officeDocument/2006/relationships/hyperlink" Target="https://youtu.be/07jXWcgmotE?t=4499" TargetMode="External"/><Relationship Id="rId10" Type="http://schemas.openxmlformats.org/officeDocument/2006/relationships/hyperlink" Target="https://youtu.be/6NiF6wqG2CU?t=3640" TargetMode="External"/><Relationship Id="rId13" Type="http://schemas.openxmlformats.org/officeDocument/2006/relationships/hyperlink" Target="https://youtu.be/07jXWcgmotE?t=5368" TargetMode="External"/><Relationship Id="rId12" Type="http://schemas.openxmlformats.org/officeDocument/2006/relationships/hyperlink" Target="https://youtu.be/6NiF6wqG2CU?t=4540" TargetMode="External"/><Relationship Id="rId15" Type="http://schemas.openxmlformats.org/officeDocument/2006/relationships/hyperlink" Target="https://youtu.be/07jXWcgmotE?t=6208" TargetMode="External"/><Relationship Id="rId198" Type="http://schemas.openxmlformats.org/officeDocument/2006/relationships/hyperlink" Target="https://youtu.be/XxAMh6XAMfw?t=8172" TargetMode="External"/><Relationship Id="rId14" Type="http://schemas.openxmlformats.org/officeDocument/2006/relationships/hyperlink" Target="https://youtu.be/6NiF6wqG2CU?t=5445" TargetMode="External"/><Relationship Id="rId197" Type="http://schemas.openxmlformats.org/officeDocument/2006/relationships/hyperlink" Target="https://youtu.be/2HReLePJPZk?t=7144" TargetMode="External"/><Relationship Id="rId17" Type="http://schemas.openxmlformats.org/officeDocument/2006/relationships/hyperlink" Target="https://youtu.be/07jXWcgmotE?t=7119" TargetMode="External"/><Relationship Id="rId196" Type="http://schemas.openxmlformats.org/officeDocument/2006/relationships/hyperlink" Target="https://youtu.be/XxAMh6XAMfw?t=7270" TargetMode="External"/><Relationship Id="rId16" Type="http://schemas.openxmlformats.org/officeDocument/2006/relationships/hyperlink" Target="https://youtu.be/6NiF6wqG2CU?t=6280" TargetMode="External"/><Relationship Id="rId195" Type="http://schemas.openxmlformats.org/officeDocument/2006/relationships/hyperlink" Target="https://youtu.be/2HReLePJPZk?t=6242" TargetMode="External"/><Relationship Id="rId19" Type="http://schemas.openxmlformats.org/officeDocument/2006/relationships/hyperlink" Target="https://youtu.be/07jXWcgmotE?t=8010" TargetMode="External"/><Relationship Id="rId18" Type="http://schemas.openxmlformats.org/officeDocument/2006/relationships/hyperlink" Target="https://youtu.be/6NiF6wqG2CU?t=7180" TargetMode="External"/><Relationship Id="rId199" Type="http://schemas.openxmlformats.org/officeDocument/2006/relationships/hyperlink" Target="https://youtu.be/2HReLePJPZk?t=8041" TargetMode="External"/><Relationship Id="rId84" Type="http://schemas.openxmlformats.org/officeDocument/2006/relationships/hyperlink" Target="https://youtu.be/57_Otd7dcCw?t=1843" TargetMode="External"/><Relationship Id="rId83" Type="http://schemas.openxmlformats.org/officeDocument/2006/relationships/hyperlink" Target="https://youtu.be/IT53hWgwtNk?t=1025" TargetMode="External"/><Relationship Id="rId86" Type="http://schemas.openxmlformats.org/officeDocument/2006/relationships/hyperlink" Target="https://youtu.be/57_Otd7dcCw?t=2656" TargetMode="External"/><Relationship Id="rId85" Type="http://schemas.openxmlformats.org/officeDocument/2006/relationships/hyperlink" Target="https://youtu.be/IT53hWgwtNk?t=1845" TargetMode="External"/><Relationship Id="rId88" Type="http://schemas.openxmlformats.org/officeDocument/2006/relationships/hyperlink" Target="https://youtu.be/57_Otd7dcCw?t=3509" TargetMode="External"/><Relationship Id="rId150" Type="http://schemas.openxmlformats.org/officeDocument/2006/relationships/hyperlink" Target="https://youtu.be/xA7uLUaqTb0?t=530" TargetMode="External"/><Relationship Id="rId271" Type="http://schemas.openxmlformats.org/officeDocument/2006/relationships/hyperlink" Target="https://youtu.be/d_Ad0tpIwXY?t=4556" TargetMode="External"/><Relationship Id="rId87" Type="http://schemas.openxmlformats.org/officeDocument/2006/relationships/hyperlink" Target="https://youtu.be/IT53hWgwtNk?t=2687" TargetMode="External"/><Relationship Id="rId270" Type="http://schemas.openxmlformats.org/officeDocument/2006/relationships/hyperlink" Target="https://youtu.be/easX6SN9Ul4?t=4546" TargetMode="External"/><Relationship Id="rId89" Type="http://schemas.openxmlformats.org/officeDocument/2006/relationships/hyperlink" Target="https://youtu.be/IT53hWgwtNk?t=3550" TargetMode="External"/><Relationship Id="rId80" Type="http://schemas.openxmlformats.org/officeDocument/2006/relationships/hyperlink" Target="https://youtu.be/57_Otd7dcCw" TargetMode="External"/><Relationship Id="rId82" Type="http://schemas.openxmlformats.org/officeDocument/2006/relationships/hyperlink" Target="https://youtu.be/57_Otd7dcCw?t=921" TargetMode="External"/><Relationship Id="rId81" Type="http://schemas.openxmlformats.org/officeDocument/2006/relationships/hyperlink" Target="https://youtu.be/IT53hWgwtNk" TargetMode="External"/><Relationship Id="rId1" Type="http://schemas.openxmlformats.org/officeDocument/2006/relationships/hyperlink" Target="https://youtu.be/07jXWcgmotE" TargetMode="External"/><Relationship Id="rId2" Type="http://schemas.openxmlformats.org/officeDocument/2006/relationships/hyperlink" Target="https://youtu.be/6NiF6wqG2CU" TargetMode="External"/><Relationship Id="rId3" Type="http://schemas.openxmlformats.org/officeDocument/2006/relationships/hyperlink" Target="https://youtu.be/07jXWcgmotE?t=938" TargetMode="External"/><Relationship Id="rId149" Type="http://schemas.openxmlformats.org/officeDocument/2006/relationships/hyperlink" Target="https://youtu.be/iXSbxKMS1Ug?t=3479" TargetMode="External"/><Relationship Id="rId4" Type="http://schemas.openxmlformats.org/officeDocument/2006/relationships/hyperlink" Target="https://youtu.be/6NiF6wqG2CU?t=1000" TargetMode="External"/><Relationship Id="rId148" Type="http://schemas.openxmlformats.org/officeDocument/2006/relationships/hyperlink" Target="https://youtu.be/xA7uLUaqTb0" TargetMode="External"/><Relationship Id="rId269" Type="http://schemas.openxmlformats.org/officeDocument/2006/relationships/hyperlink" Target="https://youtu.be/d_Ad0tpIwXY?t=3735" TargetMode="External"/><Relationship Id="rId9" Type="http://schemas.openxmlformats.org/officeDocument/2006/relationships/hyperlink" Target="https://youtu.be/07jXWcgmotE?t=3612" TargetMode="External"/><Relationship Id="rId143" Type="http://schemas.openxmlformats.org/officeDocument/2006/relationships/hyperlink" Target="https://youtu.be/iXSbxKMS1Ug?t=845" TargetMode="External"/><Relationship Id="rId264" Type="http://schemas.openxmlformats.org/officeDocument/2006/relationships/hyperlink" Target="https://youtu.be/easX6SN9Ul4?t=1841" TargetMode="External"/><Relationship Id="rId142" Type="http://schemas.openxmlformats.org/officeDocument/2006/relationships/hyperlink" Target="https://youtu.be/7h3sX8VF-oQ?t=998" TargetMode="External"/><Relationship Id="rId263" Type="http://schemas.openxmlformats.org/officeDocument/2006/relationships/hyperlink" Target="https://youtu.be/d_Ad0tpIwXY?t=985" TargetMode="External"/><Relationship Id="rId141" Type="http://schemas.openxmlformats.org/officeDocument/2006/relationships/hyperlink" Target="https://youtu.be/iXSbxKMS1Ug" TargetMode="External"/><Relationship Id="rId262" Type="http://schemas.openxmlformats.org/officeDocument/2006/relationships/hyperlink" Target="https://youtu.be/easX6SN9Ul4?t=928" TargetMode="External"/><Relationship Id="rId140" Type="http://schemas.openxmlformats.org/officeDocument/2006/relationships/hyperlink" Target="https://youtu.be/7h3sX8VF-oQ" TargetMode="External"/><Relationship Id="rId261" Type="http://schemas.openxmlformats.org/officeDocument/2006/relationships/hyperlink" Target="https://youtu.be/d_Ad0tpIwXY" TargetMode="External"/><Relationship Id="rId5" Type="http://schemas.openxmlformats.org/officeDocument/2006/relationships/hyperlink" Target="https://youtu.be/07jXWcgmotE?t=1838" TargetMode="External"/><Relationship Id="rId147" Type="http://schemas.openxmlformats.org/officeDocument/2006/relationships/hyperlink" Target="https://youtu.be/iXSbxKMS1Ug?t=2552" TargetMode="External"/><Relationship Id="rId268" Type="http://schemas.openxmlformats.org/officeDocument/2006/relationships/hyperlink" Target="https://youtu.be/easX6SN9Ul4?t=3666" TargetMode="External"/><Relationship Id="rId6" Type="http://schemas.openxmlformats.org/officeDocument/2006/relationships/hyperlink" Target="https://youtu.be/6NiF6wqG2CU?t=1900" TargetMode="External"/><Relationship Id="rId146" Type="http://schemas.openxmlformats.org/officeDocument/2006/relationships/hyperlink" Target="https://youtu.be/7h3sX8VF-oQ?t=2709" TargetMode="External"/><Relationship Id="rId267" Type="http://schemas.openxmlformats.org/officeDocument/2006/relationships/hyperlink" Target="https://youtu.be/d_Ad0tpIwXY?t=2785" TargetMode="External"/><Relationship Id="rId7" Type="http://schemas.openxmlformats.org/officeDocument/2006/relationships/hyperlink" Target="https://youtu.be/07jXWcgmotE?t=2730" TargetMode="External"/><Relationship Id="rId145" Type="http://schemas.openxmlformats.org/officeDocument/2006/relationships/hyperlink" Target="https://youtu.be/iXSbxKMS1Ug?t=1719" TargetMode="External"/><Relationship Id="rId266" Type="http://schemas.openxmlformats.org/officeDocument/2006/relationships/hyperlink" Target="https://youtu.be/easX6SN9Ul4?t=2814" TargetMode="External"/><Relationship Id="rId8" Type="http://schemas.openxmlformats.org/officeDocument/2006/relationships/hyperlink" Target="https://youtu.be/6NiF6wqG2CU?t=2800" TargetMode="External"/><Relationship Id="rId144" Type="http://schemas.openxmlformats.org/officeDocument/2006/relationships/hyperlink" Target="https://youtu.be/7h3sX8VF-oQ?t=1885" TargetMode="External"/><Relationship Id="rId265" Type="http://schemas.openxmlformats.org/officeDocument/2006/relationships/hyperlink" Target="https://youtu.be/d_Ad0tpIwXY?t=1885" TargetMode="External"/><Relationship Id="rId73" Type="http://schemas.openxmlformats.org/officeDocument/2006/relationships/hyperlink" Target="https://youtu.be/pfqxO_6a77w?t=5268" TargetMode="External"/><Relationship Id="rId72" Type="http://schemas.openxmlformats.org/officeDocument/2006/relationships/hyperlink" Target="https://youtu.be/C7ueCGojBi8?t=5326" TargetMode="External"/><Relationship Id="rId75" Type="http://schemas.openxmlformats.org/officeDocument/2006/relationships/hyperlink" Target="https://youtu.be/pfqxO_6a77w?t=6110" TargetMode="External"/><Relationship Id="rId74" Type="http://schemas.openxmlformats.org/officeDocument/2006/relationships/hyperlink" Target="https://youtu.be/C7ueCGojBi8?t=6165" TargetMode="External"/><Relationship Id="rId77" Type="http://schemas.openxmlformats.org/officeDocument/2006/relationships/hyperlink" Target="https://youtu.be/pfqxO_6a77w?t=7009" TargetMode="External"/><Relationship Id="rId260" Type="http://schemas.openxmlformats.org/officeDocument/2006/relationships/hyperlink" Target="https://youtu.be/easX6SN9Ul4" TargetMode="External"/><Relationship Id="rId76" Type="http://schemas.openxmlformats.org/officeDocument/2006/relationships/hyperlink" Target="https://youtu.be/C7ueCGojBi8?t=7068" TargetMode="External"/><Relationship Id="rId79" Type="http://schemas.openxmlformats.org/officeDocument/2006/relationships/hyperlink" Target="https://youtu.be/pfqxO_6a77w?t=7910" TargetMode="External"/><Relationship Id="rId78" Type="http://schemas.openxmlformats.org/officeDocument/2006/relationships/hyperlink" Target="https://youtu.be/C7ueCGojBi8?t=7965" TargetMode="External"/><Relationship Id="rId71" Type="http://schemas.openxmlformats.org/officeDocument/2006/relationships/hyperlink" Target="https://youtu.be/pfqxO_6a77w?t=4372" TargetMode="External"/><Relationship Id="rId70" Type="http://schemas.openxmlformats.org/officeDocument/2006/relationships/hyperlink" Target="https://youtu.be/C7ueCGojBi8?t=4424" TargetMode="External"/><Relationship Id="rId139" Type="http://schemas.openxmlformats.org/officeDocument/2006/relationships/hyperlink" Target="https://youtu.be/ja4GR_Hg8lU?t=7945" TargetMode="External"/><Relationship Id="rId138" Type="http://schemas.openxmlformats.org/officeDocument/2006/relationships/hyperlink" Target="https://youtu.be/LGwQ03RSsh4?t=7942" TargetMode="External"/><Relationship Id="rId259" Type="http://schemas.openxmlformats.org/officeDocument/2006/relationships/hyperlink" Target="https://youtu.be/XaRsxxZ49aY?t=7981" TargetMode="External"/><Relationship Id="rId137" Type="http://schemas.openxmlformats.org/officeDocument/2006/relationships/hyperlink" Target="https://youtu.be/ja4GR_Hg8lU?t=7038" TargetMode="External"/><Relationship Id="rId258" Type="http://schemas.openxmlformats.org/officeDocument/2006/relationships/hyperlink" Target="https://youtu.be/F04F1CRu9TI?t=7986" TargetMode="External"/><Relationship Id="rId132" Type="http://schemas.openxmlformats.org/officeDocument/2006/relationships/hyperlink" Target="https://youtu.be/LGwQ03RSsh4?t=5276" TargetMode="External"/><Relationship Id="rId253" Type="http://schemas.openxmlformats.org/officeDocument/2006/relationships/hyperlink" Target="https://youtu.be/XaRsxxZ49aY?t=5283" TargetMode="External"/><Relationship Id="rId131" Type="http://schemas.openxmlformats.org/officeDocument/2006/relationships/hyperlink" Target="https://youtu.be/ja4GR_Hg8lU?t=4353" TargetMode="External"/><Relationship Id="rId252" Type="http://schemas.openxmlformats.org/officeDocument/2006/relationships/hyperlink" Target="https://youtu.be/F04F1CRu9TI?t=5346" TargetMode="External"/><Relationship Id="rId130" Type="http://schemas.openxmlformats.org/officeDocument/2006/relationships/hyperlink" Target="https://youtu.be/LGwQ03RSsh4?t=4429" TargetMode="External"/><Relationship Id="rId251" Type="http://schemas.openxmlformats.org/officeDocument/2006/relationships/hyperlink" Target="https://youtu.be/XaRsxxZ49aY?t=4446" TargetMode="External"/><Relationship Id="rId250" Type="http://schemas.openxmlformats.org/officeDocument/2006/relationships/hyperlink" Target="https://youtu.be/F04F1CRu9TI?t=4450" TargetMode="External"/><Relationship Id="rId136" Type="http://schemas.openxmlformats.org/officeDocument/2006/relationships/hyperlink" Target="https://youtu.be/LGwQ03RSsh4?t=7089" TargetMode="External"/><Relationship Id="rId257" Type="http://schemas.openxmlformats.org/officeDocument/2006/relationships/hyperlink" Target="https://youtu.be/XaRsxxZ49aY?t=7152" TargetMode="External"/><Relationship Id="rId135" Type="http://schemas.openxmlformats.org/officeDocument/2006/relationships/hyperlink" Target="https://youtu.be/ja4GR_Hg8lU?t=6104" TargetMode="External"/><Relationship Id="rId256" Type="http://schemas.openxmlformats.org/officeDocument/2006/relationships/hyperlink" Target="https://youtu.be/F04F1CRu9TI?t=7086" TargetMode="External"/><Relationship Id="rId134" Type="http://schemas.openxmlformats.org/officeDocument/2006/relationships/hyperlink" Target="https://youtu.be/LGwQ03RSsh4?t=6243" TargetMode="External"/><Relationship Id="rId255" Type="http://schemas.openxmlformats.org/officeDocument/2006/relationships/hyperlink" Target="https://youtu.be/XaRsxxZ49aY?t=6285" TargetMode="External"/><Relationship Id="rId133" Type="http://schemas.openxmlformats.org/officeDocument/2006/relationships/hyperlink" Target="https://youtu.be/ja4GR_Hg8lU?t=5253" TargetMode="External"/><Relationship Id="rId254" Type="http://schemas.openxmlformats.org/officeDocument/2006/relationships/hyperlink" Target="https://youtu.be/F04F1CRu9TI?t=6192" TargetMode="External"/><Relationship Id="rId62" Type="http://schemas.openxmlformats.org/officeDocument/2006/relationships/hyperlink" Target="https://youtu.be/pfqxO_6a77w" TargetMode="External"/><Relationship Id="rId61" Type="http://schemas.openxmlformats.org/officeDocument/2006/relationships/hyperlink" Target="https://youtu.be/C7ueCGojBi8" TargetMode="External"/><Relationship Id="rId64" Type="http://schemas.openxmlformats.org/officeDocument/2006/relationships/hyperlink" Target="https://youtu.be/pfqxO_6a77w?t=832" TargetMode="External"/><Relationship Id="rId63" Type="http://schemas.openxmlformats.org/officeDocument/2006/relationships/hyperlink" Target="https://youtu.be/C7ueCGojBi8?t=885" TargetMode="External"/><Relationship Id="rId66" Type="http://schemas.openxmlformats.org/officeDocument/2006/relationships/hyperlink" Target="https://youtu.be/pfqxO_6a77w?t=1739" TargetMode="External"/><Relationship Id="rId172" Type="http://schemas.openxmlformats.org/officeDocument/2006/relationships/hyperlink" Target="https://youtu.be/WjCslvpfaTU?t=5428" TargetMode="External"/><Relationship Id="rId293" Type="http://schemas.openxmlformats.org/officeDocument/2006/relationships/hyperlink" Target="https://youtu.be/N0dOogPEPyI?t=5314" TargetMode="External"/><Relationship Id="rId65" Type="http://schemas.openxmlformats.org/officeDocument/2006/relationships/hyperlink" Target="https://youtu.be/C7ueCGojBi8?t=1785" TargetMode="External"/><Relationship Id="rId171" Type="http://schemas.openxmlformats.org/officeDocument/2006/relationships/hyperlink" Target="https://youtu.be/xnLPZgPD2Lc?t=5146" TargetMode="External"/><Relationship Id="rId292" Type="http://schemas.openxmlformats.org/officeDocument/2006/relationships/hyperlink" Target="https://youtu.be/vkjkHCk_CoA?t=5340" TargetMode="External"/><Relationship Id="rId68" Type="http://schemas.openxmlformats.org/officeDocument/2006/relationships/hyperlink" Target="https://youtu.be/pfqxO_6a77w?t=2633" TargetMode="External"/><Relationship Id="rId170" Type="http://schemas.openxmlformats.org/officeDocument/2006/relationships/hyperlink" Target="https://youtu.be/WjCslvpfaTU?t=4528" TargetMode="External"/><Relationship Id="rId291" Type="http://schemas.openxmlformats.org/officeDocument/2006/relationships/hyperlink" Target="https://youtu.be/N0dOogPEPyI?t=4531" TargetMode="External"/><Relationship Id="rId67" Type="http://schemas.openxmlformats.org/officeDocument/2006/relationships/hyperlink" Target="https://youtu.be/C7ueCGojBi8?t=2690" TargetMode="External"/><Relationship Id="rId290" Type="http://schemas.openxmlformats.org/officeDocument/2006/relationships/hyperlink" Target="https://youtu.be/vkjkHCk_CoA?t=4444" TargetMode="External"/><Relationship Id="rId60" Type="http://schemas.openxmlformats.org/officeDocument/2006/relationships/hyperlink" Target="https://youtu.be/ccCCVrSMI00?t=8080" TargetMode="External"/><Relationship Id="rId165" Type="http://schemas.openxmlformats.org/officeDocument/2006/relationships/hyperlink" Target="https://youtu.be/xnLPZgPD2Lc?t=1733" TargetMode="External"/><Relationship Id="rId286" Type="http://schemas.openxmlformats.org/officeDocument/2006/relationships/hyperlink" Target="https://youtu.be/vkjkHCk_CoA?t=2702" TargetMode="External"/><Relationship Id="rId69" Type="http://schemas.openxmlformats.org/officeDocument/2006/relationships/hyperlink" Target="https://youtu.be/pfqxO_6a77w?t=3489" TargetMode="External"/><Relationship Id="rId164" Type="http://schemas.openxmlformats.org/officeDocument/2006/relationships/hyperlink" Target="https://youtu.be/WjCslvpfaTU?t=1900" TargetMode="External"/><Relationship Id="rId285" Type="http://schemas.openxmlformats.org/officeDocument/2006/relationships/hyperlink" Target="https://youtu.be/N0dOogPEPyI?t=1889" TargetMode="External"/><Relationship Id="rId163" Type="http://schemas.openxmlformats.org/officeDocument/2006/relationships/hyperlink" Target="https://youtu.be/xnLPZgPD2Lc?t=843" TargetMode="External"/><Relationship Id="rId284" Type="http://schemas.openxmlformats.org/officeDocument/2006/relationships/hyperlink" Target="https://youtu.be/vkjkHCk_CoA?t=1801" TargetMode="External"/><Relationship Id="rId162" Type="http://schemas.openxmlformats.org/officeDocument/2006/relationships/hyperlink" Target="https://youtu.be/WjCslvpfaTU?t=880" TargetMode="External"/><Relationship Id="rId283" Type="http://schemas.openxmlformats.org/officeDocument/2006/relationships/hyperlink" Target="https://youtu.be/N0dOogPEPyI?t=986" TargetMode="External"/><Relationship Id="rId169" Type="http://schemas.openxmlformats.org/officeDocument/2006/relationships/hyperlink" Target="https://youtu.be/xnLPZgPD2Lc?t=4204" TargetMode="External"/><Relationship Id="rId168" Type="http://schemas.openxmlformats.org/officeDocument/2006/relationships/hyperlink" Target="https://youtu.be/WjCslvpfaTU?t=3638" TargetMode="External"/><Relationship Id="rId289" Type="http://schemas.openxmlformats.org/officeDocument/2006/relationships/hyperlink" Target="https://youtu.be/N0dOogPEPyI?t=3620" TargetMode="External"/><Relationship Id="rId167" Type="http://schemas.openxmlformats.org/officeDocument/2006/relationships/hyperlink" Target="https://youtu.be/xnLPZgPD2Lc?t=2615" TargetMode="External"/><Relationship Id="rId288" Type="http://schemas.openxmlformats.org/officeDocument/2006/relationships/hyperlink" Target="https://youtu.be/vkjkHCk_CoA?t=3545" TargetMode="External"/><Relationship Id="rId166" Type="http://schemas.openxmlformats.org/officeDocument/2006/relationships/hyperlink" Target="https://youtu.be/WjCslvpfaTU?t=2787" TargetMode="External"/><Relationship Id="rId287" Type="http://schemas.openxmlformats.org/officeDocument/2006/relationships/hyperlink" Target="https://youtu.be/N0dOogPEPyI?t=2823" TargetMode="External"/><Relationship Id="rId51" Type="http://schemas.openxmlformats.org/officeDocument/2006/relationships/hyperlink" Target="https://youtu.be/UcxOH4-kk_M?t=4437" TargetMode="External"/><Relationship Id="rId50" Type="http://schemas.openxmlformats.org/officeDocument/2006/relationships/hyperlink" Target="https://youtu.be/ccCCVrSMI00?t=3640" TargetMode="External"/><Relationship Id="rId53" Type="http://schemas.openxmlformats.org/officeDocument/2006/relationships/hyperlink" Target="https://youtu.be/UcxOH4-kk_M?t=5334" TargetMode="External"/><Relationship Id="rId52" Type="http://schemas.openxmlformats.org/officeDocument/2006/relationships/hyperlink" Target="https://youtu.be/ccCCVrSMI00?t=4540" TargetMode="External"/><Relationship Id="rId55" Type="http://schemas.openxmlformats.org/officeDocument/2006/relationships/hyperlink" Target="https://youtu.be/UcxOH4-kk_M?t=6185" TargetMode="External"/><Relationship Id="rId161" Type="http://schemas.openxmlformats.org/officeDocument/2006/relationships/hyperlink" Target="https://youtu.be/xnLPZgPD2Lc" TargetMode="External"/><Relationship Id="rId282" Type="http://schemas.openxmlformats.org/officeDocument/2006/relationships/hyperlink" Target="https://youtu.be/vkjkHCk_CoA?t=912" TargetMode="External"/><Relationship Id="rId54" Type="http://schemas.openxmlformats.org/officeDocument/2006/relationships/hyperlink" Target="https://youtu.be/ccCCVrSMI00?t=5439" TargetMode="External"/><Relationship Id="rId160" Type="http://schemas.openxmlformats.org/officeDocument/2006/relationships/hyperlink" Target="https://youtu.be/WjCslvpfaTU" TargetMode="External"/><Relationship Id="rId281" Type="http://schemas.openxmlformats.org/officeDocument/2006/relationships/hyperlink" Target="https://youtu.be/N0dOogPEPyI" TargetMode="External"/><Relationship Id="rId57" Type="http://schemas.openxmlformats.org/officeDocument/2006/relationships/hyperlink" Target="https://youtu.be/UcxOH4-kk_M?t=7073" TargetMode="External"/><Relationship Id="rId280" Type="http://schemas.openxmlformats.org/officeDocument/2006/relationships/hyperlink" Target="https://youtu.be/vkjkHCk_CoA?t=59" TargetMode="External"/><Relationship Id="rId56" Type="http://schemas.openxmlformats.org/officeDocument/2006/relationships/hyperlink" Target="https://youtu.be/ccCCVrSMI00?t=6282" TargetMode="External"/><Relationship Id="rId159" Type="http://schemas.openxmlformats.org/officeDocument/2006/relationships/hyperlink" Target="https://youtu.be/iXSbxKMS1Ug?t=7795" TargetMode="External"/><Relationship Id="rId59" Type="http://schemas.openxmlformats.org/officeDocument/2006/relationships/hyperlink" Target="https://youtu.be/UcxOH4-kk_M?t=7973" TargetMode="External"/><Relationship Id="rId154" Type="http://schemas.openxmlformats.org/officeDocument/2006/relationships/hyperlink" Target="https://youtu.be/xA7uLUaqTb0?t=2246" TargetMode="External"/><Relationship Id="rId275" Type="http://schemas.openxmlformats.org/officeDocument/2006/relationships/hyperlink" Target="https://youtu.be/d_Ad0tpIwXY?t=6265" TargetMode="External"/><Relationship Id="rId58" Type="http://schemas.openxmlformats.org/officeDocument/2006/relationships/hyperlink" Target="https://youtu.be/ccCCVrSMI00?t=7181" TargetMode="External"/><Relationship Id="rId153" Type="http://schemas.openxmlformats.org/officeDocument/2006/relationships/hyperlink" Target="https://youtu.be/iXSbxKMS1Ug?t=5227" TargetMode="External"/><Relationship Id="rId274" Type="http://schemas.openxmlformats.org/officeDocument/2006/relationships/hyperlink" Target="https://youtu.be/easX6SN9Ul4?t=6251" TargetMode="External"/><Relationship Id="rId152" Type="http://schemas.openxmlformats.org/officeDocument/2006/relationships/hyperlink" Target="https://youtu.be/xA7uLUaqTb0?t=1404" TargetMode="External"/><Relationship Id="rId273" Type="http://schemas.openxmlformats.org/officeDocument/2006/relationships/hyperlink" Target="https://youtu.be/d_Ad0tpIwXY?t=5426" TargetMode="External"/><Relationship Id="rId151" Type="http://schemas.openxmlformats.org/officeDocument/2006/relationships/hyperlink" Target="https://youtu.be/iXSbxKMS1Ug?t=4400" TargetMode="External"/><Relationship Id="rId272" Type="http://schemas.openxmlformats.org/officeDocument/2006/relationships/hyperlink" Target="https://youtu.be/easX6SN9Ul4?t=5399" TargetMode="External"/><Relationship Id="rId158" Type="http://schemas.openxmlformats.org/officeDocument/2006/relationships/hyperlink" Target="https://youtu.be/xA7uLUaqTb0?t=3947" TargetMode="External"/><Relationship Id="rId279" Type="http://schemas.openxmlformats.org/officeDocument/2006/relationships/hyperlink" Target="https://youtu.be/d_Ad0tpIwXY?t=8065" TargetMode="External"/><Relationship Id="rId157" Type="http://schemas.openxmlformats.org/officeDocument/2006/relationships/hyperlink" Target="https://youtu.be/iXSbxKMS1Ug?t=6897" TargetMode="External"/><Relationship Id="rId278" Type="http://schemas.openxmlformats.org/officeDocument/2006/relationships/hyperlink" Target="https://youtu.be/easX6SN9Ul4?t=8000" TargetMode="External"/><Relationship Id="rId156" Type="http://schemas.openxmlformats.org/officeDocument/2006/relationships/hyperlink" Target="https://youtu.be/xA7uLUaqTb0?t=3069" TargetMode="External"/><Relationship Id="rId277" Type="http://schemas.openxmlformats.org/officeDocument/2006/relationships/hyperlink" Target="https://youtu.be/d_Ad0tpIwXY?t=7165" TargetMode="External"/><Relationship Id="rId155" Type="http://schemas.openxmlformats.org/officeDocument/2006/relationships/hyperlink" Target="https://youtu.be/iXSbxKMS1Ug?t=6081" TargetMode="External"/><Relationship Id="rId276" Type="http://schemas.openxmlformats.org/officeDocument/2006/relationships/hyperlink" Target="https://youtu.be/easX6SN9Ul4?t=7115" TargetMode="External"/><Relationship Id="rId107" Type="http://schemas.openxmlformats.org/officeDocument/2006/relationships/hyperlink" Target="https://youtu.be/CDxV1YBXCIw?t=2673" TargetMode="External"/><Relationship Id="rId228" Type="http://schemas.openxmlformats.org/officeDocument/2006/relationships/hyperlink" Target="https://youtu.be/GQlZ1tkVky4?t=3599" TargetMode="External"/><Relationship Id="rId349" Type="http://schemas.openxmlformats.org/officeDocument/2006/relationships/hyperlink" Target="https://youtu.be/DFO6Ks3S0l8?t=3645" TargetMode="External"/><Relationship Id="rId106" Type="http://schemas.openxmlformats.org/officeDocument/2006/relationships/hyperlink" Target="https://youtu.be/HjNZaHwnVPQ?t=2588" TargetMode="External"/><Relationship Id="rId227" Type="http://schemas.openxmlformats.org/officeDocument/2006/relationships/hyperlink" Target="https://youtu.be/L_jv9y0i1Zs?t=2745" TargetMode="External"/><Relationship Id="rId348" Type="http://schemas.openxmlformats.org/officeDocument/2006/relationships/hyperlink" Target="https://youtu.be/GthagmmhGLw?t=3494" TargetMode="External"/><Relationship Id="rId105" Type="http://schemas.openxmlformats.org/officeDocument/2006/relationships/hyperlink" Target="https://youtu.be/CDxV1YBXCIw?t=1850" TargetMode="External"/><Relationship Id="rId226" Type="http://schemas.openxmlformats.org/officeDocument/2006/relationships/hyperlink" Target="https://youtu.be/GQlZ1tkVky4?t=2770" TargetMode="External"/><Relationship Id="rId347" Type="http://schemas.openxmlformats.org/officeDocument/2006/relationships/hyperlink" Target="https://youtu.be/DFO6Ks3S0l8?t=2805" TargetMode="External"/><Relationship Id="rId104" Type="http://schemas.openxmlformats.org/officeDocument/2006/relationships/hyperlink" Target="https://youtu.be/HjNZaHwnVPQ?t=1657" TargetMode="External"/><Relationship Id="rId225" Type="http://schemas.openxmlformats.org/officeDocument/2006/relationships/hyperlink" Target="https://youtu.be/L_jv9y0i1Zs?t=1845" TargetMode="External"/><Relationship Id="rId346" Type="http://schemas.openxmlformats.org/officeDocument/2006/relationships/hyperlink" Target="https://youtu.be/GthagmmhGLw?t=2656" TargetMode="External"/><Relationship Id="rId109" Type="http://schemas.openxmlformats.org/officeDocument/2006/relationships/hyperlink" Target="https://youtu.be/CDxV1YBXCIw?t=3287" TargetMode="External"/><Relationship Id="rId108" Type="http://schemas.openxmlformats.org/officeDocument/2006/relationships/hyperlink" Target="https://youtu.be/HjNZaHwnVPQ?t=3465" TargetMode="External"/><Relationship Id="rId229" Type="http://schemas.openxmlformats.org/officeDocument/2006/relationships/hyperlink" Target="https://youtu.be/L_jv9y0i1Zs?t=3588" TargetMode="External"/><Relationship Id="rId220" Type="http://schemas.openxmlformats.org/officeDocument/2006/relationships/hyperlink" Target="https://youtu.be/GQlZ1tkVky4" TargetMode="External"/><Relationship Id="rId341" Type="http://schemas.openxmlformats.org/officeDocument/2006/relationships/hyperlink" Target="https://youtu.be/DFO6Ks3S0l8" TargetMode="External"/><Relationship Id="rId340" Type="http://schemas.openxmlformats.org/officeDocument/2006/relationships/hyperlink" Target="https://youtu.be/GthagmmhGLw" TargetMode="External"/><Relationship Id="rId103" Type="http://schemas.openxmlformats.org/officeDocument/2006/relationships/hyperlink" Target="https://youtu.be/CDxV1YBXCIw?t=1009" TargetMode="External"/><Relationship Id="rId224" Type="http://schemas.openxmlformats.org/officeDocument/2006/relationships/hyperlink" Target="https://youtu.be/GQlZ1tkVky4?t=1843" TargetMode="External"/><Relationship Id="rId345" Type="http://schemas.openxmlformats.org/officeDocument/2006/relationships/hyperlink" Target="https://youtu.be/DFO6Ks3S0l8?t=1905" TargetMode="External"/><Relationship Id="rId102" Type="http://schemas.openxmlformats.org/officeDocument/2006/relationships/hyperlink" Target="https://youtu.be/HjNZaHwnVPQ?t=824" TargetMode="External"/><Relationship Id="rId223" Type="http://schemas.openxmlformats.org/officeDocument/2006/relationships/hyperlink" Target="https://youtu.be/L_jv9y0i1Zs?t=946" TargetMode="External"/><Relationship Id="rId344" Type="http://schemas.openxmlformats.org/officeDocument/2006/relationships/hyperlink" Target="https://youtu.be/GthagmmhGLw?t=1764" TargetMode="External"/><Relationship Id="rId101" Type="http://schemas.openxmlformats.org/officeDocument/2006/relationships/hyperlink" Target="https://youtu.be/CDxV1YBXCIw" TargetMode="External"/><Relationship Id="rId222" Type="http://schemas.openxmlformats.org/officeDocument/2006/relationships/hyperlink" Target="https://youtu.be/GQlZ1tkVky4?t=943" TargetMode="External"/><Relationship Id="rId343" Type="http://schemas.openxmlformats.org/officeDocument/2006/relationships/hyperlink" Target="https://youtu.be/DFO6Ks3S0l8?t=1005" TargetMode="External"/><Relationship Id="rId100" Type="http://schemas.openxmlformats.org/officeDocument/2006/relationships/hyperlink" Target="https://youtu.be/HjNZaHwnVPQ" TargetMode="External"/><Relationship Id="rId221" Type="http://schemas.openxmlformats.org/officeDocument/2006/relationships/hyperlink" Target="https://youtu.be/L_jv9y0i1Zs" TargetMode="External"/><Relationship Id="rId342" Type="http://schemas.openxmlformats.org/officeDocument/2006/relationships/hyperlink" Target="https://youtu.be/GthagmmhGLw?t=877" TargetMode="External"/><Relationship Id="rId217" Type="http://schemas.openxmlformats.org/officeDocument/2006/relationships/hyperlink" Target="https://youtu.be/TH_5X3uoH9g?t=6902" TargetMode="External"/><Relationship Id="rId338" Type="http://schemas.openxmlformats.org/officeDocument/2006/relationships/hyperlink" Target="https://youtu.be/eiqlcbx-tiE?t=7976" TargetMode="External"/><Relationship Id="rId216" Type="http://schemas.openxmlformats.org/officeDocument/2006/relationships/hyperlink" Target="https://youtu.be/4FjtfAjPfOg?t=7038" TargetMode="External"/><Relationship Id="rId337" Type="http://schemas.openxmlformats.org/officeDocument/2006/relationships/hyperlink" Target="https://youtu.be/neSHYhBgm6c?t=7254" TargetMode="External"/><Relationship Id="rId215" Type="http://schemas.openxmlformats.org/officeDocument/2006/relationships/hyperlink" Target="https://youtu.be/TH_5X3uoH9g?t=5990" TargetMode="External"/><Relationship Id="rId336" Type="http://schemas.openxmlformats.org/officeDocument/2006/relationships/hyperlink" Target="https://youtu.be/eiqlcbx-tiE?t=7074" TargetMode="External"/><Relationship Id="rId214" Type="http://schemas.openxmlformats.org/officeDocument/2006/relationships/hyperlink" Target="https://youtu.be/4FjtfAjPfOg?t=6157" TargetMode="External"/><Relationship Id="rId335" Type="http://schemas.openxmlformats.org/officeDocument/2006/relationships/hyperlink" Target="https://youtu.be/neSHYhBgm6c?t=6383" TargetMode="External"/><Relationship Id="rId219" Type="http://schemas.openxmlformats.org/officeDocument/2006/relationships/hyperlink" Target="https://youtu.be/TH_5X3uoH9g?t=7799" TargetMode="External"/><Relationship Id="rId218" Type="http://schemas.openxmlformats.org/officeDocument/2006/relationships/hyperlink" Target="https://youtu.be/4FjtfAjPfOg?t=7940" TargetMode="External"/><Relationship Id="rId339" Type="http://schemas.openxmlformats.org/officeDocument/2006/relationships/hyperlink" Target="https://youtu.be/neSHYhBgm6c?t=8139" TargetMode="External"/><Relationship Id="rId330" Type="http://schemas.openxmlformats.org/officeDocument/2006/relationships/hyperlink" Target="https://youtu.be/eiqlcbx-tiE?t=4437" TargetMode="External"/><Relationship Id="rId213" Type="http://schemas.openxmlformats.org/officeDocument/2006/relationships/hyperlink" Target="https://youtu.be/TH_5X3uoH9g?t=5154" TargetMode="External"/><Relationship Id="rId334" Type="http://schemas.openxmlformats.org/officeDocument/2006/relationships/hyperlink" Target="https://youtu.be/eiqlcbx-tiE?t=6182" TargetMode="External"/><Relationship Id="rId212" Type="http://schemas.openxmlformats.org/officeDocument/2006/relationships/hyperlink" Target="https://youtu.be/4FjtfAjPfOg?t=5305" TargetMode="External"/><Relationship Id="rId333" Type="http://schemas.openxmlformats.org/officeDocument/2006/relationships/hyperlink" Target="https://youtu.be/neSHYhBgm6c?t=5499" TargetMode="External"/><Relationship Id="rId211" Type="http://schemas.openxmlformats.org/officeDocument/2006/relationships/hyperlink" Target="https://youtu.be/TH_5X3uoH9g?t=4252" TargetMode="External"/><Relationship Id="rId332" Type="http://schemas.openxmlformats.org/officeDocument/2006/relationships/hyperlink" Target="https://youtu.be/eiqlcbx-tiE?t=5335" TargetMode="External"/><Relationship Id="rId210" Type="http://schemas.openxmlformats.org/officeDocument/2006/relationships/hyperlink" Target="https://youtu.be/4FjtfAjPfOg?t=4403" TargetMode="External"/><Relationship Id="rId331" Type="http://schemas.openxmlformats.org/officeDocument/2006/relationships/hyperlink" Target="https://youtu.be/neSHYhBgm6c?t=4598" TargetMode="External"/><Relationship Id="rId129" Type="http://schemas.openxmlformats.org/officeDocument/2006/relationships/hyperlink" Target="https://youtu.be/ja4GR_Hg8lU?t=3467" TargetMode="External"/><Relationship Id="rId128" Type="http://schemas.openxmlformats.org/officeDocument/2006/relationships/hyperlink" Target="https://youtu.be/LGwQ03RSsh4?t=3533" TargetMode="External"/><Relationship Id="rId249" Type="http://schemas.openxmlformats.org/officeDocument/2006/relationships/hyperlink" Target="https://youtu.be/XaRsxxZ49aY?t=3549" TargetMode="External"/><Relationship Id="rId127" Type="http://schemas.openxmlformats.org/officeDocument/2006/relationships/hyperlink" Target="https://youtu.be/ja4GR_Hg8lU?t=2617" TargetMode="External"/><Relationship Id="rId248" Type="http://schemas.openxmlformats.org/officeDocument/2006/relationships/hyperlink" Target="https://youtu.be/F04F1CRu9TI?t=3545" TargetMode="External"/><Relationship Id="rId126" Type="http://schemas.openxmlformats.org/officeDocument/2006/relationships/hyperlink" Target="https://youtu.be/LGwQ03RSsh4?t=2638" TargetMode="External"/><Relationship Id="rId247" Type="http://schemas.openxmlformats.org/officeDocument/2006/relationships/hyperlink" Target="https://youtu.be/XaRsxxZ49aY?t=2660" TargetMode="External"/><Relationship Id="rId121" Type="http://schemas.openxmlformats.org/officeDocument/2006/relationships/hyperlink" Target="https://youtu.be/ja4GR_Hg8lU" TargetMode="External"/><Relationship Id="rId242" Type="http://schemas.openxmlformats.org/officeDocument/2006/relationships/hyperlink" Target="https://youtu.be/F04F1CRu9TI?t=920" TargetMode="External"/><Relationship Id="rId120" Type="http://schemas.openxmlformats.org/officeDocument/2006/relationships/hyperlink" Target="https://youtu.be/LGwQ03RSsh4" TargetMode="External"/><Relationship Id="rId241" Type="http://schemas.openxmlformats.org/officeDocument/2006/relationships/hyperlink" Target="https://youtu.be/XaRsxxZ49aY" TargetMode="External"/><Relationship Id="rId240" Type="http://schemas.openxmlformats.org/officeDocument/2006/relationships/hyperlink" Target="https://youtu.be/F04F1CRu9TI" TargetMode="External"/><Relationship Id="rId360" Type="http://schemas.openxmlformats.org/officeDocument/2006/relationships/drawing" Target="../drawings/drawing7.xml"/><Relationship Id="rId125" Type="http://schemas.openxmlformats.org/officeDocument/2006/relationships/hyperlink" Target="https://youtu.be/ja4GR_Hg8lU?t=1741" TargetMode="External"/><Relationship Id="rId246" Type="http://schemas.openxmlformats.org/officeDocument/2006/relationships/hyperlink" Target="https://youtu.be/F04F1CRu9TI?t=2707" TargetMode="External"/><Relationship Id="rId124" Type="http://schemas.openxmlformats.org/officeDocument/2006/relationships/hyperlink" Target="https://youtu.be/LGwQ03RSsh4?t=1834" TargetMode="External"/><Relationship Id="rId245" Type="http://schemas.openxmlformats.org/officeDocument/2006/relationships/hyperlink" Target="https://youtu.be/XaRsxxZ49aY?t=1778" TargetMode="External"/><Relationship Id="rId123" Type="http://schemas.openxmlformats.org/officeDocument/2006/relationships/hyperlink" Target="https://youtu.be/ja4GR_Hg8lU?t=852" TargetMode="External"/><Relationship Id="rId244" Type="http://schemas.openxmlformats.org/officeDocument/2006/relationships/hyperlink" Target="https://youtu.be/F04F1CRu9TI?t=1755" TargetMode="External"/><Relationship Id="rId122" Type="http://schemas.openxmlformats.org/officeDocument/2006/relationships/hyperlink" Target="https://youtu.be/LGwQ03RSsh4?t=895" TargetMode="External"/><Relationship Id="rId243" Type="http://schemas.openxmlformats.org/officeDocument/2006/relationships/hyperlink" Target="https://youtu.be/XaRsxxZ49aY?t=881" TargetMode="External"/><Relationship Id="rId95" Type="http://schemas.openxmlformats.org/officeDocument/2006/relationships/hyperlink" Target="https://youtu.be/IT53hWgwtNk?t=6000" TargetMode="External"/><Relationship Id="rId94" Type="http://schemas.openxmlformats.org/officeDocument/2006/relationships/hyperlink" Target="https://youtu.be/57_Otd7dcCw?t=5967" TargetMode="External"/><Relationship Id="rId97" Type="http://schemas.openxmlformats.org/officeDocument/2006/relationships/hyperlink" Target="https://youtu.be/IT53hWgwtNk?t=6883" TargetMode="External"/><Relationship Id="rId96" Type="http://schemas.openxmlformats.org/officeDocument/2006/relationships/hyperlink" Target="https://youtu.be/57_Otd7dcCw?t=6787" TargetMode="External"/><Relationship Id="rId99" Type="http://schemas.openxmlformats.org/officeDocument/2006/relationships/hyperlink" Target="https://youtu.be/IT53hWgwtNk?t=7743" TargetMode="External"/><Relationship Id="rId98" Type="http://schemas.openxmlformats.org/officeDocument/2006/relationships/hyperlink" Target="https://youtu.be/57_Otd7dcCw?t=7708" TargetMode="External"/><Relationship Id="rId91" Type="http://schemas.openxmlformats.org/officeDocument/2006/relationships/hyperlink" Target="https://youtu.be/IT53hWgwtNk?t=4375" TargetMode="External"/><Relationship Id="rId90" Type="http://schemas.openxmlformats.org/officeDocument/2006/relationships/hyperlink" Target="https://youtu.be/57_Otd7dcCw?t=4301" TargetMode="External"/><Relationship Id="rId93" Type="http://schemas.openxmlformats.org/officeDocument/2006/relationships/hyperlink" Target="https://youtu.be/IT53hWgwtNk?t=5197" TargetMode="External"/><Relationship Id="rId92" Type="http://schemas.openxmlformats.org/officeDocument/2006/relationships/hyperlink" Target="https://youtu.be/57_Otd7dcCw?t=5121" TargetMode="External"/><Relationship Id="rId118" Type="http://schemas.openxmlformats.org/officeDocument/2006/relationships/hyperlink" Target="https://youtu.be/HjNZaHwnVPQ?t=7801" TargetMode="External"/><Relationship Id="rId239" Type="http://schemas.openxmlformats.org/officeDocument/2006/relationships/hyperlink" Target="https://youtu.be/L_jv9y0i1Zs?t=8026" TargetMode="External"/><Relationship Id="rId117" Type="http://schemas.openxmlformats.org/officeDocument/2006/relationships/hyperlink" Target="https://youtu.be/CDxV1YBXCIw?t=6747" TargetMode="External"/><Relationship Id="rId238" Type="http://schemas.openxmlformats.org/officeDocument/2006/relationships/hyperlink" Target="https://youtu.be/GQlZ1tkVky4?t=8015" TargetMode="External"/><Relationship Id="rId359" Type="http://schemas.openxmlformats.org/officeDocument/2006/relationships/hyperlink" Target="https://youtu.be/DFO6Ks3S0l8?t=8086" TargetMode="External"/><Relationship Id="rId116" Type="http://schemas.openxmlformats.org/officeDocument/2006/relationships/hyperlink" Target="https://youtu.be/HjNZaHwnVPQ?t=6920" TargetMode="External"/><Relationship Id="rId237" Type="http://schemas.openxmlformats.org/officeDocument/2006/relationships/hyperlink" Target="https://youtu.be/L_jv9y0i1Zs?t=7125" TargetMode="External"/><Relationship Id="rId358" Type="http://schemas.openxmlformats.org/officeDocument/2006/relationships/hyperlink" Target="https://youtu.be/GthagmmhGLw?t=7932" TargetMode="External"/><Relationship Id="rId115" Type="http://schemas.openxmlformats.org/officeDocument/2006/relationships/hyperlink" Target="https://youtu.be/CDxV1YBXCIw?t=5743" TargetMode="External"/><Relationship Id="rId236" Type="http://schemas.openxmlformats.org/officeDocument/2006/relationships/hyperlink" Target="https://youtu.be/GQlZ1tkVky4?t=7110" TargetMode="External"/><Relationship Id="rId357" Type="http://schemas.openxmlformats.org/officeDocument/2006/relationships/hyperlink" Target="https://youtu.be/DFO6Ks3S0l8?t=7185" TargetMode="External"/><Relationship Id="rId119" Type="http://schemas.openxmlformats.org/officeDocument/2006/relationships/hyperlink" Target="https://youtu.be/CDxV1YBXCIw?t=7665" TargetMode="External"/><Relationship Id="rId110" Type="http://schemas.openxmlformats.org/officeDocument/2006/relationships/hyperlink" Target="https://youtu.be/HjNZaHwnVPQ?t=4311" TargetMode="External"/><Relationship Id="rId231" Type="http://schemas.openxmlformats.org/officeDocument/2006/relationships/hyperlink" Target="https://youtu.be/L_jv9y0i1Zs?t=4485" TargetMode="External"/><Relationship Id="rId352" Type="http://schemas.openxmlformats.org/officeDocument/2006/relationships/hyperlink" Target="https://youtu.be/GthagmmhGLw?t=5296" TargetMode="External"/><Relationship Id="rId230" Type="http://schemas.openxmlformats.org/officeDocument/2006/relationships/hyperlink" Target="https://youtu.be/GQlZ1tkVky4?t=4471" TargetMode="External"/><Relationship Id="rId351" Type="http://schemas.openxmlformats.org/officeDocument/2006/relationships/hyperlink" Target="https://youtu.be/DFO6Ks3S0l8?t=4546" TargetMode="External"/><Relationship Id="rId350" Type="http://schemas.openxmlformats.org/officeDocument/2006/relationships/hyperlink" Target="https://youtu.be/GthagmmhGLw?t=4398" TargetMode="External"/><Relationship Id="rId114" Type="http://schemas.openxmlformats.org/officeDocument/2006/relationships/hyperlink" Target="https://youtu.be/HjNZaHwnVPQ?t=6066" TargetMode="External"/><Relationship Id="rId235" Type="http://schemas.openxmlformats.org/officeDocument/2006/relationships/hyperlink" Target="https://youtu.be/L_jv9y0i1Zs?t=6225" TargetMode="External"/><Relationship Id="rId356" Type="http://schemas.openxmlformats.org/officeDocument/2006/relationships/hyperlink" Target="https://youtu.be/GthagmmhGLw?t=7036" TargetMode="External"/><Relationship Id="rId113" Type="http://schemas.openxmlformats.org/officeDocument/2006/relationships/hyperlink" Target="https://youtu.be/CDxV1YBXCIw?t=4965" TargetMode="External"/><Relationship Id="rId234" Type="http://schemas.openxmlformats.org/officeDocument/2006/relationships/hyperlink" Target="https://youtu.be/GQlZ1tkVky4?t=6227" TargetMode="External"/><Relationship Id="rId355" Type="http://schemas.openxmlformats.org/officeDocument/2006/relationships/hyperlink" Target="https://youtu.be/DFO6Ks3S0l8?t=6286" TargetMode="External"/><Relationship Id="rId112" Type="http://schemas.openxmlformats.org/officeDocument/2006/relationships/hyperlink" Target="https://youtu.be/HjNZaHwnVPQ?t=5186" TargetMode="External"/><Relationship Id="rId233" Type="http://schemas.openxmlformats.org/officeDocument/2006/relationships/hyperlink" Target="https://youtu.be/L_jv9y0i1Zs?t=5385" TargetMode="External"/><Relationship Id="rId354" Type="http://schemas.openxmlformats.org/officeDocument/2006/relationships/hyperlink" Target="https://youtu.be/GthagmmhGLw?t=6152" TargetMode="External"/><Relationship Id="rId111" Type="http://schemas.openxmlformats.org/officeDocument/2006/relationships/hyperlink" Target="https://youtu.be/CDxV1YBXCIw?t=4134" TargetMode="External"/><Relationship Id="rId232" Type="http://schemas.openxmlformats.org/officeDocument/2006/relationships/hyperlink" Target="https://youtu.be/GQlZ1tkVky4?t=5363" TargetMode="External"/><Relationship Id="rId353" Type="http://schemas.openxmlformats.org/officeDocument/2006/relationships/hyperlink" Target="https://youtu.be/DFO6Ks3S0l8?t=5446" TargetMode="External"/><Relationship Id="rId305" Type="http://schemas.openxmlformats.org/officeDocument/2006/relationships/hyperlink" Target="https://youtu.be/92Y7t4kxeMw?t=1891" TargetMode="External"/><Relationship Id="rId304" Type="http://schemas.openxmlformats.org/officeDocument/2006/relationships/hyperlink" Target="https://youtu.be/Jc-aZHAmLtU?t=1892" TargetMode="External"/><Relationship Id="rId303" Type="http://schemas.openxmlformats.org/officeDocument/2006/relationships/hyperlink" Target="https://youtu.be/92Y7t4kxeMw?t=991" TargetMode="External"/><Relationship Id="rId302" Type="http://schemas.openxmlformats.org/officeDocument/2006/relationships/hyperlink" Target="https://youtu.be/Jc-aZHAmLtU?t=991" TargetMode="External"/><Relationship Id="rId309" Type="http://schemas.openxmlformats.org/officeDocument/2006/relationships/hyperlink" Target="https://youtu.be/92Y7t4kxeMw?t=3635" TargetMode="External"/><Relationship Id="rId308" Type="http://schemas.openxmlformats.org/officeDocument/2006/relationships/hyperlink" Target="https://youtu.be/Jc-aZHAmLtU?t=3644" TargetMode="External"/><Relationship Id="rId307" Type="http://schemas.openxmlformats.org/officeDocument/2006/relationships/hyperlink" Target="https://youtu.be/92Y7t4kxeMw?t=2791" TargetMode="External"/><Relationship Id="rId306" Type="http://schemas.openxmlformats.org/officeDocument/2006/relationships/hyperlink" Target="https://youtu.be/Jc-aZHAmLtU?t=2790" TargetMode="External"/><Relationship Id="rId301" Type="http://schemas.openxmlformats.org/officeDocument/2006/relationships/hyperlink" Target="https://youtu.be/92Y7t4kxeMw" TargetMode="External"/><Relationship Id="rId300" Type="http://schemas.openxmlformats.org/officeDocument/2006/relationships/hyperlink" Target="https://youtu.be/Jc-aZHAmLtU" TargetMode="External"/><Relationship Id="rId206" Type="http://schemas.openxmlformats.org/officeDocument/2006/relationships/hyperlink" Target="https://youtu.be/4FjtfAjPfOg?t=2674" TargetMode="External"/><Relationship Id="rId327" Type="http://schemas.openxmlformats.org/officeDocument/2006/relationships/hyperlink" Target="https://youtu.be/neSHYhBgm6c?t=2858" TargetMode="External"/><Relationship Id="rId205" Type="http://schemas.openxmlformats.org/officeDocument/2006/relationships/hyperlink" Target="https://youtu.be/TH_5X3uoH9g?t=1628" TargetMode="External"/><Relationship Id="rId326" Type="http://schemas.openxmlformats.org/officeDocument/2006/relationships/hyperlink" Target="https://youtu.be/eiqlcbx-tiE?t=2695" TargetMode="External"/><Relationship Id="rId204" Type="http://schemas.openxmlformats.org/officeDocument/2006/relationships/hyperlink" Target="https://youtu.be/4FjtfAjPfOg?t=1774" TargetMode="External"/><Relationship Id="rId325" Type="http://schemas.openxmlformats.org/officeDocument/2006/relationships/hyperlink" Target="https://youtu.be/neSHYhBgm6c?t=1975" TargetMode="External"/><Relationship Id="rId203" Type="http://schemas.openxmlformats.org/officeDocument/2006/relationships/hyperlink" Target="https://youtu.be/TH_5X3uoH9g?t=747" TargetMode="External"/><Relationship Id="rId324" Type="http://schemas.openxmlformats.org/officeDocument/2006/relationships/hyperlink" Target="https://youtu.be/eiqlcbx-tiE?t=1794" TargetMode="External"/><Relationship Id="rId209" Type="http://schemas.openxmlformats.org/officeDocument/2006/relationships/hyperlink" Target="https://youtu.be/TH_5X3uoH9g?t=3359" TargetMode="External"/><Relationship Id="rId208" Type="http://schemas.openxmlformats.org/officeDocument/2006/relationships/hyperlink" Target="https://youtu.be/4FjtfAjPfOg?t=3506" TargetMode="External"/><Relationship Id="rId329" Type="http://schemas.openxmlformats.org/officeDocument/2006/relationships/hyperlink" Target="https://youtu.be/neSHYhBgm6c?t=3699" TargetMode="External"/><Relationship Id="rId207" Type="http://schemas.openxmlformats.org/officeDocument/2006/relationships/hyperlink" Target="https://youtu.be/TH_5X3uoH9g?t=2511" TargetMode="External"/><Relationship Id="rId328" Type="http://schemas.openxmlformats.org/officeDocument/2006/relationships/hyperlink" Target="https://youtu.be/eiqlcbx-tiE?t=3537" TargetMode="External"/><Relationship Id="rId202" Type="http://schemas.openxmlformats.org/officeDocument/2006/relationships/hyperlink" Target="https://youtu.be/4FjtfAjPfOg?t=875" TargetMode="External"/><Relationship Id="rId323" Type="http://schemas.openxmlformats.org/officeDocument/2006/relationships/hyperlink" Target="https://youtu.be/neSHYhBgm6c?t=1059" TargetMode="External"/><Relationship Id="rId201" Type="http://schemas.openxmlformats.org/officeDocument/2006/relationships/hyperlink" Target="https://youtu.be/TH_5X3uoH9g" TargetMode="External"/><Relationship Id="rId322" Type="http://schemas.openxmlformats.org/officeDocument/2006/relationships/hyperlink" Target="https://youtu.be/eiqlcbx-tiE?t=895" TargetMode="External"/><Relationship Id="rId200" Type="http://schemas.openxmlformats.org/officeDocument/2006/relationships/hyperlink" Target="https://youtu.be/4FjtfAjPfOg" TargetMode="External"/><Relationship Id="rId321" Type="http://schemas.openxmlformats.org/officeDocument/2006/relationships/hyperlink" Target="https://youtu.be/neSHYhBgm6c" TargetMode="External"/><Relationship Id="rId320" Type="http://schemas.openxmlformats.org/officeDocument/2006/relationships/hyperlink" Target="https://youtu.be/eiqlcbx-tiE?t=57" TargetMode="External"/><Relationship Id="rId316" Type="http://schemas.openxmlformats.org/officeDocument/2006/relationships/hyperlink" Target="https://youtu.be/Jc-aZHAmLtU?t=7172" TargetMode="External"/><Relationship Id="rId315" Type="http://schemas.openxmlformats.org/officeDocument/2006/relationships/hyperlink" Target="https://youtu.be/92Y7t4kxeMw?t=6271" TargetMode="External"/><Relationship Id="rId314" Type="http://schemas.openxmlformats.org/officeDocument/2006/relationships/hyperlink" Target="https://youtu.be/Jc-aZHAmLtU?t=6273" TargetMode="External"/><Relationship Id="rId313" Type="http://schemas.openxmlformats.org/officeDocument/2006/relationships/hyperlink" Target="https://youtu.be/92Y7t4kxeMw?t=5430" TargetMode="External"/><Relationship Id="rId319" Type="http://schemas.openxmlformats.org/officeDocument/2006/relationships/hyperlink" Target="https://youtu.be/92Y7t4kxeMw?t=8071" TargetMode="External"/><Relationship Id="rId318" Type="http://schemas.openxmlformats.org/officeDocument/2006/relationships/hyperlink" Target="https://youtu.be/Jc-aZHAmLtU?t=8072" TargetMode="External"/><Relationship Id="rId317" Type="http://schemas.openxmlformats.org/officeDocument/2006/relationships/hyperlink" Target="https://youtu.be/92Y7t4kxeMw?t=7170" TargetMode="External"/><Relationship Id="rId312" Type="http://schemas.openxmlformats.org/officeDocument/2006/relationships/hyperlink" Target="https://youtu.be/Jc-aZHAmLtU?t=5436" TargetMode="External"/><Relationship Id="rId311" Type="http://schemas.openxmlformats.org/officeDocument/2006/relationships/hyperlink" Target="https://youtu.be/92Y7t4kxeMw?t=4530" TargetMode="External"/><Relationship Id="rId310" Type="http://schemas.openxmlformats.org/officeDocument/2006/relationships/hyperlink" Target="https://youtu.be/Jc-aZHAmLtU?t=4532" TargetMode="External"/></Relationships>
</file>

<file path=xl/worksheets/_rels/sheet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i1fpxkYkaE?t=8046" TargetMode="External"/><Relationship Id="rId190" Type="http://schemas.openxmlformats.org/officeDocument/2006/relationships/hyperlink" Target="https://youtu.be/59_hsHVqxh8?t=3804" TargetMode="External"/><Relationship Id="rId42" Type="http://schemas.openxmlformats.org/officeDocument/2006/relationships/hyperlink" Target="https://youtu.be/FzCoYRXgszA" TargetMode="External"/><Relationship Id="rId41" Type="http://schemas.openxmlformats.org/officeDocument/2006/relationships/hyperlink" Target="https://youtu.be/yHuAXWZRtGY" TargetMode="External"/><Relationship Id="rId44" Type="http://schemas.openxmlformats.org/officeDocument/2006/relationships/hyperlink" Target="https://youtu.be/FzCoYRXgszA?t=1002" TargetMode="External"/><Relationship Id="rId194" Type="http://schemas.openxmlformats.org/officeDocument/2006/relationships/hyperlink" Target="https://youtu.be/59_hsHVqxh8?t=5584" TargetMode="External"/><Relationship Id="rId43" Type="http://schemas.openxmlformats.org/officeDocument/2006/relationships/hyperlink" Target="https://youtu.be/yHuAXWZRtGY?t=947" TargetMode="External"/><Relationship Id="rId193" Type="http://schemas.openxmlformats.org/officeDocument/2006/relationships/hyperlink" Target="https://youtu.be/NYq5v2eD7v4?t=5531" TargetMode="External"/><Relationship Id="rId46" Type="http://schemas.openxmlformats.org/officeDocument/2006/relationships/hyperlink" Target="https://youtu.be/FzCoYRXgszA?t=1903" TargetMode="External"/><Relationship Id="rId192" Type="http://schemas.openxmlformats.org/officeDocument/2006/relationships/hyperlink" Target="https://youtu.be/59_hsHVqxh8?t=4708" TargetMode="External"/><Relationship Id="rId45" Type="http://schemas.openxmlformats.org/officeDocument/2006/relationships/hyperlink" Target="https://youtu.be/yHuAXWZRtGY?t=1808" TargetMode="External"/><Relationship Id="rId191" Type="http://schemas.openxmlformats.org/officeDocument/2006/relationships/hyperlink" Target="https://youtu.be/NYq5v2eD7v4?t=4666" TargetMode="External"/><Relationship Id="rId48" Type="http://schemas.openxmlformats.org/officeDocument/2006/relationships/hyperlink" Target="https://youtu.be/FzCoYRXgszA?t=2802" TargetMode="External"/><Relationship Id="rId187" Type="http://schemas.openxmlformats.org/officeDocument/2006/relationships/hyperlink" Target="https://youtu.be/NYq5v2eD7v4?t=2888" TargetMode="External"/><Relationship Id="rId47" Type="http://schemas.openxmlformats.org/officeDocument/2006/relationships/hyperlink" Target="https://youtu.be/yHuAXWZRtGY?t=2702" TargetMode="External"/><Relationship Id="rId186" Type="http://schemas.openxmlformats.org/officeDocument/2006/relationships/hyperlink" Target="https://youtu.be/59_hsHVqxh8?t=2011" TargetMode="External"/><Relationship Id="rId185" Type="http://schemas.openxmlformats.org/officeDocument/2006/relationships/hyperlink" Target="https://youtu.be/NYq5v2eD7v4?t=1988" TargetMode="External"/><Relationship Id="rId49" Type="http://schemas.openxmlformats.org/officeDocument/2006/relationships/hyperlink" Target="https://youtu.be/yHuAXWZRtGY?t=3567" TargetMode="External"/><Relationship Id="rId184" Type="http://schemas.openxmlformats.org/officeDocument/2006/relationships/hyperlink" Target="https://youtu.be/59_hsHVqxh8?t=1176" TargetMode="External"/><Relationship Id="rId189" Type="http://schemas.openxmlformats.org/officeDocument/2006/relationships/hyperlink" Target="https://youtu.be/NYq5v2eD7v4?t=3751" TargetMode="External"/><Relationship Id="rId188" Type="http://schemas.openxmlformats.org/officeDocument/2006/relationships/hyperlink" Target="https://youtu.be/59_hsHVqxh8?t=2909" TargetMode="External"/><Relationship Id="rId31" Type="http://schemas.openxmlformats.org/officeDocument/2006/relationships/hyperlink" Target="https://youtu.be/9v_fnnOvQd8?t=4464" TargetMode="External"/><Relationship Id="rId30" Type="http://schemas.openxmlformats.org/officeDocument/2006/relationships/hyperlink" Target="https://youtu.be/Ii1fpxkYkaE?t=3611" TargetMode="External"/><Relationship Id="rId33" Type="http://schemas.openxmlformats.org/officeDocument/2006/relationships/hyperlink" Target="https://youtu.be/9v_fnnOvQd8?t=5365" TargetMode="External"/><Relationship Id="rId183" Type="http://schemas.openxmlformats.org/officeDocument/2006/relationships/hyperlink" Target="https://youtu.be/NYq5v2eD7v4?t=1094" TargetMode="External"/><Relationship Id="rId32" Type="http://schemas.openxmlformats.org/officeDocument/2006/relationships/hyperlink" Target="https://youtu.be/Ii1fpxkYkaE?t=4508" TargetMode="External"/><Relationship Id="rId182" Type="http://schemas.openxmlformats.org/officeDocument/2006/relationships/hyperlink" Target="https://youtu.be/59_hsHVqxh8" TargetMode="External"/><Relationship Id="rId35" Type="http://schemas.openxmlformats.org/officeDocument/2006/relationships/hyperlink" Target="https://youtu.be/9v_fnnOvQd8?t=6207" TargetMode="External"/><Relationship Id="rId181" Type="http://schemas.openxmlformats.org/officeDocument/2006/relationships/hyperlink" Target="https://youtu.be/NYq5v2eD7v4?t=253" TargetMode="External"/><Relationship Id="rId34" Type="http://schemas.openxmlformats.org/officeDocument/2006/relationships/hyperlink" Target="https://youtu.be/Ii1fpxkYkaE?t=5406" TargetMode="External"/><Relationship Id="rId180" Type="http://schemas.openxmlformats.org/officeDocument/2006/relationships/hyperlink" Target="https://youtu.be/3pLdv4SOsgM?t=7957" TargetMode="External"/><Relationship Id="rId37" Type="http://schemas.openxmlformats.org/officeDocument/2006/relationships/hyperlink" Target="https://youtu.be/9v_fnnOvQd8?t=7100" TargetMode="External"/><Relationship Id="rId176" Type="http://schemas.openxmlformats.org/officeDocument/2006/relationships/hyperlink" Target="https://youtu.be/3pLdv4SOsgM?t=6217" TargetMode="External"/><Relationship Id="rId297" Type="http://schemas.openxmlformats.org/officeDocument/2006/relationships/hyperlink" Target="https://youtu.be/s2kiR0628Ws?t=7075" TargetMode="External"/><Relationship Id="rId36" Type="http://schemas.openxmlformats.org/officeDocument/2006/relationships/hyperlink" Target="https://youtu.be/Ii1fpxkYkaE?t=6244" TargetMode="External"/><Relationship Id="rId175" Type="http://schemas.openxmlformats.org/officeDocument/2006/relationships/hyperlink" Target="https://youtu.be/HaKd4V-nKbU?t=6318" TargetMode="External"/><Relationship Id="rId296" Type="http://schemas.openxmlformats.org/officeDocument/2006/relationships/hyperlink" Target="https://youtu.be/mvNNtf3I6HE?t=6332" TargetMode="External"/><Relationship Id="rId39" Type="http://schemas.openxmlformats.org/officeDocument/2006/relationships/hyperlink" Target="https://youtu.be/9v_fnnOvQd8?t=8060" TargetMode="External"/><Relationship Id="rId174" Type="http://schemas.openxmlformats.org/officeDocument/2006/relationships/hyperlink" Target="https://youtu.be/3pLdv4SOsgM?t=5316" TargetMode="External"/><Relationship Id="rId295" Type="http://schemas.openxmlformats.org/officeDocument/2006/relationships/hyperlink" Target="https://youtu.be/s2kiR0628Ws?t=6199" TargetMode="External"/><Relationship Id="rId38" Type="http://schemas.openxmlformats.org/officeDocument/2006/relationships/hyperlink" Target="https://youtu.be/Ii1fpxkYkaE?t=7146" TargetMode="External"/><Relationship Id="rId173" Type="http://schemas.openxmlformats.org/officeDocument/2006/relationships/hyperlink" Target="https://youtu.be/HaKd4V-nKbU?t=5391" TargetMode="External"/><Relationship Id="rId294" Type="http://schemas.openxmlformats.org/officeDocument/2006/relationships/hyperlink" Target="https://youtu.be/mvNNtf3I6HE?t=5487" TargetMode="External"/><Relationship Id="rId179" Type="http://schemas.openxmlformats.org/officeDocument/2006/relationships/hyperlink" Target="https://youtu.be/HaKd4V-nKbU?t=8028" TargetMode="External"/><Relationship Id="rId178" Type="http://schemas.openxmlformats.org/officeDocument/2006/relationships/hyperlink" Target="https://youtu.be/3pLdv4SOsgM?t=7072" TargetMode="External"/><Relationship Id="rId299" Type="http://schemas.openxmlformats.org/officeDocument/2006/relationships/hyperlink" Target="https://youtu.be/s2kiR0628Ws?t=7973" TargetMode="External"/><Relationship Id="rId177" Type="http://schemas.openxmlformats.org/officeDocument/2006/relationships/hyperlink" Target="https://youtu.be/HaKd4V-nKbU?t=7127" TargetMode="External"/><Relationship Id="rId298" Type="http://schemas.openxmlformats.org/officeDocument/2006/relationships/hyperlink" Target="https://youtu.be/mvNNtf3I6HE?t=7224" TargetMode="External"/><Relationship Id="rId20" Type="http://schemas.openxmlformats.org/officeDocument/2006/relationships/hyperlink" Target="https://youtu.be/xfDbyjpWMOc?t=8008" TargetMode="External"/><Relationship Id="rId22" Type="http://schemas.openxmlformats.org/officeDocument/2006/relationships/hyperlink" Target="https://youtu.be/Ii1fpxkYkaE" TargetMode="External"/><Relationship Id="rId21" Type="http://schemas.openxmlformats.org/officeDocument/2006/relationships/hyperlink" Target="https://youtu.be/9v_fnnOvQd8" TargetMode="External"/><Relationship Id="rId24" Type="http://schemas.openxmlformats.org/officeDocument/2006/relationships/hyperlink" Target="https://youtu.be/Ii1fpxkYkaE?t=1002" TargetMode="External"/><Relationship Id="rId23" Type="http://schemas.openxmlformats.org/officeDocument/2006/relationships/hyperlink" Target="https://youtu.be/9v_fnnOvQd8?t=953" TargetMode="External"/><Relationship Id="rId26" Type="http://schemas.openxmlformats.org/officeDocument/2006/relationships/hyperlink" Target="https://youtu.be/Ii1fpxkYkaE?t=1877" TargetMode="External"/><Relationship Id="rId25" Type="http://schemas.openxmlformats.org/officeDocument/2006/relationships/hyperlink" Target="https://youtu.be/9v_fnnOvQd8?t=1816" TargetMode="External"/><Relationship Id="rId28" Type="http://schemas.openxmlformats.org/officeDocument/2006/relationships/hyperlink" Target="https://youtu.be/Ii1fpxkYkaE?t=2768" TargetMode="External"/><Relationship Id="rId27" Type="http://schemas.openxmlformats.org/officeDocument/2006/relationships/hyperlink" Target="https://youtu.be/9v_fnnOvQd8?t=2721" TargetMode="External"/><Relationship Id="rId29" Type="http://schemas.openxmlformats.org/officeDocument/2006/relationships/hyperlink" Target="https://youtu.be/9v_fnnOvQd8?t=3562" TargetMode="External"/><Relationship Id="rId11" Type="http://schemas.openxmlformats.org/officeDocument/2006/relationships/hyperlink" Target="https://youtu.be/9DDlRjfshuE?t=4451" TargetMode="External"/><Relationship Id="rId10" Type="http://schemas.openxmlformats.org/officeDocument/2006/relationships/hyperlink" Target="https://youtu.be/xfDbyjpWMOc?t=3567" TargetMode="External"/><Relationship Id="rId13" Type="http://schemas.openxmlformats.org/officeDocument/2006/relationships/hyperlink" Target="https://youtu.be/9DDlRjfshuE?t=5321" TargetMode="External"/><Relationship Id="rId12" Type="http://schemas.openxmlformats.org/officeDocument/2006/relationships/hyperlink" Target="https://youtu.be/xfDbyjpWMOc?t=4467" TargetMode="External"/><Relationship Id="rId15" Type="http://schemas.openxmlformats.org/officeDocument/2006/relationships/hyperlink" Target="https://youtu.be/9DDlRjfshuE?t=6157" TargetMode="External"/><Relationship Id="rId198" Type="http://schemas.openxmlformats.org/officeDocument/2006/relationships/hyperlink" Target="https://youtu.be/59_hsHVqxh8?t=7358" TargetMode="External"/><Relationship Id="rId14" Type="http://schemas.openxmlformats.org/officeDocument/2006/relationships/hyperlink" Target="https://youtu.be/xfDbyjpWMOc?t=5368" TargetMode="External"/><Relationship Id="rId197" Type="http://schemas.openxmlformats.org/officeDocument/2006/relationships/hyperlink" Target="https://youtu.be/NYq5v2eD7v4?t=7284" TargetMode="External"/><Relationship Id="rId17" Type="http://schemas.openxmlformats.org/officeDocument/2006/relationships/hyperlink" Target="https://youtu.be/9DDlRjfshuE?t=7054" TargetMode="External"/><Relationship Id="rId196" Type="http://schemas.openxmlformats.org/officeDocument/2006/relationships/hyperlink" Target="https://youtu.be/59_hsHVqxh8?t=6460" TargetMode="External"/><Relationship Id="rId16" Type="http://schemas.openxmlformats.org/officeDocument/2006/relationships/hyperlink" Target="https://youtu.be/xfDbyjpWMOc?t=6208" TargetMode="External"/><Relationship Id="rId195" Type="http://schemas.openxmlformats.org/officeDocument/2006/relationships/hyperlink" Target="https://youtu.be/NYq5v2eD7v4?t=6390" TargetMode="External"/><Relationship Id="rId19" Type="http://schemas.openxmlformats.org/officeDocument/2006/relationships/hyperlink" Target="https://youtu.be/9DDlRjfshuE?t=7959" TargetMode="External"/><Relationship Id="rId18" Type="http://schemas.openxmlformats.org/officeDocument/2006/relationships/hyperlink" Target="https://youtu.be/xfDbyjpWMOc?t=7107" TargetMode="External"/><Relationship Id="rId199" Type="http://schemas.openxmlformats.org/officeDocument/2006/relationships/hyperlink" Target="https://youtu.be/NYq5v2eD7v4?t=8193" TargetMode="External"/><Relationship Id="rId84" Type="http://schemas.openxmlformats.org/officeDocument/2006/relationships/hyperlink" Target="https://youtu.be/9KEZJm_H0Wk?t=781" TargetMode="External"/><Relationship Id="rId83" Type="http://schemas.openxmlformats.org/officeDocument/2006/relationships/hyperlink" Target="https://youtu.be/cal3rSw6D1s?t=1152" TargetMode="External"/><Relationship Id="rId86" Type="http://schemas.openxmlformats.org/officeDocument/2006/relationships/hyperlink" Target="https://youtu.be/9KEZJm_H0Wk?t=1735" TargetMode="External"/><Relationship Id="rId85" Type="http://schemas.openxmlformats.org/officeDocument/2006/relationships/hyperlink" Target="https://youtu.be/cal3rSw6D1s?t=1972" TargetMode="External"/><Relationship Id="rId88" Type="http://schemas.openxmlformats.org/officeDocument/2006/relationships/hyperlink" Target="https://youtu.be/9KEZJm_H0Wk?t=2606" TargetMode="External"/><Relationship Id="rId150" Type="http://schemas.openxmlformats.org/officeDocument/2006/relationships/hyperlink" Target="https://youtu.be/IKHr49pdgOU?t=3580" TargetMode="External"/><Relationship Id="rId271" Type="http://schemas.openxmlformats.org/officeDocument/2006/relationships/hyperlink" Target="https://youtu.be/CUagKuieIx4?t=4564" TargetMode="External"/><Relationship Id="rId87" Type="http://schemas.openxmlformats.org/officeDocument/2006/relationships/hyperlink" Target="https://youtu.be/cal3rSw6D1s?t=2814" TargetMode="External"/><Relationship Id="rId270" Type="http://schemas.openxmlformats.org/officeDocument/2006/relationships/hyperlink" Target="https://youtu.be/jABf1EvEuV0?t=3561" TargetMode="External"/><Relationship Id="rId89" Type="http://schemas.openxmlformats.org/officeDocument/2006/relationships/hyperlink" Target="https://youtu.be/cal3rSw6D1s?t=3627" TargetMode="External"/><Relationship Id="rId80" Type="http://schemas.openxmlformats.org/officeDocument/2006/relationships/hyperlink" Target="https://youtu.be/flO9TP1lSlU?t=8039" TargetMode="External"/><Relationship Id="rId82" Type="http://schemas.openxmlformats.org/officeDocument/2006/relationships/hyperlink" Target="https://youtu.be/9KEZJm_H0Wk" TargetMode="External"/><Relationship Id="rId81" Type="http://schemas.openxmlformats.org/officeDocument/2006/relationships/hyperlink" Target="https://youtu.be/cal3rSw6D1s" TargetMode="External"/><Relationship Id="rId1" Type="http://schemas.openxmlformats.org/officeDocument/2006/relationships/hyperlink" Target="https://youtu.be/9DDlRjfshuE" TargetMode="External"/><Relationship Id="rId2" Type="http://schemas.openxmlformats.org/officeDocument/2006/relationships/hyperlink" Target="https://youtu.be/xfDbyjpWMOc" TargetMode="External"/><Relationship Id="rId3" Type="http://schemas.openxmlformats.org/officeDocument/2006/relationships/hyperlink" Target="https://youtu.be/9DDlRjfshuE?t=960" TargetMode="External"/><Relationship Id="rId149" Type="http://schemas.openxmlformats.org/officeDocument/2006/relationships/hyperlink" Target="https://youtu.be/al2dzyZDYfA?t=3474" TargetMode="External"/><Relationship Id="rId4" Type="http://schemas.openxmlformats.org/officeDocument/2006/relationships/hyperlink" Target="https://youtu.be/xfDbyjpWMOc?t=927" TargetMode="External"/><Relationship Id="rId148" Type="http://schemas.openxmlformats.org/officeDocument/2006/relationships/hyperlink" Target="https://youtu.be/IKHr49pdgOU?t=2738" TargetMode="External"/><Relationship Id="rId269" Type="http://schemas.openxmlformats.org/officeDocument/2006/relationships/hyperlink" Target="https://youtu.be/CUagKuieIx4?t=3666" TargetMode="External"/><Relationship Id="rId9" Type="http://schemas.openxmlformats.org/officeDocument/2006/relationships/hyperlink" Target="https://youtu.be/9DDlRjfshuE?t=3524" TargetMode="External"/><Relationship Id="rId143" Type="http://schemas.openxmlformats.org/officeDocument/2006/relationships/hyperlink" Target="https://youtu.be/al2dzyZDYfA?t=916" TargetMode="External"/><Relationship Id="rId264" Type="http://schemas.openxmlformats.org/officeDocument/2006/relationships/hyperlink" Target="https://youtu.be/jABf1EvEuV0?t=935" TargetMode="External"/><Relationship Id="rId142" Type="http://schemas.openxmlformats.org/officeDocument/2006/relationships/hyperlink" Target="https://youtu.be/IKHr49pdgOU" TargetMode="External"/><Relationship Id="rId263" Type="http://schemas.openxmlformats.org/officeDocument/2006/relationships/hyperlink" Target="https://youtu.be/CUagKuieIx4?t=1036" TargetMode="External"/><Relationship Id="rId141" Type="http://schemas.openxmlformats.org/officeDocument/2006/relationships/hyperlink" Target="https://youtu.be/al2dzyZDYfA" TargetMode="External"/><Relationship Id="rId262" Type="http://schemas.openxmlformats.org/officeDocument/2006/relationships/hyperlink" Target="https://youtu.be/jABf1EvEuV0" TargetMode="External"/><Relationship Id="rId140" Type="http://schemas.openxmlformats.org/officeDocument/2006/relationships/hyperlink" Target="https://youtu.be/2zNifSkD5bs?t=8065" TargetMode="External"/><Relationship Id="rId261" Type="http://schemas.openxmlformats.org/officeDocument/2006/relationships/hyperlink" Target="https://youtu.be/CUagKuieIx4" TargetMode="External"/><Relationship Id="rId5" Type="http://schemas.openxmlformats.org/officeDocument/2006/relationships/hyperlink" Target="https://youtu.be/9DDlRjfshuE?t=1777" TargetMode="External"/><Relationship Id="rId147" Type="http://schemas.openxmlformats.org/officeDocument/2006/relationships/hyperlink" Target="https://youtu.be/al2dzyZDYfA?t=2637" TargetMode="External"/><Relationship Id="rId268" Type="http://schemas.openxmlformats.org/officeDocument/2006/relationships/hyperlink" Target="https://youtu.be/jABf1EvEuV0?t=2719" TargetMode="External"/><Relationship Id="rId6" Type="http://schemas.openxmlformats.org/officeDocument/2006/relationships/hyperlink" Target="https://youtu.be/xfDbyjpWMOc?t=1830" TargetMode="External"/><Relationship Id="rId146" Type="http://schemas.openxmlformats.org/officeDocument/2006/relationships/hyperlink" Target="https://youtu.be/IKHr49pdgOU?t=1869" TargetMode="External"/><Relationship Id="rId267" Type="http://schemas.openxmlformats.org/officeDocument/2006/relationships/hyperlink" Target="https://youtu.be/CUagKuieIx4?t=2829" TargetMode="External"/><Relationship Id="rId7" Type="http://schemas.openxmlformats.org/officeDocument/2006/relationships/hyperlink" Target="https://youtu.be/9DDlRjfshuE?t=2675" TargetMode="External"/><Relationship Id="rId145" Type="http://schemas.openxmlformats.org/officeDocument/2006/relationships/hyperlink" Target="https://youtu.be/al2dzyZDYfA?t=1739" TargetMode="External"/><Relationship Id="rId266" Type="http://schemas.openxmlformats.org/officeDocument/2006/relationships/hyperlink" Target="https://youtu.be/jABf1EvEuV0?t=1818" TargetMode="External"/><Relationship Id="rId8" Type="http://schemas.openxmlformats.org/officeDocument/2006/relationships/hyperlink" Target="https://youtu.be/xfDbyjpWMOc?t=2727" TargetMode="External"/><Relationship Id="rId144" Type="http://schemas.openxmlformats.org/officeDocument/2006/relationships/hyperlink" Target="https://youtu.be/IKHr49pdgOU?t=1019" TargetMode="External"/><Relationship Id="rId265" Type="http://schemas.openxmlformats.org/officeDocument/2006/relationships/hyperlink" Target="https://youtu.be/CUagKuieIx4?t=1929" TargetMode="External"/><Relationship Id="rId73" Type="http://schemas.openxmlformats.org/officeDocument/2006/relationships/hyperlink" Target="https://youtu.be/wvgK_rRVKH0?t=5367" TargetMode="External"/><Relationship Id="rId72" Type="http://schemas.openxmlformats.org/officeDocument/2006/relationships/hyperlink" Target="https://youtu.be/flO9TP1lSlU?t=4505" TargetMode="External"/><Relationship Id="rId75" Type="http://schemas.openxmlformats.org/officeDocument/2006/relationships/hyperlink" Target="https://youtu.be/wvgK_rRVKH0?t=6206" TargetMode="External"/><Relationship Id="rId74" Type="http://schemas.openxmlformats.org/officeDocument/2006/relationships/hyperlink" Target="https://youtu.be/flO9TP1lSlU?t=5401" TargetMode="External"/><Relationship Id="rId77" Type="http://schemas.openxmlformats.org/officeDocument/2006/relationships/hyperlink" Target="https://youtu.be/wvgK_rRVKH0?t=7107" TargetMode="External"/><Relationship Id="rId260" Type="http://schemas.openxmlformats.org/officeDocument/2006/relationships/hyperlink" Target="https://youtu.be/FqgSqkm-Dj0?t=7943" TargetMode="External"/><Relationship Id="rId76" Type="http://schemas.openxmlformats.org/officeDocument/2006/relationships/hyperlink" Target="https://youtu.be/flO9TP1lSlU?t=6242" TargetMode="External"/><Relationship Id="rId79" Type="http://schemas.openxmlformats.org/officeDocument/2006/relationships/hyperlink" Target="https://youtu.be/wvgK_rRVKH0?t=8011" TargetMode="External"/><Relationship Id="rId78" Type="http://schemas.openxmlformats.org/officeDocument/2006/relationships/hyperlink" Target="https://youtu.be/flO9TP1lSlU?t=7141" TargetMode="External"/><Relationship Id="rId71" Type="http://schemas.openxmlformats.org/officeDocument/2006/relationships/hyperlink" Target="https://youtu.be/wvgK_rRVKH0?t=4467" TargetMode="External"/><Relationship Id="rId70" Type="http://schemas.openxmlformats.org/officeDocument/2006/relationships/hyperlink" Target="https://youtu.be/flO9TP1lSlU?t=3634" TargetMode="External"/><Relationship Id="rId139" Type="http://schemas.openxmlformats.org/officeDocument/2006/relationships/hyperlink" Target="https://youtu.be/2CsDyLMbwpY?t=8023" TargetMode="External"/><Relationship Id="rId138" Type="http://schemas.openxmlformats.org/officeDocument/2006/relationships/hyperlink" Target="https://youtu.be/2zNifSkD5bs?t=7117" TargetMode="External"/><Relationship Id="rId259" Type="http://schemas.openxmlformats.org/officeDocument/2006/relationships/hyperlink" Target="https://youtu.be/3GwW9Evj0MQ?t=7919" TargetMode="External"/><Relationship Id="rId137" Type="http://schemas.openxmlformats.org/officeDocument/2006/relationships/hyperlink" Target="https://youtu.be/2CsDyLMbwpY?t=7131" TargetMode="External"/><Relationship Id="rId258" Type="http://schemas.openxmlformats.org/officeDocument/2006/relationships/hyperlink" Target="https://youtu.be/FqgSqkm-Dj0?t=7045" TargetMode="External"/><Relationship Id="rId132" Type="http://schemas.openxmlformats.org/officeDocument/2006/relationships/hyperlink" Target="https://youtu.be/2zNifSkD5bs?t=4492" TargetMode="External"/><Relationship Id="rId253" Type="http://schemas.openxmlformats.org/officeDocument/2006/relationships/hyperlink" Target="https://youtu.be/3GwW9Evj0MQ?t=5335" TargetMode="External"/><Relationship Id="rId131" Type="http://schemas.openxmlformats.org/officeDocument/2006/relationships/hyperlink" Target="https://youtu.be/2CsDyLMbwpY?t=4485" TargetMode="External"/><Relationship Id="rId252" Type="http://schemas.openxmlformats.org/officeDocument/2006/relationships/hyperlink" Target="https://youtu.be/FqgSqkm-Dj0?t=4528" TargetMode="External"/><Relationship Id="rId130" Type="http://schemas.openxmlformats.org/officeDocument/2006/relationships/hyperlink" Target="https://youtu.be/2zNifSkD5bs?t=3581" TargetMode="External"/><Relationship Id="rId251" Type="http://schemas.openxmlformats.org/officeDocument/2006/relationships/hyperlink" Target="https://youtu.be/3GwW9Evj0MQ?t=4444" TargetMode="External"/><Relationship Id="rId250" Type="http://schemas.openxmlformats.org/officeDocument/2006/relationships/hyperlink" Target="https://youtu.be/FqgSqkm-Dj0?t=3660" TargetMode="External"/><Relationship Id="rId136" Type="http://schemas.openxmlformats.org/officeDocument/2006/relationships/hyperlink" Target="https://youtu.be/2zNifSkD5bs?t=6260" TargetMode="External"/><Relationship Id="rId257" Type="http://schemas.openxmlformats.org/officeDocument/2006/relationships/hyperlink" Target="https://youtu.be/3GwW9Evj0MQ?t=7084" TargetMode="External"/><Relationship Id="rId135" Type="http://schemas.openxmlformats.org/officeDocument/2006/relationships/hyperlink" Target="https://youtu.be/2CsDyLMbwpY?t=6228" TargetMode="External"/><Relationship Id="rId256" Type="http://schemas.openxmlformats.org/officeDocument/2006/relationships/hyperlink" Target="https://youtu.be/FqgSqkm-Dj0?t=6154" TargetMode="External"/><Relationship Id="rId134" Type="http://schemas.openxmlformats.org/officeDocument/2006/relationships/hyperlink" Target="https://youtu.be/2zNifSkD5bs?t=5440" TargetMode="External"/><Relationship Id="rId255" Type="http://schemas.openxmlformats.org/officeDocument/2006/relationships/hyperlink" Target="https://youtu.be/3GwW9Evj0MQ?t=6192" TargetMode="External"/><Relationship Id="rId133" Type="http://schemas.openxmlformats.org/officeDocument/2006/relationships/hyperlink" Target="https://youtu.be/2CsDyLMbwpY?t=5389" TargetMode="External"/><Relationship Id="rId254" Type="http://schemas.openxmlformats.org/officeDocument/2006/relationships/hyperlink" Target="https://youtu.be/FqgSqkm-Dj0?t=5300" TargetMode="External"/><Relationship Id="rId62" Type="http://schemas.openxmlformats.org/officeDocument/2006/relationships/hyperlink" Target="https://youtu.be/flO9TP1lSlU" TargetMode="External"/><Relationship Id="rId61" Type="http://schemas.openxmlformats.org/officeDocument/2006/relationships/hyperlink" Target="https://youtu.be/wvgK_rRVKH0" TargetMode="External"/><Relationship Id="rId64" Type="http://schemas.openxmlformats.org/officeDocument/2006/relationships/hyperlink" Target="https://youtu.be/flO9TP1lSlU?t=991" TargetMode="External"/><Relationship Id="rId63" Type="http://schemas.openxmlformats.org/officeDocument/2006/relationships/hyperlink" Target="https://youtu.be/wvgK_rRVKH0?t=927" TargetMode="External"/><Relationship Id="rId66" Type="http://schemas.openxmlformats.org/officeDocument/2006/relationships/hyperlink" Target="https://youtu.be/flO9TP1lSlU?t=1860" TargetMode="External"/><Relationship Id="rId172" Type="http://schemas.openxmlformats.org/officeDocument/2006/relationships/hyperlink" Target="https://youtu.be/3pLdv4SOsgM?t=4476" TargetMode="External"/><Relationship Id="rId293" Type="http://schemas.openxmlformats.org/officeDocument/2006/relationships/hyperlink" Target="https://youtu.be/s2kiR0628Ws?t=5335" TargetMode="External"/><Relationship Id="rId65" Type="http://schemas.openxmlformats.org/officeDocument/2006/relationships/hyperlink" Target="https://youtu.be/wvgK_rRVKH0" TargetMode="External"/><Relationship Id="rId171" Type="http://schemas.openxmlformats.org/officeDocument/2006/relationships/hyperlink" Target="https://youtu.be/HaKd4V-nKbU?t=4489" TargetMode="External"/><Relationship Id="rId292" Type="http://schemas.openxmlformats.org/officeDocument/2006/relationships/hyperlink" Target="https://youtu.be/mvNNtf3I6HE?t=4586" TargetMode="External"/><Relationship Id="rId68" Type="http://schemas.openxmlformats.org/officeDocument/2006/relationships/hyperlink" Target="https://youtu.be/flO9TP1lSlU?t=2762" TargetMode="External"/><Relationship Id="rId170" Type="http://schemas.openxmlformats.org/officeDocument/2006/relationships/hyperlink" Target="https://youtu.be/3pLdv4SOsgM?t=3538" TargetMode="External"/><Relationship Id="rId291" Type="http://schemas.openxmlformats.org/officeDocument/2006/relationships/hyperlink" Target="https://youtu.be/s2kiR0628Ws?t=4439" TargetMode="External"/><Relationship Id="rId67" Type="http://schemas.openxmlformats.org/officeDocument/2006/relationships/hyperlink" Target="https://youtu.be/wvgK_rRVKH0?t=2726" TargetMode="External"/><Relationship Id="rId290" Type="http://schemas.openxmlformats.org/officeDocument/2006/relationships/hyperlink" Target="https://youtu.be/mvNNtf3I6HE?t=3715" TargetMode="External"/><Relationship Id="rId60" Type="http://schemas.openxmlformats.org/officeDocument/2006/relationships/hyperlink" Target="https://youtu.be/FzCoYRXgszA?t=8082" TargetMode="External"/><Relationship Id="rId165" Type="http://schemas.openxmlformats.org/officeDocument/2006/relationships/hyperlink" Target="https://youtu.be/HaKd4V-nKbU?t=1850" TargetMode="External"/><Relationship Id="rId286" Type="http://schemas.openxmlformats.org/officeDocument/2006/relationships/hyperlink" Target="https://youtu.be/mvNNtf3I6HE?t=1952" TargetMode="External"/><Relationship Id="rId69" Type="http://schemas.openxmlformats.org/officeDocument/2006/relationships/hyperlink" Target="https://youtu.be/wvgK_rRVKH0?t=3568" TargetMode="External"/><Relationship Id="rId164" Type="http://schemas.openxmlformats.org/officeDocument/2006/relationships/hyperlink" Target="https://youtu.be/3pLdv4SOsgM?t=931" TargetMode="External"/><Relationship Id="rId285" Type="http://schemas.openxmlformats.org/officeDocument/2006/relationships/hyperlink" Target="https://youtu.be/s2kiR0628Ws?t=1792" TargetMode="External"/><Relationship Id="rId163" Type="http://schemas.openxmlformats.org/officeDocument/2006/relationships/hyperlink" Target="https://youtu.be/HaKd4V-nKbU?t=947" TargetMode="External"/><Relationship Id="rId284" Type="http://schemas.openxmlformats.org/officeDocument/2006/relationships/hyperlink" Target="https://youtu.be/mvNNtf3I6HE?t=1049" TargetMode="External"/><Relationship Id="rId162" Type="http://schemas.openxmlformats.org/officeDocument/2006/relationships/hyperlink" Target="https://youtu.be/3pLdv4SOsgM" TargetMode="External"/><Relationship Id="rId283" Type="http://schemas.openxmlformats.org/officeDocument/2006/relationships/hyperlink" Target="https://youtu.be/s2kiR0628Ws?t=914" TargetMode="External"/><Relationship Id="rId169" Type="http://schemas.openxmlformats.org/officeDocument/2006/relationships/hyperlink" Target="https://youtu.be/HaKd4V-nKbU?t=3610" TargetMode="External"/><Relationship Id="rId168" Type="http://schemas.openxmlformats.org/officeDocument/2006/relationships/hyperlink" Target="https://youtu.be/3pLdv4SOsgM?t=2679" TargetMode="External"/><Relationship Id="rId289" Type="http://schemas.openxmlformats.org/officeDocument/2006/relationships/hyperlink" Target="https://youtu.be/s2kiR0628Ws?t=3533" TargetMode="External"/><Relationship Id="rId167" Type="http://schemas.openxmlformats.org/officeDocument/2006/relationships/hyperlink" Target="https://youtu.be/HaKd4V-nKbU?t=2746" TargetMode="External"/><Relationship Id="rId288" Type="http://schemas.openxmlformats.org/officeDocument/2006/relationships/hyperlink" Target="https://youtu.be/mvNNtf3I6HE?t=2848" TargetMode="External"/><Relationship Id="rId166" Type="http://schemas.openxmlformats.org/officeDocument/2006/relationships/hyperlink" Target="https://youtu.be/3pLdv4SOsgM?t=1812" TargetMode="External"/><Relationship Id="rId287" Type="http://schemas.openxmlformats.org/officeDocument/2006/relationships/hyperlink" Target="https://youtu.be/s2kiR0628Ws?t=2693" TargetMode="External"/><Relationship Id="rId51" Type="http://schemas.openxmlformats.org/officeDocument/2006/relationships/hyperlink" Target="https://youtu.be/yHuAXWZRtGY?t=4447" TargetMode="External"/><Relationship Id="rId50" Type="http://schemas.openxmlformats.org/officeDocument/2006/relationships/hyperlink" Target="https://youtu.be/FzCoYRXgszA?t=3654" TargetMode="External"/><Relationship Id="rId53" Type="http://schemas.openxmlformats.org/officeDocument/2006/relationships/hyperlink" Target="https://youtu.be/yHuAXWZRtGY?t=5361" TargetMode="External"/><Relationship Id="rId52" Type="http://schemas.openxmlformats.org/officeDocument/2006/relationships/hyperlink" Target="https://youtu.be/FzCoYRXgszA?t=4542" TargetMode="External"/><Relationship Id="rId55" Type="http://schemas.openxmlformats.org/officeDocument/2006/relationships/hyperlink" Target="https://youtu.be/yHuAXWZRtGY?t=6249" TargetMode="External"/><Relationship Id="rId161" Type="http://schemas.openxmlformats.org/officeDocument/2006/relationships/hyperlink" Target="https://youtu.be/HaKd4V-nKbU" TargetMode="External"/><Relationship Id="rId282" Type="http://schemas.openxmlformats.org/officeDocument/2006/relationships/hyperlink" Target="https://youtu.be/mvNNtf3I6HE" TargetMode="External"/><Relationship Id="rId54" Type="http://schemas.openxmlformats.org/officeDocument/2006/relationships/hyperlink" Target="https://youtu.be/FzCoYRXgszA?t=5442" TargetMode="External"/><Relationship Id="rId160" Type="http://schemas.openxmlformats.org/officeDocument/2006/relationships/hyperlink" Target="https://youtu.be/IKHr49pdgOU?t=7960" TargetMode="External"/><Relationship Id="rId281" Type="http://schemas.openxmlformats.org/officeDocument/2006/relationships/hyperlink" Target="https://youtu.be/s2kiR0628Ws" TargetMode="External"/><Relationship Id="rId57" Type="http://schemas.openxmlformats.org/officeDocument/2006/relationships/hyperlink" Target="https://youtu.be/yHuAXWZRtGY?t=7107" TargetMode="External"/><Relationship Id="rId280" Type="http://schemas.openxmlformats.org/officeDocument/2006/relationships/hyperlink" Target="https://youtu.be/jABf1EvEuV0?t=7891" TargetMode="External"/><Relationship Id="rId56" Type="http://schemas.openxmlformats.org/officeDocument/2006/relationships/hyperlink" Target="https://youtu.be/FzCoYRXgszA?t=6283" TargetMode="External"/><Relationship Id="rId159" Type="http://schemas.openxmlformats.org/officeDocument/2006/relationships/hyperlink" Target="https://youtu.be/al2dzyZDYfA?t=7913" TargetMode="External"/><Relationship Id="rId59" Type="http://schemas.openxmlformats.org/officeDocument/2006/relationships/hyperlink" Target="https://youtu.be/yHuAXWZRtGY?t=7983" TargetMode="External"/><Relationship Id="rId154" Type="http://schemas.openxmlformats.org/officeDocument/2006/relationships/hyperlink" Target="https://youtu.be/IKHr49pdgOU?t=5381" TargetMode="External"/><Relationship Id="rId275" Type="http://schemas.openxmlformats.org/officeDocument/2006/relationships/hyperlink" Target="https://youtu.be/CUagKuieIx4?t=6308" TargetMode="External"/><Relationship Id="rId58" Type="http://schemas.openxmlformats.org/officeDocument/2006/relationships/hyperlink" Target="https://youtu.be/FzCoYRXgszA?t=7183" TargetMode="External"/><Relationship Id="rId153" Type="http://schemas.openxmlformats.org/officeDocument/2006/relationships/hyperlink" Target="https://youtu.be/al2dzyZDYfA?t=5273" TargetMode="External"/><Relationship Id="rId274" Type="http://schemas.openxmlformats.org/officeDocument/2006/relationships/hyperlink" Target="https://youtu.be/jABf1EvEuV0?t=5327" TargetMode="External"/><Relationship Id="rId152" Type="http://schemas.openxmlformats.org/officeDocument/2006/relationships/hyperlink" Target="https://youtu.be/IKHr49pdgOU?t=4480" TargetMode="External"/><Relationship Id="rId273" Type="http://schemas.openxmlformats.org/officeDocument/2006/relationships/hyperlink" Target="https://youtu.be/CUagKuieIx4?t=5459" TargetMode="External"/><Relationship Id="rId151" Type="http://schemas.openxmlformats.org/officeDocument/2006/relationships/hyperlink" Target="https://youtu.be/al2dzyZDYfA?t=4373" TargetMode="External"/><Relationship Id="rId272" Type="http://schemas.openxmlformats.org/officeDocument/2006/relationships/hyperlink" Target="https://youtu.be/jABf1EvEuV0?t=4458" TargetMode="External"/><Relationship Id="rId158" Type="http://schemas.openxmlformats.org/officeDocument/2006/relationships/hyperlink" Target="https://youtu.be/IKHr49pdgOU?t=7070" TargetMode="External"/><Relationship Id="rId279" Type="http://schemas.openxmlformats.org/officeDocument/2006/relationships/hyperlink" Target="https://youtu.be/CUagKuieIx4?t=7952" TargetMode="External"/><Relationship Id="rId157" Type="http://schemas.openxmlformats.org/officeDocument/2006/relationships/hyperlink" Target="https://youtu.be/al2dzyZDYfA?t=7019" TargetMode="External"/><Relationship Id="rId278" Type="http://schemas.openxmlformats.org/officeDocument/2006/relationships/hyperlink" Target="https://youtu.be/jABf1EvEuV0?t=7067" TargetMode="External"/><Relationship Id="rId156" Type="http://schemas.openxmlformats.org/officeDocument/2006/relationships/hyperlink" Target="https://youtu.be/IKHr49pdgOU?t=6239" TargetMode="External"/><Relationship Id="rId277" Type="http://schemas.openxmlformats.org/officeDocument/2006/relationships/hyperlink" Target="https://youtu.be/CUagKuieIx4?t=7199" TargetMode="External"/><Relationship Id="rId155" Type="http://schemas.openxmlformats.org/officeDocument/2006/relationships/hyperlink" Target="https://youtu.be/al2dzyZDYfA?t=6126" TargetMode="External"/><Relationship Id="rId276" Type="http://schemas.openxmlformats.org/officeDocument/2006/relationships/hyperlink" Target="https://youtu.be/jABf1EvEuV0?t=6173" TargetMode="External"/><Relationship Id="rId107" Type="http://schemas.openxmlformats.org/officeDocument/2006/relationships/hyperlink" Target="https://youtu.be/9Og_hUmG5Ho?t=2774" TargetMode="External"/><Relationship Id="rId228" Type="http://schemas.openxmlformats.org/officeDocument/2006/relationships/hyperlink" Target="https://youtu.be/ACH8JIA-pE4?t=2704" TargetMode="External"/><Relationship Id="rId349" Type="http://schemas.openxmlformats.org/officeDocument/2006/relationships/hyperlink" Target="https://youtu.be/VJ7mmGEoAEs?t=3518" TargetMode="External"/><Relationship Id="rId106" Type="http://schemas.openxmlformats.org/officeDocument/2006/relationships/hyperlink" Target="https://youtu.be/mKoYRZvrVAg?t=1912" TargetMode="External"/><Relationship Id="rId227" Type="http://schemas.openxmlformats.org/officeDocument/2006/relationships/hyperlink" Target="https://youtu.be/M3_jKBoQTqA?t=2788" TargetMode="External"/><Relationship Id="rId348" Type="http://schemas.openxmlformats.org/officeDocument/2006/relationships/hyperlink" Target="https://youtu.be/Ynbmfua31lU?t=2673" TargetMode="External"/><Relationship Id="rId105" Type="http://schemas.openxmlformats.org/officeDocument/2006/relationships/hyperlink" Target="https://youtu.be/9Og_hUmG5Ho?t=1904" TargetMode="External"/><Relationship Id="rId226" Type="http://schemas.openxmlformats.org/officeDocument/2006/relationships/hyperlink" Target="https://youtu.be/ACH8JIA-pE4?t=1801" TargetMode="External"/><Relationship Id="rId347" Type="http://schemas.openxmlformats.org/officeDocument/2006/relationships/hyperlink" Target="https://youtu.be/VJ7mmGEoAEs?t=2679" TargetMode="External"/><Relationship Id="rId104" Type="http://schemas.openxmlformats.org/officeDocument/2006/relationships/hyperlink" Target="https://youtu.be/mKoYRZvrVAg?t=1083" TargetMode="External"/><Relationship Id="rId225" Type="http://schemas.openxmlformats.org/officeDocument/2006/relationships/hyperlink" Target="https://youtu.be/M3_jKBoQTqA?t=1891" TargetMode="External"/><Relationship Id="rId346" Type="http://schemas.openxmlformats.org/officeDocument/2006/relationships/hyperlink" Target="https://youtu.be/Ynbmfua31lU?t=1754" TargetMode="External"/><Relationship Id="rId109" Type="http://schemas.openxmlformats.org/officeDocument/2006/relationships/hyperlink" Target="https://youtu.be/9Og_hUmG5Ho?t=3554" TargetMode="External"/><Relationship Id="rId108" Type="http://schemas.openxmlformats.org/officeDocument/2006/relationships/hyperlink" Target="https://youtu.be/mKoYRZvrVAg?t=3103" TargetMode="External"/><Relationship Id="rId229" Type="http://schemas.openxmlformats.org/officeDocument/2006/relationships/hyperlink" Target="https://youtu.be/M3_jKBoQTqA?t=3628" TargetMode="External"/><Relationship Id="rId220" Type="http://schemas.openxmlformats.org/officeDocument/2006/relationships/hyperlink" Target="https://youtu.be/rUm4aOqu_cc?t=7888" TargetMode="External"/><Relationship Id="rId341" Type="http://schemas.openxmlformats.org/officeDocument/2006/relationships/hyperlink" Target="https://youtu.be/VJ7mmGEoAEs" TargetMode="External"/><Relationship Id="rId340" Type="http://schemas.openxmlformats.org/officeDocument/2006/relationships/hyperlink" Target="https://youtu.be/GRZT_F1EIJg?t=8059" TargetMode="External"/><Relationship Id="rId103" Type="http://schemas.openxmlformats.org/officeDocument/2006/relationships/hyperlink" Target="https://youtu.be/9Og_hUmG5Ho?t=927" TargetMode="External"/><Relationship Id="rId224" Type="http://schemas.openxmlformats.org/officeDocument/2006/relationships/hyperlink" Target="https://youtu.be/ACH8JIA-pE4?t=898" TargetMode="External"/><Relationship Id="rId345" Type="http://schemas.openxmlformats.org/officeDocument/2006/relationships/hyperlink" Target="https://youtu.be/VJ7mmGEoAEs?t=1778" TargetMode="External"/><Relationship Id="rId102" Type="http://schemas.openxmlformats.org/officeDocument/2006/relationships/hyperlink" Target="https://youtu.be/mKoYRZvrVAg" TargetMode="External"/><Relationship Id="rId223" Type="http://schemas.openxmlformats.org/officeDocument/2006/relationships/hyperlink" Target="https://youtu.be/M3_jKBoQTqA?t=1008" TargetMode="External"/><Relationship Id="rId344" Type="http://schemas.openxmlformats.org/officeDocument/2006/relationships/hyperlink" Target="https://youtu.be/Ynbmfua31lU?t=840" TargetMode="External"/><Relationship Id="rId101" Type="http://schemas.openxmlformats.org/officeDocument/2006/relationships/hyperlink" Target="https://youtu.be/9Og_hUmG5Ho" TargetMode="External"/><Relationship Id="rId222" Type="http://schemas.openxmlformats.org/officeDocument/2006/relationships/hyperlink" Target="https://youtu.be/ACH8JIA-pE4" TargetMode="External"/><Relationship Id="rId343" Type="http://schemas.openxmlformats.org/officeDocument/2006/relationships/hyperlink" Target="https://youtu.be/VJ7mmGEoAEs?t=879" TargetMode="External"/><Relationship Id="rId100" Type="http://schemas.openxmlformats.org/officeDocument/2006/relationships/hyperlink" Target="https://youtu.be/9KEZJm_H0Wk?t=7923" TargetMode="External"/><Relationship Id="rId221" Type="http://schemas.openxmlformats.org/officeDocument/2006/relationships/hyperlink" Target="https://youtu.be/M3_jKBoQTqA" TargetMode="External"/><Relationship Id="rId342" Type="http://schemas.openxmlformats.org/officeDocument/2006/relationships/hyperlink" Target="https://youtu.be/Ynbmfua31lU" TargetMode="External"/><Relationship Id="rId217" Type="http://schemas.openxmlformats.org/officeDocument/2006/relationships/hyperlink" Target="https://youtu.be/9WMIn7hTxyo?t=6886" TargetMode="External"/><Relationship Id="rId338" Type="http://schemas.openxmlformats.org/officeDocument/2006/relationships/hyperlink" Target="https://youtu.be/GRZT_F1EIJg?t=7160" TargetMode="External"/><Relationship Id="rId216" Type="http://schemas.openxmlformats.org/officeDocument/2006/relationships/hyperlink" Target="https://youtu.be/rUm4aOqu_cc?t=6070" TargetMode="External"/><Relationship Id="rId337" Type="http://schemas.openxmlformats.org/officeDocument/2006/relationships/hyperlink" Target="https://youtu.be/SMEC1rXw3L4?t=7073" TargetMode="External"/><Relationship Id="rId215" Type="http://schemas.openxmlformats.org/officeDocument/2006/relationships/hyperlink" Target="https://youtu.be/9WMIn7hTxyo?t=5992" TargetMode="External"/><Relationship Id="rId336" Type="http://schemas.openxmlformats.org/officeDocument/2006/relationships/hyperlink" Target="https://youtu.be/GRZT_F1EIJg?t=6260" TargetMode="External"/><Relationship Id="rId214" Type="http://schemas.openxmlformats.org/officeDocument/2006/relationships/hyperlink" Target="https://youtu.be/rUm4aOqu_cc?t=5231" TargetMode="External"/><Relationship Id="rId335" Type="http://schemas.openxmlformats.org/officeDocument/2006/relationships/hyperlink" Target="https://youtu.be/SMEC1rXw3L4?t=6177" TargetMode="External"/><Relationship Id="rId219" Type="http://schemas.openxmlformats.org/officeDocument/2006/relationships/hyperlink" Target="https://youtu.be/9WMIn7hTxyo?t=7777" TargetMode="External"/><Relationship Id="rId218" Type="http://schemas.openxmlformats.org/officeDocument/2006/relationships/hyperlink" Target="https://youtu.be/rUm4aOqu_cc?t=6901" TargetMode="External"/><Relationship Id="rId339" Type="http://schemas.openxmlformats.org/officeDocument/2006/relationships/hyperlink" Target="https://youtu.be/SMEC1rXw3L4?t=7973" TargetMode="External"/><Relationship Id="rId330" Type="http://schemas.openxmlformats.org/officeDocument/2006/relationships/hyperlink" Target="https://youtu.be/GRZT_F1EIJg?t=3620" TargetMode="External"/><Relationship Id="rId213" Type="http://schemas.openxmlformats.org/officeDocument/2006/relationships/hyperlink" Target="https://youtu.be/9WMIn7hTxyo?t=5137" TargetMode="External"/><Relationship Id="rId334" Type="http://schemas.openxmlformats.org/officeDocument/2006/relationships/hyperlink" Target="https://youtu.be/GRZT_F1EIJg?t=5419" TargetMode="External"/><Relationship Id="rId212" Type="http://schemas.openxmlformats.org/officeDocument/2006/relationships/hyperlink" Target="https://youtu.be/rUm4aOqu_cc?t=4370" TargetMode="External"/><Relationship Id="rId333" Type="http://schemas.openxmlformats.org/officeDocument/2006/relationships/hyperlink" Target="https://youtu.be/SMEC1rXw3L4?t=5338" TargetMode="External"/><Relationship Id="rId211" Type="http://schemas.openxmlformats.org/officeDocument/2006/relationships/hyperlink" Target="https://youtu.be/9WMIn7hTxyo?t=4240" TargetMode="External"/><Relationship Id="rId332" Type="http://schemas.openxmlformats.org/officeDocument/2006/relationships/hyperlink" Target="https://youtu.be/GRZT_F1EIJg?t=4520" TargetMode="External"/><Relationship Id="rId210" Type="http://schemas.openxmlformats.org/officeDocument/2006/relationships/hyperlink" Target="https://youtu.be/rUm4aOqu_cc?t=3539" TargetMode="External"/><Relationship Id="rId331" Type="http://schemas.openxmlformats.org/officeDocument/2006/relationships/hyperlink" Target="https://youtu.be/SMEC1rXw3L4?t=4431" TargetMode="External"/><Relationship Id="rId129" Type="http://schemas.openxmlformats.org/officeDocument/2006/relationships/hyperlink" Target="https://youtu.be/2CsDyLMbwpY?t=3592" TargetMode="External"/><Relationship Id="rId128" Type="http://schemas.openxmlformats.org/officeDocument/2006/relationships/hyperlink" Target="https://youtu.be/2zNifSkD5bs?t=2746" TargetMode="External"/><Relationship Id="rId249" Type="http://schemas.openxmlformats.org/officeDocument/2006/relationships/hyperlink" Target="https://youtu.be/3GwW9Evj0MQ?t=3559" TargetMode="External"/><Relationship Id="rId127" Type="http://schemas.openxmlformats.org/officeDocument/2006/relationships/hyperlink" Target="https://youtu.be/2CsDyLMbwpY?t=2747" TargetMode="External"/><Relationship Id="rId248" Type="http://schemas.openxmlformats.org/officeDocument/2006/relationships/hyperlink" Target="https://youtu.be/FqgSqkm-Dj0?t=2672" TargetMode="External"/><Relationship Id="rId126" Type="http://schemas.openxmlformats.org/officeDocument/2006/relationships/hyperlink" Target="https://youtu.be/2zNifSkD5bs?t=1821" TargetMode="External"/><Relationship Id="rId247" Type="http://schemas.openxmlformats.org/officeDocument/2006/relationships/hyperlink" Target="https://youtu.be/3GwW9Evj0MQ?t=2718" TargetMode="External"/><Relationship Id="rId121" Type="http://schemas.openxmlformats.org/officeDocument/2006/relationships/hyperlink" Target="https://youtu.be/2CsDyLMbwpY" TargetMode="External"/><Relationship Id="rId242" Type="http://schemas.openxmlformats.org/officeDocument/2006/relationships/hyperlink" Target="https://youtu.be/FqgSqkm-Dj0" TargetMode="External"/><Relationship Id="rId120" Type="http://schemas.openxmlformats.org/officeDocument/2006/relationships/hyperlink" Target="https://youtu.be/mKoYRZvrVAg?t=8195" TargetMode="External"/><Relationship Id="rId241" Type="http://schemas.openxmlformats.org/officeDocument/2006/relationships/hyperlink" Target="https://youtu.be/3GwW9Evj0MQ" TargetMode="External"/><Relationship Id="rId240" Type="http://schemas.openxmlformats.org/officeDocument/2006/relationships/hyperlink" Target="https://youtu.be/ACH8JIA-pE4?t=7977" TargetMode="External"/><Relationship Id="rId361" Type="http://schemas.openxmlformats.org/officeDocument/2006/relationships/drawing" Target="../drawings/drawing8.xml"/><Relationship Id="rId360" Type="http://schemas.openxmlformats.org/officeDocument/2006/relationships/hyperlink" Target="https://youtu.be/Ynbmfua31lU?t=7914" TargetMode="External"/><Relationship Id="rId125" Type="http://schemas.openxmlformats.org/officeDocument/2006/relationships/hyperlink" Target="https://youtu.be/2CsDyLMbwpY?t=1851" TargetMode="External"/><Relationship Id="rId246" Type="http://schemas.openxmlformats.org/officeDocument/2006/relationships/hyperlink" Target="https://youtu.be/FqgSqkm-Dj0?t=1841" TargetMode="External"/><Relationship Id="rId124" Type="http://schemas.openxmlformats.org/officeDocument/2006/relationships/hyperlink" Target="https://youtu.be/2zNifSkD5bs?t=918" TargetMode="External"/><Relationship Id="rId245" Type="http://schemas.openxmlformats.org/officeDocument/2006/relationships/hyperlink" Target="https://youtu.be/3GwW9Evj0MQ?t=1832" TargetMode="External"/><Relationship Id="rId123" Type="http://schemas.openxmlformats.org/officeDocument/2006/relationships/hyperlink" Target="https://youtu.be/2CsDyLMbwpY?t=1006" TargetMode="External"/><Relationship Id="rId244" Type="http://schemas.openxmlformats.org/officeDocument/2006/relationships/hyperlink" Target="https://youtu.be/FqgSqkm-Dj0?t=898" TargetMode="External"/><Relationship Id="rId122" Type="http://schemas.openxmlformats.org/officeDocument/2006/relationships/hyperlink" Target="https://youtu.be/2zNifSkD5bs" TargetMode="External"/><Relationship Id="rId243" Type="http://schemas.openxmlformats.org/officeDocument/2006/relationships/hyperlink" Target="https://youtu.be/3GwW9Evj0MQ?t=912" TargetMode="External"/><Relationship Id="rId95" Type="http://schemas.openxmlformats.org/officeDocument/2006/relationships/hyperlink" Target="https://youtu.be/cal3rSw6D1s?t=6365" TargetMode="External"/><Relationship Id="rId94" Type="http://schemas.openxmlformats.org/officeDocument/2006/relationships/hyperlink" Target="https://youtu.be/9KEZJm_H0Wk?t=5257" TargetMode="External"/><Relationship Id="rId97" Type="http://schemas.openxmlformats.org/officeDocument/2006/relationships/hyperlink" Target="https://youtu.be/cal3rSw6D1s?t=7162" TargetMode="External"/><Relationship Id="rId96" Type="http://schemas.openxmlformats.org/officeDocument/2006/relationships/hyperlink" Target="https://youtu.be/9KEZJm_H0Wk?t=6143" TargetMode="External"/><Relationship Id="rId99" Type="http://schemas.openxmlformats.org/officeDocument/2006/relationships/hyperlink" Target="https://youtu.be/cal3rSw6D1s?t=8145" TargetMode="External"/><Relationship Id="rId98" Type="http://schemas.openxmlformats.org/officeDocument/2006/relationships/hyperlink" Target="https://youtu.be/9KEZJm_H0Wk?t=7014" TargetMode="External"/><Relationship Id="rId91" Type="http://schemas.openxmlformats.org/officeDocument/2006/relationships/hyperlink" Target="https://youtu.be/cal3rSw6D1s?t=4516" TargetMode="External"/><Relationship Id="rId90" Type="http://schemas.openxmlformats.org/officeDocument/2006/relationships/hyperlink" Target="https://youtu.be/9KEZJm_H0Wk?t=3514" TargetMode="External"/><Relationship Id="rId93" Type="http://schemas.openxmlformats.org/officeDocument/2006/relationships/hyperlink" Target="https://youtu.be/cal3rSw6D1s?t=5449" TargetMode="External"/><Relationship Id="rId92" Type="http://schemas.openxmlformats.org/officeDocument/2006/relationships/hyperlink" Target="https://youtu.be/9KEZJm_H0Wk?t=4400" TargetMode="External"/><Relationship Id="rId118" Type="http://schemas.openxmlformats.org/officeDocument/2006/relationships/hyperlink" Target="https://youtu.be/mKoYRZvrVAg?t=7344" TargetMode="External"/><Relationship Id="rId239" Type="http://schemas.openxmlformats.org/officeDocument/2006/relationships/hyperlink" Target="https://youtu.be/M3_jKBoQTqA?t=8059" TargetMode="External"/><Relationship Id="rId117" Type="http://schemas.openxmlformats.org/officeDocument/2006/relationships/hyperlink" Target="https://youtu.be/9Og_hUmG5Ho?t=6944" TargetMode="External"/><Relationship Id="rId238" Type="http://schemas.openxmlformats.org/officeDocument/2006/relationships/hyperlink" Target="https://youtu.be/ACH8JIA-pE4?t=7078" TargetMode="External"/><Relationship Id="rId359" Type="http://schemas.openxmlformats.org/officeDocument/2006/relationships/hyperlink" Target="https://youtu.be/VJ7mmGEoAEs?t=7960" TargetMode="External"/><Relationship Id="rId116" Type="http://schemas.openxmlformats.org/officeDocument/2006/relationships/hyperlink" Target="https://youtu.be/mKoYRZvrVAg?t=6458" TargetMode="External"/><Relationship Id="rId237" Type="http://schemas.openxmlformats.org/officeDocument/2006/relationships/hyperlink" Target="https://youtu.be/M3_jKBoQTqA?t=7160" TargetMode="External"/><Relationship Id="rId358" Type="http://schemas.openxmlformats.org/officeDocument/2006/relationships/hyperlink" Target="https://youtu.be/Ynbmfua31lU?t=7015" TargetMode="External"/><Relationship Id="rId115" Type="http://schemas.openxmlformats.org/officeDocument/2006/relationships/hyperlink" Target="https://youtu.be/9Og_hUmG5Ho?t=6103" TargetMode="External"/><Relationship Id="rId236" Type="http://schemas.openxmlformats.org/officeDocument/2006/relationships/hyperlink" Target="https://youtu.be/ACH8JIA-pE4?t=6179" TargetMode="External"/><Relationship Id="rId357" Type="http://schemas.openxmlformats.org/officeDocument/2006/relationships/hyperlink" Target="https://youtu.be/VJ7mmGEoAEs?t=7059" TargetMode="External"/><Relationship Id="rId119" Type="http://schemas.openxmlformats.org/officeDocument/2006/relationships/hyperlink" Target="https://youtu.be/9Og_hUmG5Ho?t=7781" TargetMode="External"/><Relationship Id="rId110" Type="http://schemas.openxmlformats.org/officeDocument/2006/relationships/hyperlink" Target="https://youtu.be/mKoYRZvrVAg?t=4011" TargetMode="External"/><Relationship Id="rId231" Type="http://schemas.openxmlformats.org/officeDocument/2006/relationships/hyperlink" Target="https://youtu.be/M3_jKBoQTqA?t=4573" TargetMode="External"/><Relationship Id="rId352" Type="http://schemas.openxmlformats.org/officeDocument/2006/relationships/hyperlink" Target="https://youtu.be/Ynbmfua31lU?t=4379" TargetMode="External"/><Relationship Id="rId230" Type="http://schemas.openxmlformats.org/officeDocument/2006/relationships/hyperlink" Target="https://youtu.be/ACH8JIA-pE4?t=3569" TargetMode="External"/><Relationship Id="rId351" Type="http://schemas.openxmlformats.org/officeDocument/2006/relationships/hyperlink" Target="https://youtu.be/VJ7mmGEoAEs?t=4419" TargetMode="External"/><Relationship Id="rId350" Type="http://schemas.openxmlformats.org/officeDocument/2006/relationships/hyperlink" Target="https://youtu.be/Ynbmfua31lU?t=3484" TargetMode="External"/><Relationship Id="rId114" Type="http://schemas.openxmlformats.org/officeDocument/2006/relationships/hyperlink" Target="https://youtu.be/mKoYRZvrVAg?t=5624" TargetMode="External"/><Relationship Id="rId235" Type="http://schemas.openxmlformats.org/officeDocument/2006/relationships/hyperlink" Target="https://youtu.be/M3_jKBoQTqA?t=6288" TargetMode="External"/><Relationship Id="rId356" Type="http://schemas.openxmlformats.org/officeDocument/2006/relationships/hyperlink" Target="https://youtu.be/Ynbmfua31lU?t=6117" TargetMode="External"/><Relationship Id="rId113" Type="http://schemas.openxmlformats.org/officeDocument/2006/relationships/hyperlink" Target="https://youtu.be/9Og_hUmG5Ho?t=5244" TargetMode="External"/><Relationship Id="rId234" Type="http://schemas.openxmlformats.org/officeDocument/2006/relationships/hyperlink" Target="https://youtu.be/ACH8JIA-pE4?t=5338" TargetMode="External"/><Relationship Id="rId355" Type="http://schemas.openxmlformats.org/officeDocument/2006/relationships/hyperlink" Target="https://youtu.be/VJ7mmGEoAEs?t=6206" TargetMode="External"/><Relationship Id="rId112" Type="http://schemas.openxmlformats.org/officeDocument/2006/relationships/hyperlink" Target="https://youtu.be/mKoYRZvrVAg?t=4821" TargetMode="External"/><Relationship Id="rId233" Type="http://schemas.openxmlformats.org/officeDocument/2006/relationships/hyperlink" Target="https://youtu.be/M3_jKBoQTqA?t=5439" TargetMode="External"/><Relationship Id="rId354" Type="http://schemas.openxmlformats.org/officeDocument/2006/relationships/hyperlink" Target="https://youtu.be/Ynbmfua31lU?t=5274" TargetMode="External"/><Relationship Id="rId111" Type="http://schemas.openxmlformats.org/officeDocument/2006/relationships/hyperlink" Target="https://youtu.be/9Og_hUmG5Ho?t=4394" TargetMode="External"/><Relationship Id="rId232" Type="http://schemas.openxmlformats.org/officeDocument/2006/relationships/hyperlink" Target="https://youtu.be/ACH8JIA-pE4?t=4438" TargetMode="External"/><Relationship Id="rId353" Type="http://schemas.openxmlformats.org/officeDocument/2006/relationships/hyperlink" Target="https://youtu.be/VJ7mmGEoAEs?t=5320" TargetMode="External"/><Relationship Id="rId305" Type="http://schemas.openxmlformats.org/officeDocument/2006/relationships/hyperlink" Target="https://youtu.be/RlaErHqDRVs?t=1827" TargetMode="External"/><Relationship Id="rId304" Type="http://schemas.openxmlformats.org/officeDocument/2006/relationships/hyperlink" Target="https://youtu.be/jsLgu7FhqCQ?t=908" TargetMode="External"/><Relationship Id="rId303" Type="http://schemas.openxmlformats.org/officeDocument/2006/relationships/hyperlink" Target="https://youtu.be/RlaErHqDRVs?t=946" TargetMode="External"/><Relationship Id="rId302" Type="http://schemas.openxmlformats.org/officeDocument/2006/relationships/hyperlink" Target="https://youtu.be/jsLgu7FhqCQ" TargetMode="External"/><Relationship Id="rId309" Type="http://schemas.openxmlformats.org/officeDocument/2006/relationships/hyperlink" Target="https://youtu.be/RlaErHqDRVs?t=3587" TargetMode="External"/><Relationship Id="rId308" Type="http://schemas.openxmlformats.org/officeDocument/2006/relationships/hyperlink" Target="https://youtu.be/jsLgu7FhqCQ?t=2706" TargetMode="External"/><Relationship Id="rId307" Type="http://schemas.openxmlformats.org/officeDocument/2006/relationships/hyperlink" Target="https://youtu.be/RlaErHqDRVs?t=2733" TargetMode="External"/><Relationship Id="rId306" Type="http://schemas.openxmlformats.org/officeDocument/2006/relationships/hyperlink" Target="https://youtu.be/jsLgu7FhqCQ?t=1799" TargetMode="External"/><Relationship Id="rId301" Type="http://schemas.openxmlformats.org/officeDocument/2006/relationships/hyperlink" Target="https://youtu.be/RlaErHqDRVs" TargetMode="External"/><Relationship Id="rId300" Type="http://schemas.openxmlformats.org/officeDocument/2006/relationships/hyperlink" Target="https://youtu.be/mvNNtf3I6HE?t=8125" TargetMode="External"/><Relationship Id="rId206" Type="http://schemas.openxmlformats.org/officeDocument/2006/relationships/hyperlink" Target="https://youtu.be/rUm4aOqu_cc?t=1721" TargetMode="External"/><Relationship Id="rId327" Type="http://schemas.openxmlformats.org/officeDocument/2006/relationships/hyperlink" Target="https://youtu.be/SMEC1rXw3L4?t=2695" TargetMode="External"/><Relationship Id="rId205" Type="http://schemas.openxmlformats.org/officeDocument/2006/relationships/hyperlink" Target="https://youtu.be/9WMIn7hTxyo?t=1606" TargetMode="External"/><Relationship Id="rId326" Type="http://schemas.openxmlformats.org/officeDocument/2006/relationships/hyperlink" Target="https://youtu.be/GRZT_F1EIJg?t=1879" TargetMode="External"/><Relationship Id="rId204" Type="http://schemas.openxmlformats.org/officeDocument/2006/relationships/hyperlink" Target="https://youtu.be/rUm4aOqu_cc?t=808" TargetMode="External"/><Relationship Id="rId325" Type="http://schemas.openxmlformats.org/officeDocument/2006/relationships/hyperlink" Target="https://youtu.be/SMEC1rXw3L4?t=1743" TargetMode="External"/><Relationship Id="rId203" Type="http://schemas.openxmlformats.org/officeDocument/2006/relationships/hyperlink" Target="https://youtu.be/9WMIn7hTxyo?t=717" TargetMode="External"/><Relationship Id="rId324" Type="http://schemas.openxmlformats.org/officeDocument/2006/relationships/hyperlink" Target="https://youtu.be/GRZT_F1EIJg?t=981" TargetMode="External"/><Relationship Id="rId209" Type="http://schemas.openxmlformats.org/officeDocument/2006/relationships/hyperlink" Target="https://youtu.be/9WMIn7hTxyo?t=3351" TargetMode="External"/><Relationship Id="rId208" Type="http://schemas.openxmlformats.org/officeDocument/2006/relationships/hyperlink" Target="https://youtu.be/rUm4aOqu_cc?t=2641" TargetMode="External"/><Relationship Id="rId329" Type="http://schemas.openxmlformats.org/officeDocument/2006/relationships/hyperlink" Target="https://youtu.be/SMEC1rXw3L4?t=3533" TargetMode="External"/><Relationship Id="rId207" Type="http://schemas.openxmlformats.org/officeDocument/2006/relationships/hyperlink" Target="https://youtu.be/9WMIn7hTxyo?t=2496" TargetMode="External"/><Relationship Id="rId328" Type="http://schemas.openxmlformats.org/officeDocument/2006/relationships/hyperlink" Target="https://youtu.be/GRZT_F1EIJg?t=2780" TargetMode="External"/><Relationship Id="rId202" Type="http://schemas.openxmlformats.org/officeDocument/2006/relationships/hyperlink" Target="https://youtu.be/rUm4aOqu_cc" TargetMode="External"/><Relationship Id="rId323" Type="http://schemas.openxmlformats.org/officeDocument/2006/relationships/hyperlink" Target="https://youtu.be/SMEC1rXw3L4?t=894" TargetMode="External"/><Relationship Id="rId201" Type="http://schemas.openxmlformats.org/officeDocument/2006/relationships/hyperlink" Target="https://youtu.be/9WMIn7hTxyo" TargetMode="External"/><Relationship Id="rId322" Type="http://schemas.openxmlformats.org/officeDocument/2006/relationships/hyperlink" Target="https://youtu.be/GRZT_F1EIJg" TargetMode="External"/><Relationship Id="rId200" Type="http://schemas.openxmlformats.org/officeDocument/2006/relationships/hyperlink" Target="https://youtu.be/59_hsHVqxh8?t=8227" TargetMode="External"/><Relationship Id="rId321" Type="http://schemas.openxmlformats.org/officeDocument/2006/relationships/hyperlink" Target="https://youtu.be/SMEC1rXw3L4" TargetMode="External"/><Relationship Id="rId320" Type="http://schemas.openxmlformats.org/officeDocument/2006/relationships/hyperlink" Target="https://youtu.be/jsLgu7FhqCQ?t=7979" TargetMode="External"/><Relationship Id="rId316" Type="http://schemas.openxmlformats.org/officeDocument/2006/relationships/hyperlink" Target="https://youtu.be/jsLgu7FhqCQ?t=6185" TargetMode="External"/><Relationship Id="rId315" Type="http://schemas.openxmlformats.org/officeDocument/2006/relationships/hyperlink" Target="https://youtu.be/RlaErHqDRVs?t=6233" TargetMode="External"/><Relationship Id="rId314" Type="http://schemas.openxmlformats.org/officeDocument/2006/relationships/hyperlink" Target="https://youtu.be/jsLgu7FhqCQ?t=5341" TargetMode="External"/><Relationship Id="rId313" Type="http://schemas.openxmlformats.org/officeDocument/2006/relationships/hyperlink" Target="https://youtu.be/RlaErHqDRVs?t=5365" TargetMode="External"/><Relationship Id="rId319" Type="http://schemas.openxmlformats.org/officeDocument/2006/relationships/hyperlink" Target="https://youtu.be/RlaErHqDRVs?t=8010" TargetMode="External"/><Relationship Id="rId318" Type="http://schemas.openxmlformats.org/officeDocument/2006/relationships/hyperlink" Target="https://youtu.be/jsLgu7FhqCQ?t=7081" TargetMode="External"/><Relationship Id="rId317" Type="http://schemas.openxmlformats.org/officeDocument/2006/relationships/hyperlink" Target="https://youtu.be/RlaErHqDRVs?t=7143" TargetMode="External"/><Relationship Id="rId312" Type="http://schemas.openxmlformats.org/officeDocument/2006/relationships/hyperlink" Target="https://youtu.be/jsLgu7FhqCQ?t=4442" TargetMode="External"/><Relationship Id="rId311" Type="http://schemas.openxmlformats.org/officeDocument/2006/relationships/hyperlink" Target="https://youtu.be/RlaErHqDRVs?t=4465" TargetMode="External"/><Relationship Id="rId310" Type="http://schemas.openxmlformats.org/officeDocument/2006/relationships/hyperlink" Target="https://youtu.be/jsLgu7FhqCQ?t=3558" TargetMode="External"/></Relationships>
</file>

<file path=xl/worksheets/_rels/sheet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8pSKXU_2_so?t=7940" TargetMode="External"/><Relationship Id="rId190" Type="http://schemas.openxmlformats.org/officeDocument/2006/relationships/hyperlink" Target="https://youtu.be/tFRZiCSGsGk?t=4613" TargetMode="External"/><Relationship Id="rId42" Type="http://schemas.openxmlformats.org/officeDocument/2006/relationships/hyperlink" Target="https://youtu.be/flrmFN4bZAU" TargetMode="External"/><Relationship Id="rId41" Type="http://schemas.openxmlformats.org/officeDocument/2006/relationships/hyperlink" Target="https://youtu.be/XT0_vi9pEFo" TargetMode="External"/><Relationship Id="rId44" Type="http://schemas.openxmlformats.org/officeDocument/2006/relationships/hyperlink" Target="https://youtu.be/flrmFN4bZAU?t=991" TargetMode="External"/><Relationship Id="rId194" Type="http://schemas.openxmlformats.org/officeDocument/2006/relationships/hyperlink" Target="https://youtu.be/tFRZiCSGsGk?t=6393" TargetMode="External"/><Relationship Id="rId43" Type="http://schemas.openxmlformats.org/officeDocument/2006/relationships/hyperlink" Target="https://youtu.be/XT0_vi9pEFo?t=857" TargetMode="External"/><Relationship Id="rId193" Type="http://schemas.openxmlformats.org/officeDocument/2006/relationships/hyperlink" Target="https://youtu.be/GFDqNddN7Dg?t=5362" TargetMode="External"/><Relationship Id="rId46" Type="http://schemas.openxmlformats.org/officeDocument/2006/relationships/hyperlink" Target="https://youtu.be/flrmFN4bZAU?t=1891" TargetMode="External"/><Relationship Id="rId192" Type="http://schemas.openxmlformats.org/officeDocument/2006/relationships/hyperlink" Target="https://youtu.be/tFRZiCSGsGk?t=5511" TargetMode="External"/><Relationship Id="rId45" Type="http://schemas.openxmlformats.org/officeDocument/2006/relationships/hyperlink" Target="https://youtu.be/XT0_vi9pEFo?t=1750" TargetMode="External"/><Relationship Id="rId191" Type="http://schemas.openxmlformats.org/officeDocument/2006/relationships/hyperlink" Target="https://youtu.be/GFDqNddN7Dg?t=4509" TargetMode="External"/><Relationship Id="rId48" Type="http://schemas.openxmlformats.org/officeDocument/2006/relationships/hyperlink" Target="https://youtu.be/flrmFN4bZAU?t=2791" TargetMode="External"/><Relationship Id="rId187" Type="http://schemas.openxmlformats.org/officeDocument/2006/relationships/hyperlink" Target="https://youtu.be/GFDqNddN7Dg?t=2728" TargetMode="External"/><Relationship Id="rId47" Type="http://schemas.openxmlformats.org/officeDocument/2006/relationships/hyperlink" Target="https://youtu.be/XT0_vi9pEFo?t=2648" TargetMode="External"/><Relationship Id="rId186" Type="http://schemas.openxmlformats.org/officeDocument/2006/relationships/hyperlink" Target="https://youtu.be/tFRZiCSGsGk?t=2875" TargetMode="External"/><Relationship Id="rId185" Type="http://schemas.openxmlformats.org/officeDocument/2006/relationships/hyperlink" Target="https://youtu.be/GFDqNddN7Dg?t=1853" TargetMode="External"/><Relationship Id="rId49" Type="http://schemas.openxmlformats.org/officeDocument/2006/relationships/hyperlink" Target="https://youtu.be/XT0_vi9pEFo?t=3490" TargetMode="External"/><Relationship Id="rId184" Type="http://schemas.openxmlformats.org/officeDocument/2006/relationships/hyperlink" Target="https://youtu.be/tFRZiCSGsGk?t=1982" TargetMode="External"/><Relationship Id="rId189" Type="http://schemas.openxmlformats.org/officeDocument/2006/relationships/hyperlink" Target="https://youtu.be/GFDqNddN7Dg?t=3603" TargetMode="External"/><Relationship Id="rId188" Type="http://schemas.openxmlformats.org/officeDocument/2006/relationships/hyperlink" Target="https://youtu.be/tFRZiCSGsGk?t=3747" TargetMode="External"/><Relationship Id="rId31" Type="http://schemas.openxmlformats.org/officeDocument/2006/relationships/hyperlink" Target="https://youtu.be/yF5BS2LzuS8?t=4423" TargetMode="External"/><Relationship Id="rId30" Type="http://schemas.openxmlformats.org/officeDocument/2006/relationships/hyperlink" Target="https://youtu.be/8pSKXU_2_so?t=3531" TargetMode="External"/><Relationship Id="rId33" Type="http://schemas.openxmlformats.org/officeDocument/2006/relationships/hyperlink" Target="https://youtu.be/yF5BS2LzuS8?t=5323" TargetMode="External"/><Relationship Id="rId183" Type="http://schemas.openxmlformats.org/officeDocument/2006/relationships/hyperlink" Target="https://youtu.be/GFDqNddN7Dg?t=935" TargetMode="External"/><Relationship Id="rId32" Type="http://schemas.openxmlformats.org/officeDocument/2006/relationships/hyperlink" Target="https://youtu.be/8pSKXU_2_so?t=4408" TargetMode="External"/><Relationship Id="rId182" Type="http://schemas.openxmlformats.org/officeDocument/2006/relationships/hyperlink" Target="https://youtu.be/tFRZiCSGsGk?t=1089" TargetMode="External"/><Relationship Id="rId35" Type="http://schemas.openxmlformats.org/officeDocument/2006/relationships/hyperlink" Target="https://youtu.be/yF5BS2LzuS8?t=6164" TargetMode="External"/><Relationship Id="rId181" Type="http://schemas.openxmlformats.org/officeDocument/2006/relationships/hyperlink" Target="https://youtu.be/GFDqNddN7Dg" TargetMode="External"/><Relationship Id="rId34" Type="http://schemas.openxmlformats.org/officeDocument/2006/relationships/hyperlink" Target="https://youtu.be/8pSKXU_2_so?t=5332" TargetMode="External"/><Relationship Id="rId180" Type="http://schemas.openxmlformats.org/officeDocument/2006/relationships/hyperlink" Target="https://youtu.be/tFRZiCSGsGk" TargetMode="External"/><Relationship Id="rId37" Type="http://schemas.openxmlformats.org/officeDocument/2006/relationships/hyperlink" Target="https://youtu.be/yF5BS2LzuS8?t=7063" TargetMode="External"/><Relationship Id="rId176" Type="http://schemas.openxmlformats.org/officeDocument/2006/relationships/hyperlink" Target="https://youtu.be/b9x1Ck-l1Q4?t=7097" TargetMode="External"/><Relationship Id="rId297" Type="http://schemas.openxmlformats.org/officeDocument/2006/relationships/hyperlink" Target="https://youtu.be/vcL_A6WhFY8?t=7975" TargetMode="External"/><Relationship Id="rId36" Type="http://schemas.openxmlformats.org/officeDocument/2006/relationships/hyperlink" Target="https://youtu.be/8pSKXU_2_so?t=6144" TargetMode="External"/><Relationship Id="rId175" Type="http://schemas.openxmlformats.org/officeDocument/2006/relationships/hyperlink" Target="https://youtu.be/liRqb3GWJz8?t=6083" TargetMode="External"/><Relationship Id="rId296" Type="http://schemas.openxmlformats.org/officeDocument/2006/relationships/hyperlink" Target="https://youtu.be/dmqvMwfRarc?t=7177" TargetMode="External"/><Relationship Id="rId39" Type="http://schemas.openxmlformats.org/officeDocument/2006/relationships/hyperlink" Target="https://youtu.be/yF5BS2LzuS8?t=7964" TargetMode="External"/><Relationship Id="rId174" Type="http://schemas.openxmlformats.org/officeDocument/2006/relationships/hyperlink" Target="https://youtu.be/b9x1Ck-l1Q4?t=6223" TargetMode="External"/><Relationship Id="rId295" Type="http://schemas.openxmlformats.org/officeDocument/2006/relationships/hyperlink" Target="https://youtu.be/vcL_A6WhFY8?t=7075" TargetMode="External"/><Relationship Id="rId38" Type="http://schemas.openxmlformats.org/officeDocument/2006/relationships/hyperlink" Target="https://youtu.be/8pSKXU_2_so?t=7053" TargetMode="External"/><Relationship Id="rId173" Type="http://schemas.openxmlformats.org/officeDocument/2006/relationships/hyperlink" Target="https://youtu.be/liRqb3GWJz8?t=5242" TargetMode="External"/><Relationship Id="rId294" Type="http://schemas.openxmlformats.org/officeDocument/2006/relationships/hyperlink" Target="https://youtu.be/dmqvMwfRarc?t=6278" TargetMode="External"/><Relationship Id="rId179" Type="http://schemas.openxmlformats.org/officeDocument/2006/relationships/hyperlink" Target="https://youtu.be/liRqb3GWJz8?t=7882" TargetMode="External"/><Relationship Id="rId178" Type="http://schemas.openxmlformats.org/officeDocument/2006/relationships/hyperlink" Target="https://youtu.be/b9x1Ck-l1Q4?t=7097" TargetMode="External"/><Relationship Id="rId299" Type="http://schemas.openxmlformats.org/officeDocument/2006/relationships/hyperlink" Target="https://youtu.be/k6tBbBq0Iz0" TargetMode="External"/><Relationship Id="rId177" Type="http://schemas.openxmlformats.org/officeDocument/2006/relationships/hyperlink" Target="https://youtu.be/liRqb3GWJz8?t=6986" TargetMode="External"/><Relationship Id="rId298" Type="http://schemas.openxmlformats.org/officeDocument/2006/relationships/hyperlink" Target="https://youtu.be/dmqvMwfRarc?t=8077" TargetMode="External"/><Relationship Id="rId20" Type="http://schemas.openxmlformats.org/officeDocument/2006/relationships/hyperlink" Target="https://youtu.be/i6RgEKzZ5EI?t=8070" TargetMode="External"/><Relationship Id="rId22" Type="http://schemas.openxmlformats.org/officeDocument/2006/relationships/hyperlink" Target="https://youtu.be/8pSKXU_2_so" TargetMode="External"/><Relationship Id="rId21" Type="http://schemas.openxmlformats.org/officeDocument/2006/relationships/hyperlink" Target="https://youtu.be/yF5BS2LzuS8" TargetMode="External"/><Relationship Id="rId24" Type="http://schemas.openxmlformats.org/officeDocument/2006/relationships/hyperlink" Target="https://youtu.be/8pSKXU_2_so?t=865" TargetMode="External"/><Relationship Id="rId23" Type="http://schemas.openxmlformats.org/officeDocument/2006/relationships/hyperlink" Target="https://youtu.be/yF5BS2LzuS8?t=890" TargetMode="External"/><Relationship Id="rId26" Type="http://schemas.openxmlformats.org/officeDocument/2006/relationships/hyperlink" Target="https://youtu.be/8pSKXU_2_so?t=1763" TargetMode="External"/><Relationship Id="rId25" Type="http://schemas.openxmlformats.org/officeDocument/2006/relationships/hyperlink" Target="https://youtu.be/yF5BS2LzuS8?t=1784" TargetMode="External"/><Relationship Id="rId28" Type="http://schemas.openxmlformats.org/officeDocument/2006/relationships/hyperlink" Target="https://youtu.be/8pSKXU_2_so?t=2659" TargetMode="External"/><Relationship Id="rId27" Type="http://schemas.openxmlformats.org/officeDocument/2006/relationships/hyperlink" Target="https://youtu.be/yF5BS2LzuS8?t=2682" TargetMode="External"/><Relationship Id="rId29" Type="http://schemas.openxmlformats.org/officeDocument/2006/relationships/hyperlink" Target="https://youtu.be/yF5BS2LzuS8?t=3548" TargetMode="External"/><Relationship Id="rId11" Type="http://schemas.openxmlformats.org/officeDocument/2006/relationships/hyperlink" Target="https://youtu.be/dkVUbj983nU?t=4654" TargetMode="External"/><Relationship Id="rId10" Type="http://schemas.openxmlformats.org/officeDocument/2006/relationships/hyperlink" Target="https://youtu.be/i6RgEKzZ5EI?t=3979" TargetMode="External"/><Relationship Id="rId13" Type="http://schemas.openxmlformats.org/officeDocument/2006/relationships/hyperlink" Target="https://youtu.be/dkVUbj983nU?t=5438" TargetMode="External"/><Relationship Id="rId12" Type="http://schemas.openxmlformats.org/officeDocument/2006/relationships/hyperlink" Target="https://youtu.be/i6RgEKzZ5EI?t=4745" TargetMode="External"/><Relationship Id="rId15" Type="http://schemas.openxmlformats.org/officeDocument/2006/relationships/hyperlink" Target="https://youtu.be/dkVUbj983nU?t=6230" TargetMode="External"/><Relationship Id="rId198" Type="http://schemas.openxmlformats.org/officeDocument/2006/relationships/hyperlink" Target="https://youtu.be/tFRZiCSGsGk?t=8150" TargetMode="External"/><Relationship Id="rId14" Type="http://schemas.openxmlformats.org/officeDocument/2006/relationships/hyperlink" Target="https://youtu.be/i6RgEKzZ5EI?t=5540" TargetMode="External"/><Relationship Id="rId197" Type="http://schemas.openxmlformats.org/officeDocument/2006/relationships/hyperlink" Target="https://youtu.be/GFDqNddN7Dg?t=7104" TargetMode="External"/><Relationship Id="rId17" Type="http://schemas.openxmlformats.org/officeDocument/2006/relationships/hyperlink" Target="https://youtu.be/dkVUbj983nU?t=7055" TargetMode="External"/><Relationship Id="rId196" Type="http://schemas.openxmlformats.org/officeDocument/2006/relationships/hyperlink" Target="https://youtu.be/tFRZiCSGsGk?t=7258" TargetMode="External"/><Relationship Id="rId16" Type="http://schemas.openxmlformats.org/officeDocument/2006/relationships/hyperlink" Target="https://youtu.be/i6RgEKzZ5EI?t=6310" TargetMode="External"/><Relationship Id="rId195" Type="http://schemas.openxmlformats.org/officeDocument/2006/relationships/hyperlink" Target="https://youtu.be/GFDqNddN7Dg?t=6207" TargetMode="External"/><Relationship Id="rId19" Type="http://schemas.openxmlformats.org/officeDocument/2006/relationships/hyperlink" Target="https://youtu.be/dkVUbj983nU?t=7928" TargetMode="External"/><Relationship Id="rId18" Type="http://schemas.openxmlformats.org/officeDocument/2006/relationships/hyperlink" Target="https://youtu.be/i6RgEKzZ5EI?t=7170" TargetMode="External"/><Relationship Id="rId199" Type="http://schemas.openxmlformats.org/officeDocument/2006/relationships/hyperlink" Target="https://youtu.be/GFDqNddN7Dg?t=7977" TargetMode="External"/><Relationship Id="rId84" Type="http://schemas.openxmlformats.org/officeDocument/2006/relationships/hyperlink" Target="https://youtu.be/Q0eXWjK8xvo?t=1916" TargetMode="External"/><Relationship Id="rId83" Type="http://schemas.openxmlformats.org/officeDocument/2006/relationships/hyperlink" Target="https://youtu.be/w9KkodiCEkc?t=872" TargetMode="External"/><Relationship Id="rId86" Type="http://schemas.openxmlformats.org/officeDocument/2006/relationships/hyperlink" Target="https://youtu.be/Q0eXWjK8xvo?t=2773" TargetMode="External"/><Relationship Id="rId85" Type="http://schemas.openxmlformats.org/officeDocument/2006/relationships/hyperlink" Target="https://youtu.be/w9KkodiCEkc?t=1724" TargetMode="External"/><Relationship Id="rId88" Type="http://schemas.openxmlformats.org/officeDocument/2006/relationships/hyperlink" Target="https://youtu.be/Q0eXWjK8xvo?t=3552" TargetMode="External"/><Relationship Id="rId150" Type="http://schemas.openxmlformats.org/officeDocument/2006/relationships/hyperlink" Target="https://youtu.be/CcHulkEYlLI?t=4623" TargetMode="External"/><Relationship Id="rId271" Type="http://schemas.openxmlformats.org/officeDocument/2006/relationships/hyperlink" Target="https://youtu.be/H4oqRkCcgXk?t=4437" TargetMode="External"/><Relationship Id="rId87" Type="http://schemas.openxmlformats.org/officeDocument/2006/relationships/hyperlink" Target="https://youtu.be/w9KkodiCEkc?t=2592" TargetMode="External"/><Relationship Id="rId270" Type="http://schemas.openxmlformats.org/officeDocument/2006/relationships/hyperlink" Target="https://youtu.be/Q0ALWWu_jRU?t=4465" TargetMode="External"/><Relationship Id="rId89" Type="http://schemas.openxmlformats.org/officeDocument/2006/relationships/hyperlink" Target="https://youtu.be/w9KkodiCEkc?t=3434" TargetMode="External"/><Relationship Id="rId80" Type="http://schemas.openxmlformats.org/officeDocument/2006/relationships/hyperlink" Target="https://youtu.be/Q0eXWjK8xvo" TargetMode="External"/><Relationship Id="rId82" Type="http://schemas.openxmlformats.org/officeDocument/2006/relationships/hyperlink" Target="https://youtu.be/Q0eXWjK8xvo?t=1042" TargetMode="External"/><Relationship Id="rId81" Type="http://schemas.openxmlformats.org/officeDocument/2006/relationships/hyperlink" Target="https://youtu.be/w9KkodiCEkc" TargetMode="External"/><Relationship Id="rId1" Type="http://schemas.openxmlformats.org/officeDocument/2006/relationships/hyperlink" Target="https://youtu.be/dkVUbj983nU" TargetMode="External"/><Relationship Id="rId2" Type="http://schemas.openxmlformats.org/officeDocument/2006/relationships/hyperlink" Target="https://youtu.be/i6RgEKzZ5EI?t=868" TargetMode="External"/><Relationship Id="rId3" Type="http://schemas.openxmlformats.org/officeDocument/2006/relationships/hyperlink" Target="https://youtu.be/dkVUbj983nU?t=1527" TargetMode="External"/><Relationship Id="rId149" Type="http://schemas.openxmlformats.org/officeDocument/2006/relationships/hyperlink" Target="https://youtu.be/Rwr1y0zwF3k?t=3554" TargetMode="External"/><Relationship Id="rId4" Type="http://schemas.openxmlformats.org/officeDocument/2006/relationships/hyperlink" Target="https://youtu.be/i6RgEKzZ5EI?t=1630" TargetMode="External"/><Relationship Id="rId148" Type="http://schemas.openxmlformats.org/officeDocument/2006/relationships/hyperlink" Target="https://youtu.be/CcHulkEYlLI?t=3728" TargetMode="External"/><Relationship Id="rId269" Type="http://schemas.openxmlformats.org/officeDocument/2006/relationships/hyperlink" Target="https://youtu.be/Q0ALWWu_jRU?t=3603" TargetMode="External"/><Relationship Id="rId9" Type="http://schemas.openxmlformats.org/officeDocument/2006/relationships/hyperlink" Target="https://youtu.be/dkVUbj983nU?t=3904" TargetMode="External"/><Relationship Id="rId143" Type="http://schemas.openxmlformats.org/officeDocument/2006/relationships/hyperlink" Target="https://youtu.be/Rwr1y0zwF3k?t=956" TargetMode="External"/><Relationship Id="rId264" Type="http://schemas.openxmlformats.org/officeDocument/2006/relationships/hyperlink" Target="https://youtu.be/H4oqRkCcgXk?t=1814" TargetMode="External"/><Relationship Id="rId142" Type="http://schemas.openxmlformats.org/officeDocument/2006/relationships/hyperlink" Target="https://youtu.be/CcHulkEYlLI?t=1086" TargetMode="External"/><Relationship Id="rId263" Type="http://schemas.openxmlformats.org/officeDocument/2006/relationships/hyperlink" Target="https://youtu.be/Q0ALWWu_jRU?t=960" TargetMode="External"/><Relationship Id="rId141" Type="http://schemas.openxmlformats.org/officeDocument/2006/relationships/hyperlink" Target="https://youtu.be/Rwr1y0zwF3k" TargetMode="External"/><Relationship Id="rId262" Type="http://schemas.openxmlformats.org/officeDocument/2006/relationships/hyperlink" Target="https://youtu.be/H4oqRkCcgXk?t=932" TargetMode="External"/><Relationship Id="rId140" Type="http://schemas.openxmlformats.org/officeDocument/2006/relationships/hyperlink" Target="https://youtu.be/CcHulkEYlLI" TargetMode="External"/><Relationship Id="rId261" Type="http://schemas.openxmlformats.org/officeDocument/2006/relationships/hyperlink" Target="https://youtu.be/Q0ALWWu_jRU" TargetMode="External"/><Relationship Id="rId5" Type="http://schemas.openxmlformats.org/officeDocument/2006/relationships/hyperlink" Target="https://youtu.be/dkVUbj983nU?t=2354" TargetMode="External"/><Relationship Id="rId147" Type="http://schemas.openxmlformats.org/officeDocument/2006/relationships/hyperlink" Target="https://youtu.be/Rwr1y0zwF3k?t=2694" TargetMode="External"/><Relationship Id="rId268" Type="http://schemas.openxmlformats.org/officeDocument/2006/relationships/hyperlink" Target="https://youtu.be/H4oqRkCcgXk?t=3536" TargetMode="External"/><Relationship Id="rId6" Type="http://schemas.openxmlformats.org/officeDocument/2006/relationships/hyperlink" Target="https://youtu.be/i6RgEKzZ5EI?t=2418" TargetMode="External"/><Relationship Id="rId146" Type="http://schemas.openxmlformats.org/officeDocument/2006/relationships/hyperlink" Target="https://youtu.be/CcHulkEYlLI?t=2887" TargetMode="External"/><Relationship Id="rId267" Type="http://schemas.openxmlformats.org/officeDocument/2006/relationships/hyperlink" Target="https://youtu.be/Q0ALWWu_jRU?t=2741" TargetMode="External"/><Relationship Id="rId7" Type="http://schemas.openxmlformats.org/officeDocument/2006/relationships/hyperlink" Target="https://youtu.be/dkVUbj983nU?t=3124" TargetMode="External"/><Relationship Id="rId145" Type="http://schemas.openxmlformats.org/officeDocument/2006/relationships/hyperlink" Target="https://youtu.be/Rwr1y0zwF3k?t=1804" TargetMode="External"/><Relationship Id="rId266" Type="http://schemas.openxmlformats.org/officeDocument/2006/relationships/hyperlink" Target="https://youtu.be/H4oqRkCcgXk?t=2698" TargetMode="External"/><Relationship Id="rId8" Type="http://schemas.openxmlformats.org/officeDocument/2006/relationships/hyperlink" Target="https://youtu.be/i6RgEKzZ5EI?t=3219" TargetMode="External"/><Relationship Id="rId144" Type="http://schemas.openxmlformats.org/officeDocument/2006/relationships/hyperlink" Target="https://youtu.be/CcHulkEYlLI?t=1984" TargetMode="External"/><Relationship Id="rId265" Type="http://schemas.openxmlformats.org/officeDocument/2006/relationships/hyperlink" Target="https://youtu.be/Q0ALWWu_jRU?t=1841" TargetMode="External"/><Relationship Id="rId73" Type="http://schemas.openxmlformats.org/officeDocument/2006/relationships/hyperlink" Target="https://youtu.be/kVyVrH0iaq4?t=5353" TargetMode="External"/><Relationship Id="rId72" Type="http://schemas.openxmlformats.org/officeDocument/2006/relationships/hyperlink" Target="https://youtu.be/V3g2earVi9g?t=4422" TargetMode="External"/><Relationship Id="rId75" Type="http://schemas.openxmlformats.org/officeDocument/2006/relationships/hyperlink" Target="https://youtu.be/kVyVrH0iaq4?t=6232" TargetMode="External"/><Relationship Id="rId74" Type="http://schemas.openxmlformats.org/officeDocument/2006/relationships/hyperlink" Target="https://youtu.be/V3g2earVi9g?t=5320" TargetMode="External"/><Relationship Id="rId77" Type="http://schemas.openxmlformats.org/officeDocument/2006/relationships/hyperlink" Target="https://youtu.be/kVyVrH0iaq4?t=7092" TargetMode="External"/><Relationship Id="rId260" Type="http://schemas.openxmlformats.org/officeDocument/2006/relationships/hyperlink" Target="https://youtu.be/H4oqRkCcgXk" TargetMode="External"/><Relationship Id="rId76" Type="http://schemas.openxmlformats.org/officeDocument/2006/relationships/hyperlink" Target="https://youtu.be/V3g2earVi9g?t=6167" TargetMode="External"/><Relationship Id="rId79" Type="http://schemas.openxmlformats.org/officeDocument/2006/relationships/hyperlink" Target="https://youtu.be/kVyVrH0iaq4?t=7992" TargetMode="External"/><Relationship Id="rId78" Type="http://schemas.openxmlformats.org/officeDocument/2006/relationships/hyperlink" Target="https://youtu.be/V3g2earVi9g?t=7060" TargetMode="External"/><Relationship Id="rId71" Type="http://schemas.openxmlformats.org/officeDocument/2006/relationships/hyperlink" Target="https://youtu.be/kVyVrH0iaq4?t=4459" TargetMode="External"/><Relationship Id="rId70" Type="http://schemas.openxmlformats.org/officeDocument/2006/relationships/hyperlink" Target="https://youtu.be/V3g2earVi9g?t=3539" TargetMode="External"/><Relationship Id="rId139" Type="http://schemas.openxmlformats.org/officeDocument/2006/relationships/hyperlink" Target="https://youtu.be/6J5O4U1r7-s?t=7878" TargetMode="External"/><Relationship Id="rId138" Type="http://schemas.openxmlformats.org/officeDocument/2006/relationships/hyperlink" Target="https://youtu.be/fnpulj1nyCU?t=8017" TargetMode="External"/><Relationship Id="rId259" Type="http://schemas.openxmlformats.org/officeDocument/2006/relationships/hyperlink" Target="https://youtu.be/3SvXxCGB0e4?t=8087" TargetMode="External"/><Relationship Id="rId137" Type="http://schemas.openxmlformats.org/officeDocument/2006/relationships/hyperlink" Target="https://youtu.be/6J5O4U1r7-s?t=6991" TargetMode="External"/><Relationship Id="rId258" Type="http://schemas.openxmlformats.org/officeDocument/2006/relationships/hyperlink" Target="https://youtu.be/41fTkgMdhaM?t=7993" TargetMode="External"/><Relationship Id="rId132" Type="http://schemas.openxmlformats.org/officeDocument/2006/relationships/hyperlink" Target="https://youtu.be/fnpulj1nyCU?t=5391" TargetMode="External"/><Relationship Id="rId253" Type="http://schemas.openxmlformats.org/officeDocument/2006/relationships/hyperlink" Target="https://youtu.be/3SvXxCGB0e4?t=5447" TargetMode="External"/><Relationship Id="rId131" Type="http://schemas.openxmlformats.org/officeDocument/2006/relationships/hyperlink" Target="https://youtu.be/6J5O4U1r7-s?t=4351" TargetMode="External"/><Relationship Id="rId252" Type="http://schemas.openxmlformats.org/officeDocument/2006/relationships/hyperlink" Target="https://youtu.be/41fTkgMdhaM?t=5361" TargetMode="External"/><Relationship Id="rId130" Type="http://schemas.openxmlformats.org/officeDocument/2006/relationships/hyperlink" Target="https://youtu.be/fnpulj1nyCU?t=4505" TargetMode="External"/><Relationship Id="rId251" Type="http://schemas.openxmlformats.org/officeDocument/2006/relationships/hyperlink" Target="https://youtu.be/3SvXxCGB0e4?t=4547" TargetMode="External"/><Relationship Id="rId250" Type="http://schemas.openxmlformats.org/officeDocument/2006/relationships/hyperlink" Target="https://youtu.be/41fTkgMdhaM?t=4445" TargetMode="External"/><Relationship Id="rId136" Type="http://schemas.openxmlformats.org/officeDocument/2006/relationships/hyperlink" Target="https://youtu.be/fnpulj1nyCU?t=7132" TargetMode="External"/><Relationship Id="rId257" Type="http://schemas.openxmlformats.org/officeDocument/2006/relationships/hyperlink" Target="https://youtu.be/3SvXxCGB0e4?t=7187" TargetMode="External"/><Relationship Id="rId135" Type="http://schemas.openxmlformats.org/officeDocument/2006/relationships/hyperlink" Target="https://youtu.be/6J5O4U1r7-s?t=6074" TargetMode="External"/><Relationship Id="rId256" Type="http://schemas.openxmlformats.org/officeDocument/2006/relationships/hyperlink" Target="https://youtu.be/41fTkgMdhaM?t=7087" TargetMode="External"/><Relationship Id="rId134" Type="http://schemas.openxmlformats.org/officeDocument/2006/relationships/hyperlink" Target="https://youtu.be/fnpulj1nyCU?t=6240" TargetMode="External"/><Relationship Id="rId255" Type="http://schemas.openxmlformats.org/officeDocument/2006/relationships/hyperlink" Target="https://youtu.be/3SvXxCGB0e4?t=6288" TargetMode="External"/><Relationship Id="rId133" Type="http://schemas.openxmlformats.org/officeDocument/2006/relationships/hyperlink" Target="https://youtu.be/6J5O4U1r7-s?t=5235" TargetMode="External"/><Relationship Id="rId254" Type="http://schemas.openxmlformats.org/officeDocument/2006/relationships/hyperlink" Target="https://youtu.be/41fTkgMdhaM?t=6247" TargetMode="External"/><Relationship Id="rId62" Type="http://schemas.openxmlformats.org/officeDocument/2006/relationships/hyperlink" Target="https://youtu.be/V3g2earVi9g" TargetMode="External"/><Relationship Id="rId61" Type="http://schemas.openxmlformats.org/officeDocument/2006/relationships/hyperlink" Target="https://youtu.be/kVyVrH0iaq4" TargetMode="External"/><Relationship Id="rId64" Type="http://schemas.openxmlformats.org/officeDocument/2006/relationships/hyperlink" Target="https://youtu.be/V3g2earVi9g?t=906" TargetMode="External"/><Relationship Id="rId63" Type="http://schemas.openxmlformats.org/officeDocument/2006/relationships/hyperlink" Target="https://youtu.be/kVyVrH0iaq4?t=920" TargetMode="External"/><Relationship Id="rId66" Type="http://schemas.openxmlformats.org/officeDocument/2006/relationships/hyperlink" Target="https://youtu.be/V3g2earVi9g?t=1790" TargetMode="External"/><Relationship Id="rId172" Type="http://schemas.openxmlformats.org/officeDocument/2006/relationships/hyperlink" Target="https://youtu.be/b9x1Ck-l1Q4?t=5363" TargetMode="External"/><Relationship Id="rId293" Type="http://schemas.openxmlformats.org/officeDocument/2006/relationships/hyperlink" Target="https://youtu.be/vcL_A6WhFY8?t=6196" TargetMode="External"/><Relationship Id="rId65" Type="http://schemas.openxmlformats.org/officeDocument/2006/relationships/hyperlink" Target="https://youtu.be/kVyVrH0iaq4?t=1827" TargetMode="External"/><Relationship Id="rId171" Type="http://schemas.openxmlformats.org/officeDocument/2006/relationships/hyperlink" Target="https://youtu.be/liRqb3GWJz8?t=4343" TargetMode="External"/><Relationship Id="rId292" Type="http://schemas.openxmlformats.org/officeDocument/2006/relationships/hyperlink" Target="https://youtu.be/dmqvMwfRarc?t=5437" TargetMode="External"/><Relationship Id="rId68" Type="http://schemas.openxmlformats.org/officeDocument/2006/relationships/hyperlink" Target="https://youtu.be/V3g2earVi9g?t=2692" TargetMode="External"/><Relationship Id="rId170" Type="http://schemas.openxmlformats.org/officeDocument/2006/relationships/hyperlink" Target="https://youtu.be/b9x1Ck-l1Q4?t=4462" TargetMode="External"/><Relationship Id="rId291" Type="http://schemas.openxmlformats.org/officeDocument/2006/relationships/hyperlink" Target="https://youtu.be/vcL_A6WhFY8?t=5344" TargetMode="External"/><Relationship Id="rId67" Type="http://schemas.openxmlformats.org/officeDocument/2006/relationships/hyperlink" Target="https://youtu.be/kVyVrH0iaq4?t=2723" TargetMode="External"/><Relationship Id="rId290" Type="http://schemas.openxmlformats.org/officeDocument/2006/relationships/hyperlink" Target="https://youtu.be/dmqvMwfRarc?t=4538" TargetMode="External"/><Relationship Id="rId60" Type="http://schemas.openxmlformats.org/officeDocument/2006/relationships/hyperlink" Target="https://youtu.be/flrmFN4bZAU?t=8062" TargetMode="External"/><Relationship Id="rId165" Type="http://schemas.openxmlformats.org/officeDocument/2006/relationships/hyperlink" Target="https://youtu.be/liRqb3GWJz8?t=1702" TargetMode="External"/><Relationship Id="rId286" Type="http://schemas.openxmlformats.org/officeDocument/2006/relationships/hyperlink" Target="https://youtu.be/dmqvMwfRarc?t=2798" TargetMode="External"/><Relationship Id="rId69" Type="http://schemas.openxmlformats.org/officeDocument/2006/relationships/hyperlink" Target="https://youtu.be/kVyVrH0iaq4?t=3567" TargetMode="External"/><Relationship Id="rId164" Type="http://schemas.openxmlformats.org/officeDocument/2006/relationships/hyperlink" Target="https://youtu.be/b9x1Ck-l1Q4?t=1891" TargetMode="External"/><Relationship Id="rId285" Type="http://schemas.openxmlformats.org/officeDocument/2006/relationships/hyperlink" Target="https://youtu.be/vcL_A6WhFY8?t=2697" TargetMode="External"/><Relationship Id="rId163" Type="http://schemas.openxmlformats.org/officeDocument/2006/relationships/hyperlink" Target="https://youtu.be/liRqb3GWJz8?t=836" TargetMode="External"/><Relationship Id="rId284" Type="http://schemas.openxmlformats.org/officeDocument/2006/relationships/hyperlink" Target="https://youtu.be/dmqvMwfRarc?t=1897" TargetMode="External"/><Relationship Id="rId162" Type="http://schemas.openxmlformats.org/officeDocument/2006/relationships/hyperlink" Target="https://youtu.be/b9x1Ck-l1Q4?t=1018" TargetMode="External"/><Relationship Id="rId283" Type="http://schemas.openxmlformats.org/officeDocument/2006/relationships/hyperlink" Target="https://youtu.be/vcL_A6WhFY8?t=1845" TargetMode="External"/><Relationship Id="rId169" Type="http://schemas.openxmlformats.org/officeDocument/2006/relationships/hyperlink" Target="https://youtu.be/liRqb3GWJz8?t=3443" TargetMode="External"/><Relationship Id="rId168" Type="http://schemas.openxmlformats.org/officeDocument/2006/relationships/hyperlink" Target="https://youtu.be/b9x1Ck-l1Q4?t=3564" TargetMode="External"/><Relationship Id="rId289" Type="http://schemas.openxmlformats.org/officeDocument/2006/relationships/hyperlink" Target="https://youtu.be/vcL_A6WhFY8?t=4436" TargetMode="External"/><Relationship Id="rId167" Type="http://schemas.openxmlformats.org/officeDocument/2006/relationships/hyperlink" Target="https://youtu.be/liRqb3GWJz8?t=2603" TargetMode="External"/><Relationship Id="rId288" Type="http://schemas.openxmlformats.org/officeDocument/2006/relationships/hyperlink" Target="https://youtu.be/dmqvMwfRarc?t=3637" TargetMode="External"/><Relationship Id="rId166" Type="http://schemas.openxmlformats.org/officeDocument/2006/relationships/hyperlink" Target="https://youtu.be/b9x1Ck-l1Q4?t=2738" TargetMode="External"/><Relationship Id="rId287" Type="http://schemas.openxmlformats.org/officeDocument/2006/relationships/hyperlink" Target="https://youtu.be/vcL_A6WhFY8?t=3536" TargetMode="External"/><Relationship Id="rId51" Type="http://schemas.openxmlformats.org/officeDocument/2006/relationships/hyperlink" Target="https://youtu.be/XT0_vi9pEFo?t=4377" TargetMode="External"/><Relationship Id="rId50" Type="http://schemas.openxmlformats.org/officeDocument/2006/relationships/hyperlink" Target="https://youtu.be/flrmFN4bZAU?t=3630" TargetMode="External"/><Relationship Id="rId53" Type="http://schemas.openxmlformats.org/officeDocument/2006/relationships/hyperlink" Target="https://youtu.be/XT0_vi9pEFo?t=5288" TargetMode="External"/><Relationship Id="rId52" Type="http://schemas.openxmlformats.org/officeDocument/2006/relationships/hyperlink" Target="https://youtu.be/flrmFN4bZAU?t=4520" TargetMode="External"/><Relationship Id="rId55" Type="http://schemas.openxmlformats.org/officeDocument/2006/relationships/hyperlink" Target="https://youtu.be/XT0_vi9pEFo?t=6128" TargetMode="External"/><Relationship Id="rId161" Type="http://schemas.openxmlformats.org/officeDocument/2006/relationships/hyperlink" Target="https://youtu.be/liRqb3GWJz8" TargetMode="External"/><Relationship Id="rId282" Type="http://schemas.openxmlformats.org/officeDocument/2006/relationships/hyperlink" Target="https://youtu.be/dmqvMwfRarc?t=998" TargetMode="External"/><Relationship Id="rId54" Type="http://schemas.openxmlformats.org/officeDocument/2006/relationships/hyperlink" Target="https://youtu.be/flrmFN4bZAU?t=5423" TargetMode="External"/><Relationship Id="rId160" Type="http://schemas.openxmlformats.org/officeDocument/2006/relationships/hyperlink" Target="https://youtu.be/b9x1Ck-l1Q4" TargetMode="External"/><Relationship Id="rId281" Type="http://schemas.openxmlformats.org/officeDocument/2006/relationships/hyperlink" Target="https://youtu.be/vcL_A6WhFY8?t=927" TargetMode="External"/><Relationship Id="rId57" Type="http://schemas.openxmlformats.org/officeDocument/2006/relationships/hyperlink" Target="https://youtu.be/XT0_vi9pEFo?t=7019" TargetMode="External"/><Relationship Id="rId280" Type="http://schemas.openxmlformats.org/officeDocument/2006/relationships/hyperlink" Target="https://youtu.be/dmqvMwfRarc" TargetMode="External"/><Relationship Id="rId56" Type="http://schemas.openxmlformats.org/officeDocument/2006/relationships/hyperlink" Target="https://youtu.be/flrmFN4bZAU?t=6262" TargetMode="External"/><Relationship Id="rId159" Type="http://schemas.openxmlformats.org/officeDocument/2006/relationships/hyperlink" Target="https://youtu.be/Rwr1y0zwF3k?t=7979" TargetMode="External"/><Relationship Id="rId59" Type="http://schemas.openxmlformats.org/officeDocument/2006/relationships/hyperlink" Target="https://youtu.be/XT0_vi9pEFo?t=7921" TargetMode="External"/><Relationship Id="rId154" Type="http://schemas.openxmlformats.org/officeDocument/2006/relationships/hyperlink" Target="https://youtu.be/CcHulkEYlLI?t=6370" TargetMode="External"/><Relationship Id="rId275" Type="http://schemas.openxmlformats.org/officeDocument/2006/relationships/hyperlink" Target="https://youtu.be/H4oqRkCcgXk?t=7092" TargetMode="External"/><Relationship Id="rId58" Type="http://schemas.openxmlformats.org/officeDocument/2006/relationships/hyperlink" Target="https://youtu.be/flrmFN4bZAU?t=7161" TargetMode="External"/><Relationship Id="rId153" Type="http://schemas.openxmlformats.org/officeDocument/2006/relationships/hyperlink" Target="https://youtu.be/Rwr1y0zwF3k?t=5347" TargetMode="External"/><Relationship Id="rId274" Type="http://schemas.openxmlformats.org/officeDocument/2006/relationships/hyperlink" Target="https://youtu.be/Q0ALWWu_jRU?t=6275" TargetMode="External"/><Relationship Id="rId152" Type="http://schemas.openxmlformats.org/officeDocument/2006/relationships/hyperlink" Target="https://youtu.be/CcHulkEYlLI?t=5528" TargetMode="External"/><Relationship Id="rId273" Type="http://schemas.openxmlformats.org/officeDocument/2006/relationships/hyperlink" Target="https://youtu.be/H4oqRkCcgXk?t=6210" TargetMode="External"/><Relationship Id="rId151" Type="http://schemas.openxmlformats.org/officeDocument/2006/relationships/hyperlink" Target="https://youtu.be/Rwr1y0zwF3k?t=4442" TargetMode="External"/><Relationship Id="rId272" Type="http://schemas.openxmlformats.org/officeDocument/2006/relationships/hyperlink" Target="https://youtu.be/Q0ALWWu_jRU?t=5352" TargetMode="External"/><Relationship Id="rId158" Type="http://schemas.openxmlformats.org/officeDocument/2006/relationships/hyperlink" Target="https://youtu.be/CcHulkEYlLI?t=8127" TargetMode="External"/><Relationship Id="rId279" Type="http://schemas.openxmlformats.org/officeDocument/2006/relationships/hyperlink" Target="https://youtu.be/vcL_A6WhFY8" TargetMode="External"/><Relationship Id="rId157" Type="http://schemas.openxmlformats.org/officeDocument/2006/relationships/hyperlink" Target="https://youtu.be/Rwr1y0zwF3k?t=7083" TargetMode="External"/><Relationship Id="rId278" Type="http://schemas.openxmlformats.org/officeDocument/2006/relationships/hyperlink" Target="https://youtu.be/Q0ALWWu_jRU?t=8044" TargetMode="External"/><Relationship Id="rId156" Type="http://schemas.openxmlformats.org/officeDocument/2006/relationships/hyperlink" Target="https://youtu.be/CcHulkEYlLI?t=7229" TargetMode="External"/><Relationship Id="rId277" Type="http://schemas.openxmlformats.org/officeDocument/2006/relationships/hyperlink" Target="https://youtu.be/H4oqRkCcgXk?t=7985" TargetMode="External"/><Relationship Id="rId155" Type="http://schemas.openxmlformats.org/officeDocument/2006/relationships/hyperlink" Target="https://youtu.be/Rwr1y0zwF3k?t=6187" TargetMode="External"/><Relationship Id="rId276" Type="http://schemas.openxmlformats.org/officeDocument/2006/relationships/hyperlink" Target="https://youtu.be/Q0ALWWu_jRU?t=7139" TargetMode="External"/><Relationship Id="rId107" Type="http://schemas.openxmlformats.org/officeDocument/2006/relationships/hyperlink" Target="https://youtu.be/WMlYXKtVA54?t=2743" TargetMode="External"/><Relationship Id="rId228" Type="http://schemas.openxmlformats.org/officeDocument/2006/relationships/hyperlink" Target="https://youtu.be/5PLUH94Oj0M?t=3654" TargetMode="External"/><Relationship Id="rId349" Type="http://schemas.openxmlformats.org/officeDocument/2006/relationships/hyperlink" Target="https://youtu.be/kPBlq3pFdTI?t=4439" TargetMode="External"/><Relationship Id="rId106" Type="http://schemas.openxmlformats.org/officeDocument/2006/relationships/hyperlink" Target="https://youtu.be/QQdJvSlAWxI?t=2907" TargetMode="External"/><Relationship Id="rId227" Type="http://schemas.openxmlformats.org/officeDocument/2006/relationships/hyperlink" Target="https://youtu.be/5urEu8lCp6k?t=2711" TargetMode="External"/><Relationship Id="rId348" Type="http://schemas.openxmlformats.org/officeDocument/2006/relationships/hyperlink" Target="https://youtu.be/mN1vHVr6H68?t=3699" TargetMode="External"/><Relationship Id="rId105" Type="http://schemas.openxmlformats.org/officeDocument/2006/relationships/hyperlink" Target="https://youtu.be/WMlYXKtVA54?t=1899" TargetMode="External"/><Relationship Id="rId226" Type="http://schemas.openxmlformats.org/officeDocument/2006/relationships/hyperlink" Target="https://youtu.be/5PLUH94Oj0M?t=2810" TargetMode="External"/><Relationship Id="rId347" Type="http://schemas.openxmlformats.org/officeDocument/2006/relationships/hyperlink" Target="https://youtu.be/kPBlq3pFdTI?t=3536" TargetMode="External"/><Relationship Id="rId104" Type="http://schemas.openxmlformats.org/officeDocument/2006/relationships/hyperlink" Target="https://youtu.be/QQdJvSlAWxI?t=1995" TargetMode="External"/><Relationship Id="rId225" Type="http://schemas.openxmlformats.org/officeDocument/2006/relationships/hyperlink" Target="https://youtu.be/5urEu8lCp6k?t=1801" TargetMode="External"/><Relationship Id="rId346" Type="http://schemas.openxmlformats.org/officeDocument/2006/relationships/hyperlink" Target="https://youtu.be/mN1vHVr6H68?t=2790" TargetMode="External"/><Relationship Id="rId109" Type="http://schemas.openxmlformats.org/officeDocument/2006/relationships/hyperlink" Target="https://youtu.be/WMlYXKtVA54?t=3595" TargetMode="External"/><Relationship Id="rId108" Type="http://schemas.openxmlformats.org/officeDocument/2006/relationships/hyperlink" Target="https://youtu.be/QQdJvSlAWxI?t=3790" TargetMode="External"/><Relationship Id="rId229" Type="http://schemas.openxmlformats.org/officeDocument/2006/relationships/hyperlink" Target="https://youtu.be/5urEu8lCp6k?t=3578" TargetMode="External"/><Relationship Id="rId220" Type="http://schemas.openxmlformats.org/officeDocument/2006/relationships/hyperlink" Target="https://youtu.be/5PLUH94Oj0M" TargetMode="External"/><Relationship Id="rId341" Type="http://schemas.openxmlformats.org/officeDocument/2006/relationships/hyperlink" Target="https://youtu.be/kPBlq3pFdTI?t=898" TargetMode="External"/><Relationship Id="rId340" Type="http://schemas.openxmlformats.org/officeDocument/2006/relationships/hyperlink" Target="https://youtu.be/mN1vHVr6H68" TargetMode="External"/><Relationship Id="rId103" Type="http://schemas.openxmlformats.org/officeDocument/2006/relationships/hyperlink" Target="https://youtu.be/WMlYXKtVA54?t=988" TargetMode="External"/><Relationship Id="rId224" Type="http://schemas.openxmlformats.org/officeDocument/2006/relationships/hyperlink" Target="https://youtu.be/5PLUH94Oj0M?t=1906" TargetMode="External"/><Relationship Id="rId345" Type="http://schemas.openxmlformats.org/officeDocument/2006/relationships/hyperlink" Target="https://youtu.be/kPBlq3pFdTI?t=2696" TargetMode="External"/><Relationship Id="rId102" Type="http://schemas.openxmlformats.org/officeDocument/2006/relationships/hyperlink" Target="https://youtu.be/QQdJvSlAWxI?t=1062" TargetMode="External"/><Relationship Id="rId223" Type="http://schemas.openxmlformats.org/officeDocument/2006/relationships/hyperlink" Target="https://youtu.be/5urEu8lCp6k?t=911" TargetMode="External"/><Relationship Id="rId344" Type="http://schemas.openxmlformats.org/officeDocument/2006/relationships/hyperlink" Target="https://youtu.be/mN1vHVr6H68?t=1901" TargetMode="External"/><Relationship Id="rId101" Type="http://schemas.openxmlformats.org/officeDocument/2006/relationships/hyperlink" Target="https://youtu.be/WMlYXKtVA54" TargetMode="External"/><Relationship Id="rId222" Type="http://schemas.openxmlformats.org/officeDocument/2006/relationships/hyperlink" Target="https://youtu.be/5PLUH94Oj0M?t=1031" TargetMode="External"/><Relationship Id="rId343" Type="http://schemas.openxmlformats.org/officeDocument/2006/relationships/hyperlink" Target="https://youtu.be/kPBlq3pFdTI?t=1808" TargetMode="External"/><Relationship Id="rId100" Type="http://schemas.openxmlformats.org/officeDocument/2006/relationships/hyperlink" Target="https://youtu.be/QQdJvSlAWxI" TargetMode="External"/><Relationship Id="rId221" Type="http://schemas.openxmlformats.org/officeDocument/2006/relationships/hyperlink" Target="https://youtu.be/5urEu8lCp6k" TargetMode="External"/><Relationship Id="rId342" Type="http://schemas.openxmlformats.org/officeDocument/2006/relationships/hyperlink" Target="https://youtu.be/mN1vHVr6H68?t=974" TargetMode="External"/><Relationship Id="rId217" Type="http://schemas.openxmlformats.org/officeDocument/2006/relationships/hyperlink" Target="https://youtu.be/fu4qUao-TNY?t=7021" TargetMode="External"/><Relationship Id="rId338" Type="http://schemas.openxmlformats.org/officeDocument/2006/relationships/hyperlink" Target="https://youtu.be/5QM_ODctWJM?t=8003" TargetMode="External"/><Relationship Id="rId216" Type="http://schemas.openxmlformats.org/officeDocument/2006/relationships/hyperlink" Target="https://youtu.be/cs3SsubgHBw?t=7052" TargetMode="External"/><Relationship Id="rId337" Type="http://schemas.openxmlformats.org/officeDocument/2006/relationships/hyperlink" Target="https://youtu.be/Ev-DwuYE4CE?t=7968" TargetMode="External"/><Relationship Id="rId215" Type="http://schemas.openxmlformats.org/officeDocument/2006/relationships/hyperlink" Target="https://youtu.be/fu4qUao-TNY?t=6120" TargetMode="External"/><Relationship Id="rId336" Type="http://schemas.openxmlformats.org/officeDocument/2006/relationships/hyperlink" Target="https://youtu.be/5QM_ODctWJM?t=7103" TargetMode="External"/><Relationship Id="rId214" Type="http://schemas.openxmlformats.org/officeDocument/2006/relationships/hyperlink" Target="https://youtu.be/cs3SsubgHBw?t=6163" TargetMode="External"/><Relationship Id="rId335" Type="http://schemas.openxmlformats.org/officeDocument/2006/relationships/hyperlink" Target="https://youtu.be/Ev-DwuYE4CE?t=7083" TargetMode="External"/><Relationship Id="rId219" Type="http://schemas.openxmlformats.org/officeDocument/2006/relationships/hyperlink" Target="https://youtu.be/fu4qUao-TNY?t=7921" TargetMode="External"/><Relationship Id="rId218" Type="http://schemas.openxmlformats.org/officeDocument/2006/relationships/hyperlink" Target="https://youtu.be/cs3SsubgHBw?t=7949" TargetMode="External"/><Relationship Id="rId339" Type="http://schemas.openxmlformats.org/officeDocument/2006/relationships/hyperlink" Target="https://youtu.be/kPBlq3pFdTI" TargetMode="External"/><Relationship Id="rId330" Type="http://schemas.openxmlformats.org/officeDocument/2006/relationships/hyperlink" Target="https://youtu.be/5QM_ODctWJM?t=4463" TargetMode="External"/><Relationship Id="rId213" Type="http://schemas.openxmlformats.org/officeDocument/2006/relationships/hyperlink" Target="https://youtu.be/fu4qUao-TNY?t=5280" TargetMode="External"/><Relationship Id="rId334" Type="http://schemas.openxmlformats.org/officeDocument/2006/relationships/hyperlink" Target="https://youtu.be/5QM_ODctWJM?t=6203" TargetMode="External"/><Relationship Id="rId212" Type="http://schemas.openxmlformats.org/officeDocument/2006/relationships/hyperlink" Target="https://youtu.be/cs3SsubgHBw?t=5308" TargetMode="External"/><Relationship Id="rId333" Type="http://schemas.openxmlformats.org/officeDocument/2006/relationships/hyperlink" Target="https://youtu.be/Ev-DwuYE4CE?t=6173" TargetMode="External"/><Relationship Id="rId211" Type="http://schemas.openxmlformats.org/officeDocument/2006/relationships/hyperlink" Target="https://youtu.be/fu4qUao-TNY?t=4381" TargetMode="External"/><Relationship Id="rId332" Type="http://schemas.openxmlformats.org/officeDocument/2006/relationships/hyperlink" Target="https://youtu.be/5QM_ODctWJM?t=5363" TargetMode="External"/><Relationship Id="rId210" Type="http://schemas.openxmlformats.org/officeDocument/2006/relationships/hyperlink" Target="https://youtu.be/cs3SsubgHBw?t=4414" TargetMode="External"/><Relationship Id="rId331" Type="http://schemas.openxmlformats.org/officeDocument/2006/relationships/hyperlink" Target="https://youtu.be/Ev-DwuYE4CE?t=5330" TargetMode="External"/><Relationship Id="rId129" Type="http://schemas.openxmlformats.org/officeDocument/2006/relationships/hyperlink" Target="https://youtu.be/6J5O4U1r7-s?t=3459" TargetMode="External"/><Relationship Id="rId128" Type="http://schemas.openxmlformats.org/officeDocument/2006/relationships/hyperlink" Target="https://youtu.be/fnpulj1nyCU?t=3587" TargetMode="External"/><Relationship Id="rId249" Type="http://schemas.openxmlformats.org/officeDocument/2006/relationships/hyperlink" Target="https://youtu.be/3SvXxCGB0e4?t=3648" TargetMode="External"/><Relationship Id="rId127" Type="http://schemas.openxmlformats.org/officeDocument/2006/relationships/hyperlink" Target="https://youtu.be/6J5O4U1r7-s?t=2615" TargetMode="External"/><Relationship Id="rId248" Type="http://schemas.openxmlformats.org/officeDocument/2006/relationships/hyperlink" Target="https://youtu.be/41fTkgMdhaM?t=3550" TargetMode="External"/><Relationship Id="rId126" Type="http://schemas.openxmlformats.org/officeDocument/2006/relationships/hyperlink" Target="https://youtu.be/fnpulj1nyCU?t=2744" TargetMode="External"/><Relationship Id="rId247" Type="http://schemas.openxmlformats.org/officeDocument/2006/relationships/hyperlink" Target="https://youtu.be/3SvXxCGB0e4?t=2807" TargetMode="External"/><Relationship Id="rId121" Type="http://schemas.openxmlformats.org/officeDocument/2006/relationships/hyperlink" Target="https://youtu.be/6J5O4U1r7-s" TargetMode="External"/><Relationship Id="rId242" Type="http://schemas.openxmlformats.org/officeDocument/2006/relationships/hyperlink" Target="https://youtu.be/41fTkgMdhaM?t=926" TargetMode="External"/><Relationship Id="rId120" Type="http://schemas.openxmlformats.org/officeDocument/2006/relationships/hyperlink" Target="https://youtu.be/fnpulj1nyCU" TargetMode="External"/><Relationship Id="rId241" Type="http://schemas.openxmlformats.org/officeDocument/2006/relationships/hyperlink" Target="https://youtu.be/3SvXxCGB0e4" TargetMode="External"/><Relationship Id="rId240" Type="http://schemas.openxmlformats.org/officeDocument/2006/relationships/hyperlink" Target="https://youtu.be/41fTkgMdhaM" TargetMode="External"/><Relationship Id="rId125" Type="http://schemas.openxmlformats.org/officeDocument/2006/relationships/hyperlink" Target="https://youtu.be/6J5O4U1r7-s?t=1712" TargetMode="External"/><Relationship Id="rId246" Type="http://schemas.openxmlformats.org/officeDocument/2006/relationships/hyperlink" Target="https://youtu.be/41fTkgMdhaM?t=2720" TargetMode="External"/><Relationship Id="rId124" Type="http://schemas.openxmlformats.org/officeDocument/2006/relationships/hyperlink" Target="https://youtu.be/fnpulj1nyCU?t=1844" TargetMode="External"/><Relationship Id="rId245" Type="http://schemas.openxmlformats.org/officeDocument/2006/relationships/hyperlink" Target="https://youtu.be/3SvXxCGB0e4?t=1907" TargetMode="External"/><Relationship Id="rId123" Type="http://schemas.openxmlformats.org/officeDocument/2006/relationships/hyperlink" Target="https://youtu.be/6J5O4U1r7-s?t=844" TargetMode="External"/><Relationship Id="rId244" Type="http://schemas.openxmlformats.org/officeDocument/2006/relationships/hyperlink" Target="https://youtu.be/41fTkgMdhaM?t=1853" TargetMode="External"/><Relationship Id="rId122" Type="http://schemas.openxmlformats.org/officeDocument/2006/relationships/hyperlink" Target="https://youtu.be/fnpulj1nyCU?t=978" TargetMode="External"/><Relationship Id="rId243" Type="http://schemas.openxmlformats.org/officeDocument/2006/relationships/hyperlink" Target="https://youtu.be/3SvXxCGB0e4?t=1008" TargetMode="External"/><Relationship Id="rId95" Type="http://schemas.openxmlformats.org/officeDocument/2006/relationships/hyperlink" Target="https://youtu.be/w9KkodiCEkc?t=6068" TargetMode="External"/><Relationship Id="rId94" Type="http://schemas.openxmlformats.org/officeDocument/2006/relationships/hyperlink" Target="https://youtu.be/Q0eXWjK8xvo?t=6214" TargetMode="External"/><Relationship Id="rId97" Type="http://schemas.openxmlformats.org/officeDocument/2006/relationships/hyperlink" Target="https://youtu.be/w9KkodiCEkc?t=6970" TargetMode="External"/><Relationship Id="rId96" Type="http://schemas.openxmlformats.org/officeDocument/2006/relationships/hyperlink" Target="https://youtu.be/Q0eXWjK8xvo?t=7096" TargetMode="External"/><Relationship Id="rId99" Type="http://schemas.openxmlformats.org/officeDocument/2006/relationships/hyperlink" Target="https://youtu.be/w9KkodiCEkc?t=7863" TargetMode="External"/><Relationship Id="rId98" Type="http://schemas.openxmlformats.org/officeDocument/2006/relationships/hyperlink" Target="https://youtu.be/Q0eXWjK8xvo?t=7988" TargetMode="External"/><Relationship Id="rId91" Type="http://schemas.openxmlformats.org/officeDocument/2006/relationships/hyperlink" Target="https://youtu.be/w9KkodiCEkc?t=4328" TargetMode="External"/><Relationship Id="rId90" Type="http://schemas.openxmlformats.org/officeDocument/2006/relationships/hyperlink" Target="https://youtu.be/Q0eXWjK8xvo?t=4453" TargetMode="External"/><Relationship Id="rId93" Type="http://schemas.openxmlformats.org/officeDocument/2006/relationships/hyperlink" Target="https://youtu.be/w9KkodiCEkc?t=5230" TargetMode="External"/><Relationship Id="rId92" Type="http://schemas.openxmlformats.org/officeDocument/2006/relationships/hyperlink" Target="https://youtu.be/Q0eXWjK8xvo?t=5344" TargetMode="External"/><Relationship Id="rId118" Type="http://schemas.openxmlformats.org/officeDocument/2006/relationships/hyperlink" Target="https://youtu.be/QQdJvSlAWxI?t=8070" TargetMode="External"/><Relationship Id="rId239" Type="http://schemas.openxmlformats.org/officeDocument/2006/relationships/hyperlink" Target="https://youtu.be/5urEu8lCp6k?t=7981" TargetMode="External"/><Relationship Id="rId117" Type="http://schemas.openxmlformats.org/officeDocument/2006/relationships/hyperlink" Target="https://youtu.be/WMlYXKtVA54?t=6982" TargetMode="External"/><Relationship Id="rId238" Type="http://schemas.openxmlformats.org/officeDocument/2006/relationships/hyperlink" Target="https://youtu.be/5PLUH94Oj0M?t=8087" TargetMode="External"/><Relationship Id="rId359" Type="http://schemas.openxmlformats.org/officeDocument/2006/relationships/drawing" Target="../drawings/drawing9.xml"/><Relationship Id="rId116" Type="http://schemas.openxmlformats.org/officeDocument/2006/relationships/hyperlink" Target="https://youtu.be/QQdJvSlAWxI?t=7137" TargetMode="External"/><Relationship Id="rId237" Type="http://schemas.openxmlformats.org/officeDocument/2006/relationships/hyperlink" Target="https://youtu.be/5urEu8lCp6k?t=7078" TargetMode="External"/><Relationship Id="rId358" Type="http://schemas.openxmlformats.org/officeDocument/2006/relationships/hyperlink" Target="https://youtu.be/mN1vHVr6H68?t=8051" TargetMode="External"/><Relationship Id="rId115" Type="http://schemas.openxmlformats.org/officeDocument/2006/relationships/hyperlink" Target="https://youtu.be/WMlYXKtVA54?t=6137" TargetMode="External"/><Relationship Id="rId236" Type="http://schemas.openxmlformats.org/officeDocument/2006/relationships/hyperlink" Target="https://youtu.be/5PLUH94Oj0M?t=7185" TargetMode="External"/><Relationship Id="rId357" Type="http://schemas.openxmlformats.org/officeDocument/2006/relationships/hyperlink" Target="https://youtu.be/kPBlq3pFdTI?t=7976" TargetMode="External"/><Relationship Id="rId119" Type="http://schemas.openxmlformats.org/officeDocument/2006/relationships/hyperlink" Target="https://youtu.be/WMlYXKtVA54?t=7884" TargetMode="External"/><Relationship Id="rId110" Type="http://schemas.openxmlformats.org/officeDocument/2006/relationships/hyperlink" Target="https://youtu.be/QQdJvSlAWxI?t=4658" TargetMode="External"/><Relationship Id="rId231" Type="http://schemas.openxmlformats.org/officeDocument/2006/relationships/hyperlink" Target="https://youtu.be/5urEu8lCp6k?t=4452" TargetMode="External"/><Relationship Id="rId352" Type="http://schemas.openxmlformats.org/officeDocument/2006/relationships/hyperlink" Target="https://youtu.be/mN1vHVr6H68?t=5409" TargetMode="External"/><Relationship Id="rId230" Type="http://schemas.openxmlformats.org/officeDocument/2006/relationships/hyperlink" Target="https://youtu.be/5PLUH94Oj0M?t=4557" TargetMode="External"/><Relationship Id="rId351" Type="http://schemas.openxmlformats.org/officeDocument/2006/relationships/hyperlink" Target="https://youtu.be/kPBlq3pFdTI?t=5336" TargetMode="External"/><Relationship Id="rId350" Type="http://schemas.openxmlformats.org/officeDocument/2006/relationships/hyperlink" Target="https://youtu.be/mN1vHVr6H68?t=4525" TargetMode="External"/><Relationship Id="rId114" Type="http://schemas.openxmlformats.org/officeDocument/2006/relationships/hyperlink" Target="https://youtu.be/QQdJvSlAWxI?t=6315" TargetMode="External"/><Relationship Id="rId235" Type="http://schemas.openxmlformats.org/officeDocument/2006/relationships/hyperlink" Target="https://youtu.be/5urEu8lCp6k?t=6211" TargetMode="External"/><Relationship Id="rId356" Type="http://schemas.openxmlformats.org/officeDocument/2006/relationships/hyperlink" Target="https://youtu.be/mN1vHVr6H68?t=7149" TargetMode="External"/><Relationship Id="rId113" Type="http://schemas.openxmlformats.org/officeDocument/2006/relationships/hyperlink" Target="https://youtu.be/WMlYXKtVA54?t=5321" TargetMode="External"/><Relationship Id="rId234" Type="http://schemas.openxmlformats.org/officeDocument/2006/relationships/hyperlink" Target="https://youtu.be/5PLUH94Oj0M?t=6295" TargetMode="External"/><Relationship Id="rId355" Type="http://schemas.openxmlformats.org/officeDocument/2006/relationships/hyperlink" Target="https://youtu.be/kPBlq3pFdTI?t=7077" TargetMode="External"/><Relationship Id="rId112" Type="http://schemas.openxmlformats.org/officeDocument/2006/relationships/hyperlink" Target="https://youtu.be/QQdJvSlAWxI?t=5506" TargetMode="External"/><Relationship Id="rId233" Type="http://schemas.openxmlformats.org/officeDocument/2006/relationships/hyperlink" Target="https://youtu.be/5urEu8lCp6k?t=5341" TargetMode="External"/><Relationship Id="rId354" Type="http://schemas.openxmlformats.org/officeDocument/2006/relationships/hyperlink" Target="https://youtu.be/mN1vHVr6H68?t=6254" TargetMode="External"/><Relationship Id="rId111" Type="http://schemas.openxmlformats.org/officeDocument/2006/relationships/hyperlink" Target="https://youtu.be/WMlYXKtVA54?t=4488" TargetMode="External"/><Relationship Id="rId232" Type="http://schemas.openxmlformats.org/officeDocument/2006/relationships/hyperlink" Target="https://youtu.be/5PLUH94Oj0M?t=5445" TargetMode="External"/><Relationship Id="rId353" Type="http://schemas.openxmlformats.org/officeDocument/2006/relationships/hyperlink" Target="https://youtu.be/kPBlq3pFdTI?t=6182" TargetMode="External"/><Relationship Id="rId305" Type="http://schemas.openxmlformats.org/officeDocument/2006/relationships/hyperlink" Target="https://youtu.be/k6tBbBq0Iz0?t=2719" TargetMode="External"/><Relationship Id="rId304" Type="http://schemas.openxmlformats.org/officeDocument/2006/relationships/hyperlink" Target="https://youtu.be/CpCLr9VJwhs?t=1925" TargetMode="External"/><Relationship Id="rId303" Type="http://schemas.openxmlformats.org/officeDocument/2006/relationships/hyperlink" Target="https://youtu.be/k6tBbBq0Iz0?t=1845" TargetMode="External"/><Relationship Id="rId302" Type="http://schemas.openxmlformats.org/officeDocument/2006/relationships/hyperlink" Target="https://youtu.be/CpCLr9VJwhs?t=983" TargetMode="External"/><Relationship Id="rId309" Type="http://schemas.openxmlformats.org/officeDocument/2006/relationships/hyperlink" Target="https://youtu.be/k6tBbBq0Iz0?t=4457" TargetMode="External"/><Relationship Id="rId308" Type="http://schemas.openxmlformats.org/officeDocument/2006/relationships/hyperlink" Target="https://youtu.be/CpCLr9VJwhs?t=3668" TargetMode="External"/><Relationship Id="rId307" Type="http://schemas.openxmlformats.org/officeDocument/2006/relationships/hyperlink" Target="https://youtu.be/k6tBbBq0Iz0?t=3557" TargetMode="External"/><Relationship Id="rId306" Type="http://schemas.openxmlformats.org/officeDocument/2006/relationships/hyperlink" Target="https://youtu.be/CpCLr9VJwhs?t=2763" TargetMode="External"/><Relationship Id="rId301" Type="http://schemas.openxmlformats.org/officeDocument/2006/relationships/hyperlink" Target="https://youtu.be/k6tBbBq0Iz0?t=1010" TargetMode="External"/><Relationship Id="rId300" Type="http://schemas.openxmlformats.org/officeDocument/2006/relationships/hyperlink" Target="https://youtu.be/CpCLr9VJwhs" TargetMode="External"/><Relationship Id="rId206" Type="http://schemas.openxmlformats.org/officeDocument/2006/relationships/hyperlink" Target="https://youtu.be/cs3SsubgHBw?t=2810" TargetMode="External"/><Relationship Id="rId327" Type="http://schemas.openxmlformats.org/officeDocument/2006/relationships/hyperlink" Target="https://youtu.be/Ev-DwuYE4CE?t=3548" TargetMode="External"/><Relationship Id="rId205" Type="http://schemas.openxmlformats.org/officeDocument/2006/relationships/hyperlink" Target="https://youtu.be/fu4qUao-TNY?t=1822" TargetMode="External"/><Relationship Id="rId326" Type="http://schemas.openxmlformats.org/officeDocument/2006/relationships/hyperlink" Target="https://youtu.be/5QM_ODctWJM?t=2723" TargetMode="External"/><Relationship Id="rId204" Type="http://schemas.openxmlformats.org/officeDocument/2006/relationships/hyperlink" Target="https://youtu.be/cs3SsubgHBw?t=1938" TargetMode="External"/><Relationship Id="rId325" Type="http://schemas.openxmlformats.org/officeDocument/2006/relationships/hyperlink" Target="https://youtu.be/Ev-DwuYE4CE?t=2689" TargetMode="External"/><Relationship Id="rId203" Type="http://schemas.openxmlformats.org/officeDocument/2006/relationships/hyperlink" Target="https://youtu.be/fu4qUao-TNY?t=1020" TargetMode="External"/><Relationship Id="rId324" Type="http://schemas.openxmlformats.org/officeDocument/2006/relationships/hyperlink" Target="https://youtu.be/5QM_ODctWJM?t=1822" TargetMode="External"/><Relationship Id="rId209" Type="http://schemas.openxmlformats.org/officeDocument/2006/relationships/hyperlink" Target="https://youtu.be/fu4qUao-TNY?t=3496" TargetMode="External"/><Relationship Id="rId208" Type="http://schemas.openxmlformats.org/officeDocument/2006/relationships/hyperlink" Target="https://youtu.be/cs3SsubgHBw?t=3572" TargetMode="External"/><Relationship Id="rId329" Type="http://schemas.openxmlformats.org/officeDocument/2006/relationships/hyperlink" Target="https://youtu.be/Ev-DwuYE4CE?t=4446" TargetMode="External"/><Relationship Id="rId207" Type="http://schemas.openxmlformats.org/officeDocument/2006/relationships/hyperlink" Target="https://youtu.be/fu4qUao-TNY?t=2645" TargetMode="External"/><Relationship Id="rId328" Type="http://schemas.openxmlformats.org/officeDocument/2006/relationships/hyperlink" Target="https://youtu.be/5QM_ODctWJM?t=3563" TargetMode="External"/><Relationship Id="rId202" Type="http://schemas.openxmlformats.org/officeDocument/2006/relationships/hyperlink" Target="https://youtu.be/cs3SsubgHBw?t=1131" TargetMode="External"/><Relationship Id="rId323" Type="http://schemas.openxmlformats.org/officeDocument/2006/relationships/hyperlink" Target="https://youtu.be/Ev-DwuYE4CE?t=1809" TargetMode="External"/><Relationship Id="rId201" Type="http://schemas.openxmlformats.org/officeDocument/2006/relationships/hyperlink" Target="https://youtu.be/fu4qUao-TNY" TargetMode="External"/><Relationship Id="rId322" Type="http://schemas.openxmlformats.org/officeDocument/2006/relationships/hyperlink" Target="https://youtu.be/5QM_ODctWJM?t=923" TargetMode="External"/><Relationship Id="rId200" Type="http://schemas.openxmlformats.org/officeDocument/2006/relationships/hyperlink" Target="https://youtu.be/cs3SsubgHBw" TargetMode="External"/><Relationship Id="rId321" Type="http://schemas.openxmlformats.org/officeDocument/2006/relationships/hyperlink" Target="https://youtu.be/Ev-DwuYE4CE?t=919" TargetMode="External"/><Relationship Id="rId320" Type="http://schemas.openxmlformats.org/officeDocument/2006/relationships/hyperlink" Target="https://youtu.be/5QM_ODctWJM" TargetMode="External"/><Relationship Id="rId316" Type="http://schemas.openxmlformats.org/officeDocument/2006/relationships/hyperlink" Target="https://youtu.be/CpCLr9VJwhs?t=7170" TargetMode="External"/><Relationship Id="rId315" Type="http://schemas.openxmlformats.org/officeDocument/2006/relationships/hyperlink" Target="https://youtu.be/k6tBbBq0Iz0?t=7067" TargetMode="External"/><Relationship Id="rId314" Type="http://schemas.openxmlformats.org/officeDocument/2006/relationships/hyperlink" Target="https://youtu.be/CpCLr9VJwhs?t=6287" TargetMode="External"/><Relationship Id="rId313" Type="http://schemas.openxmlformats.org/officeDocument/2006/relationships/hyperlink" Target="https://youtu.be/k6tBbBq0Iz0?t=6228" TargetMode="External"/><Relationship Id="rId319" Type="http://schemas.openxmlformats.org/officeDocument/2006/relationships/hyperlink" Target="https://youtu.be/Ev-DwuYE4CE" TargetMode="External"/><Relationship Id="rId318" Type="http://schemas.openxmlformats.org/officeDocument/2006/relationships/hyperlink" Target="https://youtu.be/CpCLr9VJwhs?t=8039" TargetMode="External"/><Relationship Id="rId317" Type="http://schemas.openxmlformats.org/officeDocument/2006/relationships/hyperlink" Target="https://youtu.be/k6tBbBq0Iz0?t=7966" TargetMode="External"/><Relationship Id="rId312" Type="http://schemas.openxmlformats.org/officeDocument/2006/relationships/hyperlink" Target="https://youtu.be/CpCLr9VJwhs?t=5404" TargetMode="External"/><Relationship Id="rId311" Type="http://schemas.openxmlformats.org/officeDocument/2006/relationships/hyperlink" Target="https://youtu.be/k6tBbBq0Iz0?t=5359" TargetMode="External"/><Relationship Id="rId310" Type="http://schemas.openxmlformats.org/officeDocument/2006/relationships/hyperlink" Target="https://youtu.be/CpCLr9VJwhs?t=4545" TargetMode="External"/></Relationships>
</file>

<file path=xl/worksheets/_rels/sheet1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vp8Xm7Z5LbE?t=7923" TargetMode="External"/><Relationship Id="rId190" Type="http://schemas.openxmlformats.org/officeDocument/2006/relationships/hyperlink" Target="https://youtu.be/VopcevnmOGE?t=3683" TargetMode="External"/><Relationship Id="rId42" Type="http://schemas.openxmlformats.org/officeDocument/2006/relationships/hyperlink" Target="https://youtu.be/tu_6lF2mUqs" TargetMode="External"/><Relationship Id="rId41" Type="http://schemas.openxmlformats.org/officeDocument/2006/relationships/hyperlink" Target="https://youtu.be/jj0ybyyOH3o" TargetMode="External"/><Relationship Id="rId44" Type="http://schemas.openxmlformats.org/officeDocument/2006/relationships/hyperlink" Target="https://youtu.be/tu_6lF2mUqs?t=701" TargetMode="External"/><Relationship Id="rId194" Type="http://schemas.openxmlformats.org/officeDocument/2006/relationships/hyperlink" Target="https://youtu.be/VopcevnmOGE?t=5368" TargetMode="External"/><Relationship Id="rId43" Type="http://schemas.openxmlformats.org/officeDocument/2006/relationships/hyperlink" Target="https://youtu.be/jj0ybyyOH3o?t=935" TargetMode="External"/><Relationship Id="rId193" Type="http://schemas.openxmlformats.org/officeDocument/2006/relationships/hyperlink" Target="https://youtu.be/TxB-dVw7fJ0?t=5354" TargetMode="External"/><Relationship Id="rId46" Type="http://schemas.openxmlformats.org/officeDocument/2006/relationships/hyperlink" Target="https://youtu.be/tu_6lF2mUqs?t=1579" TargetMode="External"/><Relationship Id="rId192" Type="http://schemas.openxmlformats.org/officeDocument/2006/relationships/hyperlink" Target="https://youtu.be/VopcevnmOGE?t=4508" TargetMode="External"/><Relationship Id="rId45" Type="http://schemas.openxmlformats.org/officeDocument/2006/relationships/hyperlink" Target="https://youtu.be/jj0ybyyOH3o?t=1765" TargetMode="External"/><Relationship Id="rId191" Type="http://schemas.openxmlformats.org/officeDocument/2006/relationships/hyperlink" Target="https://youtu.be/TxB-dVw7fJ0?t=4488" TargetMode="External"/><Relationship Id="rId48" Type="http://schemas.openxmlformats.org/officeDocument/2006/relationships/hyperlink" Target="https://youtu.be/tu_6lF2mUqs?t=2479" TargetMode="External"/><Relationship Id="rId187" Type="http://schemas.openxmlformats.org/officeDocument/2006/relationships/hyperlink" Target="https://youtu.be/TxB-dVw7fJ0?t=2696" TargetMode="External"/><Relationship Id="rId47" Type="http://schemas.openxmlformats.org/officeDocument/2006/relationships/hyperlink" Target="https://youtu.be/jj0ybyyOH3o?t=2692" TargetMode="External"/><Relationship Id="rId186" Type="http://schemas.openxmlformats.org/officeDocument/2006/relationships/hyperlink" Target="https://youtu.be/VopcevnmOGE?t=1915" TargetMode="External"/><Relationship Id="rId185" Type="http://schemas.openxmlformats.org/officeDocument/2006/relationships/hyperlink" Target="https://youtu.be/TxB-dVw7fJ0?t=1823" TargetMode="External"/><Relationship Id="rId49" Type="http://schemas.openxmlformats.org/officeDocument/2006/relationships/hyperlink" Target="https://youtu.be/jj0ybyyOH3o?t=3560" TargetMode="External"/><Relationship Id="rId184" Type="http://schemas.openxmlformats.org/officeDocument/2006/relationships/hyperlink" Target="https://youtu.be/VopcevnmOGE?t=988" TargetMode="External"/><Relationship Id="rId189" Type="http://schemas.openxmlformats.org/officeDocument/2006/relationships/hyperlink" Target="https://youtu.be/TxB-dVw7fJ0?t=3526" TargetMode="External"/><Relationship Id="rId188" Type="http://schemas.openxmlformats.org/officeDocument/2006/relationships/hyperlink" Target="https://youtu.be/VopcevnmOGE?t=2797" TargetMode="External"/><Relationship Id="rId31" Type="http://schemas.openxmlformats.org/officeDocument/2006/relationships/hyperlink" Target="https://youtu.be/rv4-8Zv2_Qo?t=4400" TargetMode="External"/><Relationship Id="rId30" Type="http://schemas.openxmlformats.org/officeDocument/2006/relationships/hyperlink" Target="https://youtu.be/vp8Xm7Z5LbE?t=3487" TargetMode="External"/><Relationship Id="rId33" Type="http://schemas.openxmlformats.org/officeDocument/2006/relationships/hyperlink" Target="https://youtu.be/rv4-8Zv2_Qo?t=5294" TargetMode="External"/><Relationship Id="rId183" Type="http://schemas.openxmlformats.org/officeDocument/2006/relationships/hyperlink" Target="https://youtu.be/TxB-dVw7fJ0?t=933" TargetMode="External"/><Relationship Id="rId32" Type="http://schemas.openxmlformats.org/officeDocument/2006/relationships/hyperlink" Target="https://youtu.be/vp8Xm7Z5LbE?t=4405" TargetMode="External"/><Relationship Id="rId182" Type="http://schemas.openxmlformats.org/officeDocument/2006/relationships/hyperlink" Target="https://youtu.be/VopcevnmOGE" TargetMode="External"/><Relationship Id="rId35" Type="http://schemas.openxmlformats.org/officeDocument/2006/relationships/hyperlink" Target="https://youtu.be/rv4-8Zv2_Qo?t=6134" TargetMode="External"/><Relationship Id="rId181" Type="http://schemas.openxmlformats.org/officeDocument/2006/relationships/hyperlink" Target="https://youtu.be/TxB-dVw7fJ0" TargetMode="External"/><Relationship Id="rId34" Type="http://schemas.openxmlformats.org/officeDocument/2006/relationships/hyperlink" Target="https://youtu.be/vp8Xm7Z5LbE?t=5283" TargetMode="External"/><Relationship Id="rId180" Type="http://schemas.openxmlformats.org/officeDocument/2006/relationships/hyperlink" Target="https://youtu.be/NXPaHTh2P3Q?t=7769" TargetMode="External"/><Relationship Id="rId37" Type="http://schemas.openxmlformats.org/officeDocument/2006/relationships/hyperlink" Target="https://youtu.be/rv4-8Zv2_Qo?t=7035" TargetMode="External"/><Relationship Id="rId176" Type="http://schemas.openxmlformats.org/officeDocument/2006/relationships/hyperlink" Target="https://youtu.be/NXPaHTh2P3Q?t=5968" TargetMode="External"/><Relationship Id="rId297" Type="http://schemas.openxmlformats.org/officeDocument/2006/relationships/hyperlink" Target="https://youtu.be/fU6rUT6dB08?t=7246" TargetMode="External"/><Relationship Id="rId36" Type="http://schemas.openxmlformats.org/officeDocument/2006/relationships/hyperlink" Target="https://youtu.be/vp8Xm7Z5LbE?t=6138" TargetMode="External"/><Relationship Id="rId175" Type="http://schemas.openxmlformats.org/officeDocument/2006/relationships/hyperlink" Target="https://youtu.be/o7i4jNa-L_s?t=6197" TargetMode="External"/><Relationship Id="rId296" Type="http://schemas.openxmlformats.org/officeDocument/2006/relationships/hyperlink" Target="https://youtu.be/ymUvPgUKIig?t=7199" TargetMode="External"/><Relationship Id="rId39" Type="http://schemas.openxmlformats.org/officeDocument/2006/relationships/hyperlink" Target="https://youtu.be/rv4-8Zv2_Qo?t=7942" TargetMode="External"/><Relationship Id="rId174" Type="http://schemas.openxmlformats.org/officeDocument/2006/relationships/hyperlink" Target="https://youtu.be/NXPaHTh2P3Q?t=5127" TargetMode="External"/><Relationship Id="rId295" Type="http://schemas.openxmlformats.org/officeDocument/2006/relationships/hyperlink" Target="https://youtu.be/fU6rUT6dB08?t=6345" TargetMode="External"/><Relationship Id="rId38" Type="http://schemas.openxmlformats.org/officeDocument/2006/relationships/hyperlink" Target="https://youtu.be/vp8Xm7Z5LbE?t=7024" TargetMode="External"/><Relationship Id="rId173" Type="http://schemas.openxmlformats.org/officeDocument/2006/relationships/hyperlink" Target="https://youtu.be/o7i4jNa-L_s?t=5347" TargetMode="External"/><Relationship Id="rId294" Type="http://schemas.openxmlformats.org/officeDocument/2006/relationships/hyperlink" Target="https://youtu.be/ymUvPgUKIig?t=6333" TargetMode="External"/><Relationship Id="rId179" Type="http://schemas.openxmlformats.org/officeDocument/2006/relationships/hyperlink" Target="https://youtu.be/o7i4jNa-L_s?t=7991" TargetMode="External"/><Relationship Id="rId178" Type="http://schemas.openxmlformats.org/officeDocument/2006/relationships/hyperlink" Target="https://youtu.be/NXPaHTh2P3Q?t=6868" TargetMode="External"/><Relationship Id="rId299" Type="http://schemas.openxmlformats.org/officeDocument/2006/relationships/hyperlink" Target="https://youtu.be/fU6rUT6dB08?t=8147" TargetMode="External"/><Relationship Id="rId177" Type="http://schemas.openxmlformats.org/officeDocument/2006/relationships/hyperlink" Target="https://youtu.be/o7i4jNa-L_s?t=7089" TargetMode="External"/><Relationship Id="rId298" Type="http://schemas.openxmlformats.org/officeDocument/2006/relationships/hyperlink" Target="https://youtu.be/ymUvPgUKIig?t=8094" TargetMode="External"/><Relationship Id="rId20" Type="http://schemas.openxmlformats.org/officeDocument/2006/relationships/hyperlink" Target="https://youtu.be/2ObytLG6BvE?t=8040" TargetMode="External"/><Relationship Id="rId22" Type="http://schemas.openxmlformats.org/officeDocument/2006/relationships/hyperlink" Target="https://youtu.be/vp8Xm7Z5LbE" TargetMode="External"/><Relationship Id="rId21" Type="http://schemas.openxmlformats.org/officeDocument/2006/relationships/hyperlink" Target="https://youtu.be/rv4-8Zv2_Qo" TargetMode="External"/><Relationship Id="rId24" Type="http://schemas.openxmlformats.org/officeDocument/2006/relationships/hyperlink" Target="https://youtu.be/vp8Xm7Z5LbE?t=859" TargetMode="External"/><Relationship Id="rId23" Type="http://schemas.openxmlformats.org/officeDocument/2006/relationships/hyperlink" Target="https://youtu.be/rv4-8Zv2_Qo?t=857" TargetMode="External"/><Relationship Id="rId26" Type="http://schemas.openxmlformats.org/officeDocument/2006/relationships/hyperlink" Target="https://youtu.be/vp8Xm7Z5LbE?t=1744" TargetMode="External"/><Relationship Id="rId25" Type="http://schemas.openxmlformats.org/officeDocument/2006/relationships/hyperlink" Target="https://youtu.be/rv4-8Zv2_Qo?t=1761" TargetMode="External"/><Relationship Id="rId28" Type="http://schemas.openxmlformats.org/officeDocument/2006/relationships/hyperlink" Target="https://youtu.be/vp8Xm7Z5LbE?t=2661" TargetMode="External"/><Relationship Id="rId27" Type="http://schemas.openxmlformats.org/officeDocument/2006/relationships/hyperlink" Target="https://youtu.be/rv4-8Zv2_Qo?t=2666" TargetMode="External"/><Relationship Id="rId29" Type="http://schemas.openxmlformats.org/officeDocument/2006/relationships/hyperlink" Target="https://youtu.be/rv4-8Zv2_Qo?t=3496" TargetMode="External"/><Relationship Id="rId11" Type="http://schemas.openxmlformats.org/officeDocument/2006/relationships/hyperlink" Target="https://youtu.be/yyA13xZ7JuE?t=4450" TargetMode="External"/><Relationship Id="rId10" Type="http://schemas.openxmlformats.org/officeDocument/2006/relationships/hyperlink" Target="https://youtu.be/2ObytLG6BvE?t=3615" TargetMode="External"/><Relationship Id="rId13" Type="http://schemas.openxmlformats.org/officeDocument/2006/relationships/hyperlink" Target="https://youtu.be/yyA13xZ7JuE?t=5355" TargetMode="External"/><Relationship Id="rId12" Type="http://schemas.openxmlformats.org/officeDocument/2006/relationships/hyperlink" Target="https://youtu.be/2ObytLG6BvE?t=4499" TargetMode="External"/><Relationship Id="rId15" Type="http://schemas.openxmlformats.org/officeDocument/2006/relationships/hyperlink" Target="https://youtu.be/yyA13xZ7JuE?t=6242" TargetMode="External"/><Relationship Id="rId198" Type="http://schemas.openxmlformats.org/officeDocument/2006/relationships/hyperlink" Target="https://youtu.be/VopcevnmOGE?t=7114" TargetMode="External"/><Relationship Id="rId14" Type="http://schemas.openxmlformats.org/officeDocument/2006/relationships/hyperlink" Target="https://youtu.be/2ObytLG6BvE?t=5398" TargetMode="External"/><Relationship Id="rId197" Type="http://schemas.openxmlformats.org/officeDocument/2006/relationships/hyperlink" Target="https://youtu.be/TxB-dVw7fJ0?t=7096" TargetMode="External"/><Relationship Id="rId17" Type="http://schemas.openxmlformats.org/officeDocument/2006/relationships/hyperlink" Target="https://youtu.be/yyA13xZ7JuE?t=7095" TargetMode="External"/><Relationship Id="rId196" Type="http://schemas.openxmlformats.org/officeDocument/2006/relationships/hyperlink" Target="https://youtu.be/VopcevnmOGE?t=6234" TargetMode="External"/><Relationship Id="rId16" Type="http://schemas.openxmlformats.org/officeDocument/2006/relationships/hyperlink" Target="https://youtu.be/2ObytLG6BvE?t=6238" TargetMode="External"/><Relationship Id="rId195" Type="http://schemas.openxmlformats.org/officeDocument/2006/relationships/hyperlink" Target="https://youtu.be/TxB-dVw7fJ0?t=6228" TargetMode="External"/><Relationship Id="rId19" Type="http://schemas.openxmlformats.org/officeDocument/2006/relationships/hyperlink" Target="https://youtu.be/yyA13xZ7JuE?t=7996" TargetMode="External"/><Relationship Id="rId18" Type="http://schemas.openxmlformats.org/officeDocument/2006/relationships/hyperlink" Target="https://youtu.be/2ObytLG6BvE?t=7139" TargetMode="External"/><Relationship Id="rId199" Type="http://schemas.openxmlformats.org/officeDocument/2006/relationships/hyperlink" Target="https://youtu.be/TxB-dVw7fJ0?t=7969" TargetMode="External"/><Relationship Id="rId84" Type="http://schemas.openxmlformats.org/officeDocument/2006/relationships/hyperlink" Target="https://youtu.be/49jADWNwLLo?t=876" TargetMode="External"/><Relationship Id="rId83" Type="http://schemas.openxmlformats.org/officeDocument/2006/relationships/hyperlink" Target="https://youtu.be/Va8c6qHMFPI?t=1394" TargetMode="External"/><Relationship Id="rId86" Type="http://schemas.openxmlformats.org/officeDocument/2006/relationships/hyperlink" Target="https://youtu.be/49jADWNwLLo?t=1747" TargetMode="External"/><Relationship Id="rId85" Type="http://schemas.openxmlformats.org/officeDocument/2006/relationships/hyperlink" Target="https://youtu.be/Va8c6qHMFPI?t=2392" TargetMode="External"/><Relationship Id="rId88" Type="http://schemas.openxmlformats.org/officeDocument/2006/relationships/hyperlink" Target="https://youtu.be/49jADWNwLLo?t=2739" TargetMode="External"/><Relationship Id="rId150" Type="http://schemas.openxmlformats.org/officeDocument/2006/relationships/hyperlink" Target="https://youtu.be/UdNjfFHT9OQ?t=3458" TargetMode="External"/><Relationship Id="rId271" Type="http://schemas.openxmlformats.org/officeDocument/2006/relationships/hyperlink" Target="https://youtu.be/h62qf5n_mfs?t=4442" TargetMode="External"/><Relationship Id="rId87" Type="http://schemas.openxmlformats.org/officeDocument/2006/relationships/hyperlink" Target="https://youtu.be/Va8c6qHMFPI?t=3330" TargetMode="External"/><Relationship Id="rId270" Type="http://schemas.openxmlformats.org/officeDocument/2006/relationships/hyperlink" Target="https://youtu.be/TC3Z_2hqlvg?t=3592" TargetMode="External"/><Relationship Id="rId89" Type="http://schemas.openxmlformats.org/officeDocument/2006/relationships/hyperlink" Target="https://youtu.be/Va8c6qHMFPI?t=4223" TargetMode="External"/><Relationship Id="rId80" Type="http://schemas.openxmlformats.org/officeDocument/2006/relationships/hyperlink" Target="https://youtu.be/UsuZD5eyWyU?t=7934" TargetMode="External"/><Relationship Id="rId82" Type="http://schemas.openxmlformats.org/officeDocument/2006/relationships/hyperlink" Target="https://youtu.be/49jADWNwLLo" TargetMode="External"/><Relationship Id="rId81" Type="http://schemas.openxmlformats.org/officeDocument/2006/relationships/hyperlink" Target="https://youtu.be/Va8c6qHMFPI" TargetMode="External"/><Relationship Id="rId1" Type="http://schemas.openxmlformats.org/officeDocument/2006/relationships/hyperlink" Target="https://youtu.be/yyA13xZ7JuE" TargetMode="External"/><Relationship Id="rId2" Type="http://schemas.openxmlformats.org/officeDocument/2006/relationships/hyperlink" Target="https://youtu.be/2ObytLG6BvE" TargetMode="External"/><Relationship Id="rId3" Type="http://schemas.openxmlformats.org/officeDocument/2006/relationships/hyperlink" Target="https://youtu.be/yyA13xZ7JuE?t=952" TargetMode="External"/><Relationship Id="rId149" Type="http://schemas.openxmlformats.org/officeDocument/2006/relationships/hyperlink" Target="https://youtu.be/eBeCR1QwM5g?t=3538" TargetMode="External"/><Relationship Id="rId4" Type="http://schemas.openxmlformats.org/officeDocument/2006/relationships/hyperlink" Target="https://youtu.be/2ObytLG6BvE?t=977" TargetMode="External"/><Relationship Id="rId148" Type="http://schemas.openxmlformats.org/officeDocument/2006/relationships/hyperlink" Target="https://youtu.be/UdNjfFHT9OQ?t=2650" TargetMode="External"/><Relationship Id="rId269" Type="http://schemas.openxmlformats.org/officeDocument/2006/relationships/hyperlink" Target="https://youtu.be/h62qf5n_mfs?t=3511" TargetMode="External"/><Relationship Id="rId9" Type="http://schemas.openxmlformats.org/officeDocument/2006/relationships/hyperlink" Target="https://youtu.be/yyA13xZ7JuE?t=3583" TargetMode="External"/><Relationship Id="rId143" Type="http://schemas.openxmlformats.org/officeDocument/2006/relationships/hyperlink" Target="https://youtu.be/eBeCR1QwM5g?t=949" TargetMode="External"/><Relationship Id="rId264" Type="http://schemas.openxmlformats.org/officeDocument/2006/relationships/hyperlink" Target="https://youtu.be/TC3Z_2hqlvg?t=935" TargetMode="External"/><Relationship Id="rId142" Type="http://schemas.openxmlformats.org/officeDocument/2006/relationships/hyperlink" Target="https://youtu.be/UdNjfFHT9OQ" TargetMode="External"/><Relationship Id="rId263" Type="http://schemas.openxmlformats.org/officeDocument/2006/relationships/hyperlink" Target="https://youtu.be/h62qf5n_mfs?t=964" TargetMode="External"/><Relationship Id="rId141" Type="http://schemas.openxmlformats.org/officeDocument/2006/relationships/hyperlink" Target="https://youtu.be/eBeCR1QwM5g" TargetMode="External"/><Relationship Id="rId262" Type="http://schemas.openxmlformats.org/officeDocument/2006/relationships/hyperlink" Target="https://youtu.be/TC3Z_2hqlvg" TargetMode="External"/><Relationship Id="rId140" Type="http://schemas.openxmlformats.org/officeDocument/2006/relationships/hyperlink" Target="https://youtu.be/etWTXwKRa88?t=7786" TargetMode="External"/><Relationship Id="rId261" Type="http://schemas.openxmlformats.org/officeDocument/2006/relationships/hyperlink" Target="https://youtu.be/h62qf5n_mfs" TargetMode="External"/><Relationship Id="rId5" Type="http://schemas.openxmlformats.org/officeDocument/2006/relationships/hyperlink" Target="https://youtu.be/yyA13xZ7JuE?t=1855" TargetMode="External"/><Relationship Id="rId147" Type="http://schemas.openxmlformats.org/officeDocument/2006/relationships/hyperlink" Target="https://youtu.be/eBeCR1QwM5g?t=2693" TargetMode="External"/><Relationship Id="rId268" Type="http://schemas.openxmlformats.org/officeDocument/2006/relationships/hyperlink" Target="https://youtu.be/TC3Z_2hqlvg?t=2715" TargetMode="External"/><Relationship Id="rId6" Type="http://schemas.openxmlformats.org/officeDocument/2006/relationships/hyperlink" Target="https://youtu.be/2ObytLG6BvE?t=1873" TargetMode="External"/><Relationship Id="rId146" Type="http://schemas.openxmlformats.org/officeDocument/2006/relationships/hyperlink" Target="https://youtu.be/UdNjfFHT9OQ?t=1732" TargetMode="External"/><Relationship Id="rId267" Type="http://schemas.openxmlformats.org/officeDocument/2006/relationships/hyperlink" Target="https://youtu.be/h62qf5n_mfs?t=2667" TargetMode="External"/><Relationship Id="rId7" Type="http://schemas.openxmlformats.org/officeDocument/2006/relationships/hyperlink" Target="https://youtu.be/yyA13xZ7JuE?t=2750" TargetMode="External"/><Relationship Id="rId145" Type="http://schemas.openxmlformats.org/officeDocument/2006/relationships/hyperlink" Target="https://youtu.be/eBeCR1QwM5g?t=1816" TargetMode="External"/><Relationship Id="rId266" Type="http://schemas.openxmlformats.org/officeDocument/2006/relationships/hyperlink" Target="https://youtu.be/TC3Z_2hqlvg?t=1793" TargetMode="External"/><Relationship Id="rId8" Type="http://schemas.openxmlformats.org/officeDocument/2006/relationships/hyperlink" Target="https://youtu.be/2ObytLG6BvE?t=2770" TargetMode="External"/><Relationship Id="rId144" Type="http://schemas.openxmlformats.org/officeDocument/2006/relationships/hyperlink" Target="https://youtu.be/UdNjfFHT9OQ?t=876" TargetMode="External"/><Relationship Id="rId265" Type="http://schemas.openxmlformats.org/officeDocument/2006/relationships/hyperlink" Target="https://youtu.be/h62qf5n_mfs?t=1835" TargetMode="External"/><Relationship Id="rId73" Type="http://schemas.openxmlformats.org/officeDocument/2006/relationships/hyperlink" Target="https://youtu.be/CzGONT0lD_g?t=5370" TargetMode="External"/><Relationship Id="rId72" Type="http://schemas.openxmlformats.org/officeDocument/2006/relationships/hyperlink" Target="https://youtu.be/UsuZD5eyWyU?t=4396" TargetMode="External"/><Relationship Id="rId75" Type="http://schemas.openxmlformats.org/officeDocument/2006/relationships/hyperlink" Target="https://youtu.be/CzGONT0lD_g?t=6206" TargetMode="External"/><Relationship Id="rId74" Type="http://schemas.openxmlformats.org/officeDocument/2006/relationships/hyperlink" Target="https://youtu.be/UsuZD5eyWyU?t=5297" TargetMode="External"/><Relationship Id="rId77" Type="http://schemas.openxmlformats.org/officeDocument/2006/relationships/hyperlink" Target="https://youtu.be/CzGONT0lD_g?t=7104" TargetMode="External"/><Relationship Id="rId260" Type="http://schemas.openxmlformats.org/officeDocument/2006/relationships/hyperlink" Target="https://youtu.be/LkbCQkxbeS0?t=8090" TargetMode="External"/><Relationship Id="rId76" Type="http://schemas.openxmlformats.org/officeDocument/2006/relationships/hyperlink" Target="https://youtu.be/UsuZD5eyWyU?t=6141" TargetMode="External"/><Relationship Id="rId79" Type="http://schemas.openxmlformats.org/officeDocument/2006/relationships/hyperlink" Target="https://youtu.be/CzGONT0lD_g?t=7977" TargetMode="External"/><Relationship Id="rId78" Type="http://schemas.openxmlformats.org/officeDocument/2006/relationships/hyperlink" Target="https://youtu.be/UsuZD5eyWyU?t=7037" TargetMode="External"/><Relationship Id="rId71" Type="http://schemas.openxmlformats.org/officeDocument/2006/relationships/hyperlink" Target="https://youtu.be/CzGONT0lD_g?t=4463" TargetMode="External"/><Relationship Id="rId70" Type="http://schemas.openxmlformats.org/officeDocument/2006/relationships/hyperlink" Target="https://youtu.be/UsuZD5eyWyU?t=3529" TargetMode="External"/><Relationship Id="rId139" Type="http://schemas.openxmlformats.org/officeDocument/2006/relationships/hyperlink" Target="https://youtu.be/rXsF90BvnG0?t=7754" TargetMode="External"/><Relationship Id="rId138" Type="http://schemas.openxmlformats.org/officeDocument/2006/relationships/hyperlink" Target="https://youtu.be/etWTXwKRa88?t=6849" TargetMode="External"/><Relationship Id="rId259" Type="http://schemas.openxmlformats.org/officeDocument/2006/relationships/hyperlink" Target="https://youtu.be/V2AGiIx0RAs?t=8138" TargetMode="External"/><Relationship Id="rId137" Type="http://schemas.openxmlformats.org/officeDocument/2006/relationships/hyperlink" Target="https://youtu.be/rXsF90BvnG0?t=6843" TargetMode="External"/><Relationship Id="rId258" Type="http://schemas.openxmlformats.org/officeDocument/2006/relationships/hyperlink" Target="https://youtu.be/LkbCQkxbeS0?t=7187" TargetMode="External"/><Relationship Id="rId132" Type="http://schemas.openxmlformats.org/officeDocument/2006/relationships/hyperlink" Target="https://youtu.be/etWTXwKRa88?t=4321" TargetMode="External"/><Relationship Id="rId253" Type="http://schemas.openxmlformats.org/officeDocument/2006/relationships/hyperlink" Target="https://youtu.be/V2AGiIx0RAs?t=5579" TargetMode="External"/><Relationship Id="rId131" Type="http://schemas.openxmlformats.org/officeDocument/2006/relationships/hyperlink" Target="https://youtu.be/rXsF90BvnG0?t=4340" TargetMode="External"/><Relationship Id="rId252" Type="http://schemas.openxmlformats.org/officeDocument/2006/relationships/hyperlink" Target="https://youtu.be/LkbCQkxbeS0?t=4591" TargetMode="External"/><Relationship Id="rId130" Type="http://schemas.openxmlformats.org/officeDocument/2006/relationships/hyperlink" Target="https://youtu.be/etWTXwKRa88?t=3415" TargetMode="External"/><Relationship Id="rId251" Type="http://schemas.openxmlformats.org/officeDocument/2006/relationships/hyperlink" Target="https://youtu.be/V2AGiIx0RAs?t=4672" TargetMode="External"/><Relationship Id="rId250" Type="http://schemas.openxmlformats.org/officeDocument/2006/relationships/hyperlink" Target="https://youtu.be/LkbCQkxbeS0?t=3713" TargetMode="External"/><Relationship Id="rId136" Type="http://schemas.openxmlformats.org/officeDocument/2006/relationships/hyperlink" Target="https://youtu.be/etWTXwKRa88?t=5920" TargetMode="External"/><Relationship Id="rId257" Type="http://schemas.openxmlformats.org/officeDocument/2006/relationships/hyperlink" Target="https://youtu.be/V2AGiIx0RAs?t=7249" TargetMode="External"/><Relationship Id="rId135" Type="http://schemas.openxmlformats.org/officeDocument/2006/relationships/hyperlink" Target="https://youtu.be/rXsF90BvnG0?t=6041" TargetMode="External"/><Relationship Id="rId256" Type="http://schemas.openxmlformats.org/officeDocument/2006/relationships/hyperlink" Target="https://youtu.be/LkbCQkxbeS0?t=6287" TargetMode="External"/><Relationship Id="rId134" Type="http://schemas.openxmlformats.org/officeDocument/2006/relationships/hyperlink" Target="https://youtu.be/etWTXwKRa88?t=5071" TargetMode="External"/><Relationship Id="rId255" Type="http://schemas.openxmlformats.org/officeDocument/2006/relationships/hyperlink" Target="https://youtu.be/V2AGiIx0RAs?t=6432" TargetMode="External"/><Relationship Id="rId133" Type="http://schemas.openxmlformats.org/officeDocument/2006/relationships/hyperlink" Target="https://youtu.be/rXsF90BvnG0?t=5228" TargetMode="External"/><Relationship Id="rId254" Type="http://schemas.openxmlformats.org/officeDocument/2006/relationships/hyperlink" Target="https://youtu.be/LkbCQkxbeS0?t=5457" TargetMode="External"/><Relationship Id="rId62" Type="http://schemas.openxmlformats.org/officeDocument/2006/relationships/hyperlink" Target="https://youtu.be/UsuZD5eyWyU" TargetMode="External"/><Relationship Id="rId61" Type="http://schemas.openxmlformats.org/officeDocument/2006/relationships/hyperlink" Target="https://youtu.be/CzGONT0lD_g" TargetMode="External"/><Relationship Id="rId64" Type="http://schemas.openxmlformats.org/officeDocument/2006/relationships/hyperlink" Target="https://youtu.be/UsuZD5eyWyU?t=884" TargetMode="External"/><Relationship Id="rId63" Type="http://schemas.openxmlformats.org/officeDocument/2006/relationships/hyperlink" Target="https://youtu.be/CzGONT0lD_g?t=926" TargetMode="External"/><Relationship Id="rId66" Type="http://schemas.openxmlformats.org/officeDocument/2006/relationships/hyperlink" Target="https://youtu.be/UsuZD5eyWyU?t=1752" TargetMode="External"/><Relationship Id="rId172" Type="http://schemas.openxmlformats.org/officeDocument/2006/relationships/hyperlink" Target="https://youtu.be/NXPaHTh2P3Q?t=4228" TargetMode="External"/><Relationship Id="rId293" Type="http://schemas.openxmlformats.org/officeDocument/2006/relationships/hyperlink" Target="https://youtu.be/fU6rUT6dB08?t=5507" TargetMode="External"/><Relationship Id="rId65" Type="http://schemas.openxmlformats.org/officeDocument/2006/relationships/hyperlink" Target="https://youtu.be/CzGONT0lD_g?t=1802" TargetMode="External"/><Relationship Id="rId171" Type="http://schemas.openxmlformats.org/officeDocument/2006/relationships/hyperlink" Target="https://youtu.be/o7i4jNa-L_s?t=4455" TargetMode="External"/><Relationship Id="rId292" Type="http://schemas.openxmlformats.org/officeDocument/2006/relationships/hyperlink" Target="https://youtu.be/ymUvPgUKIig?t=5460" TargetMode="External"/><Relationship Id="rId68" Type="http://schemas.openxmlformats.org/officeDocument/2006/relationships/hyperlink" Target="https://youtu.be/UsuZD5eyWyU?t=2657" TargetMode="External"/><Relationship Id="rId170" Type="http://schemas.openxmlformats.org/officeDocument/2006/relationships/hyperlink" Target="https://youtu.be/NXPaHTh2P3Q?t=3361" TargetMode="External"/><Relationship Id="rId291" Type="http://schemas.openxmlformats.org/officeDocument/2006/relationships/hyperlink" Target="https://youtu.be/fU6rUT6dB08?t=4606" TargetMode="External"/><Relationship Id="rId67" Type="http://schemas.openxmlformats.org/officeDocument/2006/relationships/hyperlink" Target="https://youtu.be/CzGONT0lD_g?t=2721" TargetMode="External"/><Relationship Id="rId290" Type="http://schemas.openxmlformats.org/officeDocument/2006/relationships/hyperlink" Target="https://youtu.be/ymUvPgUKIig?t=4557" TargetMode="External"/><Relationship Id="rId60" Type="http://schemas.openxmlformats.org/officeDocument/2006/relationships/hyperlink" Target="https://youtu.be/tu_6lF2mUqs?t=7759" TargetMode="External"/><Relationship Id="rId165" Type="http://schemas.openxmlformats.org/officeDocument/2006/relationships/hyperlink" Target="https://youtu.be/o7i4jNa-L_s?t=1897" TargetMode="External"/><Relationship Id="rId286" Type="http://schemas.openxmlformats.org/officeDocument/2006/relationships/hyperlink" Target="https://youtu.be/fU6rUT6dB08?t=1966" TargetMode="External"/><Relationship Id="rId69" Type="http://schemas.openxmlformats.org/officeDocument/2006/relationships/hyperlink" Target="https://youtu.be/CzGONT0lD_g?t=3561" TargetMode="External"/><Relationship Id="rId164" Type="http://schemas.openxmlformats.org/officeDocument/2006/relationships/hyperlink" Target="https://youtu.be/NXPaHTh2P3Q?t=696" TargetMode="External"/><Relationship Id="rId285" Type="http://schemas.openxmlformats.org/officeDocument/2006/relationships/hyperlink" Target="https://youtu.be/ymUvPgUKIig?t=1928" TargetMode="External"/><Relationship Id="rId163" Type="http://schemas.openxmlformats.org/officeDocument/2006/relationships/hyperlink" Target="https://youtu.be/o7i4jNa-L_s?t=995" TargetMode="External"/><Relationship Id="rId284" Type="http://schemas.openxmlformats.org/officeDocument/2006/relationships/hyperlink" Target="https://youtu.be/fU6rUT6dB08?t=1068" TargetMode="External"/><Relationship Id="rId162" Type="http://schemas.openxmlformats.org/officeDocument/2006/relationships/hyperlink" Target="https://youtu.be/NXPaHTh2P3Q" TargetMode="External"/><Relationship Id="rId283" Type="http://schemas.openxmlformats.org/officeDocument/2006/relationships/hyperlink" Target="https://youtu.be/ymUvPgUKIig?t=1029" TargetMode="External"/><Relationship Id="rId169" Type="http://schemas.openxmlformats.org/officeDocument/2006/relationships/hyperlink" Target="https://youtu.be/o7i4jNa-L_s?t=3610" TargetMode="External"/><Relationship Id="rId168" Type="http://schemas.openxmlformats.org/officeDocument/2006/relationships/hyperlink" Target="https://youtu.be/NXPaHTh2P3Q?t=2521" TargetMode="External"/><Relationship Id="rId289" Type="http://schemas.openxmlformats.org/officeDocument/2006/relationships/hyperlink" Target="https://youtu.be/ymUvPgUKIig?t=3685" TargetMode="External"/><Relationship Id="rId167" Type="http://schemas.openxmlformats.org/officeDocument/2006/relationships/hyperlink" Target="https://youtu.be/o7i4jNa-L_s?t=2788" TargetMode="External"/><Relationship Id="rId288" Type="http://schemas.openxmlformats.org/officeDocument/2006/relationships/hyperlink" Target="https://youtu.be/fU6rUT6dB08?t=2867" TargetMode="External"/><Relationship Id="rId166" Type="http://schemas.openxmlformats.org/officeDocument/2006/relationships/hyperlink" Target="https://youtu.be/NXPaHTh2P3Q?t=1599" TargetMode="External"/><Relationship Id="rId287" Type="http://schemas.openxmlformats.org/officeDocument/2006/relationships/hyperlink" Target="https://youtu.be/ymUvPgUKIig?t=2847" TargetMode="External"/><Relationship Id="rId51" Type="http://schemas.openxmlformats.org/officeDocument/2006/relationships/hyperlink" Target="https://youtu.be/jj0ybyyOH3o?t=4454" TargetMode="External"/><Relationship Id="rId50" Type="http://schemas.openxmlformats.org/officeDocument/2006/relationships/hyperlink" Target="https://youtu.be/tu_6lF2mUqs?t=3319" TargetMode="External"/><Relationship Id="rId53" Type="http://schemas.openxmlformats.org/officeDocument/2006/relationships/hyperlink" Target="https://youtu.be/jj0ybyyOH3o?t=5334" TargetMode="External"/><Relationship Id="rId52" Type="http://schemas.openxmlformats.org/officeDocument/2006/relationships/hyperlink" Target="https://youtu.be/tu_6lF2mUqs?t=4219" TargetMode="External"/><Relationship Id="rId55" Type="http://schemas.openxmlformats.org/officeDocument/2006/relationships/hyperlink" Target="https://youtu.be/jj0ybyyOH3o?t=6182" TargetMode="External"/><Relationship Id="rId161" Type="http://schemas.openxmlformats.org/officeDocument/2006/relationships/hyperlink" Target="https://youtu.be/o7i4jNa-L_s" TargetMode="External"/><Relationship Id="rId282" Type="http://schemas.openxmlformats.org/officeDocument/2006/relationships/hyperlink" Target="https://youtu.be/fU6rUT6dB08" TargetMode="External"/><Relationship Id="rId54" Type="http://schemas.openxmlformats.org/officeDocument/2006/relationships/hyperlink" Target="https://youtu.be/tu_6lF2mUqs?t=5119" TargetMode="External"/><Relationship Id="rId160" Type="http://schemas.openxmlformats.org/officeDocument/2006/relationships/hyperlink" Target="https://youtu.be/UdNjfFHT9OQ?t=7945" TargetMode="External"/><Relationship Id="rId281" Type="http://schemas.openxmlformats.org/officeDocument/2006/relationships/hyperlink" Target="https://youtu.be/ymUvPgUKIig" TargetMode="External"/><Relationship Id="rId57" Type="http://schemas.openxmlformats.org/officeDocument/2006/relationships/hyperlink" Target="https://youtu.be/jj0ybyyOH3o?t=7075" TargetMode="External"/><Relationship Id="rId280" Type="http://schemas.openxmlformats.org/officeDocument/2006/relationships/hyperlink" Target="https://youtu.be/TC3Z_2hqlvg?t=7930" TargetMode="External"/><Relationship Id="rId56" Type="http://schemas.openxmlformats.org/officeDocument/2006/relationships/hyperlink" Target="https://youtu.be/tu_6lF2mUqs?t=5968" TargetMode="External"/><Relationship Id="rId159" Type="http://schemas.openxmlformats.org/officeDocument/2006/relationships/hyperlink" Target="https://youtu.be/eBeCR1QwM5g?t=7944" TargetMode="External"/><Relationship Id="rId59" Type="http://schemas.openxmlformats.org/officeDocument/2006/relationships/hyperlink" Target="https://youtu.be/jj0ybyyOH3o?t=7959" TargetMode="External"/><Relationship Id="rId154" Type="http://schemas.openxmlformats.org/officeDocument/2006/relationships/hyperlink" Target="https://youtu.be/UdNjfFHT9OQ?t=5220" TargetMode="External"/><Relationship Id="rId275" Type="http://schemas.openxmlformats.org/officeDocument/2006/relationships/hyperlink" Target="https://youtu.be/h62qf5n_mfs?t=6224" TargetMode="External"/><Relationship Id="rId58" Type="http://schemas.openxmlformats.org/officeDocument/2006/relationships/hyperlink" Target="https://youtu.be/tu_6lF2mUqs?t=6859" TargetMode="External"/><Relationship Id="rId153" Type="http://schemas.openxmlformats.org/officeDocument/2006/relationships/hyperlink" Target="https://youtu.be/eBeCR1QwM5g?t=5332" TargetMode="External"/><Relationship Id="rId274" Type="http://schemas.openxmlformats.org/officeDocument/2006/relationships/hyperlink" Target="https://youtu.be/TC3Z_2hqlvg?t=5293" TargetMode="External"/><Relationship Id="rId152" Type="http://schemas.openxmlformats.org/officeDocument/2006/relationships/hyperlink" Target="https://youtu.be/UdNjfFHT9OQ?t=4340" TargetMode="External"/><Relationship Id="rId273" Type="http://schemas.openxmlformats.org/officeDocument/2006/relationships/hyperlink" Target="https://youtu.be/h62qf5n_mfs?t=5292" TargetMode="External"/><Relationship Id="rId151" Type="http://schemas.openxmlformats.org/officeDocument/2006/relationships/hyperlink" Target="https://youtu.be/eBeCR1QwM5g?t=4433" TargetMode="External"/><Relationship Id="rId272" Type="http://schemas.openxmlformats.org/officeDocument/2006/relationships/hyperlink" Target="https://youtu.be/TC3Z_2hqlvg?t=4414" TargetMode="External"/><Relationship Id="rId158" Type="http://schemas.openxmlformats.org/officeDocument/2006/relationships/hyperlink" Target="https://youtu.be/UdNjfFHT9OQ?t=7021" TargetMode="External"/><Relationship Id="rId279" Type="http://schemas.openxmlformats.org/officeDocument/2006/relationships/hyperlink" Target="https://youtu.be/h62qf5n_mfs?t=7942" TargetMode="External"/><Relationship Id="rId157" Type="http://schemas.openxmlformats.org/officeDocument/2006/relationships/hyperlink" Target="https://youtu.be/eBeCR1QwM5g?t=7077" TargetMode="External"/><Relationship Id="rId278" Type="http://schemas.openxmlformats.org/officeDocument/2006/relationships/hyperlink" Target="https://youtu.be/TC3Z_2hqlvg?t=7085" TargetMode="External"/><Relationship Id="rId156" Type="http://schemas.openxmlformats.org/officeDocument/2006/relationships/hyperlink" Target="https://youtu.be/UdNjfFHT9OQ?t=6121" TargetMode="External"/><Relationship Id="rId277" Type="http://schemas.openxmlformats.org/officeDocument/2006/relationships/hyperlink" Target="https://youtu.be/h62qf5n_mfs?t=7099" TargetMode="External"/><Relationship Id="rId155" Type="http://schemas.openxmlformats.org/officeDocument/2006/relationships/hyperlink" Target="https://youtu.be/eBeCR1QwM5g?t=6194" TargetMode="External"/><Relationship Id="rId276" Type="http://schemas.openxmlformats.org/officeDocument/2006/relationships/hyperlink" Target="https://youtu.be/TC3Z_2hqlvg?t=6238" TargetMode="External"/><Relationship Id="rId107" Type="http://schemas.openxmlformats.org/officeDocument/2006/relationships/hyperlink" Target="https://youtu.be/VAWPtV0pCpE?t=2668" TargetMode="External"/><Relationship Id="rId228" Type="http://schemas.openxmlformats.org/officeDocument/2006/relationships/hyperlink" Target="https://youtu.be/GV2iu0C03IA?t=2650" TargetMode="External"/><Relationship Id="rId349" Type="http://schemas.openxmlformats.org/officeDocument/2006/relationships/hyperlink" Target="https://youtu.be/2_CftQqujEw?t=3487" TargetMode="External"/><Relationship Id="rId106" Type="http://schemas.openxmlformats.org/officeDocument/2006/relationships/hyperlink" Target="https://youtu.be/g8UUyv-XR8g?t=1891" TargetMode="External"/><Relationship Id="rId227" Type="http://schemas.openxmlformats.org/officeDocument/2006/relationships/hyperlink" Target="https://youtu.be/LVrf8bo2RB8?t=2659" TargetMode="External"/><Relationship Id="rId348" Type="http://schemas.openxmlformats.org/officeDocument/2006/relationships/hyperlink" Target="https://youtu.be/RyJKq03UYUI?t=3540" TargetMode="External"/><Relationship Id="rId105" Type="http://schemas.openxmlformats.org/officeDocument/2006/relationships/hyperlink" Target="https://youtu.be/VAWPtV0pCpE?t=1854" TargetMode="External"/><Relationship Id="rId226" Type="http://schemas.openxmlformats.org/officeDocument/2006/relationships/hyperlink" Target="https://youtu.be/GV2iu0C03IA?t=1782" TargetMode="External"/><Relationship Id="rId347" Type="http://schemas.openxmlformats.org/officeDocument/2006/relationships/hyperlink" Target="https://youtu.be/2_CftQqujEw?t=2643" TargetMode="External"/><Relationship Id="rId104" Type="http://schemas.openxmlformats.org/officeDocument/2006/relationships/hyperlink" Target="https://youtu.be/g8UUyv-XR8g?t=1008" TargetMode="External"/><Relationship Id="rId225" Type="http://schemas.openxmlformats.org/officeDocument/2006/relationships/hyperlink" Target="https://youtu.be/LVrf8bo2RB8?t=1756" TargetMode="External"/><Relationship Id="rId346" Type="http://schemas.openxmlformats.org/officeDocument/2006/relationships/hyperlink" Target="https://youtu.be/RyJKq03UYUI?t=2691" TargetMode="External"/><Relationship Id="rId109" Type="http://schemas.openxmlformats.org/officeDocument/2006/relationships/hyperlink" Target="https://youtu.be/VAWPtV0pCpE?t=3528" TargetMode="External"/><Relationship Id="rId108" Type="http://schemas.openxmlformats.org/officeDocument/2006/relationships/hyperlink" Target="https://youtu.be/g8UUyv-XR8g?t=2731" TargetMode="External"/><Relationship Id="rId229" Type="http://schemas.openxmlformats.org/officeDocument/2006/relationships/hyperlink" Target="https://youtu.be/LVrf8bo2RB8?t=3529" TargetMode="External"/><Relationship Id="rId220" Type="http://schemas.openxmlformats.org/officeDocument/2006/relationships/hyperlink" Target="https://youtu.be/KJ0aUCSq-uY?t=7700" TargetMode="External"/><Relationship Id="rId341" Type="http://schemas.openxmlformats.org/officeDocument/2006/relationships/hyperlink" Target="https://youtu.be/2_CftQqujEw" TargetMode="External"/><Relationship Id="rId340" Type="http://schemas.openxmlformats.org/officeDocument/2006/relationships/hyperlink" Target="https://youtu.be/RyJKq03UYUI" TargetMode="External"/><Relationship Id="rId103" Type="http://schemas.openxmlformats.org/officeDocument/2006/relationships/hyperlink" Target="https://youtu.be/VAWPtV0pCpE?t=985" TargetMode="External"/><Relationship Id="rId224" Type="http://schemas.openxmlformats.org/officeDocument/2006/relationships/hyperlink" Target="https://youtu.be/GV2iu0C03IA?t=863" TargetMode="External"/><Relationship Id="rId345" Type="http://schemas.openxmlformats.org/officeDocument/2006/relationships/hyperlink" Target="https://youtu.be/2_CftQqujEw?t=1738" TargetMode="External"/><Relationship Id="rId102" Type="http://schemas.openxmlformats.org/officeDocument/2006/relationships/hyperlink" Target="https://youtu.be/g8UUyv-XR8g" TargetMode="External"/><Relationship Id="rId223" Type="http://schemas.openxmlformats.org/officeDocument/2006/relationships/hyperlink" Target="https://youtu.be/LVrf8bo2RB8?t=911" TargetMode="External"/><Relationship Id="rId344" Type="http://schemas.openxmlformats.org/officeDocument/2006/relationships/hyperlink" Target="https://youtu.be/RyJKq03UYUI?t=1797" TargetMode="External"/><Relationship Id="rId101" Type="http://schemas.openxmlformats.org/officeDocument/2006/relationships/hyperlink" Target="https://youtu.be/VAWPtV0pCpE" TargetMode="External"/><Relationship Id="rId222" Type="http://schemas.openxmlformats.org/officeDocument/2006/relationships/hyperlink" Target="https://youtu.be/GV2iu0C03IA" TargetMode="External"/><Relationship Id="rId343" Type="http://schemas.openxmlformats.org/officeDocument/2006/relationships/hyperlink" Target="https://youtu.be/2_CftQqujEw?t=853" TargetMode="External"/><Relationship Id="rId100" Type="http://schemas.openxmlformats.org/officeDocument/2006/relationships/hyperlink" Target="https://youtu.be/49jADWNwLLo?t=8261" TargetMode="External"/><Relationship Id="rId221" Type="http://schemas.openxmlformats.org/officeDocument/2006/relationships/hyperlink" Target="https://youtu.be/LVrf8bo2RB8" TargetMode="External"/><Relationship Id="rId342" Type="http://schemas.openxmlformats.org/officeDocument/2006/relationships/hyperlink" Target="https://youtu.be/RyJKq03UYUI?t=891" TargetMode="External"/><Relationship Id="rId217" Type="http://schemas.openxmlformats.org/officeDocument/2006/relationships/hyperlink" Target="https://youtu.be/s-eD0cD_KM8?t=7052" TargetMode="External"/><Relationship Id="rId338" Type="http://schemas.openxmlformats.org/officeDocument/2006/relationships/hyperlink" Target="https://youtu.be/Vcs29pQc9Hk?t=7963" TargetMode="External"/><Relationship Id="rId216" Type="http://schemas.openxmlformats.org/officeDocument/2006/relationships/hyperlink" Target="https://youtu.be/KJ0aUCSq-uY?t=5935" TargetMode="External"/><Relationship Id="rId337" Type="http://schemas.openxmlformats.org/officeDocument/2006/relationships/hyperlink" Target="https://youtu.be/fj2Fy1YzwIU?t=7144" TargetMode="External"/><Relationship Id="rId215" Type="http://schemas.openxmlformats.org/officeDocument/2006/relationships/hyperlink" Target="https://youtu.be/s-eD0cD_KM8?t=6222" TargetMode="External"/><Relationship Id="rId336" Type="http://schemas.openxmlformats.org/officeDocument/2006/relationships/hyperlink" Target="https://youtu.be/Vcs29pQc9Hk?t=7072" TargetMode="External"/><Relationship Id="rId214" Type="http://schemas.openxmlformats.org/officeDocument/2006/relationships/hyperlink" Target="https://youtu.be/KJ0aUCSq-uY?t=5081" TargetMode="External"/><Relationship Id="rId335" Type="http://schemas.openxmlformats.org/officeDocument/2006/relationships/hyperlink" Target="https://youtu.be/fj2Fy1YzwIU?t=6244" TargetMode="External"/><Relationship Id="rId219" Type="http://schemas.openxmlformats.org/officeDocument/2006/relationships/hyperlink" Target="https://youtu.be/s-eD0cD_KM8?t=7846" TargetMode="External"/><Relationship Id="rId218" Type="http://schemas.openxmlformats.org/officeDocument/2006/relationships/hyperlink" Target="https://youtu.be/KJ0aUCSq-uY?t=6804" TargetMode="External"/><Relationship Id="rId339" Type="http://schemas.openxmlformats.org/officeDocument/2006/relationships/hyperlink" Target="https://youtu.be/fj2Fy1YzwIU?t=8045" TargetMode="External"/><Relationship Id="rId330" Type="http://schemas.openxmlformats.org/officeDocument/2006/relationships/hyperlink" Target="https://youtu.be/Vcs29pQc9Hk?t=4425" TargetMode="External"/><Relationship Id="rId213" Type="http://schemas.openxmlformats.org/officeDocument/2006/relationships/hyperlink" Target="https://youtu.be/s-eD0cD_KM8?t=5329" TargetMode="External"/><Relationship Id="rId334" Type="http://schemas.openxmlformats.org/officeDocument/2006/relationships/hyperlink" Target="https://youtu.be/Vcs29pQc9Hk?t=6206" TargetMode="External"/><Relationship Id="rId212" Type="http://schemas.openxmlformats.org/officeDocument/2006/relationships/hyperlink" Target="https://youtu.be/KJ0aUCSq-uY?t=4234" TargetMode="External"/><Relationship Id="rId333" Type="http://schemas.openxmlformats.org/officeDocument/2006/relationships/hyperlink" Target="https://youtu.be/fj2Fy1YzwIU?t=5405" TargetMode="External"/><Relationship Id="rId211" Type="http://schemas.openxmlformats.org/officeDocument/2006/relationships/hyperlink" Target="https://youtu.be/s-eD0cD_KM8?t=4448" TargetMode="External"/><Relationship Id="rId332" Type="http://schemas.openxmlformats.org/officeDocument/2006/relationships/hyperlink" Target="https://youtu.be/Vcs29pQc9Hk?t=5324" TargetMode="External"/><Relationship Id="rId210" Type="http://schemas.openxmlformats.org/officeDocument/2006/relationships/hyperlink" Target="https://youtu.be/KJ0aUCSq-uY?t=3404" TargetMode="External"/><Relationship Id="rId331" Type="http://schemas.openxmlformats.org/officeDocument/2006/relationships/hyperlink" Target="https://youtu.be/fj2Fy1YzwIU?t=4505" TargetMode="External"/><Relationship Id="rId129" Type="http://schemas.openxmlformats.org/officeDocument/2006/relationships/hyperlink" Target="https://youtu.be/rXsF90BvnG0?t=3493" TargetMode="External"/><Relationship Id="rId128" Type="http://schemas.openxmlformats.org/officeDocument/2006/relationships/hyperlink" Target="https://youtu.be/etWTXwKRa88?t=2547" TargetMode="External"/><Relationship Id="rId249" Type="http://schemas.openxmlformats.org/officeDocument/2006/relationships/hyperlink" Target="https://youtu.be/V2AGiIx0RAs?t=3825" TargetMode="External"/><Relationship Id="rId127" Type="http://schemas.openxmlformats.org/officeDocument/2006/relationships/hyperlink" Target="https://youtu.be/rXsF90BvnG0?t=2593" TargetMode="External"/><Relationship Id="rId248" Type="http://schemas.openxmlformats.org/officeDocument/2006/relationships/hyperlink" Target="https://youtu.be/LkbCQkxbeS0?t=2853" TargetMode="External"/><Relationship Id="rId126" Type="http://schemas.openxmlformats.org/officeDocument/2006/relationships/hyperlink" Target="https://youtu.be/etWTXwKRa88?t=1705" TargetMode="External"/><Relationship Id="rId247" Type="http://schemas.openxmlformats.org/officeDocument/2006/relationships/hyperlink" Target="https://youtu.be/V2AGiIx0RAs?t=2954" TargetMode="External"/><Relationship Id="rId121" Type="http://schemas.openxmlformats.org/officeDocument/2006/relationships/hyperlink" Target="https://youtu.be/rXsF90BvnG0" TargetMode="External"/><Relationship Id="rId242" Type="http://schemas.openxmlformats.org/officeDocument/2006/relationships/hyperlink" Target="https://youtu.be/LkbCQkxbeS0" TargetMode="External"/><Relationship Id="rId120" Type="http://schemas.openxmlformats.org/officeDocument/2006/relationships/hyperlink" Target="https://youtu.be/g8UUyv-XR8g?t=8055" TargetMode="External"/><Relationship Id="rId241" Type="http://schemas.openxmlformats.org/officeDocument/2006/relationships/hyperlink" Target="https://youtu.be/V2AGiIx0RAs" TargetMode="External"/><Relationship Id="rId240" Type="http://schemas.openxmlformats.org/officeDocument/2006/relationships/hyperlink" Target="https://youtu.be/GV2iu0C03IA?t=7931" TargetMode="External"/><Relationship Id="rId360" Type="http://schemas.openxmlformats.org/officeDocument/2006/relationships/drawing" Target="../drawings/drawing10.xml"/><Relationship Id="rId125" Type="http://schemas.openxmlformats.org/officeDocument/2006/relationships/hyperlink" Target="https://youtu.be/rXsF90BvnG0?t=1775" TargetMode="External"/><Relationship Id="rId246" Type="http://schemas.openxmlformats.org/officeDocument/2006/relationships/hyperlink" Target="https://youtu.be/LkbCQkxbeS0?t=2025" TargetMode="External"/><Relationship Id="rId124" Type="http://schemas.openxmlformats.org/officeDocument/2006/relationships/hyperlink" Target="https://youtu.be/etWTXwKRa88?t=861" TargetMode="External"/><Relationship Id="rId245" Type="http://schemas.openxmlformats.org/officeDocument/2006/relationships/hyperlink" Target="https://youtu.be/V2AGiIx0RAs?t=2120" TargetMode="External"/><Relationship Id="rId123" Type="http://schemas.openxmlformats.org/officeDocument/2006/relationships/hyperlink" Target="https://youtu.be/rXsF90BvnG0?t=936" TargetMode="External"/><Relationship Id="rId244" Type="http://schemas.openxmlformats.org/officeDocument/2006/relationships/hyperlink" Target="https://youtu.be/LkbCQkxbeS0?t=1104" TargetMode="External"/><Relationship Id="rId122" Type="http://schemas.openxmlformats.org/officeDocument/2006/relationships/hyperlink" Target="https://youtu.be/etWTXwKRa88" TargetMode="External"/><Relationship Id="rId243" Type="http://schemas.openxmlformats.org/officeDocument/2006/relationships/hyperlink" Target="https://youtu.be/V2AGiIx0RAs?t=1319" TargetMode="External"/><Relationship Id="rId95" Type="http://schemas.openxmlformats.org/officeDocument/2006/relationships/hyperlink" Target="https://youtu.be/Va8c6qHMFPI?t=6921" TargetMode="External"/><Relationship Id="rId94" Type="http://schemas.openxmlformats.org/officeDocument/2006/relationships/hyperlink" Target="https://youtu.be/49jADWNwLLo?t=5554" TargetMode="External"/><Relationship Id="rId97" Type="http://schemas.openxmlformats.org/officeDocument/2006/relationships/hyperlink" Target="https://youtu.be/Va8c6qHMFPI?t=7739" TargetMode="External"/><Relationship Id="rId96" Type="http://schemas.openxmlformats.org/officeDocument/2006/relationships/hyperlink" Target="https://youtu.be/49jADWNwLLo?t=6438" TargetMode="External"/><Relationship Id="rId99" Type="http://schemas.openxmlformats.org/officeDocument/2006/relationships/hyperlink" Target="https://youtu.be/Va8c6qHMFPI?t=8572" TargetMode="External"/><Relationship Id="rId98" Type="http://schemas.openxmlformats.org/officeDocument/2006/relationships/hyperlink" Target="https://youtu.be/49jADWNwLLo?t=7401" TargetMode="External"/><Relationship Id="rId91" Type="http://schemas.openxmlformats.org/officeDocument/2006/relationships/hyperlink" Target="https://youtu.be/Va8c6qHMFPI?t=5106" TargetMode="External"/><Relationship Id="rId90" Type="http://schemas.openxmlformats.org/officeDocument/2006/relationships/hyperlink" Target="https://youtu.be/49jADWNwLLo?t=3766" TargetMode="External"/><Relationship Id="rId93" Type="http://schemas.openxmlformats.org/officeDocument/2006/relationships/hyperlink" Target="https://youtu.be/Va8c6qHMFPI?t=6104" TargetMode="External"/><Relationship Id="rId92" Type="http://schemas.openxmlformats.org/officeDocument/2006/relationships/hyperlink" Target="https://youtu.be/49jADWNwLLo?t=4682" TargetMode="External"/><Relationship Id="rId118" Type="http://schemas.openxmlformats.org/officeDocument/2006/relationships/hyperlink" Target="https://youtu.be/g8UUyv-XR8g?t=7159" TargetMode="External"/><Relationship Id="rId239" Type="http://schemas.openxmlformats.org/officeDocument/2006/relationships/hyperlink" Target="https://youtu.be/LVrf8bo2RB8?t=7064" TargetMode="External"/><Relationship Id="rId117" Type="http://schemas.openxmlformats.org/officeDocument/2006/relationships/hyperlink" Target="https://youtu.be/VAWPtV0pCpE?t=7214" TargetMode="External"/><Relationship Id="rId238" Type="http://schemas.openxmlformats.org/officeDocument/2006/relationships/hyperlink" Target="https://youtu.be/GV2iu0C03IA?t=7028" TargetMode="External"/><Relationship Id="rId359" Type="http://schemas.openxmlformats.org/officeDocument/2006/relationships/hyperlink" Target="https://youtu.be/2_CftQqujEw?t=7921" TargetMode="External"/><Relationship Id="rId116" Type="http://schemas.openxmlformats.org/officeDocument/2006/relationships/hyperlink" Target="https://youtu.be/g8UUyv-XR8g?t=6270" TargetMode="External"/><Relationship Id="rId237" Type="http://schemas.openxmlformats.org/officeDocument/2006/relationships/hyperlink" Target="https://youtu.be/LVrf8bo2RB8?t=6189" TargetMode="External"/><Relationship Id="rId358" Type="http://schemas.openxmlformats.org/officeDocument/2006/relationships/hyperlink" Target="https://youtu.be/RyJKq03UYUI?t=7970" TargetMode="External"/><Relationship Id="rId115" Type="http://schemas.openxmlformats.org/officeDocument/2006/relationships/hyperlink" Target="https://youtu.be/VAWPtV0pCpE?t=6229" TargetMode="External"/><Relationship Id="rId236" Type="http://schemas.openxmlformats.org/officeDocument/2006/relationships/hyperlink" Target="https://youtu.be/GV2iu0C03IA?t=6158" TargetMode="External"/><Relationship Id="rId357" Type="http://schemas.openxmlformats.org/officeDocument/2006/relationships/hyperlink" Target="https://youtu.be/2_CftQqujEw?t=7021" TargetMode="External"/><Relationship Id="rId119" Type="http://schemas.openxmlformats.org/officeDocument/2006/relationships/hyperlink" Target="https://youtu.be/VAWPtV0pCpE?t=8056" TargetMode="External"/><Relationship Id="rId110" Type="http://schemas.openxmlformats.org/officeDocument/2006/relationships/hyperlink" Target="https://youtu.be/g8UUyv-XR8g?t=3576" TargetMode="External"/><Relationship Id="rId231" Type="http://schemas.openxmlformats.org/officeDocument/2006/relationships/hyperlink" Target="https://youtu.be/LVrf8bo2RB8?t=4420" TargetMode="External"/><Relationship Id="rId352" Type="http://schemas.openxmlformats.org/officeDocument/2006/relationships/hyperlink" Target="https://youtu.be/RyJKq03UYUI?t=5330" TargetMode="External"/><Relationship Id="rId230" Type="http://schemas.openxmlformats.org/officeDocument/2006/relationships/hyperlink" Target="https://youtu.be/GV2iu0C03IA?t=3510" TargetMode="External"/><Relationship Id="rId351" Type="http://schemas.openxmlformats.org/officeDocument/2006/relationships/hyperlink" Target="https://youtu.be/2_CftQqujEw?t=4392" TargetMode="External"/><Relationship Id="rId350" Type="http://schemas.openxmlformats.org/officeDocument/2006/relationships/hyperlink" Target="https://youtu.be/RyJKq03UYUI?t=4411" TargetMode="External"/><Relationship Id="rId114" Type="http://schemas.openxmlformats.org/officeDocument/2006/relationships/hyperlink" Target="https://youtu.be/g8UUyv-XR8g?t=5418" TargetMode="External"/><Relationship Id="rId235" Type="http://schemas.openxmlformats.org/officeDocument/2006/relationships/hyperlink" Target="https://youtu.be/LVrf8bo2RB8?t=6189" TargetMode="External"/><Relationship Id="rId356" Type="http://schemas.openxmlformats.org/officeDocument/2006/relationships/hyperlink" Target="https://youtu.be/RyJKq03UYUI?t=7074" TargetMode="External"/><Relationship Id="rId113" Type="http://schemas.openxmlformats.org/officeDocument/2006/relationships/hyperlink" Target="https://youtu.be/VAWPtV0pCpE?t=5385" TargetMode="External"/><Relationship Id="rId234" Type="http://schemas.openxmlformats.org/officeDocument/2006/relationships/hyperlink" Target="https://youtu.be/GV2iu0C03IA?t=5300" TargetMode="External"/><Relationship Id="rId355" Type="http://schemas.openxmlformats.org/officeDocument/2006/relationships/hyperlink" Target="https://youtu.be/2_CftQqujEw?t=6117" TargetMode="External"/><Relationship Id="rId112" Type="http://schemas.openxmlformats.org/officeDocument/2006/relationships/hyperlink" Target="https://youtu.be/g8UUyv-XR8g?t=4466" TargetMode="External"/><Relationship Id="rId233" Type="http://schemas.openxmlformats.org/officeDocument/2006/relationships/hyperlink" Target="https://youtu.be/LVrf8bo2RB8?t=5296" TargetMode="External"/><Relationship Id="rId354" Type="http://schemas.openxmlformats.org/officeDocument/2006/relationships/hyperlink" Target="https://youtu.be/RyJKq03UYUI?t=6187" TargetMode="External"/><Relationship Id="rId111" Type="http://schemas.openxmlformats.org/officeDocument/2006/relationships/hyperlink" Target="https://youtu.be/VAWPtV0pCpE?t=4457" TargetMode="External"/><Relationship Id="rId232" Type="http://schemas.openxmlformats.org/officeDocument/2006/relationships/hyperlink" Target="https://youtu.be/GV2iu0C03IA?t=4394" TargetMode="External"/><Relationship Id="rId353" Type="http://schemas.openxmlformats.org/officeDocument/2006/relationships/hyperlink" Target="https://youtu.be/2_CftQqujEw?t=5278" TargetMode="External"/><Relationship Id="rId305" Type="http://schemas.openxmlformats.org/officeDocument/2006/relationships/hyperlink" Target="https://youtu.be/L-f_wSqmdJ4?t=1751" TargetMode="External"/><Relationship Id="rId304" Type="http://schemas.openxmlformats.org/officeDocument/2006/relationships/hyperlink" Target="https://youtu.be/bSIewJCxvoI?t=1809" TargetMode="External"/><Relationship Id="rId303" Type="http://schemas.openxmlformats.org/officeDocument/2006/relationships/hyperlink" Target="https://youtu.be/L-f_wSqmdJ4?t=875" TargetMode="External"/><Relationship Id="rId302" Type="http://schemas.openxmlformats.org/officeDocument/2006/relationships/hyperlink" Target="https://youtu.be/bSIewJCxvoI?t=935" TargetMode="External"/><Relationship Id="rId309" Type="http://schemas.openxmlformats.org/officeDocument/2006/relationships/hyperlink" Target="https://youtu.be/L-f_wSqmdJ4?t=3529" TargetMode="External"/><Relationship Id="rId308" Type="http://schemas.openxmlformats.org/officeDocument/2006/relationships/hyperlink" Target="https://youtu.be/bSIewJCxvoI?t=3547" TargetMode="External"/><Relationship Id="rId307" Type="http://schemas.openxmlformats.org/officeDocument/2006/relationships/hyperlink" Target="https://youtu.be/L-f_wSqmdJ4?t=2656" TargetMode="External"/><Relationship Id="rId306" Type="http://schemas.openxmlformats.org/officeDocument/2006/relationships/hyperlink" Target="https://youtu.be/bSIewJCxvoI?t=2706" TargetMode="External"/><Relationship Id="rId301" Type="http://schemas.openxmlformats.org/officeDocument/2006/relationships/hyperlink" Target="https://youtu.be/L-f_wSqmdJ4" TargetMode="External"/><Relationship Id="rId300" Type="http://schemas.openxmlformats.org/officeDocument/2006/relationships/hyperlink" Target="https://youtu.be/bSIewJCxvoI" TargetMode="External"/><Relationship Id="rId206" Type="http://schemas.openxmlformats.org/officeDocument/2006/relationships/hyperlink" Target="https://youtu.be/KJ0aUCSq-uY?t=1722" TargetMode="External"/><Relationship Id="rId327" Type="http://schemas.openxmlformats.org/officeDocument/2006/relationships/hyperlink" Target="https://youtu.be/fj2Fy1YzwIU?t=2758" TargetMode="External"/><Relationship Id="rId205" Type="http://schemas.openxmlformats.org/officeDocument/2006/relationships/hyperlink" Target="https://youtu.be/s-eD0cD_KM8?t=1966" TargetMode="External"/><Relationship Id="rId326" Type="http://schemas.openxmlformats.org/officeDocument/2006/relationships/hyperlink" Target="https://youtu.be/Vcs29pQc9Hk?t=2721" TargetMode="External"/><Relationship Id="rId204" Type="http://schemas.openxmlformats.org/officeDocument/2006/relationships/hyperlink" Target="https://youtu.be/KJ0aUCSq-uY?t=884" TargetMode="External"/><Relationship Id="rId325" Type="http://schemas.openxmlformats.org/officeDocument/2006/relationships/hyperlink" Target="https://youtu.be/fj2Fy1YzwIU?t=1864" TargetMode="External"/><Relationship Id="rId203" Type="http://schemas.openxmlformats.org/officeDocument/2006/relationships/hyperlink" Target="https://youtu.be/s-eD0cD_KM8?t=1027" TargetMode="External"/><Relationship Id="rId324" Type="http://schemas.openxmlformats.org/officeDocument/2006/relationships/hyperlink" Target="https://youtu.be/Vcs29pQc9Hk?t=1788" TargetMode="External"/><Relationship Id="rId209" Type="http://schemas.openxmlformats.org/officeDocument/2006/relationships/hyperlink" Target="https://youtu.be/s-eD0cD_KM8?t=3624" TargetMode="External"/><Relationship Id="rId208" Type="http://schemas.openxmlformats.org/officeDocument/2006/relationships/hyperlink" Target="https://youtu.be/KJ0aUCSq-uY?t=2566" TargetMode="External"/><Relationship Id="rId329" Type="http://schemas.openxmlformats.org/officeDocument/2006/relationships/hyperlink" Target="https://youtu.be/fj2Fy1YzwIU?t=3604" TargetMode="External"/><Relationship Id="rId207" Type="http://schemas.openxmlformats.org/officeDocument/2006/relationships/hyperlink" Target="https://youtu.be/s-eD0cD_KM8?t=2777" TargetMode="External"/><Relationship Id="rId328" Type="http://schemas.openxmlformats.org/officeDocument/2006/relationships/hyperlink" Target="https://youtu.be/Vcs29pQc9Hk?t=3539" TargetMode="External"/><Relationship Id="rId202" Type="http://schemas.openxmlformats.org/officeDocument/2006/relationships/hyperlink" Target="https://youtu.be/KJ0aUCSq-uY" TargetMode="External"/><Relationship Id="rId323" Type="http://schemas.openxmlformats.org/officeDocument/2006/relationships/hyperlink" Target="https://youtu.be/fj2Fy1YzwIU?t=966" TargetMode="External"/><Relationship Id="rId201" Type="http://schemas.openxmlformats.org/officeDocument/2006/relationships/hyperlink" Target="https://youtu.be/s-eD0cD_KM8" TargetMode="External"/><Relationship Id="rId322" Type="http://schemas.openxmlformats.org/officeDocument/2006/relationships/hyperlink" Target="https://youtu.be/Vcs29pQc9Hk?t=910" TargetMode="External"/><Relationship Id="rId200" Type="http://schemas.openxmlformats.org/officeDocument/2006/relationships/hyperlink" Target="https://youtu.be/VopcevnmOGE?t=7948" TargetMode="External"/><Relationship Id="rId321" Type="http://schemas.openxmlformats.org/officeDocument/2006/relationships/hyperlink" Target="https://youtu.be/fj2Fy1YzwIU" TargetMode="External"/><Relationship Id="rId320" Type="http://schemas.openxmlformats.org/officeDocument/2006/relationships/hyperlink" Target="https://youtu.be/Vcs29pQc9Hk" TargetMode="External"/><Relationship Id="rId316" Type="http://schemas.openxmlformats.org/officeDocument/2006/relationships/hyperlink" Target="https://youtu.be/bSIewJCxvoI?t=7086" TargetMode="External"/><Relationship Id="rId315" Type="http://schemas.openxmlformats.org/officeDocument/2006/relationships/hyperlink" Target="https://youtu.be/L-f_wSqmdJ4?t=6132" TargetMode="External"/><Relationship Id="rId314" Type="http://schemas.openxmlformats.org/officeDocument/2006/relationships/hyperlink" Target="https://youtu.be/bSIewJCxvoI?t=6203" TargetMode="External"/><Relationship Id="rId313" Type="http://schemas.openxmlformats.org/officeDocument/2006/relationships/hyperlink" Target="https://youtu.be/L-f_wSqmdJ4?t=5297" TargetMode="External"/><Relationship Id="rId319" Type="http://schemas.openxmlformats.org/officeDocument/2006/relationships/hyperlink" Target="https://youtu.be/L-f_wSqmdJ4?t=7957" TargetMode="External"/><Relationship Id="rId318" Type="http://schemas.openxmlformats.org/officeDocument/2006/relationships/hyperlink" Target="https://youtu.be/bSIewJCxvoI?t=7987" TargetMode="External"/><Relationship Id="rId317" Type="http://schemas.openxmlformats.org/officeDocument/2006/relationships/hyperlink" Target="https://youtu.be/L-f_wSqmdJ4?t=7043" TargetMode="External"/><Relationship Id="rId312" Type="http://schemas.openxmlformats.org/officeDocument/2006/relationships/hyperlink" Target="https://youtu.be/bSIewJCxvoI?t=5348" TargetMode="External"/><Relationship Id="rId311" Type="http://schemas.openxmlformats.org/officeDocument/2006/relationships/hyperlink" Target="https://youtu.be/L-f_wSqmdJ4?t=4403" TargetMode="External"/><Relationship Id="rId310" Type="http://schemas.openxmlformats.org/officeDocument/2006/relationships/hyperlink" Target="https://youtu.be/bSIewJCxvoI?t=4447" TargetMode="External"/></Relationships>
</file>

<file path=xl/worksheets/_rels/sheet1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36_A9yEwx0?t=7740" TargetMode="External"/><Relationship Id="rId190" Type="http://schemas.openxmlformats.org/officeDocument/2006/relationships/hyperlink" Target="https://youtu.be/BMSpogyNlpw?t=3505" TargetMode="External"/><Relationship Id="rId42" Type="http://schemas.openxmlformats.org/officeDocument/2006/relationships/hyperlink" Target="https://youtu.be/Z4a5G3onBc8" TargetMode="External"/><Relationship Id="rId41" Type="http://schemas.openxmlformats.org/officeDocument/2006/relationships/hyperlink" Target="https://youtu.be/rWbGpksZBgQ" TargetMode="External"/><Relationship Id="rId44" Type="http://schemas.openxmlformats.org/officeDocument/2006/relationships/hyperlink" Target="https://youtu.be/Z4a5G3onBc8?t=942" TargetMode="External"/><Relationship Id="rId194" Type="http://schemas.openxmlformats.org/officeDocument/2006/relationships/hyperlink" Target="https://youtu.be/BMSpogyNlpw?t=5273" TargetMode="External"/><Relationship Id="rId43" Type="http://schemas.openxmlformats.org/officeDocument/2006/relationships/hyperlink" Target="https://youtu.be/rWbGpksZBgQ?t=966" TargetMode="External"/><Relationship Id="rId193" Type="http://schemas.openxmlformats.org/officeDocument/2006/relationships/hyperlink" Target="https://youtu.be/o6ZQlp1Ubn8?t=5371" TargetMode="External"/><Relationship Id="rId46" Type="http://schemas.openxmlformats.org/officeDocument/2006/relationships/hyperlink" Target="https://youtu.be/Z4a5G3onBc8?t=1842" TargetMode="External"/><Relationship Id="rId192" Type="http://schemas.openxmlformats.org/officeDocument/2006/relationships/hyperlink" Target="https://youtu.be/BMSpogyNlpw?t=4405" TargetMode="External"/><Relationship Id="rId45" Type="http://schemas.openxmlformats.org/officeDocument/2006/relationships/hyperlink" Target="https://youtu.be/rWbGpksZBgQ?t=1827" TargetMode="External"/><Relationship Id="rId191" Type="http://schemas.openxmlformats.org/officeDocument/2006/relationships/hyperlink" Target="https://youtu.be/o6ZQlp1Ubn8?t=4479" TargetMode="External"/><Relationship Id="rId48" Type="http://schemas.openxmlformats.org/officeDocument/2006/relationships/hyperlink" Target="https://youtu.be/Z4a5G3onBc8?t=2763" TargetMode="External"/><Relationship Id="rId187" Type="http://schemas.openxmlformats.org/officeDocument/2006/relationships/hyperlink" Target="https://youtu.be/o6ZQlp1Ubn8?t=2725" TargetMode="External"/><Relationship Id="rId47" Type="http://schemas.openxmlformats.org/officeDocument/2006/relationships/hyperlink" Target="https://youtu.be/rWbGpksZBgQ?t=2681" TargetMode="External"/><Relationship Id="rId186" Type="http://schemas.openxmlformats.org/officeDocument/2006/relationships/hyperlink" Target="https://youtu.be/BMSpogyNlpw?t=1738" TargetMode="External"/><Relationship Id="rId185" Type="http://schemas.openxmlformats.org/officeDocument/2006/relationships/hyperlink" Target="https://youtu.be/o6ZQlp1Ubn8?t=1859" TargetMode="External"/><Relationship Id="rId49" Type="http://schemas.openxmlformats.org/officeDocument/2006/relationships/hyperlink" Target="https://youtu.be/rWbGpksZBgQ?t=3513" TargetMode="External"/><Relationship Id="rId184" Type="http://schemas.openxmlformats.org/officeDocument/2006/relationships/hyperlink" Target="https://youtu.be/BMSpogyNlpw?t=879" TargetMode="External"/><Relationship Id="rId189" Type="http://schemas.openxmlformats.org/officeDocument/2006/relationships/hyperlink" Target="https://youtu.be/o6ZQlp1Ubn8?t=3610" TargetMode="External"/><Relationship Id="rId188" Type="http://schemas.openxmlformats.org/officeDocument/2006/relationships/hyperlink" Target="https://youtu.be/BMSpogyNlpw?t=2622" TargetMode="External"/><Relationship Id="rId31" Type="http://schemas.openxmlformats.org/officeDocument/2006/relationships/hyperlink" Target="https://youtu.be/wXW1l53vdyI?t=4405" TargetMode="External"/><Relationship Id="rId30" Type="http://schemas.openxmlformats.org/officeDocument/2006/relationships/hyperlink" Target="https://youtu.be/y36_A9yEwx0?t=3311" TargetMode="External"/><Relationship Id="rId33" Type="http://schemas.openxmlformats.org/officeDocument/2006/relationships/hyperlink" Target="https://youtu.be/wXW1l53vdyI?t=5258" TargetMode="External"/><Relationship Id="rId183" Type="http://schemas.openxmlformats.org/officeDocument/2006/relationships/hyperlink" Target="https://youtu.be/o6ZQlp1Ubn8?t=986" TargetMode="External"/><Relationship Id="rId32" Type="http://schemas.openxmlformats.org/officeDocument/2006/relationships/hyperlink" Target="https://youtu.be/y36_A9yEwx0?t=4204" TargetMode="External"/><Relationship Id="rId182" Type="http://schemas.openxmlformats.org/officeDocument/2006/relationships/hyperlink" Target="https://youtu.be/BMSpogyNlpw" TargetMode="External"/><Relationship Id="rId35" Type="http://schemas.openxmlformats.org/officeDocument/2006/relationships/hyperlink" Target="https://youtu.be/wXW1l53vdyI?t=6150" TargetMode="External"/><Relationship Id="rId181" Type="http://schemas.openxmlformats.org/officeDocument/2006/relationships/hyperlink" Target="https://youtu.be/o6ZQlp1Ubn8?t=90" TargetMode="External"/><Relationship Id="rId34" Type="http://schemas.openxmlformats.org/officeDocument/2006/relationships/hyperlink" Target="https://youtu.be/y36_A9yEwx0?t=5100" TargetMode="External"/><Relationship Id="rId180" Type="http://schemas.openxmlformats.org/officeDocument/2006/relationships/hyperlink" Target="https://youtu.be/3y4aUodHESE?t=8019" TargetMode="External"/><Relationship Id="rId37" Type="http://schemas.openxmlformats.org/officeDocument/2006/relationships/hyperlink" Target="https://youtu.be/wXW1l53vdyI?t=7033" TargetMode="External"/><Relationship Id="rId176" Type="http://schemas.openxmlformats.org/officeDocument/2006/relationships/hyperlink" Target="https://youtu.be/3y4aUodHESE?t=6274" TargetMode="External"/><Relationship Id="rId297" Type="http://schemas.openxmlformats.org/officeDocument/2006/relationships/hyperlink" Target="https://youtu.be/shM-7ewswt4?t=7033" TargetMode="External"/><Relationship Id="rId36" Type="http://schemas.openxmlformats.org/officeDocument/2006/relationships/hyperlink" Target="https://youtu.be/y36_A9yEwx0?t=5967" TargetMode="External"/><Relationship Id="rId175" Type="http://schemas.openxmlformats.org/officeDocument/2006/relationships/hyperlink" Target="https://youtu.be/r47qEdF4f7s?t=6203" TargetMode="External"/><Relationship Id="rId296" Type="http://schemas.openxmlformats.org/officeDocument/2006/relationships/hyperlink" Target="https://youtu.be/QGN0Z44PC-8?t=6274" TargetMode="External"/><Relationship Id="rId39" Type="http://schemas.openxmlformats.org/officeDocument/2006/relationships/hyperlink" Target="https://youtu.be/wXW1l53vdyI?t=7896" TargetMode="External"/><Relationship Id="rId174" Type="http://schemas.openxmlformats.org/officeDocument/2006/relationships/hyperlink" Target="https://youtu.be/3y4aUodHESE?t=5448" TargetMode="External"/><Relationship Id="rId295" Type="http://schemas.openxmlformats.org/officeDocument/2006/relationships/hyperlink" Target="https://youtu.be/shM-7ewswt4?t=6146" TargetMode="External"/><Relationship Id="rId38" Type="http://schemas.openxmlformats.org/officeDocument/2006/relationships/hyperlink" Target="https://youtu.be/y36_A9yEwx0?t=6844" TargetMode="External"/><Relationship Id="rId173" Type="http://schemas.openxmlformats.org/officeDocument/2006/relationships/hyperlink" Target="https://youtu.be/r47qEdF4f7s?t=5365" TargetMode="External"/><Relationship Id="rId294" Type="http://schemas.openxmlformats.org/officeDocument/2006/relationships/hyperlink" Target="https://youtu.be/QGN0Z44PC-8?t=5434" TargetMode="External"/><Relationship Id="rId179" Type="http://schemas.openxmlformats.org/officeDocument/2006/relationships/hyperlink" Target="https://youtu.be/r47qEdF4f7s?t=7997" TargetMode="External"/><Relationship Id="rId178" Type="http://schemas.openxmlformats.org/officeDocument/2006/relationships/hyperlink" Target="https://youtu.be/3y4aUodHESE?t=7175" TargetMode="External"/><Relationship Id="rId299" Type="http://schemas.openxmlformats.org/officeDocument/2006/relationships/hyperlink" Target="https://youtu.be/shM-7ewswt4?t=7933" TargetMode="External"/><Relationship Id="rId177" Type="http://schemas.openxmlformats.org/officeDocument/2006/relationships/hyperlink" Target="https://youtu.be/r47qEdF4f7s?t=7104" TargetMode="External"/><Relationship Id="rId298" Type="http://schemas.openxmlformats.org/officeDocument/2006/relationships/hyperlink" Target="https://youtu.be/QGN0Z44PC-8?t=7234" TargetMode="External"/><Relationship Id="rId20" Type="http://schemas.openxmlformats.org/officeDocument/2006/relationships/hyperlink" Target="https://youtu.be/5vHlpt120Yc?t=8022" TargetMode="External"/><Relationship Id="rId22" Type="http://schemas.openxmlformats.org/officeDocument/2006/relationships/hyperlink" Target="https://youtu.be/y36_A9yEwx0" TargetMode="External"/><Relationship Id="rId21" Type="http://schemas.openxmlformats.org/officeDocument/2006/relationships/hyperlink" Target="https://youtu.be/wXW1l53vdyI" TargetMode="External"/><Relationship Id="rId24" Type="http://schemas.openxmlformats.org/officeDocument/2006/relationships/hyperlink" Target="https://youtu.be/y36_A9yEwx0?t=814" TargetMode="External"/><Relationship Id="rId23" Type="http://schemas.openxmlformats.org/officeDocument/2006/relationships/hyperlink" Target="https://youtu.be/wXW1l53vdyI?t=918" TargetMode="External"/><Relationship Id="rId26" Type="http://schemas.openxmlformats.org/officeDocument/2006/relationships/hyperlink" Target="https://youtu.be/y36_A9yEwx0?t=1610" TargetMode="External"/><Relationship Id="rId25" Type="http://schemas.openxmlformats.org/officeDocument/2006/relationships/hyperlink" Target="https://youtu.be/wXW1l53vdyI?t=1835" TargetMode="External"/><Relationship Id="rId28" Type="http://schemas.openxmlformats.org/officeDocument/2006/relationships/hyperlink" Target="https://youtu.be/y36_A9yEwx0?t=2460" TargetMode="External"/><Relationship Id="rId27" Type="http://schemas.openxmlformats.org/officeDocument/2006/relationships/hyperlink" Target="https://youtu.be/wXW1l53vdyI?t=2673" TargetMode="External"/><Relationship Id="rId29" Type="http://schemas.openxmlformats.org/officeDocument/2006/relationships/hyperlink" Target="https://youtu.be/wXW1l53vdyI?t=3514" TargetMode="External"/><Relationship Id="rId11" Type="http://schemas.openxmlformats.org/officeDocument/2006/relationships/hyperlink" Target="https://youtu.be/SozdkS6WRKs?t=4457" TargetMode="External"/><Relationship Id="rId10" Type="http://schemas.openxmlformats.org/officeDocument/2006/relationships/hyperlink" Target="https://youtu.be/5vHlpt120Yc?t=3588" TargetMode="External"/><Relationship Id="rId13" Type="http://schemas.openxmlformats.org/officeDocument/2006/relationships/hyperlink" Target="https://youtu.be/SozdkS6WRKs?t=5361" TargetMode="External"/><Relationship Id="rId12" Type="http://schemas.openxmlformats.org/officeDocument/2006/relationships/hyperlink" Target="https://youtu.be/5vHlpt120Yc?t=4488" TargetMode="External"/><Relationship Id="rId15" Type="http://schemas.openxmlformats.org/officeDocument/2006/relationships/hyperlink" Target="https://youtu.be/SozdkS6WRKs?t=6210" TargetMode="External"/><Relationship Id="rId198" Type="http://schemas.openxmlformats.org/officeDocument/2006/relationships/hyperlink" Target="https://youtu.be/BMSpogyNlpw?t=7008" TargetMode="External"/><Relationship Id="rId14" Type="http://schemas.openxmlformats.org/officeDocument/2006/relationships/hyperlink" Target="https://youtu.be/5vHlpt120Yc?t=5387" TargetMode="External"/><Relationship Id="rId197" Type="http://schemas.openxmlformats.org/officeDocument/2006/relationships/hyperlink" Target="https://youtu.be/o6ZQlp1Ubn8?t=7115" TargetMode="External"/><Relationship Id="rId17" Type="http://schemas.openxmlformats.org/officeDocument/2006/relationships/hyperlink" Target="https://youtu.be/SozdkS6WRKs?t=7096" TargetMode="External"/><Relationship Id="rId196" Type="http://schemas.openxmlformats.org/officeDocument/2006/relationships/hyperlink" Target="https://youtu.be/BMSpogyNlpw?t=6119" TargetMode="External"/><Relationship Id="rId16" Type="http://schemas.openxmlformats.org/officeDocument/2006/relationships/hyperlink" Target="https://youtu.be/5vHlpt120Yc?t=6227" TargetMode="External"/><Relationship Id="rId195" Type="http://schemas.openxmlformats.org/officeDocument/2006/relationships/hyperlink" Target="https://youtu.be/o6ZQlp1Ubn8?t=6232" TargetMode="External"/><Relationship Id="rId19" Type="http://schemas.openxmlformats.org/officeDocument/2006/relationships/hyperlink" Target="https://youtu.be/SozdkS6WRKs?t=7987" TargetMode="External"/><Relationship Id="rId18" Type="http://schemas.openxmlformats.org/officeDocument/2006/relationships/hyperlink" Target="https://youtu.be/5vHlpt120Yc?t=7128" TargetMode="External"/><Relationship Id="rId199" Type="http://schemas.openxmlformats.org/officeDocument/2006/relationships/hyperlink" Target="https://youtu.be/o6ZQlp1Ubn8?t=8007" TargetMode="External"/><Relationship Id="rId84" Type="http://schemas.openxmlformats.org/officeDocument/2006/relationships/hyperlink" Target="https://youtu.be/87aQCHO1fjM?t=998" TargetMode="External"/><Relationship Id="rId83" Type="http://schemas.openxmlformats.org/officeDocument/2006/relationships/hyperlink" Target="https://youtu.be/7hU2NWiErgE?t=1082" TargetMode="External"/><Relationship Id="rId86" Type="http://schemas.openxmlformats.org/officeDocument/2006/relationships/hyperlink" Target="https://youtu.be/87aQCHO1fjM?t=1886" TargetMode="External"/><Relationship Id="rId85" Type="http://schemas.openxmlformats.org/officeDocument/2006/relationships/hyperlink" Target="https://youtu.be/7hU2NWiErgE?t=1923" TargetMode="External"/><Relationship Id="rId88" Type="http://schemas.openxmlformats.org/officeDocument/2006/relationships/hyperlink" Target="https://youtu.be/87aQCHO1fjM?t=2678" TargetMode="External"/><Relationship Id="rId150" Type="http://schemas.openxmlformats.org/officeDocument/2006/relationships/hyperlink" Target="https://youtu.be/CLmjZWYf8qU?t=3493" TargetMode="External"/><Relationship Id="rId271" Type="http://schemas.openxmlformats.org/officeDocument/2006/relationships/hyperlink" Target="https://youtu.be/J9z6Cc_Slhc?t=4451" TargetMode="External"/><Relationship Id="rId87" Type="http://schemas.openxmlformats.org/officeDocument/2006/relationships/hyperlink" Target="https://youtu.be/7hU2NWiErgE?t=2818" TargetMode="External"/><Relationship Id="rId270" Type="http://schemas.openxmlformats.org/officeDocument/2006/relationships/hyperlink" Target="https://youtu.be/2HBjn7kHTLQ?t=3570" TargetMode="External"/><Relationship Id="rId89" Type="http://schemas.openxmlformats.org/officeDocument/2006/relationships/hyperlink" Target="https://youtu.be/7hU2NWiErgE?t=3644" TargetMode="External"/><Relationship Id="rId80" Type="http://schemas.openxmlformats.org/officeDocument/2006/relationships/hyperlink" Target="https://youtu.be/VapYbw4j2Bs?t=7913" TargetMode="External"/><Relationship Id="rId82" Type="http://schemas.openxmlformats.org/officeDocument/2006/relationships/hyperlink" Target="https://youtu.be/87aQCHO1fjM" TargetMode="External"/><Relationship Id="rId81" Type="http://schemas.openxmlformats.org/officeDocument/2006/relationships/hyperlink" Target="https://youtu.be/7hU2NWiErgE" TargetMode="External"/><Relationship Id="rId1" Type="http://schemas.openxmlformats.org/officeDocument/2006/relationships/hyperlink" Target="https://youtu.be/SozdkS6WRKs" TargetMode="External"/><Relationship Id="rId2" Type="http://schemas.openxmlformats.org/officeDocument/2006/relationships/hyperlink" Target="https://youtu.be/5vHlpt120Yc" TargetMode="External"/><Relationship Id="rId3" Type="http://schemas.openxmlformats.org/officeDocument/2006/relationships/hyperlink" Target="https://youtu.be/SozdkS6WRKs?t=970" TargetMode="External"/><Relationship Id="rId149" Type="http://schemas.openxmlformats.org/officeDocument/2006/relationships/hyperlink" Target="https://youtu.be/_8pY-QDFV4Y?t=3570" TargetMode="External"/><Relationship Id="rId4" Type="http://schemas.openxmlformats.org/officeDocument/2006/relationships/hyperlink" Target="https://youtu.be/5vHlpt120Yc?t=970" TargetMode="External"/><Relationship Id="rId148" Type="http://schemas.openxmlformats.org/officeDocument/2006/relationships/hyperlink" Target="https://youtu.be/CLmjZWYf8qU?t=2650" TargetMode="External"/><Relationship Id="rId269" Type="http://schemas.openxmlformats.org/officeDocument/2006/relationships/hyperlink" Target="https://youtu.be/J9z6Cc_Slhc?t=3563" TargetMode="External"/><Relationship Id="rId9" Type="http://schemas.openxmlformats.org/officeDocument/2006/relationships/hyperlink" Target="https://youtu.be/SozdkS6WRKs?t=3572" TargetMode="External"/><Relationship Id="rId143" Type="http://schemas.openxmlformats.org/officeDocument/2006/relationships/hyperlink" Target="https://youtu.be/_8pY-QDFV4Y?t=913" TargetMode="External"/><Relationship Id="rId264" Type="http://schemas.openxmlformats.org/officeDocument/2006/relationships/hyperlink" Target="https://youtu.be/2HBjn7kHTLQ?t=920" TargetMode="External"/><Relationship Id="rId142" Type="http://schemas.openxmlformats.org/officeDocument/2006/relationships/hyperlink" Target="https://youtu.be/CLmjZWYf8qU" TargetMode="External"/><Relationship Id="rId263" Type="http://schemas.openxmlformats.org/officeDocument/2006/relationships/hyperlink" Target="https://youtu.be/J9z6Cc_Slhc?t=912" TargetMode="External"/><Relationship Id="rId141" Type="http://schemas.openxmlformats.org/officeDocument/2006/relationships/hyperlink" Target="https://youtu.be/_8pY-QDFV4Y" TargetMode="External"/><Relationship Id="rId262" Type="http://schemas.openxmlformats.org/officeDocument/2006/relationships/hyperlink" Target="https://youtu.be/2HBjn7kHTLQ" TargetMode="External"/><Relationship Id="rId140" Type="http://schemas.openxmlformats.org/officeDocument/2006/relationships/hyperlink" Target="https://youtu.be/oubQDgTRxYA?t=8033" TargetMode="External"/><Relationship Id="rId261" Type="http://schemas.openxmlformats.org/officeDocument/2006/relationships/hyperlink" Target="https://youtu.be/J9z6Cc_Slhc" TargetMode="External"/><Relationship Id="rId5" Type="http://schemas.openxmlformats.org/officeDocument/2006/relationships/hyperlink" Target="https://youtu.be/SozdkS6WRKs?t=1821" TargetMode="External"/><Relationship Id="rId147" Type="http://schemas.openxmlformats.org/officeDocument/2006/relationships/hyperlink" Target="https://youtu.be/_8pY-QDFV4Y?t=2716" TargetMode="External"/><Relationship Id="rId268" Type="http://schemas.openxmlformats.org/officeDocument/2006/relationships/hyperlink" Target="https://youtu.be/2HBjn7kHTLQ?t=2704" TargetMode="External"/><Relationship Id="rId6" Type="http://schemas.openxmlformats.org/officeDocument/2006/relationships/hyperlink" Target="https://youtu.be/5vHlpt120Yc?t=1847" TargetMode="External"/><Relationship Id="rId146" Type="http://schemas.openxmlformats.org/officeDocument/2006/relationships/hyperlink" Target="https://youtu.be/CLmjZWYf8qU?t=1707" TargetMode="External"/><Relationship Id="rId267" Type="http://schemas.openxmlformats.org/officeDocument/2006/relationships/hyperlink" Target="https://youtu.be/J9z6Cc_Slhc?t=2714" TargetMode="External"/><Relationship Id="rId7" Type="http://schemas.openxmlformats.org/officeDocument/2006/relationships/hyperlink" Target="https://youtu.be/SozdkS6WRKs?t=2728" TargetMode="External"/><Relationship Id="rId145" Type="http://schemas.openxmlformats.org/officeDocument/2006/relationships/hyperlink" Target="https://youtu.be/_8pY-QDFV4Y?t=1845" TargetMode="External"/><Relationship Id="rId266" Type="http://schemas.openxmlformats.org/officeDocument/2006/relationships/hyperlink" Target="https://youtu.be/2HBjn7kHTLQ?t=1822" TargetMode="External"/><Relationship Id="rId8" Type="http://schemas.openxmlformats.org/officeDocument/2006/relationships/hyperlink" Target="https://youtu.be/5vHlpt120Yc?t=2746" TargetMode="External"/><Relationship Id="rId144" Type="http://schemas.openxmlformats.org/officeDocument/2006/relationships/hyperlink" Target="https://youtu.be/CLmjZWYf8qU?t=842" TargetMode="External"/><Relationship Id="rId265" Type="http://schemas.openxmlformats.org/officeDocument/2006/relationships/hyperlink" Target="https://youtu.be/J9z6Cc_Slhc?t=1862" TargetMode="External"/><Relationship Id="rId73" Type="http://schemas.openxmlformats.org/officeDocument/2006/relationships/hyperlink" Target="https://youtu.be/jNxiYnugGg4?t=5319" TargetMode="External"/><Relationship Id="rId72" Type="http://schemas.openxmlformats.org/officeDocument/2006/relationships/hyperlink" Target="https://youtu.be/VapYbw4j2Bs?t=4371" TargetMode="External"/><Relationship Id="rId75" Type="http://schemas.openxmlformats.org/officeDocument/2006/relationships/hyperlink" Target="https://youtu.be/jNxiYnugGg4?t=6182" TargetMode="External"/><Relationship Id="rId74" Type="http://schemas.openxmlformats.org/officeDocument/2006/relationships/hyperlink" Target="https://youtu.be/VapYbw4j2Bs?t=5272" TargetMode="External"/><Relationship Id="rId77" Type="http://schemas.openxmlformats.org/officeDocument/2006/relationships/hyperlink" Target="https://youtu.be/jNxiYnugGg4?t=7122" TargetMode="External"/><Relationship Id="rId260" Type="http://schemas.openxmlformats.org/officeDocument/2006/relationships/hyperlink" Target="https://youtu.be/C4bbhpbHhiI?t=7953" TargetMode="External"/><Relationship Id="rId76" Type="http://schemas.openxmlformats.org/officeDocument/2006/relationships/hyperlink" Target="https://youtu.be/VapYbw4j2Bs?t=6113" TargetMode="External"/><Relationship Id="rId79" Type="http://schemas.openxmlformats.org/officeDocument/2006/relationships/hyperlink" Target="https://youtu.be/jNxiYnugGg4?t=7956" TargetMode="External"/><Relationship Id="rId78" Type="http://schemas.openxmlformats.org/officeDocument/2006/relationships/hyperlink" Target="https://youtu.be/VapYbw4j2Bs?t=7042" TargetMode="External"/><Relationship Id="rId71" Type="http://schemas.openxmlformats.org/officeDocument/2006/relationships/hyperlink" Target="https://youtu.be/jNxiYnugGg4?t=4440" TargetMode="External"/><Relationship Id="rId70" Type="http://schemas.openxmlformats.org/officeDocument/2006/relationships/hyperlink" Target="https://youtu.be/VapYbw4j2Bs?t=3493" TargetMode="External"/><Relationship Id="rId139" Type="http://schemas.openxmlformats.org/officeDocument/2006/relationships/hyperlink" Target="https://youtu.be/vm1shzLDy4o?t=7990" TargetMode="External"/><Relationship Id="rId138" Type="http://schemas.openxmlformats.org/officeDocument/2006/relationships/hyperlink" Target="https://youtu.be/oubQDgTRxYA?t=6940" TargetMode="External"/><Relationship Id="rId259" Type="http://schemas.openxmlformats.org/officeDocument/2006/relationships/hyperlink" Target="https://youtu.be/FEMPTOvk8eY?t=7976" TargetMode="External"/><Relationship Id="rId137" Type="http://schemas.openxmlformats.org/officeDocument/2006/relationships/hyperlink" Target="https://youtu.be/vm1shzLDy4o?t=7147" TargetMode="External"/><Relationship Id="rId258" Type="http://schemas.openxmlformats.org/officeDocument/2006/relationships/hyperlink" Target="https://youtu.be/C4bbhpbHhiI?t=7024" TargetMode="External"/><Relationship Id="rId132" Type="http://schemas.openxmlformats.org/officeDocument/2006/relationships/hyperlink" Target="https://youtu.be/oubQDgTRxYA?t=4369" TargetMode="External"/><Relationship Id="rId253" Type="http://schemas.openxmlformats.org/officeDocument/2006/relationships/hyperlink" Target="https://youtu.be/FEMPTOvk8eY?t=5401" TargetMode="External"/><Relationship Id="rId131" Type="http://schemas.openxmlformats.org/officeDocument/2006/relationships/hyperlink" Target="https://youtu.be/vm1shzLDy4o?t=4454" TargetMode="External"/><Relationship Id="rId252" Type="http://schemas.openxmlformats.org/officeDocument/2006/relationships/hyperlink" Target="https://youtu.be/C4bbhpbHhiI?t=4385" TargetMode="External"/><Relationship Id="rId130" Type="http://schemas.openxmlformats.org/officeDocument/2006/relationships/hyperlink" Target="https://youtu.be/oubQDgTRxYA?t=3544" TargetMode="External"/><Relationship Id="rId251" Type="http://schemas.openxmlformats.org/officeDocument/2006/relationships/hyperlink" Target="https://youtu.be/FEMPTOvk8eY?t=4442" TargetMode="External"/><Relationship Id="rId250" Type="http://schemas.openxmlformats.org/officeDocument/2006/relationships/hyperlink" Target="https://youtu.be/C4bbhpbHhiI?t=3485" TargetMode="External"/><Relationship Id="rId136" Type="http://schemas.openxmlformats.org/officeDocument/2006/relationships/hyperlink" Target="https://youtu.be/oubQDgTRxYA?t=6153" TargetMode="External"/><Relationship Id="rId257" Type="http://schemas.openxmlformats.org/officeDocument/2006/relationships/hyperlink" Target="https://youtu.be/FEMPTOvk8eY?t=7080" TargetMode="External"/><Relationship Id="rId135" Type="http://schemas.openxmlformats.org/officeDocument/2006/relationships/hyperlink" Target="https://youtu.be/vm1shzLDy4o?t=6269" TargetMode="External"/><Relationship Id="rId256" Type="http://schemas.openxmlformats.org/officeDocument/2006/relationships/hyperlink" Target="https://youtu.be/C4bbhpbHhiI?t=6124" TargetMode="External"/><Relationship Id="rId134" Type="http://schemas.openxmlformats.org/officeDocument/2006/relationships/hyperlink" Target="https://youtu.be/oubQDgTRxYA?t=5283" TargetMode="External"/><Relationship Id="rId255" Type="http://schemas.openxmlformats.org/officeDocument/2006/relationships/hyperlink" Target="https://youtu.be/FEMPTOvk8eY?t=6210" TargetMode="External"/><Relationship Id="rId133" Type="http://schemas.openxmlformats.org/officeDocument/2006/relationships/hyperlink" Target="https://youtu.be/vm1shzLDy4o?t=5397" TargetMode="External"/><Relationship Id="rId254" Type="http://schemas.openxmlformats.org/officeDocument/2006/relationships/hyperlink" Target="https://youtu.be/C4bbhpbHhiI?t=5286" TargetMode="External"/><Relationship Id="rId62" Type="http://schemas.openxmlformats.org/officeDocument/2006/relationships/hyperlink" Target="https://youtu.be/VapYbw4j2Bs" TargetMode="External"/><Relationship Id="rId61" Type="http://schemas.openxmlformats.org/officeDocument/2006/relationships/hyperlink" Target="https://youtu.be/jNxiYnugGg4" TargetMode="External"/><Relationship Id="rId64" Type="http://schemas.openxmlformats.org/officeDocument/2006/relationships/hyperlink" Target="https://youtu.be/VapYbw4j2Bs?t=907" TargetMode="External"/><Relationship Id="rId63" Type="http://schemas.openxmlformats.org/officeDocument/2006/relationships/hyperlink" Target="https://youtu.be/jNxiYnugGg4?t=976" TargetMode="External"/><Relationship Id="rId66" Type="http://schemas.openxmlformats.org/officeDocument/2006/relationships/hyperlink" Target="https://youtu.be/VapYbw4j2Bs?t=1752" TargetMode="External"/><Relationship Id="rId172" Type="http://schemas.openxmlformats.org/officeDocument/2006/relationships/hyperlink" Target="https://youtu.be/3y4aUodHESE?t=4535" TargetMode="External"/><Relationship Id="rId293" Type="http://schemas.openxmlformats.org/officeDocument/2006/relationships/hyperlink" Target="https://youtu.be/shM-7ewswt4?t=5328" TargetMode="External"/><Relationship Id="rId65" Type="http://schemas.openxmlformats.org/officeDocument/2006/relationships/hyperlink" Target="https://youtu.be/jNxiYnugGg4?t=1807" TargetMode="External"/><Relationship Id="rId171" Type="http://schemas.openxmlformats.org/officeDocument/2006/relationships/hyperlink" Target="https://youtu.be/r47qEdF4f7s?t=4458" TargetMode="External"/><Relationship Id="rId292" Type="http://schemas.openxmlformats.org/officeDocument/2006/relationships/hyperlink" Target="https://youtu.be/QGN0Z44PC-8?t=4534" TargetMode="External"/><Relationship Id="rId68" Type="http://schemas.openxmlformats.org/officeDocument/2006/relationships/hyperlink" Target="https://youtu.be/VapYbw4j2Bs?t=2639" TargetMode="External"/><Relationship Id="rId170" Type="http://schemas.openxmlformats.org/officeDocument/2006/relationships/hyperlink" Target="https://youtu.be/3y4aUodHESE?t=3637" TargetMode="External"/><Relationship Id="rId291" Type="http://schemas.openxmlformats.org/officeDocument/2006/relationships/hyperlink" Target="https://youtu.be/shM-7ewswt4?t=4415" TargetMode="External"/><Relationship Id="rId67" Type="http://schemas.openxmlformats.org/officeDocument/2006/relationships/hyperlink" Target="https://youtu.be/jNxiYnugGg4?t=2703" TargetMode="External"/><Relationship Id="rId290" Type="http://schemas.openxmlformats.org/officeDocument/2006/relationships/hyperlink" Target="https://youtu.be/QGN0Z44PC-8?t=3634" TargetMode="External"/><Relationship Id="rId60" Type="http://schemas.openxmlformats.org/officeDocument/2006/relationships/hyperlink" Target="https://youtu.be/Z4a5G3onBc8?t=8022" TargetMode="External"/><Relationship Id="rId165" Type="http://schemas.openxmlformats.org/officeDocument/2006/relationships/hyperlink" Target="https://youtu.be/r47qEdF4f7s?t=1922" TargetMode="External"/><Relationship Id="rId286" Type="http://schemas.openxmlformats.org/officeDocument/2006/relationships/hyperlink" Target="https://youtu.be/QGN0Z44PC-8?t=1893" TargetMode="External"/><Relationship Id="rId69" Type="http://schemas.openxmlformats.org/officeDocument/2006/relationships/hyperlink" Target="https://youtu.be/jNxiYnugGg4?t=3530" TargetMode="External"/><Relationship Id="rId164" Type="http://schemas.openxmlformats.org/officeDocument/2006/relationships/hyperlink" Target="https://youtu.be/3y4aUodHESE?t=995" TargetMode="External"/><Relationship Id="rId285" Type="http://schemas.openxmlformats.org/officeDocument/2006/relationships/hyperlink" Target="https://youtu.be/shM-7ewswt4?t=1815" TargetMode="External"/><Relationship Id="rId163" Type="http://schemas.openxmlformats.org/officeDocument/2006/relationships/hyperlink" Target="https://youtu.be/r47qEdF4f7s?t=1016" TargetMode="External"/><Relationship Id="rId284" Type="http://schemas.openxmlformats.org/officeDocument/2006/relationships/hyperlink" Target="https://youtu.be/QGN0Z44PC-8?t=994" TargetMode="External"/><Relationship Id="rId162" Type="http://schemas.openxmlformats.org/officeDocument/2006/relationships/hyperlink" Target="https://youtu.be/3y4aUodHESE" TargetMode="External"/><Relationship Id="rId283" Type="http://schemas.openxmlformats.org/officeDocument/2006/relationships/hyperlink" Target="https://youtu.be/shM-7ewswt4?t=869" TargetMode="External"/><Relationship Id="rId169" Type="http://schemas.openxmlformats.org/officeDocument/2006/relationships/hyperlink" Target="https://youtu.be/r47qEdF4f7s?t=3559" TargetMode="External"/><Relationship Id="rId168" Type="http://schemas.openxmlformats.org/officeDocument/2006/relationships/hyperlink" Target="https://youtu.be/3y4aUodHESE?t=2798" TargetMode="External"/><Relationship Id="rId289" Type="http://schemas.openxmlformats.org/officeDocument/2006/relationships/hyperlink" Target="https://youtu.be/shM-7ewswt4?t=3508" TargetMode="External"/><Relationship Id="rId167" Type="http://schemas.openxmlformats.org/officeDocument/2006/relationships/hyperlink" Target="https://youtu.be/r47qEdF4f7s?t=2729" TargetMode="External"/><Relationship Id="rId288" Type="http://schemas.openxmlformats.org/officeDocument/2006/relationships/hyperlink" Target="https://youtu.be/QGN0Z44PC-8?t=2794" TargetMode="External"/><Relationship Id="rId166" Type="http://schemas.openxmlformats.org/officeDocument/2006/relationships/hyperlink" Target="https://youtu.be/3y4aUodHESE?t=1895" TargetMode="External"/><Relationship Id="rId287" Type="http://schemas.openxmlformats.org/officeDocument/2006/relationships/hyperlink" Target="https://youtu.be/shM-7ewswt4?t=2672" TargetMode="External"/><Relationship Id="rId51" Type="http://schemas.openxmlformats.org/officeDocument/2006/relationships/hyperlink" Target="https://youtu.be/rWbGpksZBgQ?t=4429" TargetMode="External"/><Relationship Id="rId50" Type="http://schemas.openxmlformats.org/officeDocument/2006/relationships/hyperlink" Target="https://youtu.be/Z4a5G3onBc8?t=3582" TargetMode="External"/><Relationship Id="rId53" Type="http://schemas.openxmlformats.org/officeDocument/2006/relationships/hyperlink" Target="https://youtu.be/rWbGpksZBgQ?t=5312" TargetMode="External"/><Relationship Id="rId52" Type="http://schemas.openxmlformats.org/officeDocument/2006/relationships/hyperlink" Target="https://youtu.be/Z4a5G3onBc8?t=4484" TargetMode="External"/><Relationship Id="rId55" Type="http://schemas.openxmlformats.org/officeDocument/2006/relationships/hyperlink" Target="https://youtu.be/rWbGpksZBgQ?t=6181" TargetMode="External"/><Relationship Id="rId161" Type="http://schemas.openxmlformats.org/officeDocument/2006/relationships/hyperlink" Target="https://youtu.be/r47qEdF4f7s" TargetMode="External"/><Relationship Id="rId282" Type="http://schemas.openxmlformats.org/officeDocument/2006/relationships/hyperlink" Target="https://youtu.be/QGN0Z44PC-8" TargetMode="External"/><Relationship Id="rId54" Type="http://schemas.openxmlformats.org/officeDocument/2006/relationships/hyperlink" Target="https://youtu.be/Z4a5G3onBc8?t=5382" TargetMode="External"/><Relationship Id="rId160" Type="http://schemas.openxmlformats.org/officeDocument/2006/relationships/hyperlink" Target="https://youtu.be/CLmjZWYf8qU?t=7863" TargetMode="External"/><Relationship Id="rId281" Type="http://schemas.openxmlformats.org/officeDocument/2006/relationships/hyperlink" Target="https://youtu.be/shM-7ewswt4" TargetMode="External"/><Relationship Id="rId57" Type="http://schemas.openxmlformats.org/officeDocument/2006/relationships/hyperlink" Target="https://youtu.be/rWbGpksZBgQ?t=7052" TargetMode="External"/><Relationship Id="rId280" Type="http://schemas.openxmlformats.org/officeDocument/2006/relationships/hyperlink" Target="https://youtu.be/2HBjn7kHTLQ?t=7987" TargetMode="External"/><Relationship Id="rId56" Type="http://schemas.openxmlformats.org/officeDocument/2006/relationships/hyperlink" Target="https://youtu.be/Z4a5G3onBc8?t=6224" TargetMode="External"/><Relationship Id="rId159" Type="http://schemas.openxmlformats.org/officeDocument/2006/relationships/hyperlink" Target="https://youtu.be/_8pY-QDFV4Y?t=7934" TargetMode="External"/><Relationship Id="rId59" Type="http://schemas.openxmlformats.org/officeDocument/2006/relationships/hyperlink" Target="https://youtu.be/rWbGpksZBgQ?t=7950" TargetMode="External"/><Relationship Id="rId154" Type="http://schemas.openxmlformats.org/officeDocument/2006/relationships/hyperlink" Target="https://youtu.be/CLmjZWYf8qU?t=5270" TargetMode="External"/><Relationship Id="rId275" Type="http://schemas.openxmlformats.org/officeDocument/2006/relationships/hyperlink" Target="https://youtu.be/J9z6Cc_Slhc?t=6185" TargetMode="External"/><Relationship Id="rId58" Type="http://schemas.openxmlformats.org/officeDocument/2006/relationships/hyperlink" Target="https://youtu.be/Z4a5G3onBc8?t=7123" TargetMode="External"/><Relationship Id="rId153" Type="http://schemas.openxmlformats.org/officeDocument/2006/relationships/hyperlink" Target="https://youtu.be/_8pY-QDFV4Y?t=5297" TargetMode="External"/><Relationship Id="rId274" Type="http://schemas.openxmlformats.org/officeDocument/2006/relationships/hyperlink" Target="https://youtu.be/2HBjn7kHTLQ?t=5357" TargetMode="External"/><Relationship Id="rId152" Type="http://schemas.openxmlformats.org/officeDocument/2006/relationships/hyperlink" Target="https://youtu.be/CLmjZWYf8qU?t=4346" TargetMode="External"/><Relationship Id="rId273" Type="http://schemas.openxmlformats.org/officeDocument/2006/relationships/hyperlink" Target="https://youtu.be/J9z6Cc_Slhc?t=5354" TargetMode="External"/><Relationship Id="rId151" Type="http://schemas.openxmlformats.org/officeDocument/2006/relationships/hyperlink" Target="https://youtu.be/_8pY-QDFV4Y?t=4438" TargetMode="External"/><Relationship Id="rId272" Type="http://schemas.openxmlformats.org/officeDocument/2006/relationships/hyperlink" Target="https://youtu.be/2HBjn7kHTLQ?t=4453" TargetMode="External"/><Relationship Id="rId158" Type="http://schemas.openxmlformats.org/officeDocument/2006/relationships/hyperlink" Target="https://youtu.be/CLmjZWYf8qU?t=6987" TargetMode="External"/><Relationship Id="rId279" Type="http://schemas.openxmlformats.org/officeDocument/2006/relationships/hyperlink" Target="https://youtu.be/J9z6Cc_Slhc?t=7982" TargetMode="External"/><Relationship Id="rId157" Type="http://schemas.openxmlformats.org/officeDocument/2006/relationships/hyperlink" Target="https://youtu.be/_8pY-QDFV4Y?t=7092" TargetMode="External"/><Relationship Id="rId278" Type="http://schemas.openxmlformats.org/officeDocument/2006/relationships/hyperlink" Target="https://youtu.be/2HBjn7kHTLQ?t=7116" TargetMode="External"/><Relationship Id="rId156" Type="http://schemas.openxmlformats.org/officeDocument/2006/relationships/hyperlink" Target="https://youtu.be/CLmjZWYf8qU?t=6098" TargetMode="External"/><Relationship Id="rId277" Type="http://schemas.openxmlformats.org/officeDocument/2006/relationships/hyperlink" Target="https://youtu.be/J9z6Cc_Slhc?t=7088" TargetMode="External"/><Relationship Id="rId155" Type="http://schemas.openxmlformats.org/officeDocument/2006/relationships/hyperlink" Target="https://youtu.be/_8pY-QDFV4Y?t=6191" TargetMode="External"/><Relationship Id="rId276" Type="http://schemas.openxmlformats.org/officeDocument/2006/relationships/hyperlink" Target="https://youtu.be/2HBjn7kHTLQ?t=6190" TargetMode="External"/><Relationship Id="rId107" Type="http://schemas.openxmlformats.org/officeDocument/2006/relationships/hyperlink" Target="https://youtu.be/ZTuThPn4AZE?t=2712" TargetMode="External"/><Relationship Id="rId228" Type="http://schemas.openxmlformats.org/officeDocument/2006/relationships/hyperlink" Target="https://youtu.be/EMLE55OCGcY?t=2681" TargetMode="External"/><Relationship Id="rId349" Type="http://schemas.openxmlformats.org/officeDocument/2006/relationships/hyperlink" Target="https://youtu.be/qBBLWbDKFdU?t=3674" TargetMode="External"/><Relationship Id="rId106" Type="http://schemas.openxmlformats.org/officeDocument/2006/relationships/hyperlink" Target="https://youtu.be/V_GSRbPS9Jo?t=1286" TargetMode="External"/><Relationship Id="rId227" Type="http://schemas.openxmlformats.org/officeDocument/2006/relationships/hyperlink" Target="https://youtu.be/f_UfVxPyd-g?t=1433" TargetMode="External"/><Relationship Id="rId348" Type="http://schemas.openxmlformats.org/officeDocument/2006/relationships/hyperlink" Target="https://youtu.be/qGEkdGxTQfU?t=2693" TargetMode="External"/><Relationship Id="rId105" Type="http://schemas.openxmlformats.org/officeDocument/2006/relationships/hyperlink" Target="https://youtu.be/ZTuThPn4AZE?t=1854" TargetMode="External"/><Relationship Id="rId226" Type="http://schemas.openxmlformats.org/officeDocument/2006/relationships/hyperlink" Target="https://youtu.be/EMLE55OCGcY?t=1791" TargetMode="External"/><Relationship Id="rId347" Type="http://schemas.openxmlformats.org/officeDocument/2006/relationships/hyperlink" Target="https://youtu.be/qBBLWbDKFdU?t=2825" TargetMode="External"/><Relationship Id="rId104" Type="http://schemas.openxmlformats.org/officeDocument/2006/relationships/hyperlink" Target="https://youtu.be/V_GSRbPS9Jo?t=440" TargetMode="External"/><Relationship Id="rId225" Type="http://schemas.openxmlformats.org/officeDocument/2006/relationships/hyperlink" Target="https://youtu.be/f_UfVxPyd-g?t=526" TargetMode="External"/><Relationship Id="rId346" Type="http://schemas.openxmlformats.org/officeDocument/2006/relationships/hyperlink" Target="https://youtu.be/qGEkdGxTQfU?t=1795" TargetMode="External"/><Relationship Id="rId109" Type="http://schemas.openxmlformats.org/officeDocument/2006/relationships/hyperlink" Target="https://youtu.be/ZTuThPn4AZE?t=3610" TargetMode="External"/><Relationship Id="rId108" Type="http://schemas.openxmlformats.org/officeDocument/2006/relationships/hyperlink" Target="https://youtu.be/V_GSRbPS9Jo?t=2114" TargetMode="External"/><Relationship Id="rId229" Type="http://schemas.openxmlformats.org/officeDocument/2006/relationships/hyperlink" Target="https://youtu.be/f_UfVxPyd-g?t=2327" TargetMode="External"/><Relationship Id="rId220" Type="http://schemas.openxmlformats.org/officeDocument/2006/relationships/hyperlink" Target="https://youtu.be/EI2Hpd_VJZ0?t=7994" TargetMode="External"/><Relationship Id="rId341" Type="http://schemas.openxmlformats.org/officeDocument/2006/relationships/hyperlink" Target="https://youtu.be/qBBLWbDKFdU" TargetMode="External"/><Relationship Id="rId340" Type="http://schemas.openxmlformats.org/officeDocument/2006/relationships/hyperlink" Target="https://youtu.be/SvOPjHwcGtc?t=8039" TargetMode="External"/><Relationship Id="rId103" Type="http://schemas.openxmlformats.org/officeDocument/2006/relationships/hyperlink" Target="https://youtu.be/ZTuThPn4AZE?t=956" TargetMode="External"/><Relationship Id="rId224" Type="http://schemas.openxmlformats.org/officeDocument/2006/relationships/hyperlink" Target="https://youtu.be/EMLE55OCGcY?t=896" TargetMode="External"/><Relationship Id="rId345" Type="http://schemas.openxmlformats.org/officeDocument/2006/relationships/hyperlink" Target="https://youtu.be/qBBLWbDKFdU?t=1925" TargetMode="External"/><Relationship Id="rId102" Type="http://schemas.openxmlformats.org/officeDocument/2006/relationships/hyperlink" Target="https://youtu.be/V_GSRbPS9Jo" TargetMode="External"/><Relationship Id="rId223" Type="http://schemas.openxmlformats.org/officeDocument/2006/relationships/hyperlink" Target="https://youtu.be/9OXW89BBdsc?t=1113" TargetMode="External"/><Relationship Id="rId344" Type="http://schemas.openxmlformats.org/officeDocument/2006/relationships/hyperlink" Target="https://youtu.be/qGEkdGxTQfU?t=916" TargetMode="External"/><Relationship Id="rId101" Type="http://schemas.openxmlformats.org/officeDocument/2006/relationships/hyperlink" Target="https://youtu.be/ZTuThPn4AZE" TargetMode="External"/><Relationship Id="rId222" Type="http://schemas.openxmlformats.org/officeDocument/2006/relationships/hyperlink" Target="https://youtu.be/EMLE55OCGcY" TargetMode="External"/><Relationship Id="rId343" Type="http://schemas.openxmlformats.org/officeDocument/2006/relationships/hyperlink" Target="https://youtu.be/qBBLWbDKFdU?t=1032" TargetMode="External"/><Relationship Id="rId100" Type="http://schemas.openxmlformats.org/officeDocument/2006/relationships/hyperlink" Target="https://youtu.be/87aQCHO1fjM?t=8058" TargetMode="External"/><Relationship Id="rId221" Type="http://schemas.openxmlformats.org/officeDocument/2006/relationships/hyperlink" Target="https://youtu.be/9OXW89BBdsc?t=280" TargetMode="External"/><Relationship Id="rId342" Type="http://schemas.openxmlformats.org/officeDocument/2006/relationships/hyperlink" Target="https://youtu.be/qGEkdGxTQfU" TargetMode="External"/><Relationship Id="rId217" Type="http://schemas.openxmlformats.org/officeDocument/2006/relationships/hyperlink" Target="https://youtu.be/RvMvVc5GMus?t=7040" TargetMode="External"/><Relationship Id="rId338" Type="http://schemas.openxmlformats.org/officeDocument/2006/relationships/hyperlink" Target="https://youtu.be/SvOPjHwcGtc?t=7139" TargetMode="External"/><Relationship Id="rId216" Type="http://schemas.openxmlformats.org/officeDocument/2006/relationships/hyperlink" Target="https://youtu.be/EI2Hpd_VJZ0?t=6164" TargetMode="External"/><Relationship Id="rId337" Type="http://schemas.openxmlformats.org/officeDocument/2006/relationships/hyperlink" Target="https://youtu.be/2ARVM85XFYY?t=7112" TargetMode="External"/><Relationship Id="rId215" Type="http://schemas.openxmlformats.org/officeDocument/2006/relationships/hyperlink" Target="https://youtu.be/RvMvVc5GMus?t=6172" TargetMode="External"/><Relationship Id="rId336" Type="http://schemas.openxmlformats.org/officeDocument/2006/relationships/hyperlink" Target="https://youtu.be/SvOPjHwcGtc?t=6239" TargetMode="External"/><Relationship Id="rId214" Type="http://schemas.openxmlformats.org/officeDocument/2006/relationships/hyperlink" Target="https://youtu.be/EI2Hpd_VJZ0?t=5324" TargetMode="External"/><Relationship Id="rId335" Type="http://schemas.openxmlformats.org/officeDocument/2006/relationships/hyperlink" Target="https://youtu.be/2ARVM85XFYY?t=6233" TargetMode="External"/><Relationship Id="rId219" Type="http://schemas.openxmlformats.org/officeDocument/2006/relationships/hyperlink" Target="https://youtu.be/RvMvVc5GMus?t=7941" TargetMode="External"/><Relationship Id="rId218" Type="http://schemas.openxmlformats.org/officeDocument/2006/relationships/hyperlink" Target="https://youtu.be/EI2Hpd_VJZ0?t=7063" TargetMode="External"/><Relationship Id="rId339" Type="http://schemas.openxmlformats.org/officeDocument/2006/relationships/hyperlink" Target="https://youtu.be/2ARVM85XFYY?t=8012" TargetMode="External"/><Relationship Id="rId330" Type="http://schemas.openxmlformats.org/officeDocument/2006/relationships/hyperlink" Target="https://youtu.be/SvOPjHwcGtc?t=3600" TargetMode="External"/><Relationship Id="rId213" Type="http://schemas.openxmlformats.org/officeDocument/2006/relationships/hyperlink" Target="https://youtu.be/RvMvVc5GMus?t=5318" TargetMode="External"/><Relationship Id="rId334" Type="http://schemas.openxmlformats.org/officeDocument/2006/relationships/hyperlink" Target="https://youtu.be/SvOPjHwcGtc?t=5399" TargetMode="External"/><Relationship Id="rId212" Type="http://schemas.openxmlformats.org/officeDocument/2006/relationships/hyperlink" Target="https://youtu.be/EI2Hpd_VJZ0?t=4424" TargetMode="External"/><Relationship Id="rId333" Type="http://schemas.openxmlformats.org/officeDocument/2006/relationships/hyperlink" Target="https://youtu.be/2ARVM85XFYY?t=5374" TargetMode="External"/><Relationship Id="rId211" Type="http://schemas.openxmlformats.org/officeDocument/2006/relationships/hyperlink" Target="https://youtu.be/RvMvVc5GMus?t=4405" TargetMode="External"/><Relationship Id="rId332" Type="http://schemas.openxmlformats.org/officeDocument/2006/relationships/hyperlink" Target="https://youtu.be/SvOPjHwcGtc?t=4499" TargetMode="External"/><Relationship Id="rId210" Type="http://schemas.openxmlformats.org/officeDocument/2006/relationships/hyperlink" Target="https://youtu.be/EI2Hpd_VJZ0?t=3524" TargetMode="External"/><Relationship Id="rId331" Type="http://schemas.openxmlformats.org/officeDocument/2006/relationships/hyperlink" Target="https://youtu.be/2ARVM85XFYY?t=4496" TargetMode="External"/><Relationship Id="rId129" Type="http://schemas.openxmlformats.org/officeDocument/2006/relationships/hyperlink" Target="https://youtu.be/vm1shzLDy4o?t=3611" TargetMode="External"/><Relationship Id="rId128" Type="http://schemas.openxmlformats.org/officeDocument/2006/relationships/hyperlink" Target="https://youtu.be/oubQDgTRxYA?t=2586" TargetMode="External"/><Relationship Id="rId249" Type="http://schemas.openxmlformats.org/officeDocument/2006/relationships/hyperlink" Target="https://youtu.be/FEMPTOvk8eY?t=3543" TargetMode="External"/><Relationship Id="rId127" Type="http://schemas.openxmlformats.org/officeDocument/2006/relationships/hyperlink" Target="https://youtu.be/vm1shzLDy4o?t=2772" TargetMode="External"/><Relationship Id="rId248" Type="http://schemas.openxmlformats.org/officeDocument/2006/relationships/hyperlink" Target="https://youtu.be/C4bbhpbHhiI?t=2644" TargetMode="External"/><Relationship Id="rId126" Type="http://schemas.openxmlformats.org/officeDocument/2006/relationships/hyperlink" Target="https://youtu.be/oubQDgTRxYA?t=1768" TargetMode="External"/><Relationship Id="rId247" Type="http://schemas.openxmlformats.org/officeDocument/2006/relationships/hyperlink" Target="https://youtu.be/FEMPTOvk8eY?t=2702" TargetMode="External"/><Relationship Id="rId121" Type="http://schemas.openxmlformats.org/officeDocument/2006/relationships/hyperlink" Target="https://youtu.be/vm1shzLDy4o" TargetMode="External"/><Relationship Id="rId242" Type="http://schemas.openxmlformats.org/officeDocument/2006/relationships/hyperlink" Target="https://youtu.be/C4bbhpbHhiI" TargetMode="External"/><Relationship Id="rId120" Type="http://schemas.openxmlformats.org/officeDocument/2006/relationships/hyperlink" Target="https://youtu.be/V_GSRbPS9Jo?t=7278" TargetMode="External"/><Relationship Id="rId241" Type="http://schemas.openxmlformats.org/officeDocument/2006/relationships/hyperlink" Target="https://youtu.be/FEMPTOvk8eY" TargetMode="External"/><Relationship Id="rId240" Type="http://schemas.openxmlformats.org/officeDocument/2006/relationships/hyperlink" Target="https://youtu.be/EMLE55OCGcY?t=7958" TargetMode="External"/><Relationship Id="rId361" Type="http://schemas.openxmlformats.org/officeDocument/2006/relationships/drawing" Target="../drawings/drawing11.xml"/><Relationship Id="rId360" Type="http://schemas.openxmlformats.org/officeDocument/2006/relationships/hyperlink" Target="https://youtu.be/qGEkdGxTQfU?t=7978" TargetMode="External"/><Relationship Id="rId125" Type="http://schemas.openxmlformats.org/officeDocument/2006/relationships/hyperlink" Target="https://youtu.be/vm1shzLDy4o?t=1915" TargetMode="External"/><Relationship Id="rId246" Type="http://schemas.openxmlformats.org/officeDocument/2006/relationships/hyperlink" Target="https://youtu.be/C4bbhpbHhiI?t=1744" TargetMode="External"/><Relationship Id="rId124" Type="http://schemas.openxmlformats.org/officeDocument/2006/relationships/hyperlink" Target="https://youtu.be/oubQDgTRxYA?t=906" TargetMode="External"/><Relationship Id="rId245" Type="http://schemas.openxmlformats.org/officeDocument/2006/relationships/hyperlink" Target="https://youtu.be/FEMPTOvk8eY?t=1810" TargetMode="External"/><Relationship Id="rId123" Type="http://schemas.openxmlformats.org/officeDocument/2006/relationships/hyperlink" Target="https://youtu.be/vm1shzLDy4o?t=1013" TargetMode="External"/><Relationship Id="rId244" Type="http://schemas.openxmlformats.org/officeDocument/2006/relationships/hyperlink" Target="https://youtu.be/C4bbhpbHhiI?t=844" TargetMode="External"/><Relationship Id="rId122" Type="http://schemas.openxmlformats.org/officeDocument/2006/relationships/hyperlink" Target="https://youtu.be/oubQDgTRxYA" TargetMode="External"/><Relationship Id="rId243" Type="http://schemas.openxmlformats.org/officeDocument/2006/relationships/hyperlink" Target="https://youtu.be/FEMPTOvk8eY?t=919" TargetMode="External"/><Relationship Id="rId95" Type="http://schemas.openxmlformats.org/officeDocument/2006/relationships/hyperlink" Target="https://youtu.be/7hU2NWiErgE?t=6268" TargetMode="External"/><Relationship Id="rId94" Type="http://schemas.openxmlformats.org/officeDocument/2006/relationships/hyperlink" Target="https://youtu.be/87aQCHO1fjM?t=5328" TargetMode="External"/><Relationship Id="rId97" Type="http://schemas.openxmlformats.org/officeDocument/2006/relationships/hyperlink" Target="https://youtu.be/7hU2NWiErgE?t=7118" TargetMode="External"/><Relationship Id="rId96" Type="http://schemas.openxmlformats.org/officeDocument/2006/relationships/hyperlink" Target="https://youtu.be/87aQCHO1fjM?t=6209" TargetMode="External"/><Relationship Id="rId99" Type="http://schemas.openxmlformats.org/officeDocument/2006/relationships/hyperlink" Target="https://youtu.be/7hU2NWiErgE?t=7962" TargetMode="External"/><Relationship Id="rId98" Type="http://schemas.openxmlformats.org/officeDocument/2006/relationships/hyperlink" Target="https://youtu.be/87aQCHO1fjM?t=7067" TargetMode="External"/><Relationship Id="rId91" Type="http://schemas.openxmlformats.org/officeDocument/2006/relationships/hyperlink" Target="https://youtu.be/7hU2NWiErgE?t=4472" TargetMode="External"/><Relationship Id="rId90" Type="http://schemas.openxmlformats.org/officeDocument/2006/relationships/hyperlink" Target="https://youtu.be/87aQCHO1fjM?t=3611" TargetMode="External"/><Relationship Id="rId93" Type="http://schemas.openxmlformats.org/officeDocument/2006/relationships/hyperlink" Target="https://youtu.be/7hU2NWiErgE?t=5353" TargetMode="External"/><Relationship Id="rId92" Type="http://schemas.openxmlformats.org/officeDocument/2006/relationships/hyperlink" Target="https://youtu.be/87aQCHO1fjM?t=4403" TargetMode="External"/><Relationship Id="rId118" Type="http://schemas.openxmlformats.org/officeDocument/2006/relationships/hyperlink" Target="https://youtu.be/V_GSRbPS9Jo?t=6379" TargetMode="External"/><Relationship Id="rId239" Type="http://schemas.openxmlformats.org/officeDocument/2006/relationships/hyperlink" Target="https://youtu.be/f_UfVxPyd-g?t=6702" TargetMode="External"/><Relationship Id="rId117" Type="http://schemas.openxmlformats.org/officeDocument/2006/relationships/hyperlink" Target="https://youtu.be/ZTuThPn4AZE?t=7010" TargetMode="External"/><Relationship Id="rId238" Type="http://schemas.openxmlformats.org/officeDocument/2006/relationships/hyperlink" Target="https://youtu.be/EMLE55OCGcY?t=7068" TargetMode="External"/><Relationship Id="rId359" Type="http://schemas.openxmlformats.org/officeDocument/2006/relationships/hyperlink" Target="https://youtu.be/qBBLWbDKFdU?t=8100" TargetMode="External"/><Relationship Id="rId116" Type="http://schemas.openxmlformats.org/officeDocument/2006/relationships/hyperlink" Target="https://youtu.be/V_GSRbPS9Jo?t=5467" TargetMode="External"/><Relationship Id="rId237" Type="http://schemas.openxmlformats.org/officeDocument/2006/relationships/hyperlink" Target="https://youtu.be/f_UfVxPyd-g?t=5819" TargetMode="External"/><Relationship Id="rId358" Type="http://schemas.openxmlformats.org/officeDocument/2006/relationships/hyperlink" Target="https://youtu.be/qGEkdGxTQfU?t=7079" TargetMode="External"/><Relationship Id="rId115" Type="http://schemas.openxmlformats.org/officeDocument/2006/relationships/hyperlink" Target="https://youtu.be/ZTuThPn4AZE?t=6096" TargetMode="External"/><Relationship Id="rId236" Type="http://schemas.openxmlformats.org/officeDocument/2006/relationships/hyperlink" Target="https://youtu.be/EMLE55OCGcY?t=6172" TargetMode="External"/><Relationship Id="rId357" Type="http://schemas.openxmlformats.org/officeDocument/2006/relationships/hyperlink" Target="https://youtu.be/qBBLWbDKFdU?t=7207" TargetMode="External"/><Relationship Id="rId119" Type="http://schemas.openxmlformats.org/officeDocument/2006/relationships/hyperlink" Target="https://youtu.be/ZTuThPn4AZE?t=7844" TargetMode="External"/><Relationship Id="rId110" Type="http://schemas.openxmlformats.org/officeDocument/2006/relationships/hyperlink" Target="https://youtu.be/V_GSRbPS9Jo?t=3014" TargetMode="External"/><Relationship Id="rId231" Type="http://schemas.openxmlformats.org/officeDocument/2006/relationships/hyperlink" Target="https://youtu.be/f_UfVxPyd-g?t=3223" TargetMode="External"/><Relationship Id="rId352" Type="http://schemas.openxmlformats.org/officeDocument/2006/relationships/hyperlink" Target="https://youtu.be/qGEkdGxTQfU?t=4445" TargetMode="External"/><Relationship Id="rId230" Type="http://schemas.openxmlformats.org/officeDocument/2006/relationships/hyperlink" Target="https://youtu.be/EMLE55OCGcY?t=3546" TargetMode="External"/><Relationship Id="rId351" Type="http://schemas.openxmlformats.org/officeDocument/2006/relationships/hyperlink" Target="https://youtu.be/qBBLWbDKFdU?t=4565" TargetMode="External"/><Relationship Id="rId350" Type="http://schemas.openxmlformats.org/officeDocument/2006/relationships/hyperlink" Target="https://youtu.be/qGEkdGxTQfU?t=3657" TargetMode="External"/><Relationship Id="rId114" Type="http://schemas.openxmlformats.org/officeDocument/2006/relationships/hyperlink" Target="https://youtu.be/V_GSRbPS9Jo?t=4682" TargetMode="External"/><Relationship Id="rId235" Type="http://schemas.openxmlformats.org/officeDocument/2006/relationships/hyperlink" Target="https://youtu.be/f_UfVxPyd-g?t=4898" TargetMode="External"/><Relationship Id="rId356" Type="http://schemas.openxmlformats.org/officeDocument/2006/relationships/hyperlink" Target="https://youtu.be/qGEkdGxTQfU?t=6183" TargetMode="External"/><Relationship Id="rId113" Type="http://schemas.openxmlformats.org/officeDocument/2006/relationships/hyperlink" Target="https://youtu.be/ZTuThPn4AZE?t=5272" TargetMode="External"/><Relationship Id="rId234" Type="http://schemas.openxmlformats.org/officeDocument/2006/relationships/hyperlink" Target="https://youtu.be/EMLE55OCGcY?t=5332" TargetMode="External"/><Relationship Id="rId355" Type="http://schemas.openxmlformats.org/officeDocument/2006/relationships/hyperlink" Target="https://youtu.be/qBBLWbDKFdU?t=6305" TargetMode="External"/><Relationship Id="rId112" Type="http://schemas.openxmlformats.org/officeDocument/2006/relationships/hyperlink" Target="https://youtu.be/V_GSRbPS9Jo?t=3861" TargetMode="External"/><Relationship Id="rId233" Type="http://schemas.openxmlformats.org/officeDocument/2006/relationships/hyperlink" Target="https://youtu.be/f_UfVxPyd-g?t=4069" TargetMode="External"/><Relationship Id="rId354" Type="http://schemas.openxmlformats.org/officeDocument/2006/relationships/hyperlink" Target="https://youtu.be/qGEkdGxTQfU?t=5332" TargetMode="External"/><Relationship Id="rId111" Type="http://schemas.openxmlformats.org/officeDocument/2006/relationships/hyperlink" Target="https://youtu.be/ZTuThPn4AZE?t=4430" TargetMode="External"/><Relationship Id="rId232" Type="http://schemas.openxmlformats.org/officeDocument/2006/relationships/hyperlink" Target="https://youtu.be/EMLE55OCGcY?t=4466" TargetMode="External"/><Relationship Id="rId353" Type="http://schemas.openxmlformats.org/officeDocument/2006/relationships/hyperlink" Target="https://youtu.be/qBBLWbDKFdU?t=5464" TargetMode="External"/><Relationship Id="rId305" Type="http://schemas.openxmlformats.org/officeDocument/2006/relationships/hyperlink" Target="https://youtu.be/OxPRB6YbfNo?t=1930" TargetMode="External"/><Relationship Id="rId304" Type="http://schemas.openxmlformats.org/officeDocument/2006/relationships/hyperlink" Target="https://youtu.be/-JZYOz79ieA?t=926" TargetMode="External"/><Relationship Id="rId303" Type="http://schemas.openxmlformats.org/officeDocument/2006/relationships/hyperlink" Target="https://youtu.be/OxPRB6YbfNo?t=1018" TargetMode="External"/><Relationship Id="rId302" Type="http://schemas.openxmlformats.org/officeDocument/2006/relationships/hyperlink" Target="https://youtu.be/-JZYOz79ieA" TargetMode="External"/><Relationship Id="rId309" Type="http://schemas.openxmlformats.org/officeDocument/2006/relationships/hyperlink" Target="https://youtu.be/OxPRB6YbfNo?t=3632" TargetMode="External"/><Relationship Id="rId308" Type="http://schemas.openxmlformats.org/officeDocument/2006/relationships/hyperlink" Target="https://youtu.be/-JZYOz79ieA?t=2745" TargetMode="External"/><Relationship Id="rId307" Type="http://schemas.openxmlformats.org/officeDocument/2006/relationships/hyperlink" Target="https://youtu.be/OxPRB6YbfNo?t=2809" TargetMode="External"/><Relationship Id="rId306" Type="http://schemas.openxmlformats.org/officeDocument/2006/relationships/hyperlink" Target="https://youtu.be/-JZYOz79ieA?t=1830" TargetMode="External"/><Relationship Id="rId301" Type="http://schemas.openxmlformats.org/officeDocument/2006/relationships/hyperlink" Target="https://youtu.be/OxPRB6YbfNo" TargetMode="External"/><Relationship Id="rId300" Type="http://schemas.openxmlformats.org/officeDocument/2006/relationships/hyperlink" Target="https://youtu.be/QGN0Z44PC-8?t=8103" TargetMode="External"/><Relationship Id="rId206" Type="http://schemas.openxmlformats.org/officeDocument/2006/relationships/hyperlink" Target="https://youtu.be/EI2Hpd_VJZ0?t=1784" TargetMode="External"/><Relationship Id="rId327" Type="http://schemas.openxmlformats.org/officeDocument/2006/relationships/hyperlink" Target="https://youtu.be/2ARVM85XFYY?t=2741" TargetMode="External"/><Relationship Id="rId205" Type="http://schemas.openxmlformats.org/officeDocument/2006/relationships/hyperlink" Target="https://youtu.be/RvMvVc5GMus?t=1767" TargetMode="External"/><Relationship Id="rId326" Type="http://schemas.openxmlformats.org/officeDocument/2006/relationships/hyperlink" Target="https://youtu.be/SvOPjHwcGtc?t=1859" TargetMode="External"/><Relationship Id="rId204" Type="http://schemas.openxmlformats.org/officeDocument/2006/relationships/hyperlink" Target="https://youtu.be/EI2Hpd_VJZ0?t=884" TargetMode="External"/><Relationship Id="rId325" Type="http://schemas.openxmlformats.org/officeDocument/2006/relationships/hyperlink" Target="https://youtu.be/2ARVM85XFYY?t=1833" TargetMode="External"/><Relationship Id="rId203" Type="http://schemas.openxmlformats.org/officeDocument/2006/relationships/hyperlink" Target="https://youtu.be/RvMvVc5GMus?t=959" TargetMode="External"/><Relationship Id="rId324" Type="http://schemas.openxmlformats.org/officeDocument/2006/relationships/hyperlink" Target="https://youtu.be/SvOPjHwcGtc?t=961" TargetMode="External"/><Relationship Id="rId209" Type="http://schemas.openxmlformats.org/officeDocument/2006/relationships/hyperlink" Target="https://youtu.be/RvMvVc5GMus?t=3504" TargetMode="External"/><Relationship Id="rId208" Type="http://schemas.openxmlformats.org/officeDocument/2006/relationships/hyperlink" Target="https://youtu.be/EI2Hpd_VJZ0?t=2684" TargetMode="External"/><Relationship Id="rId329" Type="http://schemas.openxmlformats.org/officeDocument/2006/relationships/hyperlink" Target="https://youtu.be/2ARVM85XFYY?t=3577" TargetMode="External"/><Relationship Id="rId207" Type="http://schemas.openxmlformats.org/officeDocument/2006/relationships/hyperlink" Target="https://youtu.be/RvMvVc5GMus?t=2657" TargetMode="External"/><Relationship Id="rId328" Type="http://schemas.openxmlformats.org/officeDocument/2006/relationships/hyperlink" Target="https://youtu.be/SvOPjHwcGtc?t=2760" TargetMode="External"/><Relationship Id="rId202" Type="http://schemas.openxmlformats.org/officeDocument/2006/relationships/hyperlink" Target="https://youtu.be/EI2Hpd_VJZ0" TargetMode="External"/><Relationship Id="rId323" Type="http://schemas.openxmlformats.org/officeDocument/2006/relationships/hyperlink" Target="https://youtu.be/2ARVM85XFYY?t=931" TargetMode="External"/><Relationship Id="rId201" Type="http://schemas.openxmlformats.org/officeDocument/2006/relationships/hyperlink" Target="https://youtu.be/RvMvVc5GMus" TargetMode="External"/><Relationship Id="rId322" Type="http://schemas.openxmlformats.org/officeDocument/2006/relationships/hyperlink" Target="https://youtu.be/SvOPjHwcGtc" TargetMode="External"/><Relationship Id="rId200" Type="http://schemas.openxmlformats.org/officeDocument/2006/relationships/hyperlink" Target="https://youtu.be/BMSpogyNlpw?t=7895" TargetMode="External"/><Relationship Id="rId321" Type="http://schemas.openxmlformats.org/officeDocument/2006/relationships/hyperlink" Target="https://youtu.be/2ARVM85XFYY" TargetMode="External"/><Relationship Id="rId320" Type="http://schemas.openxmlformats.org/officeDocument/2006/relationships/hyperlink" Target="https://youtu.be/-JZYOz79ieA?t=8014" TargetMode="External"/><Relationship Id="rId316" Type="http://schemas.openxmlformats.org/officeDocument/2006/relationships/hyperlink" Target="https://youtu.be/-JZYOz79ieA?t=6206" TargetMode="External"/><Relationship Id="rId315" Type="http://schemas.openxmlformats.org/officeDocument/2006/relationships/hyperlink" Target="https://youtu.be/OxPRB6YbfNo?t=6284" TargetMode="External"/><Relationship Id="rId314" Type="http://schemas.openxmlformats.org/officeDocument/2006/relationships/hyperlink" Target="https://youtu.be/-JZYOz79ieA?t=5370" TargetMode="External"/><Relationship Id="rId313" Type="http://schemas.openxmlformats.org/officeDocument/2006/relationships/hyperlink" Target="https://youtu.be/OxPRB6YbfNo?t=5451" TargetMode="External"/><Relationship Id="rId319" Type="http://schemas.openxmlformats.org/officeDocument/2006/relationships/hyperlink" Target="https://youtu.be/OxPRB6YbfNo?t=8074" TargetMode="External"/><Relationship Id="rId318" Type="http://schemas.openxmlformats.org/officeDocument/2006/relationships/hyperlink" Target="https://youtu.be/-JZYOz79ieA?t=7107" TargetMode="External"/><Relationship Id="rId317" Type="http://schemas.openxmlformats.org/officeDocument/2006/relationships/hyperlink" Target="https://youtu.be/OxPRB6YbfNo?t=7180" TargetMode="External"/><Relationship Id="rId312" Type="http://schemas.openxmlformats.org/officeDocument/2006/relationships/hyperlink" Target="https://youtu.be/-JZYOz79ieA?t=4486" TargetMode="External"/><Relationship Id="rId311" Type="http://schemas.openxmlformats.org/officeDocument/2006/relationships/hyperlink" Target="https://youtu.be/OxPRB6YbfNo?t=4531" TargetMode="External"/><Relationship Id="rId310" Type="http://schemas.openxmlformats.org/officeDocument/2006/relationships/hyperlink" Target="https://youtu.be/-JZYOz79ieA?t=3604" TargetMode="External"/></Relationships>
</file>

<file path=xl/worksheets/_rels/sheet1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Mps3gEJxkds?t=7932" TargetMode="External"/><Relationship Id="rId190" Type="http://schemas.openxmlformats.org/officeDocument/2006/relationships/hyperlink" Target="https://youtu.be/6sY6dqppSYc?t=3884" TargetMode="External"/><Relationship Id="rId42" Type="http://schemas.openxmlformats.org/officeDocument/2006/relationships/hyperlink" Target="https://youtu.be/5vCt1bY6Cuw" TargetMode="External"/><Relationship Id="rId41" Type="http://schemas.openxmlformats.org/officeDocument/2006/relationships/hyperlink" Target="https://youtu.be/Z_2-8yq7kuM" TargetMode="External"/><Relationship Id="rId44" Type="http://schemas.openxmlformats.org/officeDocument/2006/relationships/hyperlink" Target="https://youtu.be/5vCt1bY6Cuw?t=863" TargetMode="External"/><Relationship Id="rId194" Type="http://schemas.openxmlformats.org/officeDocument/2006/relationships/hyperlink" Target="https://youtu.be/6sY6dqppSYc?t=5703" TargetMode="External"/><Relationship Id="rId43" Type="http://schemas.openxmlformats.org/officeDocument/2006/relationships/hyperlink" Target="https://youtu.be/Z_2-8yq7kuM?t=959" TargetMode="External"/><Relationship Id="rId193" Type="http://schemas.openxmlformats.org/officeDocument/2006/relationships/hyperlink" Target="https://youtu.be/oDx6C6bZDtA?t=5592" TargetMode="External"/><Relationship Id="rId46" Type="http://schemas.openxmlformats.org/officeDocument/2006/relationships/hyperlink" Target="https://youtu.be/5vCt1bY6Cuw?t=1747" TargetMode="External"/><Relationship Id="rId192" Type="http://schemas.openxmlformats.org/officeDocument/2006/relationships/hyperlink" Target="https://youtu.be/6sY6dqppSYc?t=4794" TargetMode="External"/><Relationship Id="rId45" Type="http://schemas.openxmlformats.org/officeDocument/2006/relationships/hyperlink" Target="https://youtu.be/Z_2-8yq7kuM?t=1798" TargetMode="External"/><Relationship Id="rId191" Type="http://schemas.openxmlformats.org/officeDocument/2006/relationships/hyperlink" Target="https://youtu.be/oDx6C6bZDtA?t=4709" TargetMode="External"/><Relationship Id="rId48" Type="http://schemas.openxmlformats.org/officeDocument/2006/relationships/hyperlink" Target="https://youtu.be/5vCt1bY6Cuw?t=2654" TargetMode="External"/><Relationship Id="rId187" Type="http://schemas.openxmlformats.org/officeDocument/2006/relationships/hyperlink" Target="https://youtu.be/oDx6C6bZDtA?t=2948" TargetMode="External"/><Relationship Id="rId47" Type="http://schemas.openxmlformats.org/officeDocument/2006/relationships/hyperlink" Target="https://youtu.be/Z_2-8yq7kuM?t=2678" TargetMode="External"/><Relationship Id="rId186" Type="http://schemas.openxmlformats.org/officeDocument/2006/relationships/hyperlink" Target="https://youtu.be/6sY6dqppSYc?t=2070" TargetMode="External"/><Relationship Id="rId185" Type="http://schemas.openxmlformats.org/officeDocument/2006/relationships/hyperlink" Target="https://youtu.be/oDx6C6bZDtA?t=2063" TargetMode="External"/><Relationship Id="rId49" Type="http://schemas.openxmlformats.org/officeDocument/2006/relationships/hyperlink" Target="https://youtu.be/Z_2-8yq7kuM?t=3520" TargetMode="External"/><Relationship Id="rId184" Type="http://schemas.openxmlformats.org/officeDocument/2006/relationships/hyperlink" Target="https://youtu.be/6sY6dqppSYc?t=1269" TargetMode="External"/><Relationship Id="rId189" Type="http://schemas.openxmlformats.org/officeDocument/2006/relationships/hyperlink" Target="https://youtu.be/oDx6C6bZDtA?t=3769" TargetMode="External"/><Relationship Id="rId188" Type="http://schemas.openxmlformats.org/officeDocument/2006/relationships/hyperlink" Target="https://youtu.be/6sY6dqppSYc?t=3045" TargetMode="External"/><Relationship Id="rId31" Type="http://schemas.openxmlformats.org/officeDocument/2006/relationships/hyperlink" Target="https://youtu.be/sftorSTk9Vg?t=4414" TargetMode="External"/><Relationship Id="rId30" Type="http://schemas.openxmlformats.org/officeDocument/2006/relationships/hyperlink" Target="https://youtu.be/Mps3gEJxkds?t=3522" TargetMode="External"/><Relationship Id="rId33" Type="http://schemas.openxmlformats.org/officeDocument/2006/relationships/hyperlink" Target="https://youtu.be/sftorSTk9Vg?t=5321" TargetMode="External"/><Relationship Id="rId183" Type="http://schemas.openxmlformats.org/officeDocument/2006/relationships/hyperlink" Target="https://youtu.be/oDx6C6bZDtA?t=1139" TargetMode="External"/><Relationship Id="rId32" Type="http://schemas.openxmlformats.org/officeDocument/2006/relationships/hyperlink" Target="https://youtu.be/Mps3gEJxkds?t=4464" TargetMode="External"/><Relationship Id="rId182" Type="http://schemas.openxmlformats.org/officeDocument/2006/relationships/hyperlink" Target="https://youtu.be/6sY6dqppSYc" TargetMode="External"/><Relationship Id="rId35" Type="http://schemas.openxmlformats.org/officeDocument/2006/relationships/hyperlink" Target="https://youtu.be/sftorSTk9Vg?t=6166" TargetMode="External"/><Relationship Id="rId181" Type="http://schemas.openxmlformats.org/officeDocument/2006/relationships/hyperlink" Target="https://youtu.be/oDx6C6bZDtA" TargetMode="External"/><Relationship Id="rId34" Type="http://schemas.openxmlformats.org/officeDocument/2006/relationships/hyperlink" Target="https://youtu.be/Mps3gEJxkds?t=5303" TargetMode="External"/><Relationship Id="rId180" Type="http://schemas.openxmlformats.org/officeDocument/2006/relationships/hyperlink" Target="https://youtu.be/UsFC-DSnSFU?t=7986" TargetMode="External"/><Relationship Id="rId37" Type="http://schemas.openxmlformats.org/officeDocument/2006/relationships/hyperlink" Target="https://youtu.be/sftorSTk9Vg?t=7054" TargetMode="External"/><Relationship Id="rId176" Type="http://schemas.openxmlformats.org/officeDocument/2006/relationships/hyperlink" Target="https://youtu.be/UsFC-DSnSFU?t=6174" TargetMode="External"/><Relationship Id="rId297" Type="http://schemas.openxmlformats.org/officeDocument/2006/relationships/hyperlink" Target="https://youtu.be/8JCfO5h2OXI?t=7122" TargetMode="External"/><Relationship Id="rId36" Type="http://schemas.openxmlformats.org/officeDocument/2006/relationships/hyperlink" Target="https://youtu.be/Mps3gEJxkds?t=6144" TargetMode="External"/><Relationship Id="rId175" Type="http://schemas.openxmlformats.org/officeDocument/2006/relationships/hyperlink" Target="https://youtu.be/Ox53SOJAFOA?t=6118" TargetMode="External"/><Relationship Id="rId296" Type="http://schemas.openxmlformats.org/officeDocument/2006/relationships/hyperlink" Target="https://youtu.be/S9kd_wExCD0?t=6173" TargetMode="External"/><Relationship Id="rId39" Type="http://schemas.openxmlformats.org/officeDocument/2006/relationships/hyperlink" Target="https://youtu.be/sftorSTk9Vg?t=7955" TargetMode="External"/><Relationship Id="rId174" Type="http://schemas.openxmlformats.org/officeDocument/2006/relationships/hyperlink" Target="https://youtu.be/UsFC-DSnSFU?t=5314" TargetMode="External"/><Relationship Id="rId295" Type="http://schemas.openxmlformats.org/officeDocument/2006/relationships/hyperlink" Target="https://youtu.be/8JCfO5h2OXI?t=6330" TargetMode="External"/><Relationship Id="rId38" Type="http://schemas.openxmlformats.org/officeDocument/2006/relationships/hyperlink" Target="https://youtu.be/Mps3gEJxkds?t=7030" TargetMode="External"/><Relationship Id="rId173" Type="http://schemas.openxmlformats.org/officeDocument/2006/relationships/hyperlink" Target="https://youtu.be/Ox53SOJAFOA?t=5277" TargetMode="External"/><Relationship Id="rId294" Type="http://schemas.openxmlformats.org/officeDocument/2006/relationships/hyperlink" Target="https://youtu.be/S9kd_wExCD0?t=5308" TargetMode="External"/><Relationship Id="rId179" Type="http://schemas.openxmlformats.org/officeDocument/2006/relationships/hyperlink" Target="https://youtu.be/Ox53SOJAFOA?t=7016" TargetMode="External"/><Relationship Id="rId178" Type="http://schemas.openxmlformats.org/officeDocument/2006/relationships/hyperlink" Target="https://youtu.be/UsFC-DSnSFU?t=7096" TargetMode="External"/><Relationship Id="rId299" Type="http://schemas.openxmlformats.org/officeDocument/2006/relationships/hyperlink" Target="https://youtu.be/8JCfO5h2OXI?t=7987" TargetMode="External"/><Relationship Id="rId177" Type="http://schemas.openxmlformats.org/officeDocument/2006/relationships/hyperlink" Target="https://youtu.be/Ox53SOJAFOA?t=7016" TargetMode="External"/><Relationship Id="rId298" Type="http://schemas.openxmlformats.org/officeDocument/2006/relationships/hyperlink" Target="https://youtu.be/S9kd_wExCD0?t=7078" TargetMode="External"/><Relationship Id="rId20" Type="http://schemas.openxmlformats.org/officeDocument/2006/relationships/hyperlink" Target="https://youtu.be/8r7zDteozZo?t=7891" TargetMode="External"/><Relationship Id="rId22" Type="http://schemas.openxmlformats.org/officeDocument/2006/relationships/hyperlink" Target="https://youtu.be/Mps3gEJxkds" TargetMode="External"/><Relationship Id="rId21" Type="http://schemas.openxmlformats.org/officeDocument/2006/relationships/hyperlink" Target="https://youtu.be/sftorSTk9Vg" TargetMode="External"/><Relationship Id="rId24" Type="http://schemas.openxmlformats.org/officeDocument/2006/relationships/hyperlink" Target="https://youtu.be/Mps3gEJxkds?t=866" TargetMode="External"/><Relationship Id="rId23" Type="http://schemas.openxmlformats.org/officeDocument/2006/relationships/hyperlink" Target="https://youtu.be/sftorSTk9Vg?t=892" TargetMode="External"/><Relationship Id="rId26" Type="http://schemas.openxmlformats.org/officeDocument/2006/relationships/hyperlink" Target="https://youtu.be/Mps3gEJxkds?t=1779" TargetMode="External"/><Relationship Id="rId25" Type="http://schemas.openxmlformats.org/officeDocument/2006/relationships/hyperlink" Target="https://youtu.be/sftorSTk9Vg?t=1784" TargetMode="External"/><Relationship Id="rId28" Type="http://schemas.openxmlformats.org/officeDocument/2006/relationships/hyperlink" Target="https://youtu.be/Mps3gEJxkds?t=2668" TargetMode="External"/><Relationship Id="rId27" Type="http://schemas.openxmlformats.org/officeDocument/2006/relationships/hyperlink" Target="https://youtu.be/sftorSTk9Vg?t=2677" TargetMode="External"/><Relationship Id="rId29" Type="http://schemas.openxmlformats.org/officeDocument/2006/relationships/hyperlink" Target="https://youtu.be/sftorSTk9Vg?t=3515" TargetMode="External"/><Relationship Id="rId11" Type="http://schemas.openxmlformats.org/officeDocument/2006/relationships/hyperlink" Target="https://youtu.be/ib2OJzAeuX8?t=4497" TargetMode="External"/><Relationship Id="rId10" Type="http://schemas.openxmlformats.org/officeDocument/2006/relationships/hyperlink" Target="https://youtu.be/8r7zDteozZo?t=3449" TargetMode="External"/><Relationship Id="rId13" Type="http://schemas.openxmlformats.org/officeDocument/2006/relationships/hyperlink" Target="https://youtu.be/ib2OJzAeuX8?t=5408" TargetMode="External"/><Relationship Id="rId12" Type="http://schemas.openxmlformats.org/officeDocument/2006/relationships/hyperlink" Target="https://youtu.be/8r7zDteozZo?t=4348" TargetMode="External"/><Relationship Id="rId15" Type="http://schemas.openxmlformats.org/officeDocument/2006/relationships/hyperlink" Target="https://youtu.be/ib2OJzAeuX8?t=6299" TargetMode="External"/><Relationship Id="rId198" Type="http://schemas.openxmlformats.org/officeDocument/2006/relationships/hyperlink" Target="https://youtu.be/6sY6dqppSYc?t=7361" TargetMode="External"/><Relationship Id="rId14" Type="http://schemas.openxmlformats.org/officeDocument/2006/relationships/hyperlink" Target="https://youtu.be/8r7zDteozZo?t=5247" TargetMode="External"/><Relationship Id="rId197" Type="http://schemas.openxmlformats.org/officeDocument/2006/relationships/hyperlink" Target="https://youtu.be/oDx6C6bZDtA?t=7260" TargetMode="External"/><Relationship Id="rId17" Type="http://schemas.openxmlformats.org/officeDocument/2006/relationships/hyperlink" Target="https://youtu.be/ib2OJzAeuX8?t=7140" TargetMode="External"/><Relationship Id="rId196" Type="http://schemas.openxmlformats.org/officeDocument/2006/relationships/hyperlink" Target="https://youtu.be/6sY6dqppSYc?t=6504" TargetMode="External"/><Relationship Id="rId16" Type="http://schemas.openxmlformats.org/officeDocument/2006/relationships/hyperlink" Target="https://youtu.be/8r7zDteozZo?t=6087" TargetMode="External"/><Relationship Id="rId195" Type="http://schemas.openxmlformats.org/officeDocument/2006/relationships/hyperlink" Target="https://youtu.be/oDx6C6bZDtA?t=6450" TargetMode="External"/><Relationship Id="rId19" Type="http://schemas.openxmlformats.org/officeDocument/2006/relationships/hyperlink" Target="https://youtu.be/ib2OJzAeuX8?t=8042" TargetMode="External"/><Relationship Id="rId18" Type="http://schemas.openxmlformats.org/officeDocument/2006/relationships/hyperlink" Target="https://youtu.be/8r7zDteozZo?t=6987" TargetMode="External"/><Relationship Id="rId199" Type="http://schemas.openxmlformats.org/officeDocument/2006/relationships/hyperlink" Target="https://youtu.be/oDx6C6bZDtA?t=8086" TargetMode="External"/><Relationship Id="rId84" Type="http://schemas.openxmlformats.org/officeDocument/2006/relationships/hyperlink" Target="https://youtu.be/jh4x72sSPps?t=865" TargetMode="External"/><Relationship Id="rId83" Type="http://schemas.openxmlformats.org/officeDocument/2006/relationships/hyperlink" Target="https://youtu.be/JFdqtRnimSs?t=1036" TargetMode="External"/><Relationship Id="rId86" Type="http://schemas.openxmlformats.org/officeDocument/2006/relationships/hyperlink" Target="https://youtu.be/jh4x72sSPps?t=1684" TargetMode="External"/><Relationship Id="rId85" Type="http://schemas.openxmlformats.org/officeDocument/2006/relationships/hyperlink" Target="https://youtu.be/JFdqtRnimSs?t=1858" TargetMode="External"/><Relationship Id="rId88" Type="http://schemas.openxmlformats.org/officeDocument/2006/relationships/hyperlink" Target="https://youtu.be/jh4x72sSPps?t=2635" TargetMode="External"/><Relationship Id="rId150" Type="http://schemas.openxmlformats.org/officeDocument/2006/relationships/hyperlink" Target="https://youtu.be/HxfWVKcK194?t=3749" TargetMode="External"/><Relationship Id="rId271" Type="http://schemas.openxmlformats.org/officeDocument/2006/relationships/hyperlink" Target="https://youtu.be/xXp8tVKrde4?t=4407" TargetMode="External"/><Relationship Id="rId87" Type="http://schemas.openxmlformats.org/officeDocument/2006/relationships/hyperlink" Target="https://youtu.be/JFdqtRnimSs?t=2741" TargetMode="External"/><Relationship Id="rId270" Type="http://schemas.openxmlformats.org/officeDocument/2006/relationships/hyperlink" Target="https://youtu.be/MnFVmFbRMGw?t=3562" TargetMode="External"/><Relationship Id="rId89" Type="http://schemas.openxmlformats.org/officeDocument/2006/relationships/hyperlink" Target="https://youtu.be/JFdqtRnimSs?t=3599" TargetMode="External"/><Relationship Id="rId80" Type="http://schemas.openxmlformats.org/officeDocument/2006/relationships/hyperlink" Target="https://youtu.be/Wng5luBV5yM?t=7931" TargetMode="External"/><Relationship Id="rId82" Type="http://schemas.openxmlformats.org/officeDocument/2006/relationships/hyperlink" Target="https://youtu.be/jh4x72sSPps" TargetMode="External"/><Relationship Id="rId81" Type="http://schemas.openxmlformats.org/officeDocument/2006/relationships/hyperlink" Target="https://youtu.be/JFdqtRnimSs" TargetMode="External"/><Relationship Id="rId1" Type="http://schemas.openxmlformats.org/officeDocument/2006/relationships/hyperlink" Target="https://youtu.be/ib2OJzAeuX8" TargetMode="External"/><Relationship Id="rId2" Type="http://schemas.openxmlformats.org/officeDocument/2006/relationships/hyperlink" Target="https://youtu.be/8r7zDteozZo" TargetMode="External"/><Relationship Id="rId3" Type="http://schemas.openxmlformats.org/officeDocument/2006/relationships/hyperlink" Target="https://youtu.be/ib2OJzAeuX8?t=1062" TargetMode="External"/><Relationship Id="rId149" Type="http://schemas.openxmlformats.org/officeDocument/2006/relationships/hyperlink" Target="https://youtu.be/YJH1jaaD_g4?t=3605" TargetMode="External"/><Relationship Id="rId4" Type="http://schemas.openxmlformats.org/officeDocument/2006/relationships/hyperlink" Target="https://youtu.be/8r7zDteozZo?t=807" TargetMode="External"/><Relationship Id="rId148" Type="http://schemas.openxmlformats.org/officeDocument/2006/relationships/hyperlink" Target="https://youtu.be/HxfWVKcK194?t=2909" TargetMode="External"/><Relationship Id="rId269" Type="http://schemas.openxmlformats.org/officeDocument/2006/relationships/hyperlink" Target="https://youtu.be/xXp8tVKrde4?t=3511" TargetMode="External"/><Relationship Id="rId9" Type="http://schemas.openxmlformats.org/officeDocument/2006/relationships/hyperlink" Target="https://youtu.be/ib2OJzAeuX8?t=3605" TargetMode="External"/><Relationship Id="rId143" Type="http://schemas.openxmlformats.org/officeDocument/2006/relationships/hyperlink" Target="https://youtu.be/YJH1jaaD_g4?t=1014" TargetMode="External"/><Relationship Id="rId264" Type="http://schemas.openxmlformats.org/officeDocument/2006/relationships/hyperlink" Target="https://youtu.be/MnFVmFbRMGw?t=887" TargetMode="External"/><Relationship Id="rId142" Type="http://schemas.openxmlformats.org/officeDocument/2006/relationships/hyperlink" Target="https://youtu.be/HxfWVKcK194" TargetMode="External"/><Relationship Id="rId263" Type="http://schemas.openxmlformats.org/officeDocument/2006/relationships/hyperlink" Target="https://youtu.be/xXp8tVKrde4?t=909" TargetMode="External"/><Relationship Id="rId141" Type="http://schemas.openxmlformats.org/officeDocument/2006/relationships/hyperlink" Target="https://youtu.be/YJH1jaaD_g4" TargetMode="External"/><Relationship Id="rId262" Type="http://schemas.openxmlformats.org/officeDocument/2006/relationships/hyperlink" Target="https://youtu.be/MnFVmFbRMGw" TargetMode="External"/><Relationship Id="rId140" Type="http://schemas.openxmlformats.org/officeDocument/2006/relationships/hyperlink" Target="https://youtu.be/K1HpqPcsCUs?t=8223" TargetMode="External"/><Relationship Id="rId261" Type="http://schemas.openxmlformats.org/officeDocument/2006/relationships/hyperlink" Target="https://youtu.be/xXp8tVKrde4" TargetMode="External"/><Relationship Id="rId5" Type="http://schemas.openxmlformats.org/officeDocument/2006/relationships/hyperlink" Target="https://youtu.be/ib2OJzAeuX8?t=1931" TargetMode="External"/><Relationship Id="rId147" Type="http://schemas.openxmlformats.org/officeDocument/2006/relationships/hyperlink" Target="https://youtu.be/YJH1jaaD_g4?t=2753" TargetMode="External"/><Relationship Id="rId268" Type="http://schemas.openxmlformats.org/officeDocument/2006/relationships/hyperlink" Target="https://youtu.be/MnFVmFbRMGw?t=2696" TargetMode="External"/><Relationship Id="rId6" Type="http://schemas.openxmlformats.org/officeDocument/2006/relationships/hyperlink" Target="https://youtu.be/8r7zDteozZo?t=1713" TargetMode="External"/><Relationship Id="rId146" Type="http://schemas.openxmlformats.org/officeDocument/2006/relationships/hyperlink" Target="https://youtu.be/HxfWVKcK194?t=2020" TargetMode="External"/><Relationship Id="rId267" Type="http://schemas.openxmlformats.org/officeDocument/2006/relationships/hyperlink" Target="https://youtu.be/xXp8tVKrde4?t=2676" TargetMode="External"/><Relationship Id="rId7" Type="http://schemas.openxmlformats.org/officeDocument/2006/relationships/hyperlink" Target="https://youtu.be/ib2OJzAeuX8?t=2772" TargetMode="External"/><Relationship Id="rId145" Type="http://schemas.openxmlformats.org/officeDocument/2006/relationships/hyperlink" Target="https://youtu.be/YJH1jaaD_g4?t=1854" TargetMode="External"/><Relationship Id="rId266" Type="http://schemas.openxmlformats.org/officeDocument/2006/relationships/hyperlink" Target="https://youtu.be/MnFVmFbRMGw?t=1789" TargetMode="External"/><Relationship Id="rId8" Type="http://schemas.openxmlformats.org/officeDocument/2006/relationships/hyperlink" Target="https://youtu.be/8r7zDteozZo?t=2607" TargetMode="External"/><Relationship Id="rId144" Type="http://schemas.openxmlformats.org/officeDocument/2006/relationships/hyperlink" Target="https://youtu.be/HxfWVKcK194?t=1116" TargetMode="External"/><Relationship Id="rId265" Type="http://schemas.openxmlformats.org/officeDocument/2006/relationships/hyperlink" Target="https://youtu.be/xXp8tVKrde4?t=1798" TargetMode="External"/><Relationship Id="rId73" Type="http://schemas.openxmlformats.org/officeDocument/2006/relationships/hyperlink" Target="https://youtu.be/yaHVIiF0_uk?t=5353" TargetMode="External"/><Relationship Id="rId72" Type="http://schemas.openxmlformats.org/officeDocument/2006/relationships/hyperlink" Target="https://youtu.be/Wng5luBV5yM?t=4409" TargetMode="External"/><Relationship Id="rId75" Type="http://schemas.openxmlformats.org/officeDocument/2006/relationships/hyperlink" Target="https://youtu.be/yaHVIiF0_uk?t=6189" TargetMode="External"/><Relationship Id="rId74" Type="http://schemas.openxmlformats.org/officeDocument/2006/relationships/hyperlink" Target="https://youtu.be/Wng5luBV5yM?t=5292" TargetMode="External"/><Relationship Id="rId77" Type="http://schemas.openxmlformats.org/officeDocument/2006/relationships/hyperlink" Target="https://youtu.be/yaHVIiF0_uk?t=7083" TargetMode="External"/><Relationship Id="rId260" Type="http://schemas.openxmlformats.org/officeDocument/2006/relationships/hyperlink" Target="https://youtu.be/UM6XVfBWLBU?t=7925" TargetMode="External"/><Relationship Id="rId76" Type="http://schemas.openxmlformats.org/officeDocument/2006/relationships/hyperlink" Target="https://youtu.be/Wng5luBV5yM?t=6130" TargetMode="External"/><Relationship Id="rId79" Type="http://schemas.openxmlformats.org/officeDocument/2006/relationships/hyperlink" Target="https://youtu.be/yaHVIiF0_uk?t=7983" TargetMode="External"/><Relationship Id="rId78" Type="http://schemas.openxmlformats.org/officeDocument/2006/relationships/hyperlink" Target="https://youtu.be/Wng5luBV5yM?t=7031" TargetMode="External"/><Relationship Id="rId71" Type="http://schemas.openxmlformats.org/officeDocument/2006/relationships/hyperlink" Target="https://youtu.be/yaHVIiF0_uk?t=4444" TargetMode="External"/><Relationship Id="rId70" Type="http://schemas.openxmlformats.org/officeDocument/2006/relationships/hyperlink" Target="https://youtu.be/Wng5luBV5yM?t=3506" TargetMode="External"/><Relationship Id="rId139" Type="http://schemas.openxmlformats.org/officeDocument/2006/relationships/hyperlink" Target="https://youtu.be/DCZkGfgcirE?t=8000" TargetMode="External"/><Relationship Id="rId138" Type="http://schemas.openxmlformats.org/officeDocument/2006/relationships/hyperlink" Target="https://youtu.be/K1HpqPcsCUs?t=7255" TargetMode="External"/><Relationship Id="rId259" Type="http://schemas.openxmlformats.org/officeDocument/2006/relationships/hyperlink" Target="https://youtu.be/r2H4GGCYiu4?t=7983" TargetMode="External"/><Relationship Id="rId137" Type="http://schemas.openxmlformats.org/officeDocument/2006/relationships/hyperlink" Target="https://youtu.be/DCZkGfgcirE?t=7104" TargetMode="External"/><Relationship Id="rId258" Type="http://schemas.openxmlformats.org/officeDocument/2006/relationships/hyperlink" Target="https://youtu.be/UM6XVfBWLBU?t=7018" TargetMode="External"/><Relationship Id="rId132" Type="http://schemas.openxmlformats.org/officeDocument/2006/relationships/hyperlink" Target="https://youtu.be/K1HpqPcsCUs?t=4705" TargetMode="External"/><Relationship Id="rId253" Type="http://schemas.openxmlformats.org/officeDocument/2006/relationships/hyperlink" Target="https://youtu.be/r2H4GGCYiu4?t=5373" TargetMode="External"/><Relationship Id="rId131" Type="http://schemas.openxmlformats.org/officeDocument/2006/relationships/hyperlink" Target="https://youtu.be/DCZkGfgcirE?t=4543" TargetMode="External"/><Relationship Id="rId252" Type="http://schemas.openxmlformats.org/officeDocument/2006/relationships/hyperlink" Target="https://youtu.be/UM6XVfBWLBU?t=4403" TargetMode="External"/><Relationship Id="rId130" Type="http://schemas.openxmlformats.org/officeDocument/2006/relationships/hyperlink" Target="https://youtu.be/K1HpqPcsCUs?t=3796" TargetMode="External"/><Relationship Id="rId251" Type="http://schemas.openxmlformats.org/officeDocument/2006/relationships/hyperlink" Target="https://youtu.be/r2H4GGCYiu4?t=4483" TargetMode="External"/><Relationship Id="rId250" Type="http://schemas.openxmlformats.org/officeDocument/2006/relationships/hyperlink" Target="https://youtu.be/UM6XVfBWLBU?t=3580" TargetMode="External"/><Relationship Id="rId136" Type="http://schemas.openxmlformats.org/officeDocument/2006/relationships/hyperlink" Target="https://youtu.be/K1HpqPcsCUs?t=6414" TargetMode="External"/><Relationship Id="rId257" Type="http://schemas.openxmlformats.org/officeDocument/2006/relationships/hyperlink" Target="https://youtu.be/r2H4GGCYiu4?t=7113" TargetMode="External"/><Relationship Id="rId135" Type="http://schemas.openxmlformats.org/officeDocument/2006/relationships/hyperlink" Target="https://youtu.be/DCZkGfgcirE?t=6210" TargetMode="External"/><Relationship Id="rId256" Type="http://schemas.openxmlformats.org/officeDocument/2006/relationships/hyperlink" Target="https://youtu.be/UM6XVfBWLBU?t=6146" TargetMode="External"/><Relationship Id="rId134" Type="http://schemas.openxmlformats.org/officeDocument/2006/relationships/hyperlink" Target="https://youtu.be/K1HpqPcsCUs?t=5562" TargetMode="External"/><Relationship Id="rId255" Type="http://schemas.openxmlformats.org/officeDocument/2006/relationships/hyperlink" Target="https://youtu.be/r2H4GGCYiu4?t=6214" TargetMode="External"/><Relationship Id="rId133" Type="http://schemas.openxmlformats.org/officeDocument/2006/relationships/hyperlink" Target="https://youtu.be/DCZkGfgcirE?t=5422" TargetMode="External"/><Relationship Id="rId254" Type="http://schemas.openxmlformats.org/officeDocument/2006/relationships/hyperlink" Target="https://youtu.be/UM6XVfBWLBU?t=5286" TargetMode="External"/><Relationship Id="rId62" Type="http://schemas.openxmlformats.org/officeDocument/2006/relationships/hyperlink" Target="https://youtu.be/Wng5luBV5yM" TargetMode="External"/><Relationship Id="rId61" Type="http://schemas.openxmlformats.org/officeDocument/2006/relationships/hyperlink" Target="https://youtu.be/yaHVIiF0_uk" TargetMode="External"/><Relationship Id="rId64" Type="http://schemas.openxmlformats.org/officeDocument/2006/relationships/hyperlink" Target="https://youtu.be/Wng5luBV5yM?t=885" TargetMode="External"/><Relationship Id="rId63" Type="http://schemas.openxmlformats.org/officeDocument/2006/relationships/hyperlink" Target="https://youtu.be/yaHVIiF0_uk?t=931" TargetMode="External"/><Relationship Id="rId66" Type="http://schemas.openxmlformats.org/officeDocument/2006/relationships/hyperlink" Target="https://youtu.be/Wng5luBV5yM?t=1744" TargetMode="External"/><Relationship Id="rId172" Type="http://schemas.openxmlformats.org/officeDocument/2006/relationships/hyperlink" Target="https://youtu.be/UsFC-DSnSFU?t=4552" TargetMode="External"/><Relationship Id="rId293" Type="http://schemas.openxmlformats.org/officeDocument/2006/relationships/hyperlink" Target="https://youtu.be/8JCfO5h2OXI?t=5447" TargetMode="External"/><Relationship Id="rId65" Type="http://schemas.openxmlformats.org/officeDocument/2006/relationships/hyperlink" Target="https://youtu.be/yaHVIiF0_uk?t=1809" TargetMode="External"/><Relationship Id="rId171" Type="http://schemas.openxmlformats.org/officeDocument/2006/relationships/hyperlink" Target="https://youtu.be/Ox53SOJAFOA?t=4379" TargetMode="External"/><Relationship Id="rId292" Type="http://schemas.openxmlformats.org/officeDocument/2006/relationships/hyperlink" Target="https://youtu.be/S9kd_wExCD0?t=4491" TargetMode="External"/><Relationship Id="rId68" Type="http://schemas.openxmlformats.org/officeDocument/2006/relationships/hyperlink" Target="https://youtu.be/Wng5luBV5yM?t=2662" TargetMode="External"/><Relationship Id="rId170" Type="http://schemas.openxmlformats.org/officeDocument/2006/relationships/hyperlink" Target="https://youtu.be/UsFC-DSnSFU?t=3681" TargetMode="External"/><Relationship Id="rId291" Type="http://schemas.openxmlformats.org/officeDocument/2006/relationships/hyperlink" Target="https://youtu.be/8JCfO5h2OXI?t=4627" TargetMode="External"/><Relationship Id="rId67" Type="http://schemas.openxmlformats.org/officeDocument/2006/relationships/hyperlink" Target="https://youtu.be/yaHVIiF0_uk?t=2704" TargetMode="External"/><Relationship Id="rId290" Type="http://schemas.openxmlformats.org/officeDocument/2006/relationships/hyperlink" Target="https://youtu.be/S9kd_wExCD0?t=3652" TargetMode="External"/><Relationship Id="rId60" Type="http://schemas.openxmlformats.org/officeDocument/2006/relationships/hyperlink" Target="https://youtu.be/5vCt1bY6Cuw?t=7925" TargetMode="External"/><Relationship Id="rId165" Type="http://schemas.openxmlformats.org/officeDocument/2006/relationships/hyperlink" Target="https://youtu.be/Ox53SOJAFOA?t=1870" TargetMode="External"/><Relationship Id="rId286" Type="http://schemas.openxmlformats.org/officeDocument/2006/relationships/hyperlink" Target="https://youtu.be/S9kd_wExCD0?t=1739" TargetMode="External"/><Relationship Id="rId69" Type="http://schemas.openxmlformats.org/officeDocument/2006/relationships/hyperlink" Target="https://youtu.be/yaHVIiF0_uk?t=3554" TargetMode="External"/><Relationship Id="rId164" Type="http://schemas.openxmlformats.org/officeDocument/2006/relationships/hyperlink" Target="https://youtu.be/UsFC-DSnSFU?t=1127" TargetMode="External"/><Relationship Id="rId285" Type="http://schemas.openxmlformats.org/officeDocument/2006/relationships/hyperlink" Target="https://youtu.be/8JCfO5h2OXI?t=1872" TargetMode="External"/><Relationship Id="rId163" Type="http://schemas.openxmlformats.org/officeDocument/2006/relationships/hyperlink" Target="https://youtu.be/Ox53SOJAFOA?t=970" TargetMode="External"/><Relationship Id="rId284" Type="http://schemas.openxmlformats.org/officeDocument/2006/relationships/hyperlink" Target="https://youtu.be/S9kd_wExCD0?t=848" TargetMode="External"/><Relationship Id="rId162" Type="http://schemas.openxmlformats.org/officeDocument/2006/relationships/hyperlink" Target="https://youtu.be/UsFC-DSnSFU" TargetMode="External"/><Relationship Id="rId283" Type="http://schemas.openxmlformats.org/officeDocument/2006/relationships/hyperlink" Target="https://youtu.be/8JCfO5h2OXI?t=975" TargetMode="External"/><Relationship Id="rId169" Type="http://schemas.openxmlformats.org/officeDocument/2006/relationships/hyperlink" Target="https://youtu.be/Ox53SOJAFOA?t=3477" TargetMode="External"/><Relationship Id="rId168" Type="http://schemas.openxmlformats.org/officeDocument/2006/relationships/hyperlink" Target="https://youtu.be/UsFC-DSnSFU?t=2852" TargetMode="External"/><Relationship Id="rId289" Type="http://schemas.openxmlformats.org/officeDocument/2006/relationships/hyperlink" Target="https://youtu.be/8JCfO5h2OXI?t=3596" TargetMode="External"/><Relationship Id="rId167" Type="http://schemas.openxmlformats.org/officeDocument/2006/relationships/hyperlink" Target="https://youtu.be/Ox53SOJAFOA?t=2706" TargetMode="External"/><Relationship Id="rId288" Type="http://schemas.openxmlformats.org/officeDocument/2006/relationships/hyperlink" Target="https://youtu.be/S9kd_wExCD0?t=2729" TargetMode="External"/><Relationship Id="rId166" Type="http://schemas.openxmlformats.org/officeDocument/2006/relationships/hyperlink" Target="https://youtu.be/UsFC-DSnSFU?t=2008" TargetMode="External"/><Relationship Id="rId287" Type="http://schemas.openxmlformats.org/officeDocument/2006/relationships/hyperlink" Target="https://youtu.be/8JCfO5h2OXI?t=2733" TargetMode="External"/><Relationship Id="rId51" Type="http://schemas.openxmlformats.org/officeDocument/2006/relationships/hyperlink" Target="https://youtu.be/Z_2-8yq7kuM?t=4420" TargetMode="External"/><Relationship Id="rId50" Type="http://schemas.openxmlformats.org/officeDocument/2006/relationships/hyperlink" Target="https://youtu.be/5vCt1bY6Cuw?t=3498" TargetMode="External"/><Relationship Id="rId53" Type="http://schemas.openxmlformats.org/officeDocument/2006/relationships/hyperlink" Target="https://youtu.be/Z_2-8yq7kuM?t=5321" TargetMode="External"/><Relationship Id="rId52" Type="http://schemas.openxmlformats.org/officeDocument/2006/relationships/hyperlink" Target="https://youtu.be/5vCt1bY6Cuw?t=4413" TargetMode="External"/><Relationship Id="rId55" Type="http://schemas.openxmlformats.org/officeDocument/2006/relationships/hyperlink" Target="https://youtu.be/Z_2-8yq7kuM?t=6164" TargetMode="External"/><Relationship Id="rId161" Type="http://schemas.openxmlformats.org/officeDocument/2006/relationships/hyperlink" Target="https://youtu.be/Ox53SOJAFOA" TargetMode="External"/><Relationship Id="rId282" Type="http://schemas.openxmlformats.org/officeDocument/2006/relationships/hyperlink" Target="https://youtu.be/S9kd_wExCD0" TargetMode="External"/><Relationship Id="rId54" Type="http://schemas.openxmlformats.org/officeDocument/2006/relationships/hyperlink" Target="https://youtu.be/5vCt1bY6Cuw?t=5283" TargetMode="External"/><Relationship Id="rId160" Type="http://schemas.openxmlformats.org/officeDocument/2006/relationships/hyperlink" Target="https://youtu.be/HxfWVKcK194?t=8144" TargetMode="External"/><Relationship Id="rId281" Type="http://schemas.openxmlformats.org/officeDocument/2006/relationships/hyperlink" Target="https://youtu.be/8JCfO5h2OXI" TargetMode="External"/><Relationship Id="rId57" Type="http://schemas.openxmlformats.org/officeDocument/2006/relationships/hyperlink" Target="https://youtu.be/Z_2-8yq7kuM?t=7058" TargetMode="External"/><Relationship Id="rId280" Type="http://schemas.openxmlformats.org/officeDocument/2006/relationships/hyperlink" Target="https://youtu.be/MnFVmFbRMGw?t=7966" TargetMode="External"/><Relationship Id="rId56" Type="http://schemas.openxmlformats.org/officeDocument/2006/relationships/hyperlink" Target="https://youtu.be/5vCt1bY6Cuw?t=6123" TargetMode="External"/><Relationship Id="rId159" Type="http://schemas.openxmlformats.org/officeDocument/2006/relationships/hyperlink" Target="https://youtu.be/YJH1jaaD_g4?t=8014" TargetMode="External"/><Relationship Id="rId59" Type="http://schemas.openxmlformats.org/officeDocument/2006/relationships/hyperlink" Target="https://youtu.be/Z_2-8yq7kuM?t=7955" TargetMode="External"/><Relationship Id="rId154" Type="http://schemas.openxmlformats.org/officeDocument/2006/relationships/hyperlink" Target="https://youtu.be/HxfWVKcK194?t=5526" TargetMode="External"/><Relationship Id="rId275" Type="http://schemas.openxmlformats.org/officeDocument/2006/relationships/hyperlink" Target="https://youtu.be/xXp8tVKrde4?t=6226" TargetMode="External"/><Relationship Id="rId58" Type="http://schemas.openxmlformats.org/officeDocument/2006/relationships/hyperlink" Target="https://youtu.be/5vCt1bY6Cuw?t=7022" TargetMode="External"/><Relationship Id="rId153" Type="http://schemas.openxmlformats.org/officeDocument/2006/relationships/hyperlink" Target="https://youtu.be/YJH1jaaD_g4?t=5358" TargetMode="External"/><Relationship Id="rId274" Type="http://schemas.openxmlformats.org/officeDocument/2006/relationships/hyperlink" Target="https://youtu.be/MnFVmFbRMGw?t=5323" TargetMode="External"/><Relationship Id="rId152" Type="http://schemas.openxmlformats.org/officeDocument/2006/relationships/hyperlink" Target="https://youtu.be/HxfWVKcK194?t=4637" TargetMode="External"/><Relationship Id="rId273" Type="http://schemas.openxmlformats.org/officeDocument/2006/relationships/hyperlink" Target="https://youtu.be/xXp8tVKrde4?t=5309" TargetMode="External"/><Relationship Id="rId151" Type="http://schemas.openxmlformats.org/officeDocument/2006/relationships/hyperlink" Target="https://youtu.be/YJH1jaaD_g4?t=4457" TargetMode="External"/><Relationship Id="rId272" Type="http://schemas.openxmlformats.org/officeDocument/2006/relationships/hyperlink" Target="https://youtu.be/MnFVmFbRMGw?t=4443" TargetMode="External"/><Relationship Id="rId158" Type="http://schemas.openxmlformats.org/officeDocument/2006/relationships/hyperlink" Target="https://youtu.be/HxfWVKcK194?t=7285" TargetMode="External"/><Relationship Id="rId279" Type="http://schemas.openxmlformats.org/officeDocument/2006/relationships/hyperlink" Target="https://youtu.be/xXp8tVKrde4?t=7949" TargetMode="External"/><Relationship Id="rId157" Type="http://schemas.openxmlformats.org/officeDocument/2006/relationships/hyperlink" Target="https://youtu.be/YJH1jaaD_g4?t=7105" TargetMode="External"/><Relationship Id="rId278" Type="http://schemas.openxmlformats.org/officeDocument/2006/relationships/hyperlink" Target="https://youtu.be/MnFVmFbRMGw?t=7071" TargetMode="External"/><Relationship Id="rId156" Type="http://schemas.openxmlformats.org/officeDocument/2006/relationships/hyperlink" Target="https://youtu.be/HxfWVKcK194?t=6365" TargetMode="External"/><Relationship Id="rId277" Type="http://schemas.openxmlformats.org/officeDocument/2006/relationships/hyperlink" Target="https://youtu.be/xXp8tVKrde4?t=7074" TargetMode="External"/><Relationship Id="rId155" Type="http://schemas.openxmlformats.org/officeDocument/2006/relationships/hyperlink" Target="https://youtu.be/YJH1jaaD_g4?t=6237" TargetMode="External"/><Relationship Id="rId276" Type="http://schemas.openxmlformats.org/officeDocument/2006/relationships/hyperlink" Target="https://youtu.be/MnFVmFbRMGw?t=6174" TargetMode="External"/><Relationship Id="rId107" Type="http://schemas.openxmlformats.org/officeDocument/2006/relationships/hyperlink" Target="https://youtu.be/XweIy6pWGNc?t=2638" TargetMode="External"/><Relationship Id="rId228" Type="http://schemas.openxmlformats.org/officeDocument/2006/relationships/hyperlink" Target="https://youtu.be/XVqAvtaF5EI?t=2708" TargetMode="External"/><Relationship Id="rId349" Type="http://schemas.openxmlformats.org/officeDocument/2006/relationships/hyperlink" Target="https://youtu.be/lpGIHLglZPA?t=3712" TargetMode="External"/><Relationship Id="rId106" Type="http://schemas.openxmlformats.org/officeDocument/2006/relationships/hyperlink" Target="https://youtu.be/-fWxwfPCpLc?t=1900" TargetMode="External"/><Relationship Id="rId227" Type="http://schemas.openxmlformats.org/officeDocument/2006/relationships/hyperlink" Target="https://youtu.be/rfDODXnR3-c?t=2746" TargetMode="External"/><Relationship Id="rId348" Type="http://schemas.openxmlformats.org/officeDocument/2006/relationships/hyperlink" Target="https://youtu.be/D9FVcCIk-B0?t=2827" TargetMode="External"/><Relationship Id="rId105" Type="http://schemas.openxmlformats.org/officeDocument/2006/relationships/hyperlink" Target="https://youtu.be/XweIy6pWGNc?t=1796" TargetMode="External"/><Relationship Id="rId226" Type="http://schemas.openxmlformats.org/officeDocument/2006/relationships/hyperlink" Target="https://youtu.be/XVqAvtaF5EI?t=1793" TargetMode="External"/><Relationship Id="rId347" Type="http://schemas.openxmlformats.org/officeDocument/2006/relationships/hyperlink" Target="https://youtu.be/lpGIHLglZPA?t=2891" TargetMode="External"/><Relationship Id="rId104" Type="http://schemas.openxmlformats.org/officeDocument/2006/relationships/hyperlink" Target="https://youtu.be/-fWxwfPCpLc?t=995" TargetMode="External"/><Relationship Id="rId225" Type="http://schemas.openxmlformats.org/officeDocument/2006/relationships/hyperlink" Target="https://youtu.be/rfDODXnR3-c?t=1880" TargetMode="External"/><Relationship Id="rId346" Type="http://schemas.openxmlformats.org/officeDocument/2006/relationships/hyperlink" Target="https://youtu.be/D9FVcCIk-B0?t=1961" TargetMode="External"/><Relationship Id="rId109" Type="http://schemas.openxmlformats.org/officeDocument/2006/relationships/hyperlink" Target="https://youtu.be/XweIy6pWGNc?t=3506" TargetMode="External"/><Relationship Id="rId108" Type="http://schemas.openxmlformats.org/officeDocument/2006/relationships/hyperlink" Target="https://youtu.be/-fWxwfPCpLc?t=2763" TargetMode="External"/><Relationship Id="rId229" Type="http://schemas.openxmlformats.org/officeDocument/2006/relationships/hyperlink" Target="https://youtu.be/rfDODXnR3-c?t=3580" TargetMode="External"/><Relationship Id="rId220" Type="http://schemas.openxmlformats.org/officeDocument/2006/relationships/hyperlink" Target="https://youtu.be/4ug8-o2aPqM?t=7882" TargetMode="External"/><Relationship Id="rId341" Type="http://schemas.openxmlformats.org/officeDocument/2006/relationships/hyperlink" Target="https://youtu.be/lpGIHLglZPA" TargetMode="External"/><Relationship Id="rId340" Type="http://schemas.openxmlformats.org/officeDocument/2006/relationships/hyperlink" Target="https://youtu.be/3PzdsLdQELE?t=7953" TargetMode="External"/><Relationship Id="rId103" Type="http://schemas.openxmlformats.org/officeDocument/2006/relationships/hyperlink" Target="https://youtu.be/XweIy6pWGNc?t=949" TargetMode="External"/><Relationship Id="rId224" Type="http://schemas.openxmlformats.org/officeDocument/2006/relationships/hyperlink" Target="https://youtu.be/XVqAvtaF5EI?t=901" TargetMode="External"/><Relationship Id="rId345" Type="http://schemas.openxmlformats.org/officeDocument/2006/relationships/hyperlink" Target="https://youtu.be/lpGIHLglZPA?t=2033" TargetMode="External"/><Relationship Id="rId102" Type="http://schemas.openxmlformats.org/officeDocument/2006/relationships/hyperlink" Target="https://youtu.be/-fWxwfPCpLc" TargetMode="External"/><Relationship Id="rId223" Type="http://schemas.openxmlformats.org/officeDocument/2006/relationships/hyperlink" Target="https://youtu.be/rfDODXnR3-c?t=970" TargetMode="External"/><Relationship Id="rId344" Type="http://schemas.openxmlformats.org/officeDocument/2006/relationships/hyperlink" Target="https://youtu.be/D9FVcCIk-B0?t=977" TargetMode="External"/><Relationship Id="rId101" Type="http://schemas.openxmlformats.org/officeDocument/2006/relationships/hyperlink" Target="https://youtu.be/XweIy6pWGNc" TargetMode="External"/><Relationship Id="rId222" Type="http://schemas.openxmlformats.org/officeDocument/2006/relationships/hyperlink" Target="https://youtu.be/XVqAvtaF5EI" TargetMode="External"/><Relationship Id="rId343" Type="http://schemas.openxmlformats.org/officeDocument/2006/relationships/hyperlink" Target="https://youtu.be/lpGIHLglZPA?t=1047" TargetMode="External"/><Relationship Id="rId100" Type="http://schemas.openxmlformats.org/officeDocument/2006/relationships/hyperlink" Target="https://youtu.be/jh4x72sSPps?t=7871" TargetMode="External"/><Relationship Id="rId221" Type="http://schemas.openxmlformats.org/officeDocument/2006/relationships/hyperlink" Target="https://youtu.be/rfDODXnR3-c" TargetMode="External"/><Relationship Id="rId342" Type="http://schemas.openxmlformats.org/officeDocument/2006/relationships/hyperlink" Target="https://youtu.be/D9FVcCIk-B0" TargetMode="External"/><Relationship Id="rId217" Type="http://schemas.openxmlformats.org/officeDocument/2006/relationships/hyperlink" Target="https://youtu.be/kZxGujwLju0?t=7039" TargetMode="External"/><Relationship Id="rId338" Type="http://schemas.openxmlformats.org/officeDocument/2006/relationships/hyperlink" Target="https://youtu.be/3PzdsLdQELE?t=7052" TargetMode="External"/><Relationship Id="rId216" Type="http://schemas.openxmlformats.org/officeDocument/2006/relationships/hyperlink" Target="https://youtu.be/4ug8-o2aPqM?t=6123" TargetMode="External"/><Relationship Id="rId337" Type="http://schemas.openxmlformats.org/officeDocument/2006/relationships/hyperlink" Target="https://youtu.be/QSUg5qP80-U?t=7075" TargetMode="External"/><Relationship Id="rId215" Type="http://schemas.openxmlformats.org/officeDocument/2006/relationships/hyperlink" Target="https://youtu.be/kZxGujwLju0?t=6138" TargetMode="External"/><Relationship Id="rId336" Type="http://schemas.openxmlformats.org/officeDocument/2006/relationships/hyperlink" Target="https://youtu.be/3PzdsLdQELE?t=6152" TargetMode="External"/><Relationship Id="rId214" Type="http://schemas.openxmlformats.org/officeDocument/2006/relationships/hyperlink" Target="https://youtu.be/4ug8-o2aPqM?t=5246" TargetMode="External"/><Relationship Id="rId335" Type="http://schemas.openxmlformats.org/officeDocument/2006/relationships/hyperlink" Target="https://youtu.be/QSUg5qP80-U?t=6192" TargetMode="External"/><Relationship Id="rId219" Type="http://schemas.openxmlformats.org/officeDocument/2006/relationships/hyperlink" Target="https://youtu.be/kZxGujwLju0?t=7909" TargetMode="External"/><Relationship Id="rId218" Type="http://schemas.openxmlformats.org/officeDocument/2006/relationships/hyperlink" Target="https://youtu.be/4ug8-o2aPqM?t=6982" TargetMode="External"/><Relationship Id="rId339" Type="http://schemas.openxmlformats.org/officeDocument/2006/relationships/hyperlink" Target="https://youtu.be/QSUg5qP80-U?t=7944" TargetMode="External"/><Relationship Id="rId330" Type="http://schemas.openxmlformats.org/officeDocument/2006/relationships/hyperlink" Target="https://youtu.be/3PzdsLdQELE?t=3513" TargetMode="External"/><Relationship Id="rId213" Type="http://schemas.openxmlformats.org/officeDocument/2006/relationships/hyperlink" Target="https://youtu.be/kZxGujwLju0?t=5268" TargetMode="External"/><Relationship Id="rId334" Type="http://schemas.openxmlformats.org/officeDocument/2006/relationships/hyperlink" Target="https://youtu.be/3PzdsLdQELE?t=5312" TargetMode="External"/><Relationship Id="rId212" Type="http://schemas.openxmlformats.org/officeDocument/2006/relationships/hyperlink" Target="https://youtu.be/4ug8-o2aPqM?t=4389" TargetMode="External"/><Relationship Id="rId333" Type="http://schemas.openxmlformats.org/officeDocument/2006/relationships/hyperlink" Target="https://youtu.be/QSUg5qP80-U?t=5322" TargetMode="External"/><Relationship Id="rId211" Type="http://schemas.openxmlformats.org/officeDocument/2006/relationships/hyperlink" Target="https://youtu.be/kZxGujwLju0?t=4388" TargetMode="External"/><Relationship Id="rId332" Type="http://schemas.openxmlformats.org/officeDocument/2006/relationships/hyperlink" Target="https://youtu.be/3PzdsLdQELE?t=4413" TargetMode="External"/><Relationship Id="rId210" Type="http://schemas.openxmlformats.org/officeDocument/2006/relationships/hyperlink" Target="https://youtu.be/4ug8-o2aPqM?t=3500" TargetMode="External"/><Relationship Id="rId331" Type="http://schemas.openxmlformats.org/officeDocument/2006/relationships/hyperlink" Target="https://youtu.be/QSUg5qP80-U?t=4465" TargetMode="External"/><Relationship Id="rId129" Type="http://schemas.openxmlformats.org/officeDocument/2006/relationships/hyperlink" Target="https://youtu.be/DCZkGfgcirE?t=3658" TargetMode="External"/><Relationship Id="rId128" Type="http://schemas.openxmlformats.org/officeDocument/2006/relationships/hyperlink" Target="https://youtu.be/K1HpqPcsCUs?t=2834" TargetMode="External"/><Relationship Id="rId249" Type="http://schemas.openxmlformats.org/officeDocument/2006/relationships/hyperlink" Target="https://youtu.be/r2H4GGCYiu4?t=3583" TargetMode="External"/><Relationship Id="rId127" Type="http://schemas.openxmlformats.org/officeDocument/2006/relationships/hyperlink" Target="https://youtu.be/DCZkGfgcirE?t=2756" TargetMode="External"/><Relationship Id="rId248" Type="http://schemas.openxmlformats.org/officeDocument/2006/relationships/hyperlink" Target="https://youtu.be/UM6XVfBWLBU?t=2710" TargetMode="External"/><Relationship Id="rId126" Type="http://schemas.openxmlformats.org/officeDocument/2006/relationships/hyperlink" Target="https://youtu.be/K1HpqPcsCUs?t=2040" TargetMode="External"/><Relationship Id="rId247" Type="http://schemas.openxmlformats.org/officeDocument/2006/relationships/hyperlink" Target="https://youtu.be/r2H4GGCYiu4?t=2793" TargetMode="External"/><Relationship Id="rId121" Type="http://schemas.openxmlformats.org/officeDocument/2006/relationships/hyperlink" Target="https://youtu.be/DCZkGfgcirE" TargetMode="External"/><Relationship Id="rId242" Type="http://schemas.openxmlformats.org/officeDocument/2006/relationships/hyperlink" Target="https://youtu.be/UM6XVfBWLBU" TargetMode="External"/><Relationship Id="rId120" Type="http://schemas.openxmlformats.org/officeDocument/2006/relationships/hyperlink" Target="https://youtu.be/-fWxwfPCpLc?t=8007" TargetMode="External"/><Relationship Id="rId241" Type="http://schemas.openxmlformats.org/officeDocument/2006/relationships/hyperlink" Target="https://youtu.be/r2H4GGCYiu4" TargetMode="External"/><Relationship Id="rId240" Type="http://schemas.openxmlformats.org/officeDocument/2006/relationships/hyperlink" Target="https://youtu.be/XVqAvtaF5EI?t=7991" TargetMode="External"/><Relationship Id="rId361" Type="http://schemas.openxmlformats.org/officeDocument/2006/relationships/drawing" Target="../drawings/drawing12.xml"/><Relationship Id="rId360" Type="http://schemas.openxmlformats.org/officeDocument/2006/relationships/hyperlink" Target="https://youtu.be/D9FVcCIk-B0?t=7972" TargetMode="External"/><Relationship Id="rId125" Type="http://schemas.openxmlformats.org/officeDocument/2006/relationships/hyperlink" Target="https://youtu.be/DCZkGfgcirE?t=1887" TargetMode="External"/><Relationship Id="rId246" Type="http://schemas.openxmlformats.org/officeDocument/2006/relationships/hyperlink" Target="https://youtu.be/UM6XVfBWLBU?t=1771" TargetMode="External"/><Relationship Id="rId124" Type="http://schemas.openxmlformats.org/officeDocument/2006/relationships/hyperlink" Target="https://youtu.be/K1HpqPcsCUs?t=1093" TargetMode="External"/><Relationship Id="rId245" Type="http://schemas.openxmlformats.org/officeDocument/2006/relationships/hyperlink" Target="https://youtu.be/r2H4GGCYiu4?t=1891" TargetMode="External"/><Relationship Id="rId123" Type="http://schemas.openxmlformats.org/officeDocument/2006/relationships/hyperlink" Target="https://youtu.be/DCZkGfgcirE?t=981" TargetMode="External"/><Relationship Id="rId244" Type="http://schemas.openxmlformats.org/officeDocument/2006/relationships/hyperlink" Target="https://youtu.be/UM6XVfBWLBU?t=919" TargetMode="External"/><Relationship Id="rId122" Type="http://schemas.openxmlformats.org/officeDocument/2006/relationships/hyperlink" Target="https://youtu.be/K1HpqPcsCUs" TargetMode="External"/><Relationship Id="rId243" Type="http://schemas.openxmlformats.org/officeDocument/2006/relationships/hyperlink" Target="https://youtu.be/r2H4GGCYiu4?t=993" TargetMode="External"/><Relationship Id="rId95" Type="http://schemas.openxmlformats.org/officeDocument/2006/relationships/hyperlink" Target="https://youtu.be/JFdqtRnimSs?t=6241" TargetMode="External"/><Relationship Id="rId94" Type="http://schemas.openxmlformats.org/officeDocument/2006/relationships/hyperlink" Target="https://youtu.be/jh4x72sSPps?t=5138" TargetMode="External"/><Relationship Id="rId97" Type="http://schemas.openxmlformats.org/officeDocument/2006/relationships/hyperlink" Target="https://youtu.be/JFdqtRnimSs?t=7121" TargetMode="External"/><Relationship Id="rId96" Type="http://schemas.openxmlformats.org/officeDocument/2006/relationships/hyperlink" Target="https://youtu.be/jh4x72sSPps?t=6105" TargetMode="External"/><Relationship Id="rId99" Type="http://schemas.openxmlformats.org/officeDocument/2006/relationships/hyperlink" Target="https://youtu.be/JFdqtRnimSs?t=8021" TargetMode="External"/><Relationship Id="rId98" Type="http://schemas.openxmlformats.org/officeDocument/2006/relationships/hyperlink" Target="https://youtu.be/jh4x72sSPps?t=7051" TargetMode="External"/><Relationship Id="rId91" Type="http://schemas.openxmlformats.org/officeDocument/2006/relationships/hyperlink" Target="https://youtu.be/JFdqtRnimSs?t=4509" TargetMode="External"/><Relationship Id="rId90" Type="http://schemas.openxmlformats.org/officeDocument/2006/relationships/hyperlink" Target="https://youtu.be/jh4x72sSPps?t=3495" TargetMode="External"/><Relationship Id="rId93" Type="http://schemas.openxmlformats.org/officeDocument/2006/relationships/hyperlink" Target="https://youtu.be/JFdqtRnimSs?t=5381" TargetMode="External"/><Relationship Id="rId92" Type="http://schemas.openxmlformats.org/officeDocument/2006/relationships/hyperlink" Target="https://youtu.be/jh4x72sSPps?t=4238" TargetMode="External"/><Relationship Id="rId118" Type="http://schemas.openxmlformats.org/officeDocument/2006/relationships/hyperlink" Target="https://youtu.be/-fWxwfPCpLc?t=7096" TargetMode="External"/><Relationship Id="rId239" Type="http://schemas.openxmlformats.org/officeDocument/2006/relationships/hyperlink" Target="https://youtu.be/rfDODXnR3-c?t=8036" TargetMode="External"/><Relationship Id="rId117" Type="http://schemas.openxmlformats.org/officeDocument/2006/relationships/hyperlink" Target="https://youtu.be/XweIy6pWGNc?t=6983" TargetMode="External"/><Relationship Id="rId238" Type="http://schemas.openxmlformats.org/officeDocument/2006/relationships/hyperlink" Target="https://youtu.be/XVqAvtaF5EI?t=7082" TargetMode="External"/><Relationship Id="rId359" Type="http://schemas.openxmlformats.org/officeDocument/2006/relationships/hyperlink" Target="https://youtu.be/lpGIHLglZPA?t=8070" TargetMode="External"/><Relationship Id="rId116" Type="http://schemas.openxmlformats.org/officeDocument/2006/relationships/hyperlink" Target="https://youtu.be/-fWxwfPCpLc?t=6202" TargetMode="External"/><Relationship Id="rId237" Type="http://schemas.openxmlformats.org/officeDocument/2006/relationships/hyperlink" Target="https://youtu.be/rfDODXnR3-c?t=7127" TargetMode="External"/><Relationship Id="rId358" Type="http://schemas.openxmlformats.org/officeDocument/2006/relationships/hyperlink" Target="https://youtu.be/D9FVcCIk-B0?t=7078" TargetMode="External"/><Relationship Id="rId115" Type="http://schemas.openxmlformats.org/officeDocument/2006/relationships/hyperlink" Target="https://youtu.be/XweIy6pWGNc?t=6163" TargetMode="External"/><Relationship Id="rId236" Type="http://schemas.openxmlformats.org/officeDocument/2006/relationships/hyperlink" Target="https://youtu.be/XVqAvtaF5EI?t=6177" TargetMode="External"/><Relationship Id="rId357" Type="http://schemas.openxmlformats.org/officeDocument/2006/relationships/hyperlink" Target="https://youtu.be/lpGIHLglZPA?t=7179" TargetMode="External"/><Relationship Id="rId119" Type="http://schemas.openxmlformats.org/officeDocument/2006/relationships/hyperlink" Target="https://youtu.be/XweIy6pWGNc?t=7872" TargetMode="External"/><Relationship Id="rId110" Type="http://schemas.openxmlformats.org/officeDocument/2006/relationships/hyperlink" Target="https://youtu.be/-fWxwfPCpLc?t=3604" TargetMode="External"/><Relationship Id="rId231" Type="http://schemas.openxmlformats.org/officeDocument/2006/relationships/hyperlink" Target="https://youtu.be/rfDODXnR3-c?t=4486" TargetMode="External"/><Relationship Id="rId352" Type="http://schemas.openxmlformats.org/officeDocument/2006/relationships/hyperlink" Target="https://youtu.be/D9FVcCIk-B0?t=4503" TargetMode="External"/><Relationship Id="rId230" Type="http://schemas.openxmlformats.org/officeDocument/2006/relationships/hyperlink" Target="https://youtu.be/XVqAvtaF5EI?t=3538" TargetMode="External"/><Relationship Id="rId351" Type="http://schemas.openxmlformats.org/officeDocument/2006/relationships/hyperlink" Target="https://youtu.be/lpGIHLglZPA?t=4531" TargetMode="External"/><Relationship Id="rId350" Type="http://schemas.openxmlformats.org/officeDocument/2006/relationships/hyperlink" Target="https://youtu.be/D9FVcCIk-B0?t=3654" TargetMode="External"/><Relationship Id="rId114" Type="http://schemas.openxmlformats.org/officeDocument/2006/relationships/hyperlink" Target="https://youtu.be/-fWxwfPCpLc?t=5350" TargetMode="External"/><Relationship Id="rId235" Type="http://schemas.openxmlformats.org/officeDocument/2006/relationships/hyperlink" Target="https://youtu.be/rfDODXnR3-c?t=6289" TargetMode="External"/><Relationship Id="rId356" Type="http://schemas.openxmlformats.org/officeDocument/2006/relationships/hyperlink" Target="https://youtu.be/D9FVcCIk-B0?t=6207" TargetMode="External"/><Relationship Id="rId113" Type="http://schemas.openxmlformats.org/officeDocument/2006/relationships/hyperlink" Target="https://youtu.be/XweIy6pWGNc?t=5239" TargetMode="External"/><Relationship Id="rId234" Type="http://schemas.openxmlformats.org/officeDocument/2006/relationships/hyperlink" Target="https://youtu.be/XVqAvtaF5EI?t=5333" TargetMode="External"/><Relationship Id="rId355" Type="http://schemas.openxmlformats.org/officeDocument/2006/relationships/hyperlink" Target="https://youtu.be/lpGIHLglZPA?t=6294" TargetMode="External"/><Relationship Id="rId112" Type="http://schemas.openxmlformats.org/officeDocument/2006/relationships/hyperlink" Target="https://youtu.be/-fWxwfPCpLc?t=4466" TargetMode="External"/><Relationship Id="rId233" Type="http://schemas.openxmlformats.org/officeDocument/2006/relationships/hyperlink" Target="https://youtu.be/rfDODXnR3-c?t=5398" TargetMode="External"/><Relationship Id="rId354" Type="http://schemas.openxmlformats.org/officeDocument/2006/relationships/hyperlink" Target="https://youtu.be/D9FVcCIk-B0?t=5391" TargetMode="External"/><Relationship Id="rId111" Type="http://schemas.openxmlformats.org/officeDocument/2006/relationships/hyperlink" Target="https://youtu.be/XweIy6pWGNc?t=4360" TargetMode="External"/><Relationship Id="rId232" Type="http://schemas.openxmlformats.org/officeDocument/2006/relationships/hyperlink" Target="https://youtu.be/XVqAvtaF5EI?t=4437" TargetMode="External"/><Relationship Id="rId353" Type="http://schemas.openxmlformats.org/officeDocument/2006/relationships/hyperlink" Target="https://youtu.be/lpGIHLglZPA?t=5422" TargetMode="External"/><Relationship Id="rId305" Type="http://schemas.openxmlformats.org/officeDocument/2006/relationships/hyperlink" Target="https://youtu.be/ThSrl601aX4?t=2016" TargetMode="External"/><Relationship Id="rId304" Type="http://schemas.openxmlformats.org/officeDocument/2006/relationships/hyperlink" Target="https://youtu.be/QCjYHvIeSDs?t=895" TargetMode="External"/><Relationship Id="rId303" Type="http://schemas.openxmlformats.org/officeDocument/2006/relationships/hyperlink" Target="https://youtu.be/ThSrl601aX4?t=1160" TargetMode="External"/><Relationship Id="rId302" Type="http://schemas.openxmlformats.org/officeDocument/2006/relationships/hyperlink" Target="https://youtu.be/QCjYHvIeSDs" TargetMode="External"/><Relationship Id="rId309" Type="http://schemas.openxmlformats.org/officeDocument/2006/relationships/hyperlink" Target="https://youtu.be/ThSrl601aX4?t=3734" TargetMode="External"/><Relationship Id="rId308" Type="http://schemas.openxmlformats.org/officeDocument/2006/relationships/hyperlink" Target="https://youtu.be/QCjYHvIeSDs?t=2704" TargetMode="External"/><Relationship Id="rId307" Type="http://schemas.openxmlformats.org/officeDocument/2006/relationships/hyperlink" Target="https://youtu.be/ThSrl601aX4?t=2905" TargetMode="External"/><Relationship Id="rId306" Type="http://schemas.openxmlformats.org/officeDocument/2006/relationships/hyperlink" Target="https://youtu.be/QCjYHvIeSDs?t=1849" TargetMode="External"/><Relationship Id="rId301" Type="http://schemas.openxmlformats.org/officeDocument/2006/relationships/hyperlink" Target="https://youtu.be/ThSrl601aX4" TargetMode="External"/><Relationship Id="rId300" Type="http://schemas.openxmlformats.org/officeDocument/2006/relationships/hyperlink" Target="https://youtu.be/S9kd_wExCD0?t=7977" TargetMode="External"/><Relationship Id="rId206" Type="http://schemas.openxmlformats.org/officeDocument/2006/relationships/hyperlink" Target="https://youtu.be/4ug8-o2aPqM?t=1700" TargetMode="External"/><Relationship Id="rId327" Type="http://schemas.openxmlformats.org/officeDocument/2006/relationships/hyperlink" Target="https://youtu.be/QSUg5qP80-U?t=2668" TargetMode="External"/><Relationship Id="rId205" Type="http://schemas.openxmlformats.org/officeDocument/2006/relationships/hyperlink" Target="https://youtu.be/kZxGujwLju0?t=1728" TargetMode="External"/><Relationship Id="rId326" Type="http://schemas.openxmlformats.org/officeDocument/2006/relationships/hyperlink" Target="https://youtu.be/3PzdsLdQELE?t=1773" TargetMode="External"/><Relationship Id="rId204" Type="http://schemas.openxmlformats.org/officeDocument/2006/relationships/hyperlink" Target="https://youtu.be/4ug8-o2aPqM?t=842" TargetMode="External"/><Relationship Id="rId325" Type="http://schemas.openxmlformats.org/officeDocument/2006/relationships/hyperlink" Target="https://youtu.be/QSUg5qP80-U?t=1839" TargetMode="External"/><Relationship Id="rId203" Type="http://schemas.openxmlformats.org/officeDocument/2006/relationships/hyperlink" Target="https://youtu.be/kZxGujwLju0?t=829" TargetMode="External"/><Relationship Id="rId324" Type="http://schemas.openxmlformats.org/officeDocument/2006/relationships/hyperlink" Target="https://youtu.be/3PzdsLdQELE?t=912" TargetMode="External"/><Relationship Id="rId209" Type="http://schemas.openxmlformats.org/officeDocument/2006/relationships/hyperlink" Target="https://youtu.be/kZxGujwLju0?t=3469" TargetMode="External"/><Relationship Id="rId208" Type="http://schemas.openxmlformats.org/officeDocument/2006/relationships/hyperlink" Target="https://youtu.be/4ug8-o2aPqM?t=2630" TargetMode="External"/><Relationship Id="rId329" Type="http://schemas.openxmlformats.org/officeDocument/2006/relationships/hyperlink" Target="https://youtu.be/QSUg5qP80-U?t=3512" TargetMode="External"/><Relationship Id="rId207" Type="http://schemas.openxmlformats.org/officeDocument/2006/relationships/hyperlink" Target="https://youtu.be/kZxGujwLju0?t=2631" TargetMode="External"/><Relationship Id="rId328" Type="http://schemas.openxmlformats.org/officeDocument/2006/relationships/hyperlink" Target="https://youtu.be/3PzdsLdQELE?t=2672" TargetMode="External"/><Relationship Id="rId202" Type="http://schemas.openxmlformats.org/officeDocument/2006/relationships/hyperlink" Target="https://youtu.be/4ug8-o2aPqM" TargetMode="External"/><Relationship Id="rId323" Type="http://schemas.openxmlformats.org/officeDocument/2006/relationships/hyperlink" Target="https://youtu.be/QSUg5qP80-U?t=989" TargetMode="External"/><Relationship Id="rId201" Type="http://schemas.openxmlformats.org/officeDocument/2006/relationships/hyperlink" Target="https://youtu.be/kZxGujwLju0" TargetMode="External"/><Relationship Id="rId322" Type="http://schemas.openxmlformats.org/officeDocument/2006/relationships/hyperlink" Target="https://youtu.be/3PzdsLdQELE" TargetMode="External"/><Relationship Id="rId200" Type="http://schemas.openxmlformats.org/officeDocument/2006/relationships/hyperlink" Target="https://youtu.be/6sY6dqppSYc?t=8197" TargetMode="External"/><Relationship Id="rId321" Type="http://schemas.openxmlformats.org/officeDocument/2006/relationships/hyperlink" Target="https://youtu.be/QSUg5qP80-U" TargetMode="External"/><Relationship Id="rId320" Type="http://schemas.openxmlformats.org/officeDocument/2006/relationships/hyperlink" Target="https://youtu.be/QCjYHvIeSDs?t=7969" TargetMode="External"/><Relationship Id="rId316" Type="http://schemas.openxmlformats.org/officeDocument/2006/relationships/hyperlink" Target="https://youtu.be/QCjYHvIeSDs?t=6187" TargetMode="External"/><Relationship Id="rId315" Type="http://schemas.openxmlformats.org/officeDocument/2006/relationships/hyperlink" Target="https://youtu.be/ThSrl601aX4?t=6439" TargetMode="External"/><Relationship Id="rId314" Type="http://schemas.openxmlformats.org/officeDocument/2006/relationships/hyperlink" Target="https://youtu.be/QCjYHvIeSDs?t=5329" TargetMode="External"/><Relationship Id="rId313" Type="http://schemas.openxmlformats.org/officeDocument/2006/relationships/hyperlink" Target="https://youtu.be/ThSrl601aX4?t=5548" TargetMode="External"/><Relationship Id="rId319" Type="http://schemas.openxmlformats.org/officeDocument/2006/relationships/hyperlink" Target="https://youtu.be/ThSrl601aX4?t=8158" TargetMode="External"/><Relationship Id="rId318" Type="http://schemas.openxmlformats.org/officeDocument/2006/relationships/hyperlink" Target="https://youtu.be/QCjYHvIeSDs?t=7086" TargetMode="External"/><Relationship Id="rId317" Type="http://schemas.openxmlformats.org/officeDocument/2006/relationships/hyperlink" Target="https://youtu.be/ThSrl601aX4?t=7301" TargetMode="External"/><Relationship Id="rId312" Type="http://schemas.openxmlformats.org/officeDocument/2006/relationships/hyperlink" Target="https://youtu.be/QCjYHvIeSDs?t=4440" TargetMode="External"/><Relationship Id="rId311" Type="http://schemas.openxmlformats.org/officeDocument/2006/relationships/hyperlink" Target="https://youtu.be/ThSrl601aX4?t=4643" TargetMode="External"/><Relationship Id="rId310" Type="http://schemas.openxmlformats.org/officeDocument/2006/relationships/hyperlink" Target="https://youtu.be/QCjYHvIeSDs?t=3529" TargetMode="External"/></Relationships>
</file>

<file path=xl/worksheets/_rels/sheet1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HxD4F-qQn1A?t=7926" TargetMode="External"/><Relationship Id="rId190" Type="http://schemas.openxmlformats.org/officeDocument/2006/relationships/hyperlink" Target="https://youtu.be/vVW2CO_AqEY?t=3754" TargetMode="External"/><Relationship Id="rId42" Type="http://schemas.openxmlformats.org/officeDocument/2006/relationships/hyperlink" Target="https://youtu.be/CHWLIvW4frs" TargetMode="External"/><Relationship Id="rId41" Type="http://schemas.openxmlformats.org/officeDocument/2006/relationships/hyperlink" Target="https://youtu.be/7nXTLTMNlCU" TargetMode="External"/><Relationship Id="rId44" Type="http://schemas.openxmlformats.org/officeDocument/2006/relationships/hyperlink" Target="https://youtu.be/CHWLIvW4frs?t=1081" TargetMode="External"/><Relationship Id="rId194" Type="http://schemas.openxmlformats.org/officeDocument/2006/relationships/hyperlink" Target="https://youtu.be/vVW2CO_AqEY?t=5557" TargetMode="External"/><Relationship Id="rId43" Type="http://schemas.openxmlformats.org/officeDocument/2006/relationships/hyperlink" Target="https://youtu.be/7nXTLTMNlCU?t=915" TargetMode="External"/><Relationship Id="rId193" Type="http://schemas.openxmlformats.org/officeDocument/2006/relationships/hyperlink" Target="https://youtu.be/xrMijFZ8pOg?t=5554" TargetMode="External"/><Relationship Id="rId46" Type="http://schemas.openxmlformats.org/officeDocument/2006/relationships/hyperlink" Target="https://youtu.be/CHWLIvW4frs?t=1983" TargetMode="External"/><Relationship Id="rId192" Type="http://schemas.openxmlformats.org/officeDocument/2006/relationships/hyperlink" Target="https://youtu.be/vVW2CO_AqEY?t=4719" TargetMode="External"/><Relationship Id="rId45" Type="http://schemas.openxmlformats.org/officeDocument/2006/relationships/hyperlink" Target="https://youtu.be/7nXTLTMNlCU?t=1851" TargetMode="External"/><Relationship Id="rId191" Type="http://schemas.openxmlformats.org/officeDocument/2006/relationships/hyperlink" Target="https://youtu.be/xrMijFZ8pOg?t=4661" TargetMode="External"/><Relationship Id="rId48" Type="http://schemas.openxmlformats.org/officeDocument/2006/relationships/hyperlink" Target="https://youtu.be/CHWLIvW4frs?t=2881" TargetMode="External"/><Relationship Id="rId187" Type="http://schemas.openxmlformats.org/officeDocument/2006/relationships/hyperlink" Target="https://youtu.be/xrMijFZ8pOg?t=2795" TargetMode="External"/><Relationship Id="rId47" Type="http://schemas.openxmlformats.org/officeDocument/2006/relationships/hyperlink" Target="https://youtu.be/7nXTLTMNlCU?t=2698" TargetMode="External"/><Relationship Id="rId186" Type="http://schemas.openxmlformats.org/officeDocument/2006/relationships/hyperlink" Target="https://youtu.be/vVW2CO_AqEY?t=1704" TargetMode="External"/><Relationship Id="rId185" Type="http://schemas.openxmlformats.org/officeDocument/2006/relationships/hyperlink" Target="https://youtu.be/xrMijFZ8pOg?t=1841" TargetMode="External"/><Relationship Id="rId49" Type="http://schemas.openxmlformats.org/officeDocument/2006/relationships/hyperlink" Target="https://youtu.be/7nXTLTMNlCU?t=3640" TargetMode="External"/><Relationship Id="rId184" Type="http://schemas.openxmlformats.org/officeDocument/2006/relationships/hyperlink" Target="https://youtu.be/vVW2CO_AqEY?t=871" TargetMode="External"/><Relationship Id="rId189" Type="http://schemas.openxmlformats.org/officeDocument/2006/relationships/hyperlink" Target="https://youtu.be/xrMijFZ8pOg?t=3702" TargetMode="External"/><Relationship Id="rId188" Type="http://schemas.openxmlformats.org/officeDocument/2006/relationships/hyperlink" Target="https://youtu.be/vVW2CO_AqEY?t=2797" TargetMode="External"/><Relationship Id="rId31" Type="http://schemas.openxmlformats.org/officeDocument/2006/relationships/hyperlink" Target="https://youtu.be/Q7MXwQgbelA?t=4403" TargetMode="External"/><Relationship Id="rId30" Type="http://schemas.openxmlformats.org/officeDocument/2006/relationships/hyperlink" Target="https://youtu.be/HxD4F-qQn1A?t=3487" TargetMode="External"/><Relationship Id="rId33" Type="http://schemas.openxmlformats.org/officeDocument/2006/relationships/hyperlink" Target="https://youtu.be/Q7MXwQgbelA?t=5304" TargetMode="External"/><Relationship Id="rId183" Type="http://schemas.openxmlformats.org/officeDocument/2006/relationships/hyperlink" Target="https://youtu.be/xrMijFZ8pOg?t=890" TargetMode="External"/><Relationship Id="rId32" Type="http://schemas.openxmlformats.org/officeDocument/2006/relationships/hyperlink" Target="https://youtu.be/HxD4F-qQn1A?t=4394" TargetMode="External"/><Relationship Id="rId182" Type="http://schemas.openxmlformats.org/officeDocument/2006/relationships/hyperlink" Target="https://youtu.be/vVW2CO_AqEY" TargetMode="External"/><Relationship Id="rId35" Type="http://schemas.openxmlformats.org/officeDocument/2006/relationships/hyperlink" Target="https://youtu.be/Q7MXwQgbelA?t=6173" TargetMode="External"/><Relationship Id="rId181" Type="http://schemas.openxmlformats.org/officeDocument/2006/relationships/hyperlink" Target="https://youtu.be/xrMijFZ8pOg" TargetMode="External"/><Relationship Id="rId34" Type="http://schemas.openxmlformats.org/officeDocument/2006/relationships/hyperlink" Target="https://youtu.be/HxD4F-qQn1A?t=5315" TargetMode="External"/><Relationship Id="rId180" Type="http://schemas.openxmlformats.org/officeDocument/2006/relationships/hyperlink" Target="https://youtu.be/ISCFvL1WRvM?t=7804" TargetMode="External"/><Relationship Id="rId37" Type="http://schemas.openxmlformats.org/officeDocument/2006/relationships/hyperlink" Target="https://youtu.be/Q7MXwQgbelA?t=7074" TargetMode="External"/><Relationship Id="rId176" Type="http://schemas.openxmlformats.org/officeDocument/2006/relationships/hyperlink" Target="https://youtu.be/ISCFvL1WRvM?t=6078" TargetMode="External"/><Relationship Id="rId297" Type="http://schemas.openxmlformats.org/officeDocument/2006/relationships/hyperlink" Target="https://youtu.be/Quf-EB5V8DA?t=7005" TargetMode="External"/><Relationship Id="rId36" Type="http://schemas.openxmlformats.org/officeDocument/2006/relationships/hyperlink" Target="https://youtu.be/HxD4F-qQn1A?t=6196" TargetMode="External"/><Relationship Id="rId175" Type="http://schemas.openxmlformats.org/officeDocument/2006/relationships/hyperlink" Target="https://youtu.be/CqFHNnVfiu4?t=5262" TargetMode="External"/><Relationship Id="rId296" Type="http://schemas.openxmlformats.org/officeDocument/2006/relationships/hyperlink" Target="https://youtu.be/tfhGZReexoc?t=7157" TargetMode="External"/><Relationship Id="rId39" Type="http://schemas.openxmlformats.org/officeDocument/2006/relationships/hyperlink" Target="https://youtu.be/Q7MXwQgbelA?t=7943" TargetMode="External"/><Relationship Id="rId174" Type="http://schemas.openxmlformats.org/officeDocument/2006/relationships/hyperlink" Target="https://youtu.be/ISCFvL1WRvM?t=5198" TargetMode="External"/><Relationship Id="rId295" Type="http://schemas.openxmlformats.org/officeDocument/2006/relationships/hyperlink" Target="https://youtu.be/Quf-EB5V8DA?t=6114" TargetMode="External"/><Relationship Id="rId38" Type="http://schemas.openxmlformats.org/officeDocument/2006/relationships/hyperlink" Target="https://youtu.be/HxD4F-qQn1A?t=7024" TargetMode="External"/><Relationship Id="rId173" Type="http://schemas.openxmlformats.org/officeDocument/2006/relationships/hyperlink" Target="https://youtu.be/CqFHNnVfiu4?t=4361" TargetMode="External"/><Relationship Id="rId294" Type="http://schemas.openxmlformats.org/officeDocument/2006/relationships/hyperlink" Target="https://youtu.be/tfhGZReexoc?t=6260" TargetMode="External"/><Relationship Id="rId179" Type="http://schemas.openxmlformats.org/officeDocument/2006/relationships/hyperlink" Target="https://youtu.be/CqFHNnVfiu4?t=6971" TargetMode="External"/><Relationship Id="rId178" Type="http://schemas.openxmlformats.org/officeDocument/2006/relationships/hyperlink" Target="https://youtu.be/ISCFvL1WRvM?t=6863" TargetMode="External"/><Relationship Id="rId299" Type="http://schemas.openxmlformats.org/officeDocument/2006/relationships/hyperlink" Target="https://youtu.be/Quf-EB5V8DA?t=7846" TargetMode="External"/><Relationship Id="rId177" Type="http://schemas.openxmlformats.org/officeDocument/2006/relationships/hyperlink" Target="https://youtu.be/CqFHNnVfiu4?t=6112" TargetMode="External"/><Relationship Id="rId298" Type="http://schemas.openxmlformats.org/officeDocument/2006/relationships/hyperlink" Target="https://youtu.be/tfhGZReexoc?t=8056" TargetMode="External"/><Relationship Id="rId20" Type="http://schemas.openxmlformats.org/officeDocument/2006/relationships/hyperlink" Target="https://youtu.be/ihavKukR4MM?t=7991" TargetMode="External"/><Relationship Id="rId22" Type="http://schemas.openxmlformats.org/officeDocument/2006/relationships/hyperlink" Target="https://youtu.be/HxD4F-qQn1A" TargetMode="External"/><Relationship Id="rId21" Type="http://schemas.openxmlformats.org/officeDocument/2006/relationships/hyperlink" Target="https://youtu.be/Q7MXwQgbelA" TargetMode="External"/><Relationship Id="rId24" Type="http://schemas.openxmlformats.org/officeDocument/2006/relationships/hyperlink" Target="https://youtu.be/HxD4F-qQn1A?t=872" TargetMode="External"/><Relationship Id="rId23" Type="http://schemas.openxmlformats.org/officeDocument/2006/relationships/hyperlink" Target="https://youtu.be/Q7MXwQgbelA?t=863" TargetMode="External"/><Relationship Id="rId26" Type="http://schemas.openxmlformats.org/officeDocument/2006/relationships/hyperlink" Target="https://youtu.be/HxD4F-qQn1A?t=1776" TargetMode="External"/><Relationship Id="rId25" Type="http://schemas.openxmlformats.org/officeDocument/2006/relationships/hyperlink" Target="https://youtu.be/Q7MXwQgbelA?t=1763" TargetMode="External"/><Relationship Id="rId28" Type="http://schemas.openxmlformats.org/officeDocument/2006/relationships/hyperlink" Target="https://youtu.be/HxD4F-qQn1A?t=2645" TargetMode="External"/><Relationship Id="rId27" Type="http://schemas.openxmlformats.org/officeDocument/2006/relationships/hyperlink" Target="https://youtu.be/Q7MXwQgbelA?t=2668" TargetMode="External"/><Relationship Id="rId29" Type="http://schemas.openxmlformats.org/officeDocument/2006/relationships/hyperlink" Target="https://youtu.be/Q7MXwQgbelA?t=3521" TargetMode="External"/><Relationship Id="rId11" Type="http://schemas.openxmlformats.org/officeDocument/2006/relationships/hyperlink" Target="https://youtu.be/Rw-eFhdvLbk?t=4389" TargetMode="External"/><Relationship Id="rId10" Type="http://schemas.openxmlformats.org/officeDocument/2006/relationships/hyperlink" Target="https://youtu.be/ihavKukR4MM?t=3563" TargetMode="External"/><Relationship Id="rId13" Type="http://schemas.openxmlformats.org/officeDocument/2006/relationships/hyperlink" Target="https://youtu.be/Rw-eFhdvLbk?t=5291" TargetMode="External"/><Relationship Id="rId12" Type="http://schemas.openxmlformats.org/officeDocument/2006/relationships/hyperlink" Target="https://youtu.be/ihavKukR4MM?t=4453" TargetMode="External"/><Relationship Id="rId15" Type="http://schemas.openxmlformats.org/officeDocument/2006/relationships/hyperlink" Target="https://youtu.be/Rw-eFhdvLbk?t=6191" TargetMode="External"/><Relationship Id="rId198" Type="http://schemas.openxmlformats.org/officeDocument/2006/relationships/hyperlink" Target="https://youtu.be/vVW2CO_AqEY?t=7321" TargetMode="External"/><Relationship Id="rId14" Type="http://schemas.openxmlformats.org/officeDocument/2006/relationships/hyperlink" Target="https://youtu.be/ihavKukR4MM?t=5351" TargetMode="External"/><Relationship Id="rId197" Type="http://schemas.openxmlformats.org/officeDocument/2006/relationships/hyperlink" Target="https://youtu.be/xrMijFZ8pOg?t=7216" TargetMode="External"/><Relationship Id="rId17" Type="http://schemas.openxmlformats.org/officeDocument/2006/relationships/hyperlink" Target="https://youtu.be/Rw-eFhdvLbk?t=7035" TargetMode="External"/><Relationship Id="rId196" Type="http://schemas.openxmlformats.org/officeDocument/2006/relationships/hyperlink" Target="https://youtu.be/vVW2CO_AqEY?t=6484" TargetMode="External"/><Relationship Id="rId16" Type="http://schemas.openxmlformats.org/officeDocument/2006/relationships/hyperlink" Target="https://youtu.be/ihavKukR4MM?t=6191" TargetMode="External"/><Relationship Id="rId195" Type="http://schemas.openxmlformats.org/officeDocument/2006/relationships/hyperlink" Target="https://youtu.be/xrMijFZ8pOg?t=6386" TargetMode="External"/><Relationship Id="rId19" Type="http://schemas.openxmlformats.org/officeDocument/2006/relationships/hyperlink" Target="https://youtu.be/Rw-eFhdvLbk?t=7943" TargetMode="External"/><Relationship Id="rId18" Type="http://schemas.openxmlformats.org/officeDocument/2006/relationships/hyperlink" Target="https://youtu.be/ihavKukR4MM?t=7093" TargetMode="External"/><Relationship Id="rId199" Type="http://schemas.openxmlformats.org/officeDocument/2006/relationships/hyperlink" Target="https://youtu.be/vVW2CO_AqEY?t=8203" TargetMode="External"/><Relationship Id="rId84" Type="http://schemas.openxmlformats.org/officeDocument/2006/relationships/hyperlink" Target="https://youtu.be/-yxPPw29kIM?t=513" TargetMode="External"/><Relationship Id="rId83" Type="http://schemas.openxmlformats.org/officeDocument/2006/relationships/hyperlink" Target="https://youtu.be/S2-j3p6auHc?t=700" TargetMode="External"/><Relationship Id="rId86" Type="http://schemas.openxmlformats.org/officeDocument/2006/relationships/hyperlink" Target="https://youtu.be/-yxPPw29kIM?t=1299" TargetMode="External"/><Relationship Id="rId85" Type="http://schemas.openxmlformats.org/officeDocument/2006/relationships/hyperlink" Target="https://youtu.be/S2-j3p6auHc?t=1544" TargetMode="External"/><Relationship Id="rId88" Type="http://schemas.openxmlformats.org/officeDocument/2006/relationships/hyperlink" Target="https://youtu.be/-yxPPw29kIM?t=2162" TargetMode="External"/><Relationship Id="rId150" Type="http://schemas.openxmlformats.org/officeDocument/2006/relationships/hyperlink" Target="https://youtu.be/mYhDEAFJ_kM?t=3878" TargetMode="External"/><Relationship Id="rId271" Type="http://schemas.openxmlformats.org/officeDocument/2006/relationships/hyperlink" Target="https://youtu.be/kv5oLAwFOlI?t=4408" TargetMode="External"/><Relationship Id="rId87" Type="http://schemas.openxmlformats.org/officeDocument/2006/relationships/hyperlink" Target="https://youtu.be/S2-j3p6auHc?t=2478" TargetMode="External"/><Relationship Id="rId270" Type="http://schemas.openxmlformats.org/officeDocument/2006/relationships/hyperlink" Target="https://youtu.be/4KGIL9hFRxI?t=4571" TargetMode="External"/><Relationship Id="rId89" Type="http://schemas.openxmlformats.org/officeDocument/2006/relationships/hyperlink" Target="https://youtu.be/S2-j3p6auHc?t=3281" TargetMode="External"/><Relationship Id="rId80" Type="http://schemas.openxmlformats.org/officeDocument/2006/relationships/hyperlink" Target="https://youtu.be/J31xrlYKS3k?t=7923" TargetMode="External"/><Relationship Id="rId82" Type="http://schemas.openxmlformats.org/officeDocument/2006/relationships/hyperlink" Target="https://youtu.be/-yxPPw29kIM" TargetMode="External"/><Relationship Id="rId81" Type="http://schemas.openxmlformats.org/officeDocument/2006/relationships/hyperlink" Target="https://youtu.be/S2-j3p6auHc" TargetMode="External"/><Relationship Id="rId1" Type="http://schemas.openxmlformats.org/officeDocument/2006/relationships/hyperlink" Target="https://youtu.be/Rw-eFhdvLbk" TargetMode="External"/><Relationship Id="rId2" Type="http://schemas.openxmlformats.org/officeDocument/2006/relationships/hyperlink" Target="https://youtu.be/ihavKukR4MM" TargetMode="External"/><Relationship Id="rId3" Type="http://schemas.openxmlformats.org/officeDocument/2006/relationships/hyperlink" Target="https://youtu.be/Rw-eFhdvLbk?t=886" TargetMode="External"/><Relationship Id="rId149" Type="http://schemas.openxmlformats.org/officeDocument/2006/relationships/hyperlink" Target="https://youtu.be/tQ_7EqP21-w?t=3858" TargetMode="External"/><Relationship Id="rId4" Type="http://schemas.openxmlformats.org/officeDocument/2006/relationships/hyperlink" Target="https://youtu.be/ihavKukR4MM?t=912" TargetMode="External"/><Relationship Id="rId148" Type="http://schemas.openxmlformats.org/officeDocument/2006/relationships/hyperlink" Target="https://youtu.be/mYhDEAFJ_kM?t=2989" TargetMode="External"/><Relationship Id="rId269" Type="http://schemas.openxmlformats.org/officeDocument/2006/relationships/hyperlink" Target="https://youtu.be/kv5oLAwFOlI?t=3514" TargetMode="External"/><Relationship Id="rId9" Type="http://schemas.openxmlformats.org/officeDocument/2006/relationships/hyperlink" Target="https://youtu.be/Rw-eFhdvLbk?t=3510" TargetMode="External"/><Relationship Id="rId143" Type="http://schemas.openxmlformats.org/officeDocument/2006/relationships/hyperlink" Target="https://youtu.be/tQ_7EqP21-w?t=1288" TargetMode="External"/><Relationship Id="rId264" Type="http://schemas.openxmlformats.org/officeDocument/2006/relationships/hyperlink" Target="https://youtu.be/4KGIL9hFRxI?t=1943" TargetMode="External"/><Relationship Id="rId142" Type="http://schemas.openxmlformats.org/officeDocument/2006/relationships/hyperlink" Target="https://youtu.be/mYhDEAFJ_kM" TargetMode="External"/><Relationship Id="rId263" Type="http://schemas.openxmlformats.org/officeDocument/2006/relationships/hyperlink" Target="https://youtu.be/kv5oLAwFOlI?t=899" TargetMode="External"/><Relationship Id="rId141" Type="http://schemas.openxmlformats.org/officeDocument/2006/relationships/hyperlink" Target="https://youtu.be/tQ_7EqP21-w" TargetMode="External"/><Relationship Id="rId262" Type="http://schemas.openxmlformats.org/officeDocument/2006/relationships/hyperlink" Target="https://youtu.be/4KGIL9hFRxI?t=1083" TargetMode="External"/><Relationship Id="rId140" Type="http://schemas.openxmlformats.org/officeDocument/2006/relationships/hyperlink" Target="https://youtu.be/mPIQs7dx4nM?t=8230" TargetMode="External"/><Relationship Id="rId261" Type="http://schemas.openxmlformats.org/officeDocument/2006/relationships/hyperlink" Target="https://youtu.be/kv5oLAwFOlI" TargetMode="External"/><Relationship Id="rId5" Type="http://schemas.openxmlformats.org/officeDocument/2006/relationships/hyperlink" Target="https://youtu.be/Rw-eFhdvLbk?t=1753" TargetMode="External"/><Relationship Id="rId147" Type="http://schemas.openxmlformats.org/officeDocument/2006/relationships/hyperlink" Target="https://youtu.be/tQ_7EqP21-w?t=2966" TargetMode="External"/><Relationship Id="rId268" Type="http://schemas.openxmlformats.org/officeDocument/2006/relationships/hyperlink" Target="https://youtu.be/4KGIL9hFRxI?t=3687" TargetMode="External"/><Relationship Id="rId6" Type="http://schemas.openxmlformats.org/officeDocument/2006/relationships/hyperlink" Target="https://youtu.be/ihavKukR4MM?t=1811" TargetMode="External"/><Relationship Id="rId146" Type="http://schemas.openxmlformats.org/officeDocument/2006/relationships/hyperlink" Target="https://youtu.be/mYhDEAFJ_kM?t=1793" TargetMode="External"/><Relationship Id="rId267" Type="http://schemas.openxmlformats.org/officeDocument/2006/relationships/hyperlink" Target="https://youtu.be/kv5oLAwFOlI?t=2667" TargetMode="External"/><Relationship Id="rId7" Type="http://schemas.openxmlformats.org/officeDocument/2006/relationships/hyperlink" Target="https://youtu.be/Rw-eFhdvLbk?t=2651" TargetMode="External"/><Relationship Id="rId145" Type="http://schemas.openxmlformats.org/officeDocument/2006/relationships/hyperlink" Target="https://youtu.be/tQ_7EqP21-w?t=2132" TargetMode="External"/><Relationship Id="rId266" Type="http://schemas.openxmlformats.org/officeDocument/2006/relationships/hyperlink" Target="https://youtu.be/4KGIL9hFRxI?t=2800" TargetMode="External"/><Relationship Id="rId8" Type="http://schemas.openxmlformats.org/officeDocument/2006/relationships/hyperlink" Target="https://youtu.be/ihavKukR4MM?t=2714" TargetMode="External"/><Relationship Id="rId144" Type="http://schemas.openxmlformats.org/officeDocument/2006/relationships/hyperlink" Target="https://youtu.be/mYhDEAFJ_kM?t=933" TargetMode="External"/><Relationship Id="rId265" Type="http://schemas.openxmlformats.org/officeDocument/2006/relationships/hyperlink" Target="https://youtu.be/kv5oLAwFOlI?t=1773" TargetMode="External"/><Relationship Id="rId73" Type="http://schemas.openxmlformats.org/officeDocument/2006/relationships/hyperlink" Target="https://youtu.be/ajZ0XVhhQbs?t=5328" TargetMode="External"/><Relationship Id="rId72" Type="http://schemas.openxmlformats.org/officeDocument/2006/relationships/hyperlink" Target="https://youtu.be/J31xrlYKS3k?t=4384" TargetMode="External"/><Relationship Id="rId75" Type="http://schemas.openxmlformats.org/officeDocument/2006/relationships/hyperlink" Target="https://youtu.be/ajZ0XVhhQbs?t=6165" TargetMode="External"/><Relationship Id="rId74" Type="http://schemas.openxmlformats.org/officeDocument/2006/relationships/hyperlink" Target="https://youtu.be/J31xrlYKS3k?t=5295" TargetMode="External"/><Relationship Id="rId77" Type="http://schemas.openxmlformats.org/officeDocument/2006/relationships/hyperlink" Target="https://youtu.be/ajZ0XVhhQbs?t=7063" TargetMode="External"/><Relationship Id="rId260" Type="http://schemas.openxmlformats.org/officeDocument/2006/relationships/hyperlink" Target="https://youtu.be/4KGIL9hFRxI" TargetMode="External"/><Relationship Id="rId76" Type="http://schemas.openxmlformats.org/officeDocument/2006/relationships/hyperlink" Target="https://youtu.be/J31xrlYKS3k?t=6122" TargetMode="External"/><Relationship Id="rId79" Type="http://schemas.openxmlformats.org/officeDocument/2006/relationships/hyperlink" Target="https://youtu.be/ajZ0XVhhQbs?t=7968" TargetMode="External"/><Relationship Id="rId78" Type="http://schemas.openxmlformats.org/officeDocument/2006/relationships/hyperlink" Target="https://youtu.be/J31xrlYKS3k?t=7026" TargetMode="External"/><Relationship Id="rId71" Type="http://schemas.openxmlformats.org/officeDocument/2006/relationships/hyperlink" Target="https://youtu.be/ajZ0XVhhQbs?t=4423" TargetMode="External"/><Relationship Id="rId70" Type="http://schemas.openxmlformats.org/officeDocument/2006/relationships/hyperlink" Target="https://youtu.be/J31xrlYKS3k?t=3486" TargetMode="External"/><Relationship Id="rId139" Type="http://schemas.openxmlformats.org/officeDocument/2006/relationships/hyperlink" Target="https://youtu.be/Iyphy4831L8?t=8065" TargetMode="External"/><Relationship Id="rId138" Type="http://schemas.openxmlformats.org/officeDocument/2006/relationships/hyperlink" Target="https://youtu.be/mPIQs7dx4nM?t=7279" TargetMode="External"/><Relationship Id="rId259" Type="http://schemas.openxmlformats.org/officeDocument/2006/relationships/hyperlink" Target="https://youtu.be/MB19RPYeq1g?t=7923" TargetMode="External"/><Relationship Id="rId137" Type="http://schemas.openxmlformats.org/officeDocument/2006/relationships/hyperlink" Target="https://youtu.be/Iyphy4831L8?t=7170" TargetMode="External"/><Relationship Id="rId258" Type="http://schemas.openxmlformats.org/officeDocument/2006/relationships/hyperlink" Target="https://youtu.be/1UzzfTKewic?t=8176" TargetMode="External"/><Relationship Id="rId132" Type="http://schemas.openxmlformats.org/officeDocument/2006/relationships/hyperlink" Target="https://youtu.be/mPIQs7dx4nM?t=4743" TargetMode="External"/><Relationship Id="rId253" Type="http://schemas.openxmlformats.org/officeDocument/2006/relationships/hyperlink" Target="https://youtu.be/MB19RPYeq1g?t=5379" TargetMode="External"/><Relationship Id="rId131" Type="http://schemas.openxmlformats.org/officeDocument/2006/relationships/hyperlink" Target="https://youtu.be/Iyphy4831L8?t=4493" TargetMode="External"/><Relationship Id="rId252" Type="http://schemas.openxmlformats.org/officeDocument/2006/relationships/hyperlink" Target="https://youtu.be/1UzzfTKewic?t=5614" TargetMode="External"/><Relationship Id="rId130" Type="http://schemas.openxmlformats.org/officeDocument/2006/relationships/hyperlink" Target="https://youtu.be/mPIQs7dx4nM?t=3872" TargetMode="External"/><Relationship Id="rId251" Type="http://schemas.openxmlformats.org/officeDocument/2006/relationships/hyperlink" Target="https://youtu.be/MB19RPYeq1g?t=4486" TargetMode="External"/><Relationship Id="rId250" Type="http://schemas.openxmlformats.org/officeDocument/2006/relationships/hyperlink" Target="https://youtu.be/1UzzfTKewic?t=4712" TargetMode="External"/><Relationship Id="rId136" Type="http://schemas.openxmlformats.org/officeDocument/2006/relationships/hyperlink" Target="https://youtu.be/mPIQs7dx4nM?t=6471" TargetMode="External"/><Relationship Id="rId257" Type="http://schemas.openxmlformats.org/officeDocument/2006/relationships/hyperlink" Target="https://youtu.be/MB19RPYeq1g?t=7084" TargetMode="External"/><Relationship Id="rId135" Type="http://schemas.openxmlformats.org/officeDocument/2006/relationships/hyperlink" Target="https://youtu.be/Iyphy4831L8?t=6313" TargetMode="External"/><Relationship Id="rId256" Type="http://schemas.openxmlformats.org/officeDocument/2006/relationships/hyperlink" Target="https://youtu.be/1UzzfTKewic?t=7349" TargetMode="External"/><Relationship Id="rId134" Type="http://schemas.openxmlformats.org/officeDocument/2006/relationships/hyperlink" Target="https://youtu.be/mPIQs7dx4nM?t=5641" TargetMode="External"/><Relationship Id="rId255" Type="http://schemas.openxmlformats.org/officeDocument/2006/relationships/hyperlink" Target="https://youtu.be/MB19RPYeq1g?t=6162" TargetMode="External"/><Relationship Id="rId133" Type="http://schemas.openxmlformats.org/officeDocument/2006/relationships/hyperlink" Target="https://youtu.be/Iyphy4831L8?t=5427" TargetMode="External"/><Relationship Id="rId254" Type="http://schemas.openxmlformats.org/officeDocument/2006/relationships/hyperlink" Target="https://youtu.be/1UzzfTKewic?t=6457" TargetMode="External"/><Relationship Id="rId62" Type="http://schemas.openxmlformats.org/officeDocument/2006/relationships/hyperlink" Target="https://youtu.be/J31xrlYKS3k" TargetMode="External"/><Relationship Id="rId61" Type="http://schemas.openxmlformats.org/officeDocument/2006/relationships/hyperlink" Target="https://youtu.be/ajZ0XVhhQbs" TargetMode="External"/><Relationship Id="rId64" Type="http://schemas.openxmlformats.org/officeDocument/2006/relationships/hyperlink" Target="https://youtu.be/J31xrlYKS3k?t=866" TargetMode="External"/><Relationship Id="rId63" Type="http://schemas.openxmlformats.org/officeDocument/2006/relationships/hyperlink" Target="https://youtu.be/ajZ0XVhhQbs?t=919" TargetMode="External"/><Relationship Id="rId66" Type="http://schemas.openxmlformats.org/officeDocument/2006/relationships/hyperlink" Target="https://youtu.be/J31xrlYKS3k?t=1746" TargetMode="External"/><Relationship Id="rId172" Type="http://schemas.openxmlformats.org/officeDocument/2006/relationships/hyperlink" Target="https://youtu.be/ISCFvL1WRvM?t=4337" TargetMode="External"/><Relationship Id="rId293" Type="http://schemas.openxmlformats.org/officeDocument/2006/relationships/hyperlink" Target="https://youtu.be/Quf-EB5V8DA?t=5252" TargetMode="External"/><Relationship Id="rId65" Type="http://schemas.openxmlformats.org/officeDocument/2006/relationships/hyperlink" Target="https://youtu.be/ajZ0XVhhQbs?t=1786" TargetMode="External"/><Relationship Id="rId171" Type="http://schemas.openxmlformats.org/officeDocument/2006/relationships/hyperlink" Target="https://youtu.be/CqFHNnVfiu4?t=3523" TargetMode="External"/><Relationship Id="rId292" Type="http://schemas.openxmlformats.org/officeDocument/2006/relationships/hyperlink" Target="https://youtu.be/tfhGZReexoc?t=5419" TargetMode="External"/><Relationship Id="rId68" Type="http://schemas.openxmlformats.org/officeDocument/2006/relationships/hyperlink" Target="https://youtu.be/J31xrlYKS3k?t=1746" TargetMode="External"/><Relationship Id="rId170" Type="http://schemas.openxmlformats.org/officeDocument/2006/relationships/hyperlink" Target="https://youtu.be/ISCFvL1WRvM?t=3522" TargetMode="External"/><Relationship Id="rId291" Type="http://schemas.openxmlformats.org/officeDocument/2006/relationships/hyperlink" Target="https://youtu.be/Quf-EB5V8DA?t=4342" TargetMode="External"/><Relationship Id="rId67" Type="http://schemas.openxmlformats.org/officeDocument/2006/relationships/hyperlink" Target="https://youtu.be/ajZ0XVhhQbs?t=2685" TargetMode="External"/><Relationship Id="rId290" Type="http://schemas.openxmlformats.org/officeDocument/2006/relationships/hyperlink" Target="https://youtu.be/tfhGZReexoc?t=4547" TargetMode="External"/><Relationship Id="rId60" Type="http://schemas.openxmlformats.org/officeDocument/2006/relationships/hyperlink" Target="https://youtu.be/CHWLIvW4frs?t=8161" TargetMode="External"/><Relationship Id="rId165" Type="http://schemas.openxmlformats.org/officeDocument/2006/relationships/hyperlink" Target="https://youtu.be/CqFHNnVfiu4?t=998" TargetMode="External"/><Relationship Id="rId286" Type="http://schemas.openxmlformats.org/officeDocument/2006/relationships/hyperlink" Target="https://youtu.be/tfhGZReexoc?t=2894" TargetMode="External"/><Relationship Id="rId69" Type="http://schemas.openxmlformats.org/officeDocument/2006/relationships/hyperlink" Target="https://youtu.be/ajZ0XVhhQbs?t=3524" TargetMode="External"/><Relationship Id="rId164" Type="http://schemas.openxmlformats.org/officeDocument/2006/relationships/hyperlink" Target="https://youtu.be/ISCFvL1WRvM?t=880" TargetMode="External"/><Relationship Id="rId285" Type="http://schemas.openxmlformats.org/officeDocument/2006/relationships/hyperlink" Target="https://youtu.be/Quf-EB5V8DA?t=1752" TargetMode="External"/><Relationship Id="rId163" Type="http://schemas.openxmlformats.org/officeDocument/2006/relationships/hyperlink" Target="https://youtu.be/CqFHNnVfiu4?t=89" TargetMode="External"/><Relationship Id="rId284" Type="http://schemas.openxmlformats.org/officeDocument/2006/relationships/hyperlink" Target="https://youtu.be/tfhGZReexoc?t=2047" TargetMode="External"/><Relationship Id="rId162" Type="http://schemas.openxmlformats.org/officeDocument/2006/relationships/hyperlink" Target="https://youtu.be/ISCFvL1WRvM" TargetMode="External"/><Relationship Id="rId283" Type="http://schemas.openxmlformats.org/officeDocument/2006/relationships/hyperlink" Target="https://youtu.be/Quf-EB5V8DA?t=889" TargetMode="External"/><Relationship Id="rId169" Type="http://schemas.openxmlformats.org/officeDocument/2006/relationships/hyperlink" Target="https://youtu.be/CqFHNnVfiu4?t=2660" TargetMode="External"/><Relationship Id="rId168" Type="http://schemas.openxmlformats.org/officeDocument/2006/relationships/hyperlink" Target="https://youtu.be/ISCFvL1WRvM?t=2652" TargetMode="External"/><Relationship Id="rId289" Type="http://schemas.openxmlformats.org/officeDocument/2006/relationships/hyperlink" Target="https://youtu.be/Quf-EB5V8DA?t=3464" TargetMode="External"/><Relationship Id="rId167" Type="http://schemas.openxmlformats.org/officeDocument/2006/relationships/hyperlink" Target="https://youtu.be/CqFHNnVfiu4?t=1839" TargetMode="External"/><Relationship Id="rId288" Type="http://schemas.openxmlformats.org/officeDocument/2006/relationships/hyperlink" Target="https://youtu.be/tfhGZReexoc?t=3725" TargetMode="External"/><Relationship Id="rId166" Type="http://schemas.openxmlformats.org/officeDocument/2006/relationships/hyperlink" Target="https://youtu.be/ISCFvL1WRvM?t=1680" TargetMode="External"/><Relationship Id="rId287" Type="http://schemas.openxmlformats.org/officeDocument/2006/relationships/hyperlink" Target="https://youtu.be/Quf-EB5V8DA?t=2648" TargetMode="External"/><Relationship Id="rId51" Type="http://schemas.openxmlformats.org/officeDocument/2006/relationships/hyperlink" Target="https://youtu.be/7nXTLTMNlCU?t=4534" TargetMode="External"/><Relationship Id="rId50" Type="http://schemas.openxmlformats.org/officeDocument/2006/relationships/hyperlink" Target="https://youtu.be/CHWLIvW4frs?t=3778" TargetMode="External"/><Relationship Id="rId53" Type="http://schemas.openxmlformats.org/officeDocument/2006/relationships/hyperlink" Target="https://youtu.be/7nXTLTMNlCU?t=5366" TargetMode="External"/><Relationship Id="rId52" Type="http://schemas.openxmlformats.org/officeDocument/2006/relationships/hyperlink" Target="https://youtu.be/CHWLIvW4frs?t=4623" TargetMode="External"/><Relationship Id="rId55" Type="http://schemas.openxmlformats.org/officeDocument/2006/relationships/hyperlink" Target="https://youtu.be/7nXTLTMNlCU?t=6197" TargetMode="External"/><Relationship Id="rId161" Type="http://schemas.openxmlformats.org/officeDocument/2006/relationships/hyperlink" Target="https://youtu.be/CqFHNnVfiu4" TargetMode="External"/><Relationship Id="rId282" Type="http://schemas.openxmlformats.org/officeDocument/2006/relationships/hyperlink" Target="https://youtu.be/tfhGZReexoc?t=1083" TargetMode="External"/><Relationship Id="rId54" Type="http://schemas.openxmlformats.org/officeDocument/2006/relationships/hyperlink" Target="https://youtu.be/CHWLIvW4frs?t=5521" TargetMode="External"/><Relationship Id="rId160" Type="http://schemas.openxmlformats.org/officeDocument/2006/relationships/hyperlink" Target="https://youtu.be/mYhDEAFJ_kM?t=8245" TargetMode="External"/><Relationship Id="rId281" Type="http://schemas.openxmlformats.org/officeDocument/2006/relationships/hyperlink" Target="https://youtu.be/Quf-EB5V8DA" TargetMode="External"/><Relationship Id="rId57" Type="http://schemas.openxmlformats.org/officeDocument/2006/relationships/hyperlink" Target="https://youtu.be/7nXTLTMNlCU?t=7086" TargetMode="External"/><Relationship Id="rId280" Type="http://schemas.openxmlformats.org/officeDocument/2006/relationships/hyperlink" Target="https://youtu.be/tfhGZReexoc" TargetMode="External"/><Relationship Id="rId56" Type="http://schemas.openxmlformats.org/officeDocument/2006/relationships/hyperlink" Target="https://youtu.be/CHWLIvW4frs?t=6360" TargetMode="External"/><Relationship Id="rId159" Type="http://schemas.openxmlformats.org/officeDocument/2006/relationships/hyperlink" Target="https://youtu.be/tQ_7EqP21-w?t=8129" TargetMode="External"/><Relationship Id="rId59" Type="http://schemas.openxmlformats.org/officeDocument/2006/relationships/hyperlink" Target="https://youtu.be/7nXTLTMNlCU?t=7985" TargetMode="External"/><Relationship Id="rId154" Type="http://schemas.openxmlformats.org/officeDocument/2006/relationships/hyperlink" Target="https://youtu.be/mYhDEAFJ_kM?t=5561" TargetMode="External"/><Relationship Id="rId275" Type="http://schemas.openxmlformats.org/officeDocument/2006/relationships/hyperlink" Target="https://youtu.be/kv5oLAwFOlI?t=6150" TargetMode="External"/><Relationship Id="rId58" Type="http://schemas.openxmlformats.org/officeDocument/2006/relationships/hyperlink" Target="https://youtu.be/CHWLIvW4frs?t=7264" TargetMode="External"/><Relationship Id="rId153" Type="http://schemas.openxmlformats.org/officeDocument/2006/relationships/hyperlink" Target="https://youtu.be/tQ_7EqP21-w?t=5617" TargetMode="External"/><Relationship Id="rId274" Type="http://schemas.openxmlformats.org/officeDocument/2006/relationships/hyperlink" Target="https://youtu.be/4KGIL9hFRxI?t=6368" TargetMode="External"/><Relationship Id="rId152" Type="http://schemas.openxmlformats.org/officeDocument/2006/relationships/hyperlink" Target="https://youtu.be/mYhDEAFJ_kM?t=4770" TargetMode="External"/><Relationship Id="rId273" Type="http://schemas.openxmlformats.org/officeDocument/2006/relationships/hyperlink" Target="https://youtu.be/kv5oLAwFOlI?t=5304" TargetMode="External"/><Relationship Id="rId151" Type="http://schemas.openxmlformats.org/officeDocument/2006/relationships/hyperlink" Target="https://youtu.be/tQ_7EqP21-w?t=4703" TargetMode="External"/><Relationship Id="rId272" Type="http://schemas.openxmlformats.org/officeDocument/2006/relationships/hyperlink" Target="https://youtu.be/4KGIL9hFRxI?t=5455" TargetMode="External"/><Relationship Id="rId158" Type="http://schemas.openxmlformats.org/officeDocument/2006/relationships/hyperlink" Target="https://youtu.be/mYhDEAFJ_kM?t=7318" TargetMode="External"/><Relationship Id="rId279" Type="http://schemas.openxmlformats.org/officeDocument/2006/relationships/hyperlink" Target="https://youtu.be/kv5oLAwFOlI?t=7944" TargetMode="External"/><Relationship Id="rId157" Type="http://schemas.openxmlformats.org/officeDocument/2006/relationships/hyperlink" Target="https://youtu.be/tQ_7EqP21-w?t=7280" TargetMode="External"/><Relationship Id="rId278" Type="http://schemas.openxmlformats.org/officeDocument/2006/relationships/hyperlink" Target="https://youtu.be/4KGIL9hFRxI?t=8151" TargetMode="External"/><Relationship Id="rId156" Type="http://schemas.openxmlformats.org/officeDocument/2006/relationships/hyperlink" Target="https://youtu.be/mYhDEAFJ_kM?t=6449" TargetMode="External"/><Relationship Id="rId277" Type="http://schemas.openxmlformats.org/officeDocument/2006/relationships/hyperlink" Target="https://youtu.be/kv5oLAwFOlI?t=7061" TargetMode="External"/><Relationship Id="rId155" Type="http://schemas.openxmlformats.org/officeDocument/2006/relationships/hyperlink" Target="https://youtu.be/tQ_7EqP21-w?t=6456" TargetMode="External"/><Relationship Id="rId276" Type="http://schemas.openxmlformats.org/officeDocument/2006/relationships/hyperlink" Target="https://youtu.be/4KGIL9hFRxI?t=7207" TargetMode="External"/><Relationship Id="rId107" Type="http://schemas.openxmlformats.org/officeDocument/2006/relationships/hyperlink" Target="https://youtu.be/1bLfcr7F1q4?t=2667" TargetMode="External"/><Relationship Id="rId228" Type="http://schemas.openxmlformats.org/officeDocument/2006/relationships/hyperlink" Target="https://youtu.be/HUCtyGAf7Vo?t=3709" TargetMode="External"/><Relationship Id="rId349" Type="http://schemas.openxmlformats.org/officeDocument/2006/relationships/hyperlink" Target="https://youtu.be/v4r28b5NzUM?t=3509" TargetMode="External"/><Relationship Id="rId106" Type="http://schemas.openxmlformats.org/officeDocument/2006/relationships/hyperlink" Target="https://youtu.be/H8c-RZ4ckcQ?t=1863" TargetMode="External"/><Relationship Id="rId227" Type="http://schemas.openxmlformats.org/officeDocument/2006/relationships/hyperlink" Target="https://youtu.be/2LBN2YhXsQs?t=2637" TargetMode="External"/><Relationship Id="rId348" Type="http://schemas.openxmlformats.org/officeDocument/2006/relationships/hyperlink" Target="https://youtu.be/NwZskFDh0A0?t=3679" TargetMode="External"/><Relationship Id="rId105" Type="http://schemas.openxmlformats.org/officeDocument/2006/relationships/hyperlink" Target="https://youtu.be/1bLfcr7F1q4?t=1806" TargetMode="External"/><Relationship Id="rId226" Type="http://schemas.openxmlformats.org/officeDocument/2006/relationships/hyperlink" Target="https://youtu.be/HUCtyGAf7Vo?t=2884" TargetMode="External"/><Relationship Id="rId347" Type="http://schemas.openxmlformats.org/officeDocument/2006/relationships/hyperlink" Target="https://youtu.be/v4r28b5NzUM?t=2649" TargetMode="External"/><Relationship Id="rId104" Type="http://schemas.openxmlformats.org/officeDocument/2006/relationships/hyperlink" Target="https://youtu.be/H8c-RZ4ckcQ?t=1022" TargetMode="External"/><Relationship Id="rId225" Type="http://schemas.openxmlformats.org/officeDocument/2006/relationships/hyperlink" Target="https://youtu.be/2LBN2YhXsQs?t=1751" TargetMode="External"/><Relationship Id="rId346" Type="http://schemas.openxmlformats.org/officeDocument/2006/relationships/hyperlink" Target="https://youtu.be/NwZskFDh0A0?t=2839" TargetMode="External"/><Relationship Id="rId109" Type="http://schemas.openxmlformats.org/officeDocument/2006/relationships/hyperlink" Target="https://youtu.be/1bLfcr7F1q4?t=3540" TargetMode="External"/><Relationship Id="rId108" Type="http://schemas.openxmlformats.org/officeDocument/2006/relationships/hyperlink" Target="https://youtu.be/H8c-RZ4ckcQ?t=2761" TargetMode="External"/><Relationship Id="rId229" Type="http://schemas.openxmlformats.org/officeDocument/2006/relationships/hyperlink" Target="https://youtu.be/2LBN2YhXsQs?t=3430" TargetMode="External"/><Relationship Id="rId220" Type="http://schemas.openxmlformats.org/officeDocument/2006/relationships/hyperlink" Target="https://youtu.be/HUCtyGAf7Vo?t=180" TargetMode="External"/><Relationship Id="rId341" Type="http://schemas.openxmlformats.org/officeDocument/2006/relationships/hyperlink" Target="https://youtu.be/v4r28b5NzUM" TargetMode="External"/><Relationship Id="rId340" Type="http://schemas.openxmlformats.org/officeDocument/2006/relationships/hyperlink" Target="https://youtu.be/NwZskFDh0A0" TargetMode="External"/><Relationship Id="rId103" Type="http://schemas.openxmlformats.org/officeDocument/2006/relationships/hyperlink" Target="https://youtu.be/1bLfcr7F1q4?t=971" TargetMode="External"/><Relationship Id="rId224" Type="http://schemas.openxmlformats.org/officeDocument/2006/relationships/hyperlink" Target="https://youtu.be/HUCtyGAf7Vo?t=2034" TargetMode="External"/><Relationship Id="rId345" Type="http://schemas.openxmlformats.org/officeDocument/2006/relationships/hyperlink" Target="https://youtu.be/v4r28b5NzUM?t=1748" TargetMode="External"/><Relationship Id="rId102" Type="http://schemas.openxmlformats.org/officeDocument/2006/relationships/hyperlink" Target="https://youtu.be/H8c-RZ4ckcQ" TargetMode="External"/><Relationship Id="rId223" Type="http://schemas.openxmlformats.org/officeDocument/2006/relationships/hyperlink" Target="https://youtu.be/2LBN2YhXsQs?t=907" TargetMode="External"/><Relationship Id="rId344" Type="http://schemas.openxmlformats.org/officeDocument/2006/relationships/hyperlink" Target="https://youtu.be/NwZskFDh0A0?t=1956" TargetMode="External"/><Relationship Id="rId101" Type="http://schemas.openxmlformats.org/officeDocument/2006/relationships/hyperlink" Target="https://youtu.be/1bLfcr7F1q4" TargetMode="External"/><Relationship Id="rId222" Type="http://schemas.openxmlformats.org/officeDocument/2006/relationships/hyperlink" Target="https://youtu.be/HUCtyGAf7Vo?t=1239" TargetMode="External"/><Relationship Id="rId343" Type="http://schemas.openxmlformats.org/officeDocument/2006/relationships/hyperlink" Target="https://youtu.be/v4r28b5NzUM?t=851" TargetMode="External"/><Relationship Id="rId100" Type="http://schemas.openxmlformats.org/officeDocument/2006/relationships/hyperlink" Target="https://youtu.be/-yxPPw29kIM?t=7340" TargetMode="External"/><Relationship Id="rId221" Type="http://schemas.openxmlformats.org/officeDocument/2006/relationships/hyperlink" Target="https://youtu.be/2LBN2YhXsQs" TargetMode="External"/><Relationship Id="rId342" Type="http://schemas.openxmlformats.org/officeDocument/2006/relationships/hyperlink" Target="https://youtu.be/NwZskFDh0A0?t=1062" TargetMode="External"/><Relationship Id="rId217" Type="http://schemas.openxmlformats.org/officeDocument/2006/relationships/hyperlink" Target="https://youtu.be/tUSMGyfDnuo?t=6987" TargetMode="External"/><Relationship Id="rId338" Type="http://schemas.openxmlformats.org/officeDocument/2006/relationships/hyperlink" Target="https://youtu.be/nAtHP9t7fIQ?t=7856" TargetMode="External"/><Relationship Id="rId216" Type="http://schemas.openxmlformats.org/officeDocument/2006/relationships/hyperlink" Target="https://youtu.be/0rXuHlJM2d0?t=7071" TargetMode="External"/><Relationship Id="rId337" Type="http://schemas.openxmlformats.org/officeDocument/2006/relationships/hyperlink" Target="https://youtu.be/ZXDMHmCjBrA?t=7009" TargetMode="External"/><Relationship Id="rId215" Type="http://schemas.openxmlformats.org/officeDocument/2006/relationships/hyperlink" Target="https://youtu.be/tUSMGyfDnuo?t=6105" TargetMode="External"/><Relationship Id="rId336" Type="http://schemas.openxmlformats.org/officeDocument/2006/relationships/hyperlink" Target="https://youtu.be/nAtHP9t7fIQ?t=6957" TargetMode="External"/><Relationship Id="rId214" Type="http://schemas.openxmlformats.org/officeDocument/2006/relationships/hyperlink" Target="https://youtu.be/0rXuHlJM2d0?t=6078" TargetMode="External"/><Relationship Id="rId335" Type="http://schemas.openxmlformats.org/officeDocument/2006/relationships/hyperlink" Target="https://youtu.be/ZXDMHmCjBrA?t=6112" TargetMode="External"/><Relationship Id="rId219" Type="http://schemas.openxmlformats.org/officeDocument/2006/relationships/hyperlink" Target="https://youtu.be/tUSMGyfDnuo?t=7913" TargetMode="External"/><Relationship Id="rId218" Type="http://schemas.openxmlformats.org/officeDocument/2006/relationships/hyperlink" Target="https://youtu.be/0rXuHlJM2d0?t=7925" TargetMode="External"/><Relationship Id="rId339" Type="http://schemas.openxmlformats.org/officeDocument/2006/relationships/hyperlink" Target="https://youtu.be/ZXDMHmCjBrA?t=7897" TargetMode="External"/><Relationship Id="rId330" Type="http://schemas.openxmlformats.org/officeDocument/2006/relationships/hyperlink" Target="https://youtu.be/nAtHP9t7fIQ?t=4317" TargetMode="External"/><Relationship Id="rId213" Type="http://schemas.openxmlformats.org/officeDocument/2006/relationships/hyperlink" Target="https://youtu.be/tUSMGyfDnuo?t=5213" TargetMode="External"/><Relationship Id="rId334" Type="http://schemas.openxmlformats.org/officeDocument/2006/relationships/hyperlink" Target="https://youtu.be/nAtHP9t7fIQ?t=6103" TargetMode="External"/><Relationship Id="rId212" Type="http://schemas.openxmlformats.org/officeDocument/2006/relationships/hyperlink" Target="https://youtu.be/0rXuHlJM2d0?t=5213" TargetMode="External"/><Relationship Id="rId333" Type="http://schemas.openxmlformats.org/officeDocument/2006/relationships/hyperlink" Target="https://youtu.be/ZXDMHmCjBrA?t=5257" TargetMode="External"/><Relationship Id="rId211" Type="http://schemas.openxmlformats.org/officeDocument/2006/relationships/hyperlink" Target="https://youtu.be/tUSMGyfDnuo?t=4349" TargetMode="External"/><Relationship Id="rId332" Type="http://schemas.openxmlformats.org/officeDocument/2006/relationships/hyperlink" Target="https://youtu.be/nAtHP9t7fIQ?t=5223" TargetMode="External"/><Relationship Id="rId210" Type="http://schemas.openxmlformats.org/officeDocument/2006/relationships/hyperlink" Target="https://youtu.be/0rXuHlJM2d0?t=4314" TargetMode="External"/><Relationship Id="rId331" Type="http://schemas.openxmlformats.org/officeDocument/2006/relationships/hyperlink" Target="https://youtu.be/ZXDMHmCjBrA?t=4369" TargetMode="External"/><Relationship Id="rId129" Type="http://schemas.openxmlformats.org/officeDocument/2006/relationships/hyperlink" Target="https://youtu.be/Iyphy4831L8?t=3654" TargetMode="External"/><Relationship Id="rId128" Type="http://schemas.openxmlformats.org/officeDocument/2006/relationships/hyperlink" Target="https://youtu.be/mPIQs7dx4nM?t=2900" TargetMode="External"/><Relationship Id="rId249" Type="http://schemas.openxmlformats.org/officeDocument/2006/relationships/hyperlink" Target="https://youtu.be/MB19RPYeq1g?t=3644" TargetMode="External"/><Relationship Id="rId127" Type="http://schemas.openxmlformats.org/officeDocument/2006/relationships/hyperlink" Target="https://youtu.be/Iyphy4831L8?t=2697" TargetMode="External"/><Relationship Id="rId248" Type="http://schemas.openxmlformats.org/officeDocument/2006/relationships/hyperlink" Target="https://youtu.be/1UzzfTKewic?t=3794" TargetMode="External"/><Relationship Id="rId126" Type="http://schemas.openxmlformats.org/officeDocument/2006/relationships/hyperlink" Target="https://youtu.be/mPIQs7dx4nM?t=1922" TargetMode="External"/><Relationship Id="rId247" Type="http://schemas.openxmlformats.org/officeDocument/2006/relationships/hyperlink" Target="https://youtu.be/MB19RPYeq1g?t=2781" TargetMode="External"/><Relationship Id="rId121" Type="http://schemas.openxmlformats.org/officeDocument/2006/relationships/hyperlink" Target="https://youtu.be/Iyphy4831L8" TargetMode="External"/><Relationship Id="rId242" Type="http://schemas.openxmlformats.org/officeDocument/2006/relationships/hyperlink" Target="https://youtu.be/1UzzfTKewic?t=1259" TargetMode="External"/><Relationship Id="rId120" Type="http://schemas.openxmlformats.org/officeDocument/2006/relationships/hyperlink" Target="https://youtu.be/H8c-RZ4ckcQ?t=7976" TargetMode="External"/><Relationship Id="rId241" Type="http://schemas.openxmlformats.org/officeDocument/2006/relationships/hyperlink" Target="https://youtu.be/MB19RPYeq1g" TargetMode="External"/><Relationship Id="rId240" Type="http://schemas.openxmlformats.org/officeDocument/2006/relationships/hyperlink" Target="https://youtu.be/1UzzfTKewic" TargetMode="External"/><Relationship Id="rId360" Type="http://schemas.openxmlformats.org/officeDocument/2006/relationships/drawing" Target="../drawings/drawing13.xml"/><Relationship Id="rId125" Type="http://schemas.openxmlformats.org/officeDocument/2006/relationships/hyperlink" Target="https://youtu.be/Iyphy4831L8?t=1851" TargetMode="External"/><Relationship Id="rId246" Type="http://schemas.openxmlformats.org/officeDocument/2006/relationships/hyperlink" Target="https://youtu.be/1UzzfTKewic?t=2988" TargetMode="External"/><Relationship Id="rId124" Type="http://schemas.openxmlformats.org/officeDocument/2006/relationships/hyperlink" Target="https://youtu.be/mPIQs7dx4nM?t=1014" TargetMode="External"/><Relationship Id="rId245" Type="http://schemas.openxmlformats.org/officeDocument/2006/relationships/hyperlink" Target="https://youtu.be/MB19RPYeq1g?t=1932" TargetMode="External"/><Relationship Id="rId123" Type="http://schemas.openxmlformats.org/officeDocument/2006/relationships/hyperlink" Target="https://youtu.be/Iyphy4831L8?t=956" TargetMode="External"/><Relationship Id="rId244" Type="http://schemas.openxmlformats.org/officeDocument/2006/relationships/hyperlink" Target="https://youtu.be/1UzzfTKewic?t=2134" TargetMode="External"/><Relationship Id="rId122" Type="http://schemas.openxmlformats.org/officeDocument/2006/relationships/hyperlink" Target="https://youtu.be/mPIQs7dx4nM" TargetMode="External"/><Relationship Id="rId243" Type="http://schemas.openxmlformats.org/officeDocument/2006/relationships/hyperlink" Target="https://youtu.be/MB19RPYeq1g?t=1017" TargetMode="External"/><Relationship Id="rId95" Type="http://schemas.openxmlformats.org/officeDocument/2006/relationships/hyperlink" Target="https://youtu.be/S2-j3p6auHc?t=5935" TargetMode="External"/><Relationship Id="rId94" Type="http://schemas.openxmlformats.org/officeDocument/2006/relationships/hyperlink" Target="https://youtu.be/-yxPPw29kIM?t=4794" TargetMode="External"/><Relationship Id="rId97" Type="http://schemas.openxmlformats.org/officeDocument/2006/relationships/hyperlink" Target="https://youtu.be/S2-j3p6auHc?t=6843" TargetMode="External"/><Relationship Id="rId96" Type="http://schemas.openxmlformats.org/officeDocument/2006/relationships/hyperlink" Target="https://youtu.be/-yxPPw29kIM?t=5614" TargetMode="External"/><Relationship Id="rId99" Type="http://schemas.openxmlformats.org/officeDocument/2006/relationships/hyperlink" Target="https://youtu.be/S2-j3p6auHc?t=7676" TargetMode="External"/><Relationship Id="rId98" Type="http://schemas.openxmlformats.org/officeDocument/2006/relationships/hyperlink" Target="https://youtu.be/-yxPPw29kIM?t=6415" TargetMode="External"/><Relationship Id="rId91" Type="http://schemas.openxmlformats.org/officeDocument/2006/relationships/hyperlink" Target="https://youtu.be/S2-j3p6auHc?t=4184" TargetMode="External"/><Relationship Id="rId90" Type="http://schemas.openxmlformats.org/officeDocument/2006/relationships/hyperlink" Target="https://youtu.be/-yxPPw29kIM?t=3020" TargetMode="External"/><Relationship Id="rId93" Type="http://schemas.openxmlformats.org/officeDocument/2006/relationships/hyperlink" Target="https://youtu.be/S2-j3p6auHc?t=5101" TargetMode="External"/><Relationship Id="rId92" Type="http://schemas.openxmlformats.org/officeDocument/2006/relationships/hyperlink" Target="https://youtu.be/-yxPPw29kIM?t=3974" TargetMode="External"/><Relationship Id="rId118" Type="http://schemas.openxmlformats.org/officeDocument/2006/relationships/hyperlink" Target="https://youtu.be/H8c-RZ4ckcQ?t=7115" TargetMode="External"/><Relationship Id="rId239" Type="http://schemas.openxmlformats.org/officeDocument/2006/relationships/hyperlink" Target="https://youtu.be/2LBN2YhXsQs?t=7742" TargetMode="External"/><Relationship Id="rId117" Type="http://schemas.openxmlformats.org/officeDocument/2006/relationships/hyperlink" Target="https://youtu.be/1bLfcr7F1q4?t=7084" TargetMode="External"/><Relationship Id="rId238" Type="http://schemas.openxmlformats.org/officeDocument/2006/relationships/hyperlink" Target="https://youtu.be/HUCtyGAf7Vo?t=8012" TargetMode="External"/><Relationship Id="rId359" Type="http://schemas.openxmlformats.org/officeDocument/2006/relationships/hyperlink" Target="https://youtu.be/v4r28b5NzUM?t=7932" TargetMode="External"/><Relationship Id="rId116" Type="http://schemas.openxmlformats.org/officeDocument/2006/relationships/hyperlink" Target="https://youtu.be/H8c-RZ4ckcQ?t=6187" TargetMode="External"/><Relationship Id="rId237" Type="http://schemas.openxmlformats.org/officeDocument/2006/relationships/hyperlink" Target="https://youtu.be/2LBN2YhXsQs?t=6872" TargetMode="External"/><Relationship Id="rId358" Type="http://schemas.openxmlformats.org/officeDocument/2006/relationships/hyperlink" Target="https://youtu.be/NwZskFDh0A0?t=8119" TargetMode="External"/><Relationship Id="rId115" Type="http://schemas.openxmlformats.org/officeDocument/2006/relationships/hyperlink" Target="https://youtu.be/1bLfcr7F1q4?t=6249" TargetMode="External"/><Relationship Id="rId236" Type="http://schemas.openxmlformats.org/officeDocument/2006/relationships/hyperlink" Target="https://youtu.be/HUCtyGAf7Vo?t=7110" TargetMode="External"/><Relationship Id="rId357" Type="http://schemas.openxmlformats.org/officeDocument/2006/relationships/hyperlink" Target="https://youtu.be/v4r28b5NzUM?t=7039" TargetMode="External"/><Relationship Id="rId119" Type="http://schemas.openxmlformats.org/officeDocument/2006/relationships/hyperlink" Target="https://youtu.be/1bLfcr7F1q4?t=7982" TargetMode="External"/><Relationship Id="rId110" Type="http://schemas.openxmlformats.org/officeDocument/2006/relationships/hyperlink" Target="https://youtu.be/H8c-RZ4ckcQ?t=3572" TargetMode="External"/><Relationship Id="rId231" Type="http://schemas.openxmlformats.org/officeDocument/2006/relationships/hyperlink" Target="https://youtu.be/2LBN2YhXsQs?t=4305" TargetMode="External"/><Relationship Id="rId352" Type="http://schemas.openxmlformats.org/officeDocument/2006/relationships/hyperlink" Target="https://youtu.be/NwZskFDh0A0?t=5479" TargetMode="External"/><Relationship Id="rId230" Type="http://schemas.openxmlformats.org/officeDocument/2006/relationships/hyperlink" Target="https://youtu.be/HUCtyGAf7Vo?t=4609" TargetMode="External"/><Relationship Id="rId351" Type="http://schemas.openxmlformats.org/officeDocument/2006/relationships/hyperlink" Target="https://youtu.be/v4r28b5NzUM?t=4391" TargetMode="External"/><Relationship Id="rId350" Type="http://schemas.openxmlformats.org/officeDocument/2006/relationships/hyperlink" Target="https://youtu.be/NwZskFDh0A0?t=4579" TargetMode="External"/><Relationship Id="rId114" Type="http://schemas.openxmlformats.org/officeDocument/2006/relationships/hyperlink" Target="https://youtu.be/H8c-RZ4ckcQ?t=5314" TargetMode="External"/><Relationship Id="rId235" Type="http://schemas.openxmlformats.org/officeDocument/2006/relationships/hyperlink" Target="https://youtu.be/2LBN2YhXsQs?t=5999" TargetMode="External"/><Relationship Id="rId356" Type="http://schemas.openxmlformats.org/officeDocument/2006/relationships/hyperlink" Target="https://youtu.be/NwZskFDh0A0?t=7237" TargetMode="External"/><Relationship Id="rId113" Type="http://schemas.openxmlformats.org/officeDocument/2006/relationships/hyperlink" Target="https://youtu.be/1bLfcr7F1q4?t=5288" TargetMode="External"/><Relationship Id="rId234" Type="http://schemas.openxmlformats.org/officeDocument/2006/relationships/hyperlink" Target="https://youtu.be/HUCtyGAf7Vo?t=6336" TargetMode="External"/><Relationship Id="rId355" Type="http://schemas.openxmlformats.org/officeDocument/2006/relationships/hyperlink" Target="https://youtu.be/v4r28b5NzUM?t=6143" TargetMode="External"/><Relationship Id="rId112" Type="http://schemas.openxmlformats.org/officeDocument/2006/relationships/hyperlink" Target="https://youtu.be/H8c-RZ4ckcQ?t=4473" TargetMode="External"/><Relationship Id="rId233" Type="http://schemas.openxmlformats.org/officeDocument/2006/relationships/hyperlink" Target="https://youtu.be/2LBN2YhXsQs?t=5150" TargetMode="External"/><Relationship Id="rId354" Type="http://schemas.openxmlformats.org/officeDocument/2006/relationships/hyperlink" Target="https://youtu.be/NwZskFDh0A0?t=6321" TargetMode="External"/><Relationship Id="rId111" Type="http://schemas.openxmlformats.org/officeDocument/2006/relationships/hyperlink" Target="https://youtu.be/1bLfcr7F1q4?t=4369" TargetMode="External"/><Relationship Id="rId232" Type="http://schemas.openxmlformats.org/officeDocument/2006/relationships/hyperlink" Target="https://youtu.be/HUCtyGAf7Vo?t=5450" TargetMode="External"/><Relationship Id="rId353" Type="http://schemas.openxmlformats.org/officeDocument/2006/relationships/hyperlink" Target="https://youtu.be/v4r28b5NzUM?t=5324" TargetMode="External"/><Relationship Id="rId305" Type="http://schemas.openxmlformats.org/officeDocument/2006/relationships/hyperlink" Target="https://youtu.be/di432f6FmM4?t=1823" TargetMode="External"/><Relationship Id="rId304" Type="http://schemas.openxmlformats.org/officeDocument/2006/relationships/hyperlink" Target="https://youtu.be/tH6tGhdjky8?t=1947" TargetMode="External"/><Relationship Id="rId303" Type="http://schemas.openxmlformats.org/officeDocument/2006/relationships/hyperlink" Target="https://youtu.be/di432f6FmM4?t=943" TargetMode="External"/><Relationship Id="rId302" Type="http://schemas.openxmlformats.org/officeDocument/2006/relationships/hyperlink" Target="https://youtu.be/tH6tGhdjky8?t=1124" TargetMode="External"/><Relationship Id="rId309" Type="http://schemas.openxmlformats.org/officeDocument/2006/relationships/hyperlink" Target="https://youtu.be/di432f6FmM4?t=3555" TargetMode="External"/><Relationship Id="rId308" Type="http://schemas.openxmlformats.org/officeDocument/2006/relationships/hyperlink" Target="https://youtu.be/tH6tGhdjky8?t=3741" TargetMode="External"/><Relationship Id="rId307" Type="http://schemas.openxmlformats.org/officeDocument/2006/relationships/hyperlink" Target="https://youtu.be/di432f6FmM4?t=2685" TargetMode="External"/><Relationship Id="rId306" Type="http://schemas.openxmlformats.org/officeDocument/2006/relationships/hyperlink" Target="https://youtu.be/tH6tGhdjky8?t=2852" TargetMode="External"/><Relationship Id="rId301" Type="http://schemas.openxmlformats.org/officeDocument/2006/relationships/hyperlink" Target="https://youtu.be/di432f6FmM4" TargetMode="External"/><Relationship Id="rId300" Type="http://schemas.openxmlformats.org/officeDocument/2006/relationships/hyperlink" Target="https://youtu.be/tH6tGhdjky8" TargetMode="External"/><Relationship Id="rId206" Type="http://schemas.openxmlformats.org/officeDocument/2006/relationships/hyperlink" Target="https://youtu.be/0rXuHlJM2d0?t=2627" TargetMode="External"/><Relationship Id="rId327" Type="http://schemas.openxmlformats.org/officeDocument/2006/relationships/hyperlink" Target="https://youtu.be/ZXDMHmCjBrA?t=2635" TargetMode="External"/><Relationship Id="rId205" Type="http://schemas.openxmlformats.org/officeDocument/2006/relationships/hyperlink" Target="https://youtu.be/tUSMGyfDnuo?t=1770" TargetMode="External"/><Relationship Id="rId326" Type="http://schemas.openxmlformats.org/officeDocument/2006/relationships/hyperlink" Target="https://youtu.be/nAtHP9t7fIQ?t=2583" TargetMode="External"/><Relationship Id="rId204" Type="http://schemas.openxmlformats.org/officeDocument/2006/relationships/hyperlink" Target="https://youtu.be/0rXuHlJM2d0?t=1810" TargetMode="External"/><Relationship Id="rId325" Type="http://schemas.openxmlformats.org/officeDocument/2006/relationships/hyperlink" Target="https://youtu.be/ZXDMHmCjBrA?t=1739" TargetMode="External"/><Relationship Id="rId203" Type="http://schemas.openxmlformats.org/officeDocument/2006/relationships/hyperlink" Target="https://youtu.be/tUSMGyfDnuo?t=845" TargetMode="External"/><Relationship Id="rId324" Type="http://schemas.openxmlformats.org/officeDocument/2006/relationships/hyperlink" Target="https://youtu.be/nAtHP9t7fIQ?t=1760" TargetMode="External"/><Relationship Id="rId209" Type="http://schemas.openxmlformats.org/officeDocument/2006/relationships/hyperlink" Target="https://youtu.be/tUSMGyfDnuo?t=3460" TargetMode="External"/><Relationship Id="rId208" Type="http://schemas.openxmlformats.org/officeDocument/2006/relationships/hyperlink" Target="https://youtu.be/0rXuHlJM2d0?t=3434" TargetMode="External"/><Relationship Id="rId329" Type="http://schemas.openxmlformats.org/officeDocument/2006/relationships/hyperlink" Target="https://youtu.be/ZXDMHmCjBrA?t=3466" TargetMode="External"/><Relationship Id="rId207" Type="http://schemas.openxmlformats.org/officeDocument/2006/relationships/hyperlink" Target="https://youtu.be/tUSMGyfDnuo?t=2636" TargetMode="External"/><Relationship Id="rId328" Type="http://schemas.openxmlformats.org/officeDocument/2006/relationships/hyperlink" Target="https://youtu.be/nAtHP9t7fIQ?t=3437" TargetMode="External"/><Relationship Id="rId202" Type="http://schemas.openxmlformats.org/officeDocument/2006/relationships/hyperlink" Target="https://youtu.be/0rXuHlJM2d0?t=915" TargetMode="External"/><Relationship Id="rId323" Type="http://schemas.openxmlformats.org/officeDocument/2006/relationships/hyperlink" Target="https://youtu.be/ZXDMHmCjBrA?t=877" TargetMode="External"/><Relationship Id="rId201" Type="http://schemas.openxmlformats.org/officeDocument/2006/relationships/hyperlink" Target="https://youtu.be/tUSMGyfDnuo" TargetMode="External"/><Relationship Id="rId322" Type="http://schemas.openxmlformats.org/officeDocument/2006/relationships/hyperlink" Target="https://youtu.be/nAtHP9t7fIQ?t=895" TargetMode="External"/><Relationship Id="rId200" Type="http://schemas.openxmlformats.org/officeDocument/2006/relationships/hyperlink" Target="https://youtu.be/0rXuHlJM2d0" TargetMode="External"/><Relationship Id="rId321" Type="http://schemas.openxmlformats.org/officeDocument/2006/relationships/hyperlink" Target="https://youtu.be/ZXDMHmCjBrA" TargetMode="External"/><Relationship Id="rId320" Type="http://schemas.openxmlformats.org/officeDocument/2006/relationships/hyperlink" Target="https://youtu.be/nAtHP9t7fIQ" TargetMode="External"/><Relationship Id="rId316" Type="http://schemas.openxmlformats.org/officeDocument/2006/relationships/hyperlink" Target="https://youtu.be/tH6tGhdjky8?t=7244" TargetMode="External"/><Relationship Id="rId315" Type="http://schemas.openxmlformats.org/officeDocument/2006/relationships/hyperlink" Target="https://youtu.be/di432f6FmM4?t=6187" TargetMode="External"/><Relationship Id="rId314" Type="http://schemas.openxmlformats.org/officeDocument/2006/relationships/hyperlink" Target="https://youtu.be/tH6tGhdjky8?t=6370" TargetMode="External"/><Relationship Id="rId313" Type="http://schemas.openxmlformats.org/officeDocument/2006/relationships/hyperlink" Target="https://youtu.be/di432f6FmM4?t=5358" TargetMode="External"/><Relationship Id="rId319" Type="http://schemas.openxmlformats.org/officeDocument/2006/relationships/hyperlink" Target="https://youtu.be/di432f6FmM4?t=7964" TargetMode="External"/><Relationship Id="rId318" Type="http://schemas.openxmlformats.org/officeDocument/2006/relationships/hyperlink" Target="https://youtu.be/tH6tGhdjky8?t=8133" TargetMode="External"/><Relationship Id="rId317" Type="http://schemas.openxmlformats.org/officeDocument/2006/relationships/hyperlink" Target="https://youtu.be/di432f6FmM4?t=7067" TargetMode="External"/><Relationship Id="rId312" Type="http://schemas.openxmlformats.org/officeDocument/2006/relationships/hyperlink" Target="https://youtu.be/tH6tGhdjky8?t=5536" TargetMode="External"/><Relationship Id="rId311" Type="http://schemas.openxmlformats.org/officeDocument/2006/relationships/hyperlink" Target="https://youtu.be/di432f6FmM4?t=4445" TargetMode="External"/><Relationship Id="rId310" Type="http://schemas.openxmlformats.org/officeDocument/2006/relationships/hyperlink" Target="https://youtu.be/tH6tGhdjky8?t=4647" TargetMode="External"/></Relationships>
</file>

<file path=xl/worksheets/_rels/sheet1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ZT41E0xZFH8?t=7881" TargetMode="External"/><Relationship Id="rId190" Type="http://schemas.openxmlformats.org/officeDocument/2006/relationships/hyperlink" Target="https://youtu.be/fAMHfwfQrs8?t=3692" TargetMode="External"/><Relationship Id="rId42" Type="http://schemas.openxmlformats.org/officeDocument/2006/relationships/hyperlink" Target="https://youtu.be/QqQf2xqDLEQ" TargetMode="External"/><Relationship Id="rId41" Type="http://schemas.openxmlformats.org/officeDocument/2006/relationships/hyperlink" Target="https://youtu.be/cYP808HQVEA" TargetMode="External"/><Relationship Id="rId44" Type="http://schemas.openxmlformats.org/officeDocument/2006/relationships/hyperlink" Target="https://youtu.be/QqQf2xqDLEQ?t=891" TargetMode="External"/><Relationship Id="rId194" Type="http://schemas.openxmlformats.org/officeDocument/2006/relationships/hyperlink" Target="https://youtu.be/fAMHfwfQrs8?t=5389" TargetMode="External"/><Relationship Id="rId43" Type="http://schemas.openxmlformats.org/officeDocument/2006/relationships/hyperlink" Target="https://youtu.be/cYP808HQVEA?t=973" TargetMode="External"/><Relationship Id="rId193" Type="http://schemas.openxmlformats.org/officeDocument/2006/relationships/hyperlink" Target="https://youtu.be/0iJz0f5JUrM?t=5521" TargetMode="External"/><Relationship Id="rId46" Type="http://schemas.openxmlformats.org/officeDocument/2006/relationships/hyperlink" Target="https://youtu.be/QqQf2xqDLEQ?t=1768" TargetMode="External"/><Relationship Id="rId192" Type="http://schemas.openxmlformats.org/officeDocument/2006/relationships/hyperlink" Target="https://youtu.be/fAMHfwfQrs8?t=4543" TargetMode="External"/><Relationship Id="rId45" Type="http://schemas.openxmlformats.org/officeDocument/2006/relationships/hyperlink" Target="https://youtu.be/cYP808HQVEA?t=1841" TargetMode="External"/><Relationship Id="rId191" Type="http://schemas.openxmlformats.org/officeDocument/2006/relationships/hyperlink" Target="https://youtu.be/0iJz0f5JUrM?t=4708" TargetMode="External"/><Relationship Id="rId48" Type="http://schemas.openxmlformats.org/officeDocument/2006/relationships/hyperlink" Target="https://youtu.be/QqQf2xqDLEQ?t=2639" TargetMode="External"/><Relationship Id="rId187" Type="http://schemas.openxmlformats.org/officeDocument/2006/relationships/hyperlink" Target="https://youtu.be/0iJz0f5JUrM?t=2881" TargetMode="External"/><Relationship Id="rId47" Type="http://schemas.openxmlformats.org/officeDocument/2006/relationships/hyperlink" Target="https://youtu.be/cYP808HQVEA?t=2735" TargetMode="External"/><Relationship Id="rId186" Type="http://schemas.openxmlformats.org/officeDocument/2006/relationships/hyperlink" Target="https://youtu.be/fAMHfwfQrs8?t=1718" TargetMode="External"/><Relationship Id="rId185" Type="http://schemas.openxmlformats.org/officeDocument/2006/relationships/hyperlink" Target="https://youtu.be/0iJz0f5JUrM?t=1971" TargetMode="External"/><Relationship Id="rId49" Type="http://schemas.openxmlformats.org/officeDocument/2006/relationships/hyperlink" Target="https://youtu.be/cYP808HQVEA?t=3567" TargetMode="External"/><Relationship Id="rId184" Type="http://schemas.openxmlformats.org/officeDocument/2006/relationships/hyperlink" Target="https://youtu.be/fAMHfwfQrs8?t=889" TargetMode="External"/><Relationship Id="rId189" Type="http://schemas.openxmlformats.org/officeDocument/2006/relationships/hyperlink" Target="https://youtu.be/0iJz0f5JUrM?t=3685" TargetMode="External"/><Relationship Id="rId188" Type="http://schemas.openxmlformats.org/officeDocument/2006/relationships/hyperlink" Target="https://youtu.be/fAMHfwfQrs8?t=2723" TargetMode="External"/><Relationship Id="rId31" Type="http://schemas.openxmlformats.org/officeDocument/2006/relationships/hyperlink" Target="https://youtu.be/zBMx_jVmU4I?t=4455" TargetMode="External"/><Relationship Id="rId30" Type="http://schemas.openxmlformats.org/officeDocument/2006/relationships/hyperlink" Target="https://youtu.be/ZT41E0xZFH8?t=3571" TargetMode="External"/><Relationship Id="rId33" Type="http://schemas.openxmlformats.org/officeDocument/2006/relationships/hyperlink" Target="https://youtu.be/zBMx_jVmU4I?t=5323" TargetMode="External"/><Relationship Id="rId183" Type="http://schemas.openxmlformats.org/officeDocument/2006/relationships/hyperlink" Target="https://youtu.be/0iJz0f5JUrM?t=1021" TargetMode="External"/><Relationship Id="rId32" Type="http://schemas.openxmlformats.org/officeDocument/2006/relationships/hyperlink" Target="https://youtu.be/ZT41E0xZFH8?t=4440" TargetMode="External"/><Relationship Id="rId182" Type="http://schemas.openxmlformats.org/officeDocument/2006/relationships/hyperlink" Target="https://youtu.be/fAMHfwfQrs8" TargetMode="External"/><Relationship Id="rId35" Type="http://schemas.openxmlformats.org/officeDocument/2006/relationships/hyperlink" Target="https://youtu.be/zBMx_jVmU4I?t=6179" TargetMode="External"/><Relationship Id="rId181" Type="http://schemas.openxmlformats.org/officeDocument/2006/relationships/hyperlink" Target="https://youtu.be/0iJz0f5JUrM?t=94" TargetMode="External"/><Relationship Id="rId34" Type="http://schemas.openxmlformats.org/officeDocument/2006/relationships/hyperlink" Target="https://youtu.be/ZT41E0xZFH8?t=5289" TargetMode="External"/><Relationship Id="rId180" Type="http://schemas.openxmlformats.org/officeDocument/2006/relationships/hyperlink" Target="https://youtu.be/TXvUc3DO-SA?t=8300" TargetMode="External"/><Relationship Id="rId37" Type="http://schemas.openxmlformats.org/officeDocument/2006/relationships/hyperlink" Target="https://youtu.be/zBMx_jVmU4I?t=7007" TargetMode="External"/><Relationship Id="rId176" Type="http://schemas.openxmlformats.org/officeDocument/2006/relationships/hyperlink" Target="https://youtu.be/TXvUc3DO-SA?t=6615" TargetMode="External"/><Relationship Id="rId297" Type="http://schemas.openxmlformats.org/officeDocument/2006/relationships/hyperlink" Target="https://youtu.be/CCGezvilVAM?t=6874" TargetMode="External"/><Relationship Id="rId36" Type="http://schemas.openxmlformats.org/officeDocument/2006/relationships/hyperlink" Target="https://youtu.be/ZT41E0xZFH8?t=6174" TargetMode="External"/><Relationship Id="rId175" Type="http://schemas.openxmlformats.org/officeDocument/2006/relationships/hyperlink" Target="https://youtu.be/1XOZdK12iVE?t=6390" TargetMode="External"/><Relationship Id="rId296" Type="http://schemas.openxmlformats.org/officeDocument/2006/relationships/hyperlink" Target="https://youtu.be/CRdTrbUrSjQ?t=7209" TargetMode="External"/><Relationship Id="rId39" Type="http://schemas.openxmlformats.org/officeDocument/2006/relationships/hyperlink" Target="https://youtu.be/zBMx_jVmU4I?t=7822" TargetMode="External"/><Relationship Id="rId174" Type="http://schemas.openxmlformats.org/officeDocument/2006/relationships/hyperlink" Target="https://youtu.be/TXvUc3DO-SA?t=5752" TargetMode="External"/><Relationship Id="rId295" Type="http://schemas.openxmlformats.org/officeDocument/2006/relationships/hyperlink" Target="https://youtu.be/CCGezvilVAM?t=6113" TargetMode="External"/><Relationship Id="rId38" Type="http://schemas.openxmlformats.org/officeDocument/2006/relationships/hyperlink" Target="https://youtu.be/ZT41E0xZFH8?t=7027" TargetMode="External"/><Relationship Id="rId173" Type="http://schemas.openxmlformats.org/officeDocument/2006/relationships/hyperlink" Target="https://youtu.be/1XOZdK12iVE?t=5553" TargetMode="External"/><Relationship Id="rId294" Type="http://schemas.openxmlformats.org/officeDocument/2006/relationships/hyperlink" Target="https://youtu.be/CRdTrbUrSjQ?t=6358" TargetMode="External"/><Relationship Id="rId179" Type="http://schemas.openxmlformats.org/officeDocument/2006/relationships/hyperlink" Target="https://youtu.be/1XOZdK12iVE?t=8049" TargetMode="External"/><Relationship Id="rId178" Type="http://schemas.openxmlformats.org/officeDocument/2006/relationships/hyperlink" Target="https://youtu.be/TXvUc3DO-SA?t=7411" TargetMode="External"/><Relationship Id="rId299" Type="http://schemas.openxmlformats.org/officeDocument/2006/relationships/hyperlink" Target="https://youtu.be/CCGezvilVAM?t=7808" TargetMode="External"/><Relationship Id="rId177" Type="http://schemas.openxmlformats.org/officeDocument/2006/relationships/hyperlink" Target="https://youtu.be/1XOZdK12iVE?t=7216" TargetMode="External"/><Relationship Id="rId298" Type="http://schemas.openxmlformats.org/officeDocument/2006/relationships/hyperlink" Target="https://youtu.be/CRdTrbUrSjQ?t=8099" TargetMode="External"/><Relationship Id="rId20" Type="http://schemas.openxmlformats.org/officeDocument/2006/relationships/hyperlink" Target="https://youtu.be/9I0oLfkcu5I?t=7934" TargetMode="External"/><Relationship Id="rId22" Type="http://schemas.openxmlformats.org/officeDocument/2006/relationships/hyperlink" Target="https://youtu.be/ZT41E0xZFH8" TargetMode="External"/><Relationship Id="rId21" Type="http://schemas.openxmlformats.org/officeDocument/2006/relationships/hyperlink" Target="https://youtu.be/zBMx_jVmU4I" TargetMode="External"/><Relationship Id="rId24" Type="http://schemas.openxmlformats.org/officeDocument/2006/relationships/hyperlink" Target="https://youtu.be/ZT41E0xZFH8?t=891" TargetMode="External"/><Relationship Id="rId23" Type="http://schemas.openxmlformats.org/officeDocument/2006/relationships/hyperlink" Target="https://youtu.be/zBMx_jVmU4I?t=940" TargetMode="External"/><Relationship Id="rId26" Type="http://schemas.openxmlformats.org/officeDocument/2006/relationships/hyperlink" Target="https://youtu.be/ZT41E0xZFH8?t=1790" TargetMode="External"/><Relationship Id="rId25" Type="http://schemas.openxmlformats.org/officeDocument/2006/relationships/hyperlink" Target="https://youtu.be/zBMx_jVmU4I?t=1779" TargetMode="External"/><Relationship Id="rId28" Type="http://schemas.openxmlformats.org/officeDocument/2006/relationships/hyperlink" Target="https://youtu.be/ZT41E0xZFH8?t=2655" TargetMode="External"/><Relationship Id="rId27" Type="http://schemas.openxmlformats.org/officeDocument/2006/relationships/hyperlink" Target="https://youtu.be/zBMx_jVmU4I?t=2601" TargetMode="External"/><Relationship Id="rId29" Type="http://schemas.openxmlformats.org/officeDocument/2006/relationships/hyperlink" Target="https://youtu.be/zBMx_jVmU4I?t=3506" TargetMode="External"/><Relationship Id="rId11" Type="http://schemas.openxmlformats.org/officeDocument/2006/relationships/hyperlink" Target="https://youtu.be/uxShCltFh9k?t=4381" TargetMode="External"/><Relationship Id="rId10" Type="http://schemas.openxmlformats.org/officeDocument/2006/relationships/hyperlink" Target="https://youtu.be/9I0oLfkcu5I?t=3518" TargetMode="External"/><Relationship Id="rId13" Type="http://schemas.openxmlformats.org/officeDocument/2006/relationships/hyperlink" Target="https://youtu.be/uxShCltFh9k?t=5282" TargetMode="External"/><Relationship Id="rId12" Type="http://schemas.openxmlformats.org/officeDocument/2006/relationships/hyperlink" Target="https://youtu.be/9I0oLfkcu5I?t=4394" TargetMode="External"/><Relationship Id="rId15" Type="http://schemas.openxmlformats.org/officeDocument/2006/relationships/hyperlink" Target="https://youtu.be/uxShCltFh9k?t=6126" TargetMode="External"/><Relationship Id="rId198" Type="http://schemas.openxmlformats.org/officeDocument/2006/relationships/hyperlink" Target="https://youtu.be/fAMHfwfQrs8?t=7089" TargetMode="External"/><Relationship Id="rId14" Type="http://schemas.openxmlformats.org/officeDocument/2006/relationships/hyperlink" Target="https://youtu.be/9I0oLfkcu5I?t=5296" TargetMode="External"/><Relationship Id="rId197" Type="http://schemas.openxmlformats.org/officeDocument/2006/relationships/hyperlink" Target="https://youtu.be/0iJz0f5JUrM?t=7289" TargetMode="External"/><Relationship Id="rId17" Type="http://schemas.openxmlformats.org/officeDocument/2006/relationships/hyperlink" Target="https://youtu.be/uxShCltFh9k?t=7022" TargetMode="External"/><Relationship Id="rId196" Type="http://schemas.openxmlformats.org/officeDocument/2006/relationships/hyperlink" Target="https://youtu.be/fAMHfwfQrs8?t=6184" TargetMode="External"/><Relationship Id="rId16" Type="http://schemas.openxmlformats.org/officeDocument/2006/relationships/hyperlink" Target="https://youtu.be/9I0oLfkcu5I?t=6136" TargetMode="External"/><Relationship Id="rId195" Type="http://schemas.openxmlformats.org/officeDocument/2006/relationships/hyperlink" Target="https://youtu.be/0iJz0f5JUrM?t=6400" TargetMode="External"/><Relationship Id="rId19" Type="http://schemas.openxmlformats.org/officeDocument/2006/relationships/hyperlink" Target="https://youtu.be/uxShCltFh9k?t=7928" TargetMode="External"/><Relationship Id="rId18" Type="http://schemas.openxmlformats.org/officeDocument/2006/relationships/hyperlink" Target="https://youtu.be/9I0oLfkcu5I?t=7035" TargetMode="External"/><Relationship Id="rId199" Type="http://schemas.openxmlformats.org/officeDocument/2006/relationships/hyperlink" Target="https://youtu.be/0iJz0f5JUrM?t=8104" TargetMode="External"/><Relationship Id="rId84" Type="http://schemas.openxmlformats.org/officeDocument/2006/relationships/hyperlink" Target="https://youtu.be/SjTYFFNJZis?t=1301" TargetMode="External"/><Relationship Id="rId83" Type="http://schemas.openxmlformats.org/officeDocument/2006/relationships/hyperlink" Target="https://youtu.be/iPxx-OFnP9w?t=1019" TargetMode="External"/><Relationship Id="rId86" Type="http://schemas.openxmlformats.org/officeDocument/2006/relationships/hyperlink" Target="https://youtu.be/SjTYFFNJZis?t=2238" TargetMode="External"/><Relationship Id="rId85" Type="http://schemas.openxmlformats.org/officeDocument/2006/relationships/hyperlink" Target="https://youtu.be/iPxx-OFnP9w?t=1937" TargetMode="External"/><Relationship Id="rId88" Type="http://schemas.openxmlformats.org/officeDocument/2006/relationships/hyperlink" Target="https://youtu.be/SjTYFFNJZis?t=3236" TargetMode="External"/><Relationship Id="rId150" Type="http://schemas.openxmlformats.org/officeDocument/2006/relationships/hyperlink" Target="https://youtu.be/oUSfJYLHmNQ?t=3835" TargetMode="External"/><Relationship Id="rId271" Type="http://schemas.openxmlformats.org/officeDocument/2006/relationships/hyperlink" Target="https://youtu.be/6ZAAWmZAB5o?t=4411" TargetMode="External"/><Relationship Id="rId87" Type="http://schemas.openxmlformats.org/officeDocument/2006/relationships/hyperlink" Target="https://youtu.be/iPxx-OFnP9w?t=2811" TargetMode="External"/><Relationship Id="rId270" Type="http://schemas.openxmlformats.org/officeDocument/2006/relationships/hyperlink" Target="https://youtu.be/Gh4b3eI8y_c?t=4481" TargetMode="External"/><Relationship Id="rId89" Type="http://schemas.openxmlformats.org/officeDocument/2006/relationships/hyperlink" Target="https://youtu.be/iPxx-OFnP9w?t=3629" TargetMode="External"/><Relationship Id="rId80" Type="http://schemas.openxmlformats.org/officeDocument/2006/relationships/hyperlink" Target="https://youtu.be/q46fgONN4TA?t=7990" TargetMode="External"/><Relationship Id="rId82" Type="http://schemas.openxmlformats.org/officeDocument/2006/relationships/hyperlink" Target="https://youtu.be/SjTYFFNJZis" TargetMode="External"/><Relationship Id="rId81" Type="http://schemas.openxmlformats.org/officeDocument/2006/relationships/hyperlink" Target="https://youtu.be/iPxx-OFnP9w" TargetMode="External"/><Relationship Id="rId1" Type="http://schemas.openxmlformats.org/officeDocument/2006/relationships/hyperlink" Target="https://youtu.be/uxShCltFh9k" TargetMode="External"/><Relationship Id="rId2" Type="http://schemas.openxmlformats.org/officeDocument/2006/relationships/hyperlink" Target="https://youtu.be/9I0oLfkcu5I" TargetMode="External"/><Relationship Id="rId3" Type="http://schemas.openxmlformats.org/officeDocument/2006/relationships/hyperlink" Target="https://youtu.be/uxShCltFh9k?t=885" TargetMode="External"/><Relationship Id="rId149" Type="http://schemas.openxmlformats.org/officeDocument/2006/relationships/hyperlink" Target="https://youtu.be/L3Q9eGVURDg?t=3654" TargetMode="External"/><Relationship Id="rId4" Type="http://schemas.openxmlformats.org/officeDocument/2006/relationships/hyperlink" Target="https://youtu.be/9I0oLfkcu5I?t=882" TargetMode="External"/><Relationship Id="rId148" Type="http://schemas.openxmlformats.org/officeDocument/2006/relationships/hyperlink" Target="https://youtu.be/oUSfJYLHmNQ?t=2945" TargetMode="External"/><Relationship Id="rId269" Type="http://schemas.openxmlformats.org/officeDocument/2006/relationships/hyperlink" Target="https://youtu.be/6ZAAWmZAB5o?t=3512" TargetMode="External"/><Relationship Id="rId9" Type="http://schemas.openxmlformats.org/officeDocument/2006/relationships/hyperlink" Target="https://youtu.be/uxShCltFh9k?t=3511" TargetMode="External"/><Relationship Id="rId143" Type="http://schemas.openxmlformats.org/officeDocument/2006/relationships/hyperlink" Target="https://youtu.be/L3Q9eGVURDg?t=1080" TargetMode="External"/><Relationship Id="rId264" Type="http://schemas.openxmlformats.org/officeDocument/2006/relationships/hyperlink" Target="https://youtu.be/Gh4b3eI8y_c?t=1830" TargetMode="External"/><Relationship Id="rId142" Type="http://schemas.openxmlformats.org/officeDocument/2006/relationships/hyperlink" Target="https://youtu.be/oUSfJYLHmNQ" TargetMode="External"/><Relationship Id="rId263" Type="http://schemas.openxmlformats.org/officeDocument/2006/relationships/hyperlink" Target="https://youtu.be/6ZAAWmZAB5o?t=867" TargetMode="External"/><Relationship Id="rId141" Type="http://schemas.openxmlformats.org/officeDocument/2006/relationships/hyperlink" Target="https://youtu.be/L3Q9eGVURDg" TargetMode="External"/><Relationship Id="rId262" Type="http://schemas.openxmlformats.org/officeDocument/2006/relationships/hyperlink" Target="https://youtu.be/Gh4b3eI8y_c?t=940" TargetMode="External"/><Relationship Id="rId140" Type="http://schemas.openxmlformats.org/officeDocument/2006/relationships/hyperlink" Target="https://youtu.be/8VQ8G0pAAts?t=8078" TargetMode="External"/><Relationship Id="rId261" Type="http://schemas.openxmlformats.org/officeDocument/2006/relationships/hyperlink" Target="https://youtu.be/6ZAAWmZAB5o" TargetMode="External"/><Relationship Id="rId5" Type="http://schemas.openxmlformats.org/officeDocument/2006/relationships/hyperlink" Target="https://youtu.be/uxShCltFh9k?t=1787" TargetMode="External"/><Relationship Id="rId147" Type="http://schemas.openxmlformats.org/officeDocument/2006/relationships/hyperlink" Target="https://youtu.be/L3Q9eGVURDg?t=2844" TargetMode="External"/><Relationship Id="rId268" Type="http://schemas.openxmlformats.org/officeDocument/2006/relationships/hyperlink" Target="https://youtu.be/Gh4b3eI8y_c?t=3566" TargetMode="External"/><Relationship Id="rId6" Type="http://schemas.openxmlformats.org/officeDocument/2006/relationships/hyperlink" Target="https://youtu.be/9I0oLfkcu5I?t=1757" TargetMode="External"/><Relationship Id="rId146" Type="http://schemas.openxmlformats.org/officeDocument/2006/relationships/hyperlink" Target="https://youtu.be/oUSfJYLHmNQ?t=2067" TargetMode="External"/><Relationship Id="rId267" Type="http://schemas.openxmlformats.org/officeDocument/2006/relationships/hyperlink" Target="https://youtu.be/6ZAAWmZAB5o?t=2660" TargetMode="External"/><Relationship Id="rId7" Type="http://schemas.openxmlformats.org/officeDocument/2006/relationships/hyperlink" Target="https://youtu.be/uxShCltFh9k?t=2672" TargetMode="External"/><Relationship Id="rId145" Type="http://schemas.openxmlformats.org/officeDocument/2006/relationships/hyperlink" Target="https://youtu.be/L3Q9eGVURDg?t=1958" TargetMode="External"/><Relationship Id="rId266" Type="http://schemas.openxmlformats.org/officeDocument/2006/relationships/hyperlink" Target="https://youtu.be/Gh4b3eI8y_c?t=2719" TargetMode="External"/><Relationship Id="rId8" Type="http://schemas.openxmlformats.org/officeDocument/2006/relationships/hyperlink" Target="https://youtu.be/9I0oLfkcu5I?t=2657" TargetMode="External"/><Relationship Id="rId144" Type="http://schemas.openxmlformats.org/officeDocument/2006/relationships/hyperlink" Target="https://youtu.be/oUSfJYLHmNQ?t=1143" TargetMode="External"/><Relationship Id="rId265" Type="http://schemas.openxmlformats.org/officeDocument/2006/relationships/hyperlink" Target="https://youtu.be/6ZAAWmZAB5o?t=1761" TargetMode="External"/><Relationship Id="rId73" Type="http://schemas.openxmlformats.org/officeDocument/2006/relationships/hyperlink" Target="https://youtu.be/oveMEllcRnw?t=5329" TargetMode="External"/><Relationship Id="rId72" Type="http://schemas.openxmlformats.org/officeDocument/2006/relationships/hyperlink" Target="https://youtu.be/q46fgONN4TA?t=4454" TargetMode="External"/><Relationship Id="rId75" Type="http://schemas.openxmlformats.org/officeDocument/2006/relationships/hyperlink" Target="https://youtu.be/oveMEllcRnw?t=6184" TargetMode="External"/><Relationship Id="rId74" Type="http://schemas.openxmlformats.org/officeDocument/2006/relationships/hyperlink" Target="https://youtu.be/q46fgONN4TA?t=5351" TargetMode="External"/><Relationship Id="rId77" Type="http://schemas.openxmlformats.org/officeDocument/2006/relationships/hyperlink" Target="https://youtu.be/oveMEllcRnw?t=7070" TargetMode="External"/><Relationship Id="rId260" Type="http://schemas.openxmlformats.org/officeDocument/2006/relationships/hyperlink" Target="https://youtu.be/Gh4b3eI8y_c" TargetMode="External"/><Relationship Id="rId76" Type="http://schemas.openxmlformats.org/officeDocument/2006/relationships/hyperlink" Target="https://youtu.be/q46fgONN4TA?t=6198" TargetMode="External"/><Relationship Id="rId79" Type="http://schemas.openxmlformats.org/officeDocument/2006/relationships/hyperlink" Target="https://youtu.be/oveMEllcRnw?t=7973" TargetMode="External"/><Relationship Id="rId78" Type="http://schemas.openxmlformats.org/officeDocument/2006/relationships/hyperlink" Target="https://youtu.be/q46fgONN4TA?t=7089" TargetMode="External"/><Relationship Id="rId71" Type="http://schemas.openxmlformats.org/officeDocument/2006/relationships/hyperlink" Target="https://youtu.be/oveMEllcRnw?t=4428" TargetMode="External"/><Relationship Id="rId70" Type="http://schemas.openxmlformats.org/officeDocument/2006/relationships/hyperlink" Target="https://youtu.be/q46fgONN4TA?t=3553" TargetMode="External"/><Relationship Id="rId139" Type="http://schemas.openxmlformats.org/officeDocument/2006/relationships/hyperlink" Target="https://youtu.be/XjKmaNZ_z-E?t=7903" TargetMode="External"/><Relationship Id="rId138" Type="http://schemas.openxmlformats.org/officeDocument/2006/relationships/hyperlink" Target="https://youtu.be/8VQ8G0pAAts?t=7166" TargetMode="External"/><Relationship Id="rId259" Type="http://schemas.openxmlformats.org/officeDocument/2006/relationships/hyperlink" Target="https://youtu.be/Y3j360QI-wQ?t=7915" TargetMode="External"/><Relationship Id="rId137" Type="http://schemas.openxmlformats.org/officeDocument/2006/relationships/hyperlink" Target="https://youtu.be/XjKmaNZ_z-E?t=7008" TargetMode="External"/><Relationship Id="rId258" Type="http://schemas.openxmlformats.org/officeDocument/2006/relationships/hyperlink" Target="https://youtu.be/qz8mcB_Vt_0?t=8036" TargetMode="External"/><Relationship Id="rId132" Type="http://schemas.openxmlformats.org/officeDocument/2006/relationships/hyperlink" Target="https://youtu.be/8VQ8G0pAAts?t=4681" TargetMode="External"/><Relationship Id="rId253" Type="http://schemas.openxmlformats.org/officeDocument/2006/relationships/hyperlink" Target="https://youtu.be/Y3j360QI-wQ?t=5194" TargetMode="External"/><Relationship Id="rId131" Type="http://schemas.openxmlformats.org/officeDocument/2006/relationships/hyperlink" Target="https://youtu.be/XjKmaNZ_z-E?t=4414" TargetMode="External"/><Relationship Id="rId252" Type="http://schemas.openxmlformats.org/officeDocument/2006/relationships/hyperlink" Target="https://youtu.be/qz8mcB_Vt_0?t=5470" TargetMode="External"/><Relationship Id="rId130" Type="http://schemas.openxmlformats.org/officeDocument/2006/relationships/hyperlink" Target="https://youtu.be/8VQ8G0pAAts?t=3768" TargetMode="External"/><Relationship Id="rId251" Type="http://schemas.openxmlformats.org/officeDocument/2006/relationships/hyperlink" Target="https://youtu.be/Y3j360QI-wQ?t=4398" TargetMode="External"/><Relationship Id="rId250" Type="http://schemas.openxmlformats.org/officeDocument/2006/relationships/hyperlink" Target="https://youtu.be/qz8mcB_Vt_0?t=4525" TargetMode="External"/><Relationship Id="rId136" Type="http://schemas.openxmlformats.org/officeDocument/2006/relationships/hyperlink" Target="https://youtu.be/8VQ8G0pAAts?t=6344" TargetMode="External"/><Relationship Id="rId257" Type="http://schemas.openxmlformats.org/officeDocument/2006/relationships/hyperlink" Target="https://youtu.be/Y3j360QI-wQ?t=7003" TargetMode="External"/><Relationship Id="rId135" Type="http://schemas.openxmlformats.org/officeDocument/2006/relationships/hyperlink" Target="https://youtu.be/XjKmaNZ_z-E?t=6185" TargetMode="External"/><Relationship Id="rId256" Type="http://schemas.openxmlformats.org/officeDocument/2006/relationships/hyperlink" Target="https://youtu.be/qz8mcB_Vt_0?t=7244" TargetMode="External"/><Relationship Id="rId134" Type="http://schemas.openxmlformats.org/officeDocument/2006/relationships/hyperlink" Target="https://youtu.be/8VQ8G0pAAts?t=5491" TargetMode="External"/><Relationship Id="rId255" Type="http://schemas.openxmlformats.org/officeDocument/2006/relationships/hyperlink" Target="https://youtu.be/Y3j360QI-wQ?t=6030" TargetMode="External"/><Relationship Id="rId133" Type="http://schemas.openxmlformats.org/officeDocument/2006/relationships/hyperlink" Target="https://youtu.be/XjKmaNZ_z-E?t=5303" TargetMode="External"/><Relationship Id="rId254" Type="http://schemas.openxmlformats.org/officeDocument/2006/relationships/hyperlink" Target="https://youtu.be/qz8mcB_Vt_0?t=6267" TargetMode="External"/><Relationship Id="rId62" Type="http://schemas.openxmlformats.org/officeDocument/2006/relationships/hyperlink" Target="https://youtu.be/q46fgONN4TA" TargetMode="External"/><Relationship Id="rId61" Type="http://schemas.openxmlformats.org/officeDocument/2006/relationships/hyperlink" Target="https://youtu.be/oveMEllcRnw" TargetMode="External"/><Relationship Id="rId64" Type="http://schemas.openxmlformats.org/officeDocument/2006/relationships/hyperlink" Target="https://youtu.be/q46fgONN4TA?t=910" TargetMode="External"/><Relationship Id="rId63" Type="http://schemas.openxmlformats.org/officeDocument/2006/relationships/hyperlink" Target="https://youtu.be/oveMEllcRnw?t=896" TargetMode="External"/><Relationship Id="rId66" Type="http://schemas.openxmlformats.org/officeDocument/2006/relationships/hyperlink" Target="https://youtu.be/q46fgONN4TA?t=1818" TargetMode="External"/><Relationship Id="rId172" Type="http://schemas.openxmlformats.org/officeDocument/2006/relationships/hyperlink" Target="https://youtu.be/TXvUc3DO-SA?t=4869" TargetMode="External"/><Relationship Id="rId293" Type="http://schemas.openxmlformats.org/officeDocument/2006/relationships/hyperlink" Target="https://youtu.be/CCGezvilVAM?t=5220" TargetMode="External"/><Relationship Id="rId65" Type="http://schemas.openxmlformats.org/officeDocument/2006/relationships/hyperlink" Target="https://youtu.be/oveMEllcRnw?t=1791" TargetMode="External"/><Relationship Id="rId171" Type="http://schemas.openxmlformats.org/officeDocument/2006/relationships/hyperlink" Target="https://youtu.be/1XOZdK12iVE?t=4688" TargetMode="External"/><Relationship Id="rId292" Type="http://schemas.openxmlformats.org/officeDocument/2006/relationships/hyperlink" Target="https://youtu.be/CRdTrbUrSjQ?t=5462" TargetMode="External"/><Relationship Id="rId68" Type="http://schemas.openxmlformats.org/officeDocument/2006/relationships/hyperlink" Target="https://youtu.be/q46fgONN4TA?t=2712" TargetMode="External"/><Relationship Id="rId170" Type="http://schemas.openxmlformats.org/officeDocument/2006/relationships/hyperlink" Target="https://youtu.be/TXvUc3DO-SA?t=4006" TargetMode="External"/><Relationship Id="rId291" Type="http://schemas.openxmlformats.org/officeDocument/2006/relationships/hyperlink" Target="https://youtu.be/CCGezvilVAM?t=4337" TargetMode="External"/><Relationship Id="rId67" Type="http://schemas.openxmlformats.org/officeDocument/2006/relationships/hyperlink" Target="https://youtu.be/oveMEllcRnw?t=2692" TargetMode="External"/><Relationship Id="rId290" Type="http://schemas.openxmlformats.org/officeDocument/2006/relationships/hyperlink" Target="https://youtu.be/CRdTrbUrSjQ?t=4584" TargetMode="External"/><Relationship Id="rId60" Type="http://schemas.openxmlformats.org/officeDocument/2006/relationships/hyperlink" Target="https://youtu.be/QqQf2xqDLEQ?t=7859" TargetMode="External"/><Relationship Id="rId165" Type="http://schemas.openxmlformats.org/officeDocument/2006/relationships/hyperlink" Target="https://youtu.be/1XOZdK12iVE?t=1956" TargetMode="External"/><Relationship Id="rId286" Type="http://schemas.openxmlformats.org/officeDocument/2006/relationships/hyperlink" Target="https://youtu.be/CRdTrbUrSjQ?t=2832" TargetMode="External"/><Relationship Id="rId69" Type="http://schemas.openxmlformats.org/officeDocument/2006/relationships/hyperlink" Target="https://youtu.be/oveMEllcRnw?t=3529" TargetMode="External"/><Relationship Id="rId164" Type="http://schemas.openxmlformats.org/officeDocument/2006/relationships/hyperlink" Target="https://youtu.be/TXvUc3DO-SA?t=1050" TargetMode="External"/><Relationship Id="rId285" Type="http://schemas.openxmlformats.org/officeDocument/2006/relationships/hyperlink" Target="https://youtu.be/CCGezvilVAM?t=1725" TargetMode="External"/><Relationship Id="rId163" Type="http://schemas.openxmlformats.org/officeDocument/2006/relationships/hyperlink" Target="https://youtu.be/1XOZdK12iVE?t=1036" TargetMode="External"/><Relationship Id="rId284" Type="http://schemas.openxmlformats.org/officeDocument/2006/relationships/hyperlink" Target="https://youtu.be/CRdTrbUrSjQ?t=1958" TargetMode="External"/><Relationship Id="rId162" Type="http://schemas.openxmlformats.org/officeDocument/2006/relationships/hyperlink" Target="https://youtu.be/TXvUc3DO-SA" TargetMode="External"/><Relationship Id="rId283" Type="http://schemas.openxmlformats.org/officeDocument/2006/relationships/hyperlink" Target="https://youtu.be/CCGezvilVAM?t=857" TargetMode="External"/><Relationship Id="rId169" Type="http://schemas.openxmlformats.org/officeDocument/2006/relationships/hyperlink" Target="https://youtu.be/1XOZdK12iVE?t=3746" TargetMode="External"/><Relationship Id="rId168" Type="http://schemas.openxmlformats.org/officeDocument/2006/relationships/hyperlink" Target="https://youtu.be/TXvUc3DO-SA?t=3123" TargetMode="External"/><Relationship Id="rId289" Type="http://schemas.openxmlformats.org/officeDocument/2006/relationships/hyperlink" Target="https://youtu.be/CCGezvilVAM?t=3495" TargetMode="External"/><Relationship Id="rId167" Type="http://schemas.openxmlformats.org/officeDocument/2006/relationships/hyperlink" Target="https://youtu.be/1XOZdK12iVE?t=2775" TargetMode="External"/><Relationship Id="rId288" Type="http://schemas.openxmlformats.org/officeDocument/2006/relationships/hyperlink" Target="https://youtu.be/CRdTrbUrSjQ?t=3689" TargetMode="External"/><Relationship Id="rId166" Type="http://schemas.openxmlformats.org/officeDocument/2006/relationships/hyperlink" Target="https://youtu.be/TXvUc3DO-SA?t=1993" TargetMode="External"/><Relationship Id="rId287" Type="http://schemas.openxmlformats.org/officeDocument/2006/relationships/hyperlink" Target="https://youtu.be/CCGezvilVAM?t=2653" TargetMode="External"/><Relationship Id="rId51" Type="http://schemas.openxmlformats.org/officeDocument/2006/relationships/hyperlink" Target="https://youtu.be/cYP808HQVEA?t=4494" TargetMode="External"/><Relationship Id="rId50" Type="http://schemas.openxmlformats.org/officeDocument/2006/relationships/hyperlink" Target="https://youtu.be/QqQf2xqDLEQ?t=3480" TargetMode="External"/><Relationship Id="rId53" Type="http://schemas.openxmlformats.org/officeDocument/2006/relationships/hyperlink" Target="https://youtu.be/cYP808HQVEA?t=5391" TargetMode="External"/><Relationship Id="rId52" Type="http://schemas.openxmlformats.org/officeDocument/2006/relationships/hyperlink" Target="https://youtu.be/QqQf2xqDLEQ?t=4379" TargetMode="External"/><Relationship Id="rId55" Type="http://schemas.openxmlformats.org/officeDocument/2006/relationships/hyperlink" Target="https://youtu.be/cYP808HQVEA?t=6235" TargetMode="External"/><Relationship Id="rId161" Type="http://schemas.openxmlformats.org/officeDocument/2006/relationships/hyperlink" Target="https://youtu.be/1XOZdK12iVE" TargetMode="External"/><Relationship Id="rId282" Type="http://schemas.openxmlformats.org/officeDocument/2006/relationships/hyperlink" Target="https://youtu.be/CRdTrbUrSjQ?t=1064" TargetMode="External"/><Relationship Id="rId54" Type="http://schemas.openxmlformats.org/officeDocument/2006/relationships/hyperlink" Target="https://youtu.be/QqQf2xqDLEQ?t=5292" TargetMode="External"/><Relationship Id="rId160" Type="http://schemas.openxmlformats.org/officeDocument/2006/relationships/hyperlink" Target="https://youtu.be/oUSfJYLHmNQ?t=8183" TargetMode="External"/><Relationship Id="rId281" Type="http://schemas.openxmlformats.org/officeDocument/2006/relationships/hyperlink" Target="https://youtu.be/CCGezvilVAM" TargetMode="External"/><Relationship Id="rId57" Type="http://schemas.openxmlformats.org/officeDocument/2006/relationships/hyperlink" Target="https://youtu.be/cYP808HQVEA?t=7177" TargetMode="External"/><Relationship Id="rId280" Type="http://schemas.openxmlformats.org/officeDocument/2006/relationships/hyperlink" Target="https://youtu.be/CRdTrbUrSjQ" TargetMode="External"/><Relationship Id="rId56" Type="http://schemas.openxmlformats.org/officeDocument/2006/relationships/hyperlink" Target="https://youtu.be/QqQf2xqDLEQ?t=6132" TargetMode="External"/><Relationship Id="rId159" Type="http://schemas.openxmlformats.org/officeDocument/2006/relationships/hyperlink" Target="https://youtu.be/L3Q9eGVURDg?t=8079" TargetMode="External"/><Relationship Id="rId59" Type="http://schemas.openxmlformats.org/officeDocument/2006/relationships/hyperlink" Target="https://youtu.be/cYP808HQVEA?t=7977" TargetMode="External"/><Relationship Id="rId154" Type="http://schemas.openxmlformats.org/officeDocument/2006/relationships/hyperlink" Target="https://youtu.be/oUSfJYLHmNQ?t=5640" TargetMode="External"/><Relationship Id="rId275" Type="http://schemas.openxmlformats.org/officeDocument/2006/relationships/hyperlink" Target="https://youtu.be/6ZAAWmZAB5o?t=6189" TargetMode="External"/><Relationship Id="rId58" Type="http://schemas.openxmlformats.org/officeDocument/2006/relationships/hyperlink" Target="https://youtu.be/QqQf2xqDLEQ?t=6871" TargetMode="External"/><Relationship Id="rId153" Type="http://schemas.openxmlformats.org/officeDocument/2006/relationships/hyperlink" Target="https://youtu.be/L3Q9eGVURDg?t=5571" TargetMode="External"/><Relationship Id="rId274" Type="http://schemas.openxmlformats.org/officeDocument/2006/relationships/hyperlink" Target="https://youtu.be/Gh4b3eI8y_c?t=6230" TargetMode="External"/><Relationship Id="rId152" Type="http://schemas.openxmlformats.org/officeDocument/2006/relationships/hyperlink" Target="https://youtu.be/oUSfJYLHmNQ?t=4745" TargetMode="External"/><Relationship Id="rId273" Type="http://schemas.openxmlformats.org/officeDocument/2006/relationships/hyperlink" Target="https://youtu.be/6ZAAWmZAB5o?t=5301" TargetMode="External"/><Relationship Id="rId151" Type="http://schemas.openxmlformats.org/officeDocument/2006/relationships/hyperlink" Target="https://youtu.be/L3Q9eGVURDg?t=4547" TargetMode="External"/><Relationship Id="rId272" Type="http://schemas.openxmlformats.org/officeDocument/2006/relationships/hyperlink" Target="https://youtu.be/Gh4b3eI8y_c?t=5399" TargetMode="External"/><Relationship Id="rId158" Type="http://schemas.openxmlformats.org/officeDocument/2006/relationships/hyperlink" Target="https://youtu.be/oUSfJYLHmNQ?t=7326" TargetMode="External"/><Relationship Id="rId279" Type="http://schemas.openxmlformats.org/officeDocument/2006/relationships/hyperlink" Target="https://youtu.be/6ZAAWmZAB5o?t=7945" TargetMode="External"/><Relationship Id="rId157" Type="http://schemas.openxmlformats.org/officeDocument/2006/relationships/hyperlink" Target="https://youtu.be/L3Q9eGVURDg?t=7260" TargetMode="External"/><Relationship Id="rId278" Type="http://schemas.openxmlformats.org/officeDocument/2006/relationships/hyperlink" Target="https://youtu.be/Gh4b3eI8y_c?t=8030" TargetMode="External"/><Relationship Id="rId156" Type="http://schemas.openxmlformats.org/officeDocument/2006/relationships/hyperlink" Target="https://youtu.be/oUSfJYLHmNQ?t=6464" TargetMode="External"/><Relationship Id="rId277" Type="http://schemas.openxmlformats.org/officeDocument/2006/relationships/hyperlink" Target="https://youtu.be/6ZAAWmZAB5o?t=7073" TargetMode="External"/><Relationship Id="rId155" Type="http://schemas.openxmlformats.org/officeDocument/2006/relationships/hyperlink" Target="https://youtu.be/L3Q9eGVURDg?t=6450" TargetMode="External"/><Relationship Id="rId276" Type="http://schemas.openxmlformats.org/officeDocument/2006/relationships/hyperlink" Target="https://youtu.be/Gh4b3eI8y_c?t=7142" TargetMode="External"/><Relationship Id="rId107" Type="http://schemas.openxmlformats.org/officeDocument/2006/relationships/hyperlink" Target="https://youtu.be/oRKQ2CTEt-Q?t=2618" TargetMode="External"/><Relationship Id="rId228" Type="http://schemas.openxmlformats.org/officeDocument/2006/relationships/hyperlink" Target="https://youtu.be/ABmAA7JEFX8?t=3798" TargetMode="External"/><Relationship Id="rId349" Type="http://schemas.openxmlformats.org/officeDocument/2006/relationships/hyperlink" Target="https://youtu.be/vq1gQdX_CYo?t=4549" TargetMode="External"/><Relationship Id="rId106" Type="http://schemas.openxmlformats.org/officeDocument/2006/relationships/hyperlink" Target="https://youtu.be/e7bkg-RUSLQ?t=1327" TargetMode="External"/><Relationship Id="rId227" Type="http://schemas.openxmlformats.org/officeDocument/2006/relationships/hyperlink" Target="https://youtu.be/_8wUy3bFX3E?t=916" TargetMode="External"/><Relationship Id="rId348" Type="http://schemas.openxmlformats.org/officeDocument/2006/relationships/hyperlink" Target="https://youtu.be/6tl_WVU7EHc?t=3501" TargetMode="External"/><Relationship Id="rId105" Type="http://schemas.openxmlformats.org/officeDocument/2006/relationships/hyperlink" Target="https://youtu.be/oRKQ2CTEt-Q?t=1732" TargetMode="External"/><Relationship Id="rId226" Type="http://schemas.openxmlformats.org/officeDocument/2006/relationships/hyperlink" Target="https://youtu.be/ABmAA7JEFX8?t=2949" TargetMode="External"/><Relationship Id="rId347" Type="http://schemas.openxmlformats.org/officeDocument/2006/relationships/hyperlink" Target="https://youtu.be/vq1gQdX_CYo?t=3641" TargetMode="External"/><Relationship Id="rId104" Type="http://schemas.openxmlformats.org/officeDocument/2006/relationships/hyperlink" Target="https://youtu.be/e7bkg-RUSLQ?t=526" TargetMode="External"/><Relationship Id="rId225" Type="http://schemas.openxmlformats.org/officeDocument/2006/relationships/hyperlink" Target="https://youtu.be/_8wUy3bFX3E" TargetMode="External"/><Relationship Id="rId346" Type="http://schemas.openxmlformats.org/officeDocument/2006/relationships/hyperlink" Target="https://youtu.be/6tl_WVU7EHc?t=2672" TargetMode="External"/><Relationship Id="rId109" Type="http://schemas.openxmlformats.org/officeDocument/2006/relationships/hyperlink" Target="https://youtu.be/oRKQ2CTEt-Q?t=3453" TargetMode="External"/><Relationship Id="rId108" Type="http://schemas.openxmlformats.org/officeDocument/2006/relationships/hyperlink" Target="https://youtu.be/e7bkg-RUSLQ?t=2553" TargetMode="External"/><Relationship Id="rId229" Type="http://schemas.openxmlformats.org/officeDocument/2006/relationships/hyperlink" Target="https://youtu.be/_8wUy3bFX3E?t=1757" TargetMode="External"/><Relationship Id="rId220" Type="http://schemas.openxmlformats.org/officeDocument/2006/relationships/hyperlink" Target="https://youtu.be/lOzagbila0A?t=7657" TargetMode="External"/><Relationship Id="rId341" Type="http://schemas.openxmlformats.org/officeDocument/2006/relationships/hyperlink" Target="https://youtu.be/vq1gQdX_CYo?t=1062" TargetMode="External"/><Relationship Id="rId340" Type="http://schemas.openxmlformats.org/officeDocument/2006/relationships/hyperlink" Target="https://youtu.be/6tl_WVU7EHc" TargetMode="External"/><Relationship Id="rId103" Type="http://schemas.openxmlformats.org/officeDocument/2006/relationships/hyperlink" Target="https://youtu.be/oRKQ2CTEt-Q?t=839" TargetMode="External"/><Relationship Id="rId224" Type="http://schemas.openxmlformats.org/officeDocument/2006/relationships/hyperlink" Target="https://youtu.be/ABmAA7JEFX8?t=2018" TargetMode="External"/><Relationship Id="rId345" Type="http://schemas.openxmlformats.org/officeDocument/2006/relationships/hyperlink" Target="https://youtu.be/vq1gQdX_CYo?t=2797" TargetMode="External"/><Relationship Id="rId102" Type="http://schemas.openxmlformats.org/officeDocument/2006/relationships/hyperlink" Target="https://youtu.be/e7bkg-RUSLQ" TargetMode="External"/><Relationship Id="rId223" Type="http://schemas.openxmlformats.org/officeDocument/2006/relationships/hyperlink" Target="https://youtu.be/ABmAA7JEFX8?t=1030" TargetMode="External"/><Relationship Id="rId344" Type="http://schemas.openxmlformats.org/officeDocument/2006/relationships/hyperlink" Target="https://youtu.be/6tl_WVU7EHc?t=1841" TargetMode="External"/><Relationship Id="rId101" Type="http://schemas.openxmlformats.org/officeDocument/2006/relationships/hyperlink" Target="https://youtu.be/oRKQ2CTEt-Q" TargetMode="External"/><Relationship Id="rId222" Type="http://schemas.openxmlformats.org/officeDocument/2006/relationships/hyperlink" Target="https://youtu.be/_8wUy3bFX3E" TargetMode="External"/><Relationship Id="rId343" Type="http://schemas.openxmlformats.org/officeDocument/2006/relationships/hyperlink" Target="https://youtu.be/vq1gQdX_CYo?t=1958" TargetMode="External"/><Relationship Id="rId100" Type="http://schemas.openxmlformats.org/officeDocument/2006/relationships/hyperlink" Target="https://youtu.be/SjTYFFNJZis?t=8375" TargetMode="External"/><Relationship Id="rId221" Type="http://schemas.openxmlformats.org/officeDocument/2006/relationships/hyperlink" Target="https://youtu.be/ABmAA7JEFX8" TargetMode="External"/><Relationship Id="rId342" Type="http://schemas.openxmlformats.org/officeDocument/2006/relationships/hyperlink" Target="https://youtu.be/6tl_WVU7EHc?t=968" TargetMode="External"/><Relationship Id="rId217" Type="http://schemas.openxmlformats.org/officeDocument/2006/relationships/hyperlink" Target="https://youtu.be/KDtzp-O6hbE?t=6823" TargetMode="External"/><Relationship Id="rId338" Type="http://schemas.openxmlformats.org/officeDocument/2006/relationships/hyperlink" Target="https://youtu.be/ZwLyQh0RcyQ?t=7918" TargetMode="External"/><Relationship Id="rId216" Type="http://schemas.openxmlformats.org/officeDocument/2006/relationships/hyperlink" Target="https://youtu.be/lOzagbila0A?t=5856" TargetMode="External"/><Relationship Id="rId337" Type="http://schemas.openxmlformats.org/officeDocument/2006/relationships/hyperlink" Target="https://youtu.be/_mcLtxN5dA0?t=8022" TargetMode="External"/><Relationship Id="rId215" Type="http://schemas.openxmlformats.org/officeDocument/2006/relationships/hyperlink" Target="https://youtu.be/KDtzp-O6hbE?t=5947" TargetMode="External"/><Relationship Id="rId336" Type="http://schemas.openxmlformats.org/officeDocument/2006/relationships/hyperlink" Target="https://youtu.be/ZwLyQh0RcyQ?t=7016" TargetMode="External"/><Relationship Id="rId214" Type="http://schemas.openxmlformats.org/officeDocument/2006/relationships/hyperlink" Target="https://youtu.be/lOzagbila0A?t=5048" TargetMode="External"/><Relationship Id="rId335" Type="http://schemas.openxmlformats.org/officeDocument/2006/relationships/hyperlink" Target="https://youtu.be/_mcLtxN5dA0?t=7125" TargetMode="External"/><Relationship Id="rId219" Type="http://schemas.openxmlformats.org/officeDocument/2006/relationships/hyperlink" Target="https://youtu.be/KDtzp-O6hbE?t=7634" TargetMode="External"/><Relationship Id="rId218" Type="http://schemas.openxmlformats.org/officeDocument/2006/relationships/hyperlink" Target="https://youtu.be/lOzagbila0A?t=6774" TargetMode="External"/><Relationship Id="rId339" Type="http://schemas.openxmlformats.org/officeDocument/2006/relationships/hyperlink" Target="https://youtu.be/vq1gQdX_CYo" TargetMode="External"/><Relationship Id="rId330" Type="http://schemas.openxmlformats.org/officeDocument/2006/relationships/hyperlink" Target="https://youtu.be/ZwLyQh0RcyQ?t=4376" TargetMode="External"/><Relationship Id="rId213" Type="http://schemas.openxmlformats.org/officeDocument/2006/relationships/hyperlink" Target="https://youtu.be/KDtzp-O6hbE?t=5076" TargetMode="External"/><Relationship Id="rId334" Type="http://schemas.openxmlformats.org/officeDocument/2006/relationships/hyperlink" Target="https://youtu.be/ZwLyQh0RcyQ?t=6116" TargetMode="External"/><Relationship Id="rId212" Type="http://schemas.openxmlformats.org/officeDocument/2006/relationships/hyperlink" Target="https://youtu.be/lOzagbila0A?t=4279" TargetMode="External"/><Relationship Id="rId333" Type="http://schemas.openxmlformats.org/officeDocument/2006/relationships/hyperlink" Target="https://youtu.be/_mcLtxN5dA0?t=6235" TargetMode="External"/><Relationship Id="rId211" Type="http://schemas.openxmlformats.org/officeDocument/2006/relationships/hyperlink" Target="https://youtu.be/KDtzp-O6hbE?t=4240" TargetMode="External"/><Relationship Id="rId332" Type="http://schemas.openxmlformats.org/officeDocument/2006/relationships/hyperlink" Target="https://youtu.be/ZwLyQh0RcyQ?t=5277" TargetMode="External"/><Relationship Id="rId210" Type="http://schemas.openxmlformats.org/officeDocument/2006/relationships/hyperlink" Target="https://youtu.be/lOzagbila0A?t=3367" TargetMode="External"/><Relationship Id="rId331" Type="http://schemas.openxmlformats.org/officeDocument/2006/relationships/hyperlink" Target="https://youtu.be/_mcLtxN5dA0?t=5385" TargetMode="External"/><Relationship Id="rId129" Type="http://schemas.openxmlformats.org/officeDocument/2006/relationships/hyperlink" Target="https://youtu.be/XjKmaNZ_z-E?t=3608" TargetMode="External"/><Relationship Id="rId128" Type="http://schemas.openxmlformats.org/officeDocument/2006/relationships/hyperlink" Target="https://youtu.be/8VQ8G0pAAts?t=2896" TargetMode="External"/><Relationship Id="rId249" Type="http://schemas.openxmlformats.org/officeDocument/2006/relationships/hyperlink" Target="https://youtu.be/Y3j360QI-wQ?t=3486" TargetMode="External"/><Relationship Id="rId127" Type="http://schemas.openxmlformats.org/officeDocument/2006/relationships/hyperlink" Target="https://youtu.be/XjKmaNZ_z-E?t=2702" TargetMode="External"/><Relationship Id="rId248" Type="http://schemas.openxmlformats.org/officeDocument/2006/relationships/hyperlink" Target="https://youtu.be/qz8mcB_Vt_0?t=3611" TargetMode="External"/><Relationship Id="rId126" Type="http://schemas.openxmlformats.org/officeDocument/2006/relationships/hyperlink" Target="https://youtu.be/8VQ8G0pAAts?t=1747" TargetMode="External"/><Relationship Id="rId247" Type="http://schemas.openxmlformats.org/officeDocument/2006/relationships/hyperlink" Target="https://youtu.be/Y3j360QI-wQ?t=2614" TargetMode="External"/><Relationship Id="rId121" Type="http://schemas.openxmlformats.org/officeDocument/2006/relationships/hyperlink" Target="https://youtu.be/XjKmaNZ_z-E" TargetMode="External"/><Relationship Id="rId242" Type="http://schemas.openxmlformats.org/officeDocument/2006/relationships/hyperlink" Target="https://youtu.be/qz8mcB_Vt_0?t=934" TargetMode="External"/><Relationship Id="rId120" Type="http://schemas.openxmlformats.org/officeDocument/2006/relationships/hyperlink" Target="https://youtu.be/e7bkg-RUSLQ?t=7874" TargetMode="External"/><Relationship Id="rId241" Type="http://schemas.openxmlformats.org/officeDocument/2006/relationships/hyperlink" Target="https://youtu.be/Y3j360QI-wQ" TargetMode="External"/><Relationship Id="rId240" Type="http://schemas.openxmlformats.org/officeDocument/2006/relationships/hyperlink" Target="https://youtu.be/qz8mcB_Vt_0" TargetMode="External"/><Relationship Id="rId125" Type="http://schemas.openxmlformats.org/officeDocument/2006/relationships/hyperlink" Target="https://youtu.be/XjKmaNZ_z-E?t=1846" TargetMode="External"/><Relationship Id="rId246" Type="http://schemas.openxmlformats.org/officeDocument/2006/relationships/hyperlink" Target="https://youtu.be/qz8mcB_Vt_0?t=2724" TargetMode="External"/><Relationship Id="rId124" Type="http://schemas.openxmlformats.org/officeDocument/2006/relationships/hyperlink" Target="https://youtu.be/8VQ8G0pAAts?t=937" TargetMode="External"/><Relationship Id="rId245" Type="http://schemas.openxmlformats.org/officeDocument/2006/relationships/hyperlink" Target="https://youtu.be/Y3j360QI-wQ?t=1636" TargetMode="External"/><Relationship Id="rId123" Type="http://schemas.openxmlformats.org/officeDocument/2006/relationships/hyperlink" Target="https://youtu.be/XjKmaNZ_z-E?t=982" TargetMode="External"/><Relationship Id="rId244" Type="http://schemas.openxmlformats.org/officeDocument/2006/relationships/hyperlink" Target="https://youtu.be/qz8mcB_Vt_0?t=1843" TargetMode="External"/><Relationship Id="rId122" Type="http://schemas.openxmlformats.org/officeDocument/2006/relationships/hyperlink" Target="https://youtu.be/8VQ8G0pAAts" TargetMode="External"/><Relationship Id="rId243" Type="http://schemas.openxmlformats.org/officeDocument/2006/relationships/hyperlink" Target="https://youtu.be/Y3j360QI-wQ?t=745" TargetMode="External"/><Relationship Id="rId95" Type="http://schemas.openxmlformats.org/officeDocument/2006/relationships/hyperlink" Target="https://youtu.be/iPxx-OFnP9w?t=6143" TargetMode="External"/><Relationship Id="rId94" Type="http://schemas.openxmlformats.org/officeDocument/2006/relationships/hyperlink" Target="https://youtu.be/SjTYFFNJZis?t=5738" TargetMode="External"/><Relationship Id="rId97" Type="http://schemas.openxmlformats.org/officeDocument/2006/relationships/hyperlink" Target="https://youtu.be/iPxx-OFnP9w?t=7016" TargetMode="External"/><Relationship Id="rId96" Type="http://schemas.openxmlformats.org/officeDocument/2006/relationships/hyperlink" Target="https://youtu.be/SjTYFFNJZis?t=6554" TargetMode="External"/><Relationship Id="rId99" Type="http://schemas.openxmlformats.org/officeDocument/2006/relationships/hyperlink" Target="https://youtu.be/iPxx-OFnP9w?t=7844" TargetMode="External"/><Relationship Id="rId98" Type="http://schemas.openxmlformats.org/officeDocument/2006/relationships/hyperlink" Target="https://youtu.be/SjTYFFNJZis?t=7451" TargetMode="External"/><Relationship Id="rId91" Type="http://schemas.openxmlformats.org/officeDocument/2006/relationships/hyperlink" Target="https://youtu.be/iPxx-OFnP9w?t=4452" TargetMode="External"/><Relationship Id="rId90" Type="http://schemas.openxmlformats.org/officeDocument/2006/relationships/hyperlink" Target="https://youtu.be/SjTYFFNJZis?t=4122" TargetMode="External"/><Relationship Id="rId93" Type="http://schemas.openxmlformats.org/officeDocument/2006/relationships/hyperlink" Target="https://youtu.be/iPxx-OFnP9w?t=5335" TargetMode="External"/><Relationship Id="rId92" Type="http://schemas.openxmlformats.org/officeDocument/2006/relationships/hyperlink" Target="https://youtu.be/SjTYFFNJZis?t=4943" TargetMode="External"/><Relationship Id="rId118" Type="http://schemas.openxmlformats.org/officeDocument/2006/relationships/hyperlink" Target="https://youtu.be/e7bkg-RUSLQ?t=7040" TargetMode="External"/><Relationship Id="rId239" Type="http://schemas.openxmlformats.org/officeDocument/2006/relationships/hyperlink" Target="https://youtu.be/_8wUy3bFX3E?t=5964" TargetMode="External"/><Relationship Id="rId117" Type="http://schemas.openxmlformats.org/officeDocument/2006/relationships/hyperlink" Target="https://youtu.be/oRKQ2CTEt-Q?t=7038" TargetMode="External"/><Relationship Id="rId238" Type="http://schemas.openxmlformats.org/officeDocument/2006/relationships/hyperlink" Target="https://youtu.be/ABmAA7JEFX8?t=7992" TargetMode="External"/><Relationship Id="rId359" Type="http://schemas.openxmlformats.org/officeDocument/2006/relationships/drawing" Target="../drawings/drawing14.xml"/><Relationship Id="rId116" Type="http://schemas.openxmlformats.org/officeDocument/2006/relationships/hyperlink" Target="https://youtu.be/e7bkg-RUSLQ?t=5994" TargetMode="External"/><Relationship Id="rId237" Type="http://schemas.openxmlformats.org/officeDocument/2006/relationships/hyperlink" Target="https://youtu.be/_8wUy3bFX3E?t=5125" TargetMode="External"/><Relationship Id="rId358" Type="http://schemas.openxmlformats.org/officeDocument/2006/relationships/hyperlink" Target="https://youtu.be/6tl_WVU7EHc?t=7927" TargetMode="External"/><Relationship Id="rId115" Type="http://schemas.openxmlformats.org/officeDocument/2006/relationships/hyperlink" Target="https://youtu.be/oRKQ2CTEt-Q?t=6020" TargetMode="External"/><Relationship Id="rId236" Type="http://schemas.openxmlformats.org/officeDocument/2006/relationships/hyperlink" Target="https://youtu.be/ABmAA7JEFX8?t=7181" TargetMode="External"/><Relationship Id="rId357" Type="http://schemas.openxmlformats.org/officeDocument/2006/relationships/hyperlink" Target="https://youtu.be/vq1gQdX_CYo?t=8080" TargetMode="External"/><Relationship Id="rId119" Type="http://schemas.openxmlformats.org/officeDocument/2006/relationships/hyperlink" Target="https://youtu.be/oRKQ2CTEt-Q?t=7838" TargetMode="External"/><Relationship Id="rId110" Type="http://schemas.openxmlformats.org/officeDocument/2006/relationships/hyperlink" Target="https://youtu.be/e7bkg-RUSLQ?t=3440" TargetMode="External"/><Relationship Id="rId231" Type="http://schemas.openxmlformats.org/officeDocument/2006/relationships/hyperlink" Target="https://youtu.be/_8wUy3bFX3E?t=2582" TargetMode="External"/><Relationship Id="rId352" Type="http://schemas.openxmlformats.org/officeDocument/2006/relationships/hyperlink" Target="https://youtu.be/6tl_WVU7EHc?t=5285" TargetMode="External"/><Relationship Id="rId230" Type="http://schemas.openxmlformats.org/officeDocument/2006/relationships/hyperlink" Target="https://youtu.be/ABmAA7JEFX8?t=4598" TargetMode="External"/><Relationship Id="rId351" Type="http://schemas.openxmlformats.org/officeDocument/2006/relationships/hyperlink" Target="https://youtu.be/vq1gQdX_CYo?t=5436" TargetMode="External"/><Relationship Id="rId350" Type="http://schemas.openxmlformats.org/officeDocument/2006/relationships/hyperlink" Target="https://youtu.be/6tl_WVU7EHc?t=4393" TargetMode="External"/><Relationship Id="rId114" Type="http://schemas.openxmlformats.org/officeDocument/2006/relationships/hyperlink" Target="https://youtu.be/e7bkg-RUSLQ?t=5167" TargetMode="External"/><Relationship Id="rId235" Type="http://schemas.openxmlformats.org/officeDocument/2006/relationships/hyperlink" Target="https://youtu.be/_8wUy3bFX3E?t=4255" TargetMode="External"/><Relationship Id="rId356" Type="http://schemas.openxmlformats.org/officeDocument/2006/relationships/hyperlink" Target="https://youtu.be/6tl_WVU7EHc?t=7027" TargetMode="External"/><Relationship Id="rId113" Type="http://schemas.openxmlformats.org/officeDocument/2006/relationships/hyperlink" Target="https://youtu.be/oRKQ2CTEt-Q?t=5161" TargetMode="External"/><Relationship Id="rId234" Type="http://schemas.openxmlformats.org/officeDocument/2006/relationships/hyperlink" Target="https://youtu.be/ABmAA7JEFX8?t=6270" TargetMode="External"/><Relationship Id="rId355" Type="http://schemas.openxmlformats.org/officeDocument/2006/relationships/hyperlink" Target="https://youtu.be/vq1gQdX_CYo?t=7173" TargetMode="External"/><Relationship Id="rId112" Type="http://schemas.openxmlformats.org/officeDocument/2006/relationships/hyperlink" Target="https://youtu.be/e7bkg-RUSLQ?t=4327" TargetMode="External"/><Relationship Id="rId233" Type="http://schemas.openxmlformats.org/officeDocument/2006/relationships/hyperlink" Target="https://youtu.be/_8wUy3bFX3E?t=3416" TargetMode="External"/><Relationship Id="rId354" Type="http://schemas.openxmlformats.org/officeDocument/2006/relationships/hyperlink" Target="https://youtu.be/6tl_WVU7EHc?t=6166" TargetMode="External"/><Relationship Id="rId111" Type="http://schemas.openxmlformats.org/officeDocument/2006/relationships/hyperlink" Target="https://youtu.be/oRKQ2CTEt-Q?t=4280" TargetMode="External"/><Relationship Id="rId232" Type="http://schemas.openxmlformats.org/officeDocument/2006/relationships/hyperlink" Target="https://youtu.be/ABmAA7JEFX8?t=5444" TargetMode="External"/><Relationship Id="rId353" Type="http://schemas.openxmlformats.org/officeDocument/2006/relationships/hyperlink" Target="https://youtu.be/vq1gQdX_CYo?t=6306" TargetMode="External"/><Relationship Id="rId305" Type="http://schemas.openxmlformats.org/officeDocument/2006/relationships/hyperlink" Target="https://youtu.be/MerXqnka5Y8?t=1809" TargetMode="External"/><Relationship Id="rId304" Type="http://schemas.openxmlformats.org/officeDocument/2006/relationships/hyperlink" Target="https://youtu.be/6qx-ZQgIPlY?t=2025" TargetMode="External"/><Relationship Id="rId303" Type="http://schemas.openxmlformats.org/officeDocument/2006/relationships/hyperlink" Target="https://youtu.be/MerXqnka5Y8?t=914" TargetMode="External"/><Relationship Id="rId302" Type="http://schemas.openxmlformats.org/officeDocument/2006/relationships/hyperlink" Target="https://youtu.be/6qx-ZQgIPlY?t=1121" TargetMode="External"/><Relationship Id="rId309" Type="http://schemas.openxmlformats.org/officeDocument/2006/relationships/hyperlink" Target="https://youtu.be/MerXqnka5Y8?t=3559" TargetMode="External"/><Relationship Id="rId308" Type="http://schemas.openxmlformats.org/officeDocument/2006/relationships/hyperlink" Target="https://youtu.be/6qx-ZQgIPlY?t=3743" TargetMode="External"/><Relationship Id="rId307" Type="http://schemas.openxmlformats.org/officeDocument/2006/relationships/hyperlink" Target="https://youtu.be/MerXqnka5Y8?t=2713" TargetMode="External"/><Relationship Id="rId306" Type="http://schemas.openxmlformats.org/officeDocument/2006/relationships/hyperlink" Target="https://youtu.be/6qx-ZQgIPlY?t=2905" TargetMode="External"/><Relationship Id="rId301" Type="http://schemas.openxmlformats.org/officeDocument/2006/relationships/hyperlink" Target="https://youtu.be/MerXqnka5Y8" TargetMode="External"/><Relationship Id="rId300" Type="http://schemas.openxmlformats.org/officeDocument/2006/relationships/hyperlink" Target="https://youtu.be/6qx-ZQgIPlY" TargetMode="External"/><Relationship Id="rId206" Type="http://schemas.openxmlformats.org/officeDocument/2006/relationships/hyperlink" Target="https://youtu.be/lOzagbila0A?t=1606" TargetMode="External"/><Relationship Id="rId327" Type="http://schemas.openxmlformats.org/officeDocument/2006/relationships/hyperlink" Target="https://youtu.be/_mcLtxN5dA0?t=3594" TargetMode="External"/><Relationship Id="rId205" Type="http://schemas.openxmlformats.org/officeDocument/2006/relationships/hyperlink" Target="https://youtu.be/KDtzp-O6hbE?t=1682" TargetMode="External"/><Relationship Id="rId326" Type="http://schemas.openxmlformats.org/officeDocument/2006/relationships/hyperlink" Target="https://youtu.be/_mcLtxN5dA0?t=2745" TargetMode="External"/><Relationship Id="rId204" Type="http://schemas.openxmlformats.org/officeDocument/2006/relationships/hyperlink" Target="https://youtu.be/lOzagbila0A?t=818" TargetMode="External"/><Relationship Id="rId325" Type="http://schemas.openxmlformats.org/officeDocument/2006/relationships/hyperlink" Target="https://youtu.be/ZwLyQh0RcyQ?t=1739" TargetMode="External"/><Relationship Id="rId203" Type="http://schemas.openxmlformats.org/officeDocument/2006/relationships/hyperlink" Target="https://youtu.be/KDtzp-O6hbE?t=911https://youtu.be/KDtzp-O6hbE?t=911" TargetMode="External"/><Relationship Id="rId324" Type="http://schemas.openxmlformats.org/officeDocument/2006/relationships/hyperlink" Target="https://youtu.be/_mcLtxN5dA0?t=1870" TargetMode="External"/><Relationship Id="rId209" Type="http://schemas.openxmlformats.org/officeDocument/2006/relationships/hyperlink" Target="https://youtu.be/KDtzp-O6hbE?t=3374" TargetMode="External"/><Relationship Id="rId208" Type="http://schemas.openxmlformats.org/officeDocument/2006/relationships/hyperlink" Target="https://youtu.be/lOzagbila0A?t=2504" TargetMode="External"/><Relationship Id="rId329" Type="http://schemas.openxmlformats.org/officeDocument/2006/relationships/hyperlink" Target="https://youtu.be/_mcLtxN5dA0?t=4480" TargetMode="External"/><Relationship Id="rId207" Type="http://schemas.openxmlformats.org/officeDocument/2006/relationships/hyperlink" Target="https://youtu.be/KDtzp-O6hbE?t=2548" TargetMode="External"/><Relationship Id="rId328" Type="http://schemas.openxmlformats.org/officeDocument/2006/relationships/hyperlink" Target="https://youtu.be/ZwLyQh0RcyQ?t=3477" TargetMode="External"/><Relationship Id="rId202" Type="http://schemas.openxmlformats.org/officeDocument/2006/relationships/hyperlink" Target="https://youtu.be/lOzagbila0A" TargetMode="External"/><Relationship Id="rId323" Type="http://schemas.openxmlformats.org/officeDocument/2006/relationships/hyperlink" Target="https://youtu.be/ZwLyQh0RcyQ?t=896" TargetMode="External"/><Relationship Id="rId201" Type="http://schemas.openxmlformats.org/officeDocument/2006/relationships/hyperlink" Target="https://youtu.be/KDtzp-O6hbE" TargetMode="External"/><Relationship Id="rId322" Type="http://schemas.openxmlformats.org/officeDocument/2006/relationships/hyperlink" Target="https://youtu.be/_mcLtxN5dA0?t=1016" TargetMode="External"/><Relationship Id="rId200" Type="http://schemas.openxmlformats.org/officeDocument/2006/relationships/hyperlink" Target="https://youtu.be/fAMHfwfQrs8?t=7962" TargetMode="External"/><Relationship Id="rId321" Type="http://schemas.openxmlformats.org/officeDocument/2006/relationships/hyperlink" Target="https://youtu.be/ZwLyQh0RcyQ" TargetMode="External"/><Relationship Id="rId320" Type="http://schemas.openxmlformats.org/officeDocument/2006/relationships/hyperlink" Target="https://youtu.be/_mcLtxN5dA0" TargetMode="External"/><Relationship Id="rId316" Type="http://schemas.openxmlformats.org/officeDocument/2006/relationships/hyperlink" Target="https://youtu.be/6qx-ZQgIPlY?t=7295" TargetMode="External"/><Relationship Id="rId315" Type="http://schemas.openxmlformats.org/officeDocument/2006/relationships/hyperlink" Target="https://youtu.be/MerXqnka5Y8?t=6188" TargetMode="External"/><Relationship Id="rId314" Type="http://schemas.openxmlformats.org/officeDocument/2006/relationships/hyperlink" Target="https://youtu.be/6qx-ZQgIPlY?t=6390" TargetMode="External"/><Relationship Id="rId313" Type="http://schemas.openxmlformats.org/officeDocument/2006/relationships/hyperlink" Target="https://youtu.be/MerXqnka5Y8?t=5348" TargetMode="External"/><Relationship Id="rId319" Type="http://schemas.openxmlformats.org/officeDocument/2006/relationships/hyperlink" Target="https://youtu.be/MerXqnka5Y8?t=7988" TargetMode="External"/><Relationship Id="rId318" Type="http://schemas.openxmlformats.org/officeDocument/2006/relationships/hyperlink" Target="https://youtu.be/6qx-ZQgIPlY?t=8196" TargetMode="External"/><Relationship Id="rId317" Type="http://schemas.openxmlformats.org/officeDocument/2006/relationships/hyperlink" Target="https://youtu.be/MerXqnka5Y8?t=7091" TargetMode="External"/><Relationship Id="rId312" Type="http://schemas.openxmlformats.org/officeDocument/2006/relationships/hyperlink" Target="https://youtu.be/6qx-ZQgIPlY?t=5505" TargetMode="External"/><Relationship Id="rId311" Type="http://schemas.openxmlformats.org/officeDocument/2006/relationships/hyperlink" Target="https://youtu.be/MerXqnka5Y8?t=4449" TargetMode="External"/><Relationship Id="rId310" Type="http://schemas.openxmlformats.org/officeDocument/2006/relationships/hyperlink" Target="https://youtu.be/6qx-ZQgIPlY?t=4606" TargetMode="External"/></Relationships>
</file>

<file path=xl/worksheets/_rels/sheet1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GUq7vA9XUBs?t=8734" TargetMode="External"/><Relationship Id="rId190" Type="http://schemas.openxmlformats.org/officeDocument/2006/relationships/hyperlink" Target="https://youtu.be/lzBenbNCWX0?t=3594" TargetMode="External"/><Relationship Id="rId42" Type="http://schemas.openxmlformats.org/officeDocument/2006/relationships/hyperlink" Target="https://youtu.be/Mys35QNIUMg" TargetMode="External"/><Relationship Id="rId41" Type="http://schemas.openxmlformats.org/officeDocument/2006/relationships/hyperlink" Target="https://youtu.be/PEzisjUg9NM" TargetMode="External"/><Relationship Id="rId44" Type="http://schemas.openxmlformats.org/officeDocument/2006/relationships/hyperlink" Target="https://youtu.be/Mys35QNIUMg?t=959" TargetMode="External"/><Relationship Id="rId194" Type="http://schemas.openxmlformats.org/officeDocument/2006/relationships/hyperlink" Target="https://youtu.be/lzBenbNCWX0?t=5295" TargetMode="External"/><Relationship Id="rId43" Type="http://schemas.openxmlformats.org/officeDocument/2006/relationships/hyperlink" Target="https://youtu.be/PEzisjUg9NM?t=971" TargetMode="External"/><Relationship Id="rId193" Type="http://schemas.openxmlformats.org/officeDocument/2006/relationships/hyperlink" Target="https://youtu.be/nB9R5ZWAQ-M?t=5351" TargetMode="External"/><Relationship Id="rId46" Type="http://schemas.openxmlformats.org/officeDocument/2006/relationships/hyperlink" Target="https://youtu.be/Mys35QNIUMg?t=1818" TargetMode="External"/><Relationship Id="rId192" Type="http://schemas.openxmlformats.org/officeDocument/2006/relationships/hyperlink" Target="https://youtu.be/lzBenbNCWX0?t=4436" TargetMode="External"/><Relationship Id="rId45" Type="http://schemas.openxmlformats.org/officeDocument/2006/relationships/hyperlink" Target="https://youtu.be/PEzisjUg9NM?t=1871" TargetMode="External"/><Relationship Id="rId191" Type="http://schemas.openxmlformats.org/officeDocument/2006/relationships/hyperlink" Target="https://youtu.be/nB9R5ZWAQ-M?t=4415" TargetMode="External"/><Relationship Id="rId48" Type="http://schemas.openxmlformats.org/officeDocument/2006/relationships/hyperlink" Target="https://youtu.be/Mys35QNIUMg?t=2660" TargetMode="External"/><Relationship Id="rId187" Type="http://schemas.openxmlformats.org/officeDocument/2006/relationships/hyperlink" Target="https://youtu.be/nB9R5ZWAQ-M?t=2672" TargetMode="External"/><Relationship Id="rId47" Type="http://schemas.openxmlformats.org/officeDocument/2006/relationships/hyperlink" Target="https://youtu.be/PEzisjUg9NM?t=2689" TargetMode="External"/><Relationship Id="rId186" Type="http://schemas.openxmlformats.org/officeDocument/2006/relationships/hyperlink" Target="https://youtu.be/lzBenbNCWX0?t=1765" TargetMode="External"/><Relationship Id="rId185" Type="http://schemas.openxmlformats.org/officeDocument/2006/relationships/hyperlink" Target="https://youtu.be/nB9R5ZWAQ-M?t=1763" TargetMode="External"/><Relationship Id="rId49" Type="http://schemas.openxmlformats.org/officeDocument/2006/relationships/hyperlink" Target="https://youtu.be/PEzisjUg9NM?t=3584" TargetMode="External"/><Relationship Id="rId184" Type="http://schemas.openxmlformats.org/officeDocument/2006/relationships/hyperlink" Target="https://youtu.be/lzBenbNCWX0?t=894" TargetMode="External"/><Relationship Id="rId189" Type="http://schemas.openxmlformats.org/officeDocument/2006/relationships/hyperlink" Target="https://youtu.be/nB9R5ZWAQ-M?t=3520" TargetMode="External"/><Relationship Id="rId188" Type="http://schemas.openxmlformats.org/officeDocument/2006/relationships/hyperlink" Target="https://youtu.be/lzBenbNCWX0?t=1765" TargetMode="External"/><Relationship Id="rId31" Type="http://schemas.openxmlformats.org/officeDocument/2006/relationships/hyperlink" Target="https://youtu.be/PZeXY8gQwMI?t=4796" TargetMode="External"/><Relationship Id="rId30" Type="http://schemas.openxmlformats.org/officeDocument/2006/relationships/hyperlink" Target="https://youtu.be/GUq7vA9XUBs?t=3936" TargetMode="External"/><Relationship Id="rId33" Type="http://schemas.openxmlformats.org/officeDocument/2006/relationships/hyperlink" Target="https://youtu.be/PZeXY8gQwMI?t=5765" TargetMode="External"/><Relationship Id="rId183" Type="http://schemas.openxmlformats.org/officeDocument/2006/relationships/hyperlink" Target="https://youtu.be/nB9R5ZWAQ-M?t=869" TargetMode="External"/><Relationship Id="rId32" Type="http://schemas.openxmlformats.org/officeDocument/2006/relationships/hyperlink" Target="https://youtu.be/GUq7vA9XUBs?t=4894" TargetMode="External"/><Relationship Id="rId182" Type="http://schemas.openxmlformats.org/officeDocument/2006/relationships/hyperlink" Target="https://youtu.be/lzBenbNCWX0" TargetMode="External"/><Relationship Id="rId35" Type="http://schemas.openxmlformats.org/officeDocument/2006/relationships/hyperlink" Target="https://youtu.be/PZeXY8gQwMI?t=6717" TargetMode="External"/><Relationship Id="rId181" Type="http://schemas.openxmlformats.org/officeDocument/2006/relationships/hyperlink" Target="https://youtu.be/nB9R5ZWAQ-M" TargetMode="External"/><Relationship Id="rId34" Type="http://schemas.openxmlformats.org/officeDocument/2006/relationships/hyperlink" Target="https://youtu.be/GUq7vA9XUBs?t=5854" TargetMode="External"/><Relationship Id="rId180" Type="http://schemas.openxmlformats.org/officeDocument/2006/relationships/hyperlink" Target="https://youtu.be/YAzYcMml0YY?t=7973" TargetMode="External"/><Relationship Id="rId37" Type="http://schemas.openxmlformats.org/officeDocument/2006/relationships/hyperlink" Target="https://youtu.be/PZeXY8gQwMI?t=7690" TargetMode="External"/><Relationship Id="rId176" Type="http://schemas.openxmlformats.org/officeDocument/2006/relationships/hyperlink" Target="https://youtu.be/YAzYcMml0YY?t=6097" TargetMode="External"/><Relationship Id="rId297" Type="http://schemas.openxmlformats.org/officeDocument/2006/relationships/hyperlink" Target="https://youtu.be/GpEb1bKAJOA?t=6830" TargetMode="External"/><Relationship Id="rId36" Type="http://schemas.openxmlformats.org/officeDocument/2006/relationships/hyperlink" Target="https://youtu.be/GUq7vA9XUBs?t=6814" TargetMode="External"/><Relationship Id="rId175" Type="http://schemas.openxmlformats.org/officeDocument/2006/relationships/hyperlink" Target="https://youtu.be/2E8AnvPtEow?t=6268" TargetMode="External"/><Relationship Id="rId296" Type="http://schemas.openxmlformats.org/officeDocument/2006/relationships/hyperlink" Target="https://youtu.be/OlOkGpJ4DzE?t=6087" TargetMode="External"/><Relationship Id="rId39" Type="http://schemas.openxmlformats.org/officeDocument/2006/relationships/hyperlink" Target="https://youtu.be/PZeXY8gQwMI?t=8637" TargetMode="External"/><Relationship Id="rId174" Type="http://schemas.openxmlformats.org/officeDocument/2006/relationships/hyperlink" Target="https://youtu.be/YAzYcMml0YY?t=5263" TargetMode="External"/><Relationship Id="rId295" Type="http://schemas.openxmlformats.org/officeDocument/2006/relationships/hyperlink" Target="https://youtu.be/GpEb1bKAJOA?t=5947" TargetMode="External"/><Relationship Id="rId38" Type="http://schemas.openxmlformats.org/officeDocument/2006/relationships/hyperlink" Target="https://youtu.be/GUq7vA9XUBs?t=7774" TargetMode="External"/><Relationship Id="rId173" Type="http://schemas.openxmlformats.org/officeDocument/2006/relationships/hyperlink" Target="https://youtu.be/2E8AnvPtEow?t=5300" TargetMode="External"/><Relationship Id="rId294" Type="http://schemas.openxmlformats.org/officeDocument/2006/relationships/hyperlink" Target="https://youtu.be/OlOkGpJ4DzE?t=5249" TargetMode="External"/><Relationship Id="rId179" Type="http://schemas.openxmlformats.org/officeDocument/2006/relationships/hyperlink" Target="https://youtu.be/2E8AnvPtEow?t=8025" TargetMode="External"/><Relationship Id="rId178" Type="http://schemas.openxmlformats.org/officeDocument/2006/relationships/hyperlink" Target="https://youtu.be/YAzYcMml0YY?t=7109" TargetMode="External"/><Relationship Id="rId299" Type="http://schemas.openxmlformats.org/officeDocument/2006/relationships/hyperlink" Target="https://youtu.be/GpEb1bKAJOA?t=7739" TargetMode="External"/><Relationship Id="rId177" Type="http://schemas.openxmlformats.org/officeDocument/2006/relationships/hyperlink" Target="https://youtu.be/2E8AnvPtEow?t=7156" TargetMode="External"/><Relationship Id="rId298" Type="http://schemas.openxmlformats.org/officeDocument/2006/relationships/hyperlink" Target="https://youtu.be/OlOkGpJ4DzE?t=6994" TargetMode="External"/><Relationship Id="rId20" Type="http://schemas.openxmlformats.org/officeDocument/2006/relationships/hyperlink" Target="https://youtu.be/_yKEZc-ZcLM?t=7731" TargetMode="External"/><Relationship Id="rId22" Type="http://schemas.openxmlformats.org/officeDocument/2006/relationships/hyperlink" Target="https://youtu.be/GUq7vA9XUBs" TargetMode="External"/><Relationship Id="rId21" Type="http://schemas.openxmlformats.org/officeDocument/2006/relationships/hyperlink" Target="https://youtu.be/PZeXY8gQwMI" TargetMode="External"/><Relationship Id="rId24" Type="http://schemas.openxmlformats.org/officeDocument/2006/relationships/hyperlink" Target="https://youtu.be/GUq7vA9XUBs?t=1053" TargetMode="External"/><Relationship Id="rId23" Type="http://schemas.openxmlformats.org/officeDocument/2006/relationships/hyperlink" Target="https://youtu.be/PZeXY8gQwMI?t=968" TargetMode="External"/><Relationship Id="rId26" Type="http://schemas.openxmlformats.org/officeDocument/2006/relationships/hyperlink" Target="https://youtu.be/GUq7vA9XUBs?t=2014" TargetMode="External"/><Relationship Id="rId25" Type="http://schemas.openxmlformats.org/officeDocument/2006/relationships/hyperlink" Target="https://youtu.be/PZeXY8gQwMI?t=1919" TargetMode="External"/><Relationship Id="rId28" Type="http://schemas.openxmlformats.org/officeDocument/2006/relationships/hyperlink" Target="https://youtu.be/GUq7vA9XUBs?t=2974" TargetMode="External"/><Relationship Id="rId27" Type="http://schemas.openxmlformats.org/officeDocument/2006/relationships/hyperlink" Target="https://youtu.be/PZeXY8gQwMI?t=2877" TargetMode="External"/><Relationship Id="rId29" Type="http://schemas.openxmlformats.org/officeDocument/2006/relationships/hyperlink" Target="https://youtu.be/PZeXY8gQwMI?t=3843" TargetMode="External"/><Relationship Id="rId11" Type="http://schemas.openxmlformats.org/officeDocument/2006/relationships/hyperlink" Target="https://youtu.be/UnWJXweTn1M?t=4672" TargetMode="External"/><Relationship Id="rId10" Type="http://schemas.openxmlformats.org/officeDocument/2006/relationships/hyperlink" Target="https://youtu.be/_yKEZc-ZcLM?t=3533" TargetMode="External"/><Relationship Id="rId13" Type="http://schemas.openxmlformats.org/officeDocument/2006/relationships/hyperlink" Target="https://youtu.be/UnWJXweTn1M?t=5586" TargetMode="External"/><Relationship Id="rId12" Type="http://schemas.openxmlformats.org/officeDocument/2006/relationships/hyperlink" Target="https://youtu.be/_yKEZc-ZcLM?t=4376" TargetMode="External"/><Relationship Id="rId15" Type="http://schemas.openxmlformats.org/officeDocument/2006/relationships/hyperlink" Target="https://youtu.be/UnWJXweTn1M?t=6414" TargetMode="External"/><Relationship Id="rId198" Type="http://schemas.openxmlformats.org/officeDocument/2006/relationships/hyperlink" Target="https://youtu.be/lzBenbNCWX0?t=7024" TargetMode="External"/><Relationship Id="rId14" Type="http://schemas.openxmlformats.org/officeDocument/2006/relationships/hyperlink" Target="https://youtu.be/_yKEZc-ZcLM?t=5213" TargetMode="External"/><Relationship Id="rId197" Type="http://schemas.openxmlformats.org/officeDocument/2006/relationships/hyperlink" Target="https://youtu.be/nB9R5ZWAQ-M?t=7025" TargetMode="External"/><Relationship Id="rId17" Type="http://schemas.openxmlformats.org/officeDocument/2006/relationships/hyperlink" Target="https://youtu.be/UnWJXweTn1M?t=7250" TargetMode="External"/><Relationship Id="rId196" Type="http://schemas.openxmlformats.org/officeDocument/2006/relationships/hyperlink" Target="https://youtu.be/lzBenbNCWX0?t=6177" TargetMode="External"/><Relationship Id="rId16" Type="http://schemas.openxmlformats.org/officeDocument/2006/relationships/hyperlink" Target="https://youtu.be/_yKEZc-ZcLM?t=6050" TargetMode="External"/><Relationship Id="rId195" Type="http://schemas.openxmlformats.org/officeDocument/2006/relationships/hyperlink" Target="https://youtu.be/nB9R5ZWAQ-M?t=6149" TargetMode="External"/><Relationship Id="rId19" Type="http://schemas.openxmlformats.org/officeDocument/2006/relationships/hyperlink" Target="https://youtu.be/UnWJXweTn1M?t=8119" TargetMode="External"/><Relationship Id="rId18" Type="http://schemas.openxmlformats.org/officeDocument/2006/relationships/hyperlink" Target="https://youtu.be/_yKEZc-ZcLM?t=6892" TargetMode="External"/><Relationship Id="rId199" Type="http://schemas.openxmlformats.org/officeDocument/2006/relationships/hyperlink" Target="https://youtu.be/nB9R5ZWAQ-M?t=7846" TargetMode="External"/><Relationship Id="rId84" Type="http://schemas.openxmlformats.org/officeDocument/2006/relationships/hyperlink" Target="https://youtu.be/qhsOiXBES3Q?t=945" TargetMode="External"/><Relationship Id="rId83" Type="http://schemas.openxmlformats.org/officeDocument/2006/relationships/hyperlink" Target="https://youtu.be/VcAgx3FiOIE?t=1066" TargetMode="External"/><Relationship Id="rId86" Type="http://schemas.openxmlformats.org/officeDocument/2006/relationships/hyperlink" Target="https://youtu.be/qhsOiXBES3Q?t=1815" TargetMode="External"/><Relationship Id="rId85" Type="http://schemas.openxmlformats.org/officeDocument/2006/relationships/hyperlink" Target="https://youtu.be/VcAgx3FiOIE?t=1876" TargetMode="External"/><Relationship Id="rId88" Type="http://schemas.openxmlformats.org/officeDocument/2006/relationships/hyperlink" Target="https://youtu.be/qhsOiXBES3Q?t=2599" TargetMode="External"/><Relationship Id="rId150" Type="http://schemas.openxmlformats.org/officeDocument/2006/relationships/hyperlink" Target="https://youtu.be/9GOswx0ydHQ?t=3675" TargetMode="External"/><Relationship Id="rId271" Type="http://schemas.openxmlformats.org/officeDocument/2006/relationships/hyperlink" Target="https://youtu.be/xCFCLysyTDM?t=4525" TargetMode="External"/><Relationship Id="rId87" Type="http://schemas.openxmlformats.org/officeDocument/2006/relationships/hyperlink" Target="https://youtu.be/VcAgx3FiOIE?t=2716" TargetMode="External"/><Relationship Id="rId270" Type="http://schemas.openxmlformats.org/officeDocument/2006/relationships/hyperlink" Target="https://youtu.be/W6XPCXJO2d8?t=3589" TargetMode="External"/><Relationship Id="rId89" Type="http://schemas.openxmlformats.org/officeDocument/2006/relationships/hyperlink" Target="https://youtu.be/VcAgx3FiOIE?t=3531" TargetMode="External"/><Relationship Id="rId80" Type="http://schemas.openxmlformats.org/officeDocument/2006/relationships/hyperlink" Target="https://youtu.be/BY_AIRCvtaA?t=8772" TargetMode="External"/><Relationship Id="rId82" Type="http://schemas.openxmlformats.org/officeDocument/2006/relationships/hyperlink" Target="https://youtu.be/qhsOiXBES3Q" TargetMode="External"/><Relationship Id="rId81" Type="http://schemas.openxmlformats.org/officeDocument/2006/relationships/hyperlink" Target="https://youtu.be/VcAgx3FiOIE" TargetMode="External"/><Relationship Id="rId1" Type="http://schemas.openxmlformats.org/officeDocument/2006/relationships/hyperlink" Target="https://youtu.be/UnWJXweTn1M?t=436" TargetMode="External"/><Relationship Id="rId2" Type="http://schemas.openxmlformats.org/officeDocument/2006/relationships/hyperlink" Target="https://youtu.be/_yKEZc-ZcLM" TargetMode="External"/><Relationship Id="rId3" Type="http://schemas.openxmlformats.org/officeDocument/2006/relationships/hyperlink" Target="https://youtu.be/UnWJXweTn1M?t=1273" TargetMode="External"/><Relationship Id="rId149" Type="http://schemas.openxmlformats.org/officeDocument/2006/relationships/hyperlink" Target="https://youtu.be/fF0ABnUwsDQ?t=3552" TargetMode="External"/><Relationship Id="rId4" Type="http://schemas.openxmlformats.org/officeDocument/2006/relationships/hyperlink" Target="https://youtu.be/_yKEZc-ZcLM?t=891" TargetMode="External"/><Relationship Id="rId148" Type="http://schemas.openxmlformats.org/officeDocument/2006/relationships/hyperlink" Target="https://youtu.be/9GOswx0ydHQ?t=2798" TargetMode="External"/><Relationship Id="rId269" Type="http://schemas.openxmlformats.org/officeDocument/2006/relationships/hyperlink" Target="https://youtu.be/xCFCLysyTDM?t=3637" TargetMode="External"/><Relationship Id="rId9" Type="http://schemas.openxmlformats.org/officeDocument/2006/relationships/hyperlink" Target="https://youtu.be/UnWJXweTn1M?t=3884" TargetMode="External"/><Relationship Id="rId143" Type="http://schemas.openxmlformats.org/officeDocument/2006/relationships/hyperlink" Target="https://youtu.be/fF0ABnUwsDQ?t=874" TargetMode="External"/><Relationship Id="rId264" Type="http://schemas.openxmlformats.org/officeDocument/2006/relationships/hyperlink" Target="https://youtu.be/W6XPCXJO2d8?t=957" TargetMode="External"/><Relationship Id="rId142" Type="http://schemas.openxmlformats.org/officeDocument/2006/relationships/hyperlink" Target="https://youtu.be/9GOswx0ydHQ" TargetMode="External"/><Relationship Id="rId263" Type="http://schemas.openxmlformats.org/officeDocument/2006/relationships/hyperlink" Target="https://youtu.be/xCFCLysyTDM?t=1001" TargetMode="External"/><Relationship Id="rId141" Type="http://schemas.openxmlformats.org/officeDocument/2006/relationships/hyperlink" Target="https://youtu.be/fF0ABnUwsDQ" TargetMode="External"/><Relationship Id="rId262" Type="http://schemas.openxmlformats.org/officeDocument/2006/relationships/hyperlink" Target="https://youtu.be/W6XPCXJO2d8" TargetMode="External"/><Relationship Id="rId140" Type="http://schemas.openxmlformats.org/officeDocument/2006/relationships/hyperlink" Target="https://youtu.be/NuUwlJDoSXc?t=7692" TargetMode="External"/><Relationship Id="rId261" Type="http://schemas.openxmlformats.org/officeDocument/2006/relationships/hyperlink" Target="https://youtu.be/xCFCLysyTDM" TargetMode="External"/><Relationship Id="rId5" Type="http://schemas.openxmlformats.org/officeDocument/2006/relationships/hyperlink" Target="https://youtu.be/UnWJXweTn1M?t=2160" TargetMode="External"/><Relationship Id="rId147" Type="http://schemas.openxmlformats.org/officeDocument/2006/relationships/hyperlink" Target="https://youtu.be/fF0ABnUwsDQ?t=2651" TargetMode="External"/><Relationship Id="rId268" Type="http://schemas.openxmlformats.org/officeDocument/2006/relationships/hyperlink" Target="https://youtu.be/W6XPCXJO2d8?t=2754" TargetMode="External"/><Relationship Id="rId6" Type="http://schemas.openxmlformats.org/officeDocument/2006/relationships/hyperlink" Target="https://youtu.be/_yKEZc-ZcLM?t=1731" TargetMode="External"/><Relationship Id="rId146" Type="http://schemas.openxmlformats.org/officeDocument/2006/relationships/hyperlink" Target="https://youtu.be/9GOswx0ydHQ?t=1768" TargetMode="External"/><Relationship Id="rId267" Type="http://schemas.openxmlformats.org/officeDocument/2006/relationships/hyperlink" Target="https://youtu.be/xCFCLysyTDM?t=2754" TargetMode="External"/><Relationship Id="rId7" Type="http://schemas.openxmlformats.org/officeDocument/2006/relationships/hyperlink" Target="https://youtu.be/UnWJXweTn1M?t=3049" TargetMode="External"/><Relationship Id="rId145" Type="http://schemas.openxmlformats.org/officeDocument/2006/relationships/hyperlink" Target="https://youtu.be/fF0ABnUwsDQ?t=1735" TargetMode="External"/><Relationship Id="rId266" Type="http://schemas.openxmlformats.org/officeDocument/2006/relationships/hyperlink" Target="https://youtu.be/W6XPCXJO2d8?t=1859" TargetMode="External"/><Relationship Id="rId8" Type="http://schemas.openxmlformats.org/officeDocument/2006/relationships/hyperlink" Target="https://youtu.be/_yKEZc-ZcLM?t=2691" TargetMode="External"/><Relationship Id="rId144" Type="http://schemas.openxmlformats.org/officeDocument/2006/relationships/hyperlink" Target="https://youtu.be/9GOswx0ydHQ?t=980" TargetMode="External"/><Relationship Id="rId265" Type="http://schemas.openxmlformats.org/officeDocument/2006/relationships/hyperlink" Target="https://youtu.be/xCFCLysyTDM?t=1856" TargetMode="External"/><Relationship Id="rId73" Type="http://schemas.openxmlformats.org/officeDocument/2006/relationships/hyperlink" Target="https://youtu.be/RFcokAWYu1I?t=5786" TargetMode="External"/><Relationship Id="rId72" Type="http://schemas.openxmlformats.org/officeDocument/2006/relationships/hyperlink" Target="https://youtu.be/BY_AIRCvtaA?t=4933" TargetMode="External"/><Relationship Id="rId75" Type="http://schemas.openxmlformats.org/officeDocument/2006/relationships/hyperlink" Target="https://youtu.be/RFcokAWYu1I?t=6738" TargetMode="External"/><Relationship Id="rId74" Type="http://schemas.openxmlformats.org/officeDocument/2006/relationships/hyperlink" Target="https://youtu.be/BY_AIRCvtaA?t=5894" TargetMode="External"/><Relationship Id="rId77" Type="http://schemas.openxmlformats.org/officeDocument/2006/relationships/hyperlink" Target="https://youtu.be/RFcokAWYu1I?t=7717" TargetMode="External"/><Relationship Id="rId260" Type="http://schemas.openxmlformats.org/officeDocument/2006/relationships/hyperlink" Target="https://youtu.be/DJ5MmqeBduY?t=7998" TargetMode="External"/><Relationship Id="rId76" Type="http://schemas.openxmlformats.org/officeDocument/2006/relationships/hyperlink" Target="https://youtu.be/BY_AIRCvtaA?t=6854" TargetMode="External"/><Relationship Id="rId79" Type="http://schemas.openxmlformats.org/officeDocument/2006/relationships/hyperlink" Target="https://youtu.be/RFcokAWYu1I?t=8651" TargetMode="External"/><Relationship Id="rId78" Type="http://schemas.openxmlformats.org/officeDocument/2006/relationships/hyperlink" Target="https://youtu.be/BY_AIRCvtaA?t=7812" TargetMode="External"/><Relationship Id="rId71" Type="http://schemas.openxmlformats.org/officeDocument/2006/relationships/hyperlink" Target="https://youtu.be/RFcokAWYu1I?t=4830" TargetMode="External"/><Relationship Id="rId70" Type="http://schemas.openxmlformats.org/officeDocument/2006/relationships/hyperlink" Target="https://youtu.be/BY_AIRCvtaA?t=3974" TargetMode="External"/><Relationship Id="rId139" Type="http://schemas.openxmlformats.org/officeDocument/2006/relationships/hyperlink" Target="https://youtu.be/_sK9nm1bm80?t=8437" TargetMode="External"/><Relationship Id="rId138" Type="http://schemas.openxmlformats.org/officeDocument/2006/relationships/hyperlink" Target="https://youtu.be/NuUwlJDoSXc?t=6869" TargetMode="External"/><Relationship Id="rId259" Type="http://schemas.openxmlformats.org/officeDocument/2006/relationships/hyperlink" Target="https://youtu.be/COm-PJ0MFVk?t=7699" TargetMode="External"/><Relationship Id="rId137" Type="http://schemas.openxmlformats.org/officeDocument/2006/relationships/hyperlink" Target="https://youtu.be/_sK9nm1bm80?t=7576" TargetMode="External"/><Relationship Id="rId258" Type="http://schemas.openxmlformats.org/officeDocument/2006/relationships/hyperlink" Target="https://youtu.be/DJ5MmqeBduY?t=7083" TargetMode="External"/><Relationship Id="rId132" Type="http://schemas.openxmlformats.org/officeDocument/2006/relationships/hyperlink" Target="https://youtu.be/NuUwlJDoSXc?t=4231" TargetMode="External"/><Relationship Id="rId253" Type="http://schemas.openxmlformats.org/officeDocument/2006/relationships/hyperlink" Target="https://youtu.be/COm-PJ0MFVk?t=5132" TargetMode="External"/><Relationship Id="rId131" Type="http://schemas.openxmlformats.org/officeDocument/2006/relationships/hyperlink" Target="https://youtu.be/_sK9nm1bm80?t=4975" TargetMode="External"/><Relationship Id="rId252" Type="http://schemas.openxmlformats.org/officeDocument/2006/relationships/hyperlink" Target="https://youtu.be/DJ5MmqeBduY?t=4498" TargetMode="External"/><Relationship Id="rId130" Type="http://schemas.openxmlformats.org/officeDocument/2006/relationships/hyperlink" Target="https://youtu.be/NuUwlJDoSXc?t=3370" TargetMode="External"/><Relationship Id="rId251" Type="http://schemas.openxmlformats.org/officeDocument/2006/relationships/hyperlink" Target="https://youtu.be/COm-PJ0MFVk?t=4219" TargetMode="External"/><Relationship Id="rId250" Type="http://schemas.openxmlformats.org/officeDocument/2006/relationships/hyperlink" Target="https://youtu.be/DJ5MmqeBduY?t=3664" TargetMode="External"/><Relationship Id="rId136" Type="http://schemas.openxmlformats.org/officeDocument/2006/relationships/hyperlink" Target="https://youtu.be/NuUwlJDoSXc?t=6042" TargetMode="External"/><Relationship Id="rId257" Type="http://schemas.openxmlformats.org/officeDocument/2006/relationships/hyperlink" Target="https://youtu.be/COm-PJ0MFVk?t=6862" TargetMode="External"/><Relationship Id="rId135" Type="http://schemas.openxmlformats.org/officeDocument/2006/relationships/hyperlink" Target="https://youtu.be/_sK9nm1bm80?t=6727" TargetMode="External"/><Relationship Id="rId256" Type="http://schemas.openxmlformats.org/officeDocument/2006/relationships/hyperlink" Target="https://youtu.be/DJ5MmqeBduY?t=6197" TargetMode="External"/><Relationship Id="rId134" Type="http://schemas.openxmlformats.org/officeDocument/2006/relationships/hyperlink" Target="https://youtu.be/NuUwlJDoSXc?t=5157" TargetMode="External"/><Relationship Id="rId255" Type="http://schemas.openxmlformats.org/officeDocument/2006/relationships/hyperlink" Target="https://youtu.be/COm-PJ0MFVk?t=5995" TargetMode="External"/><Relationship Id="rId133" Type="http://schemas.openxmlformats.org/officeDocument/2006/relationships/hyperlink" Target="https://youtu.be/_sK9nm1bm80?t=5857" TargetMode="External"/><Relationship Id="rId254" Type="http://schemas.openxmlformats.org/officeDocument/2006/relationships/hyperlink" Target="https://youtu.be/DJ5MmqeBduY?t=5368" TargetMode="External"/><Relationship Id="rId62" Type="http://schemas.openxmlformats.org/officeDocument/2006/relationships/hyperlink" Target="https://youtu.be/BY_AIRCvtaA" TargetMode="External"/><Relationship Id="rId61" Type="http://schemas.openxmlformats.org/officeDocument/2006/relationships/hyperlink" Target="https://youtu.be/RFcokAWYu1I" TargetMode="External"/><Relationship Id="rId64" Type="http://schemas.openxmlformats.org/officeDocument/2006/relationships/hyperlink" Target="https://youtu.be/BY_AIRCvtaA?t=1093" TargetMode="External"/><Relationship Id="rId63" Type="http://schemas.openxmlformats.org/officeDocument/2006/relationships/hyperlink" Target="https://youtu.be/RFcokAWYu1I?t=979" TargetMode="External"/><Relationship Id="rId66" Type="http://schemas.openxmlformats.org/officeDocument/2006/relationships/hyperlink" Target="https://youtu.be/BY_AIRCvtaA?t=2054" TargetMode="External"/><Relationship Id="rId172" Type="http://schemas.openxmlformats.org/officeDocument/2006/relationships/hyperlink" Target="https://youtu.be/YAzYcMml0YY?t=4384" TargetMode="External"/><Relationship Id="rId293" Type="http://schemas.openxmlformats.org/officeDocument/2006/relationships/hyperlink" Target="https://youtu.be/GpEb1bKAJOA?t=5135" TargetMode="External"/><Relationship Id="rId65" Type="http://schemas.openxmlformats.org/officeDocument/2006/relationships/hyperlink" Target="https://youtu.be/RFcokAWYu1I?t=1947" TargetMode="External"/><Relationship Id="rId171" Type="http://schemas.openxmlformats.org/officeDocument/2006/relationships/hyperlink" Target="https://youtu.be/2E8AnvPtEow?t=4447" TargetMode="External"/><Relationship Id="rId292" Type="http://schemas.openxmlformats.org/officeDocument/2006/relationships/hyperlink" Target="https://youtu.be/OlOkGpJ4DzE?t=4381" TargetMode="External"/><Relationship Id="rId68" Type="http://schemas.openxmlformats.org/officeDocument/2006/relationships/hyperlink" Target="https://youtu.be/BY_AIRCvtaA?t=3014" TargetMode="External"/><Relationship Id="rId170" Type="http://schemas.openxmlformats.org/officeDocument/2006/relationships/hyperlink" Target="https://youtu.be/YAzYcMml0YY?t=3519" TargetMode="External"/><Relationship Id="rId291" Type="http://schemas.openxmlformats.org/officeDocument/2006/relationships/hyperlink" Target="https://youtu.be/GpEb1bKAJOA?t=4217" TargetMode="External"/><Relationship Id="rId67" Type="http://schemas.openxmlformats.org/officeDocument/2006/relationships/hyperlink" Target="https://youtu.be/RFcokAWYu1I?t=2927" TargetMode="External"/><Relationship Id="rId290" Type="http://schemas.openxmlformats.org/officeDocument/2006/relationships/hyperlink" Target="https://youtu.be/OlOkGpJ4DzE?t=3510" TargetMode="External"/><Relationship Id="rId60" Type="http://schemas.openxmlformats.org/officeDocument/2006/relationships/hyperlink" Target="https://youtu.be/Mys35QNIUMg?t=7818" TargetMode="External"/><Relationship Id="rId165" Type="http://schemas.openxmlformats.org/officeDocument/2006/relationships/hyperlink" Target="https://youtu.be/2E8AnvPtEow?t=1865" TargetMode="External"/><Relationship Id="rId286" Type="http://schemas.openxmlformats.org/officeDocument/2006/relationships/hyperlink" Target="https://youtu.be/OlOkGpJ4DzE?t=1723" TargetMode="External"/><Relationship Id="rId69" Type="http://schemas.openxmlformats.org/officeDocument/2006/relationships/hyperlink" Target="https://youtu.be/RFcokAWYu1I?t=3857" TargetMode="External"/><Relationship Id="rId164" Type="http://schemas.openxmlformats.org/officeDocument/2006/relationships/hyperlink" Target="https://youtu.be/YAzYcMml0YY?t=963" TargetMode="External"/><Relationship Id="rId285" Type="http://schemas.openxmlformats.org/officeDocument/2006/relationships/hyperlink" Target="https://youtu.be/GpEb1bKAJOA?t=1593" TargetMode="External"/><Relationship Id="rId163" Type="http://schemas.openxmlformats.org/officeDocument/2006/relationships/hyperlink" Target="https://youtu.be/2E8AnvPtEow?t=1031" TargetMode="External"/><Relationship Id="rId284" Type="http://schemas.openxmlformats.org/officeDocument/2006/relationships/hyperlink" Target="https://youtu.be/OlOkGpJ4DzE?t=854" TargetMode="External"/><Relationship Id="rId162" Type="http://schemas.openxmlformats.org/officeDocument/2006/relationships/hyperlink" Target="https://youtu.be/YAzYcMml0YY" TargetMode="External"/><Relationship Id="rId283" Type="http://schemas.openxmlformats.org/officeDocument/2006/relationships/hyperlink" Target="https://youtu.be/GpEb1bKAJOA?t=680" TargetMode="External"/><Relationship Id="rId169" Type="http://schemas.openxmlformats.org/officeDocument/2006/relationships/hyperlink" Target="https://youtu.be/2E8AnvPtEow?t=3617" TargetMode="External"/><Relationship Id="rId168" Type="http://schemas.openxmlformats.org/officeDocument/2006/relationships/hyperlink" Target="https://youtu.be/YAzYcMml0YY?t=2622" TargetMode="External"/><Relationship Id="rId289" Type="http://schemas.openxmlformats.org/officeDocument/2006/relationships/hyperlink" Target="https://youtu.be/GpEb1bKAJOA?t=3395" TargetMode="External"/><Relationship Id="rId167" Type="http://schemas.openxmlformats.org/officeDocument/2006/relationships/hyperlink" Target="https://youtu.be/2E8AnvPtEow?t=2749" TargetMode="External"/><Relationship Id="rId288" Type="http://schemas.openxmlformats.org/officeDocument/2006/relationships/hyperlink" Target="https://youtu.be/OlOkGpJ4DzE?t=2612" TargetMode="External"/><Relationship Id="rId166" Type="http://schemas.openxmlformats.org/officeDocument/2006/relationships/hyperlink" Target="https://youtu.be/YAzYcMml0YY?t=1756" TargetMode="External"/><Relationship Id="rId287" Type="http://schemas.openxmlformats.org/officeDocument/2006/relationships/hyperlink" Target="https://youtu.be/GpEb1bKAJOA?t=2487" TargetMode="External"/><Relationship Id="rId51" Type="http://schemas.openxmlformats.org/officeDocument/2006/relationships/hyperlink" Target="https://youtu.be/PEzisjUg9NM?t=4421" TargetMode="External"/><Relationship Id="rId50" Type="http://schemas.openxmlformats.org/officeDocument/2006/relationships/hyperlink" Target="https://youtu.be/Mys35QNIUMg?t=3557" TargetMode="External"/><Relationship Id="rId53" Type="http://schemas.openxmlformats.org/officeDocument/2006/relationships/hyperlink" Target="https://youtu.be/PEzisjUg9NM?t=5260" TargetMode="External"/><Relationship Id="rId52" Type="http://schemas.openxmlformats.org/officeDocument/2006/relationships/hyperlink" Target="https://youtu.be/Mys35QNIUMg?t=4405" TargetMode="External"/><Relationship Id="rId55" Type="http://schemas.openxmlformats.org/officeDocument/2006/relationships/hyperlink" Target="https://youtu.be/PEzisjUg9NM?t=6164" TargetMode="External"/><Relationship Id="rId161" Type="http://schemas.openxmlformats.org/officeDocument/2006/relationships/hyperlink" Target="https://youtu.be/2E8AnvPtEow" TargetMode="External"/><Relationship Id="rId282" Type="http://schemas.openxmlformats.org/officeDocument/2006/relationships/hyperlink" Target="https://youtu.be/OlOkGpJ4DzE" TargetMode="External"/><Relationship Id="rId54" Type="http://schemas.openxmlformats.org/officeDocument/2006/relationships/hyperlink" Target="https://youtu.be/Mys35QNIUMg?t=5244" TargetMode="External"/><Relationship Id="rId160" Type="http://schemas.openxmlformats.org/officeDocument/2006/relationships/hyperlink" Target="https://youtu.be/9GOswx0ydHQ?t=7902" TargetMode="External"/><Relationship Id="rId281" Type="http://schemas.openxmlformats.org/officeDocument/2006/relationships/hyperlink" Target="https://youtu.be/GpEb1bKAJOA" TargetMode="External"/><Relationship Id="rId57" Type="http://schemas.openxmlformats.org/officeDocument/2006/relationships/hyperlink" Target="https://youtu.be/PEzisjUg9NM?t=7001" TargetMode="External"/><Relationship Id="rId280" Type="http://schemas.openxmlformats.org/officeDocument/2006/relationships/hyperlink" Target="https://youtu.be/W6XPCXJO2d8?t=8128" TargetMode="External"/><Relationship Id="rId56" Type="http://schemas.openxmlformats.org/officeDocument/2006/relationships/hyperlink" Target="https://youtu.be/Mys35QNIUMg?t=6134" TargetMode="External"/><Relationship Id="rId159" Type="http://schemas.openxmlformats.org/officeDocument/2006/relationships/hyperlink" Target="https://youtu.be/fF0ABnUwsDQ?t=7751" TargetMode="External"/><Relationship Id="rId59" Type="http://schemas.openxmlformats.org/officeDocument/2006/relationships/hyperlink" Target="https://youtu.be/PEzisjUg9NM?t=7845" TargetMode="External"/><Relationship Id="rId154" Type="http://schemas.openxmlformats.org/officeDocument/2006/relationships/hyperlink" Target="https://youtu.be/9GOswx0ydHQ?t=5384" TargetMode="External"/><Relationship Id="rId275" Type="http://schemas.openxmlformats.org/officeDocument/2006/relationships/hyperlink" Target="https://youtu.be/xCFCLysyTDM?t=6311" TargetMode="External"/><Relationship Id="rId58" Type="http://schemas.openxmlformats.org/officeDocument/2006/relationships/hyperlink" Target="https://youtu.be/Mys35QNIUMg?t=6973" TargetMode="External"/><Relationship Id="rId153" Type="http://schemas.openxmlformats.org/officeDocument/2006/relationships/hyperlink" Target="https://youtu.be/fF0ABnUwsDQ?t=5234" TargetMode="External"/><Relationship Id="rId274" Type="http://schemas.openxmlformats.org/officeDocument/2006/relationships/hyperlink" Target="https://youtu.be/W6XPCXJO2d8?t=5350" TargetMode="External"/><Relationship Id="rId152" Type="http://schemas.openxmlformats.org/officeDocument/2006/relationships/hyperlink" Target="https://youtu.be/9GOswx0ydHQ?t=4550" TargetMode="External"/><Relationship Id="rId273" Type="http://schemas.openxmlformats.org/officeDocument/2006/relationships/hyperlink" Target="https://youtu.be/xCFCLysyTDM?t=5402" TargetMode="External"/><Relationship Id="rId151" Type="http://schemas.openxmlformats.org/officeDocument/2006/relationships/hyperlink" Target="https://youtu.be/fF0ABnUwsDQ?t=4346" TargetMode="External"/><Relationship Id="rId272" Type="http://schemas.openxmlformats.org/officeDocument/2006/relationships/hyperlink" Target="https://youtu.be/W6XPCXJO2d8?t=4491" TargetMode="External"/><Relationship Id="rId158" Type="http://schemas.openxmlformats.org/officeDocument/2006/relationships/hyperlink" Target="https://youtu.be/9GOswx0ydHQ?t=7139" TargetMode="External"/><Relationship Id="rId279" Type="http://schemas.openxmlformats.org/officeDocument/2006/relationships/hyperlink" Target="https://youtu.be/xCFCLysyTDM?t=8185" TargetMode="External"/><Relationship Id="rId157" Type="http://schemas.openxmlformats.org/officeDocument/2006/relationships/hyperlink" Target="https://youtu.be/fF0ABnUwsDQ?t=6916" TargetMode="External"/><Relationship Id="rId278" Type="http://schemas.openxmlformats.org/officeDocument/2006/relationships/hyperlink" Target="https://youtu.be/W6XPCXJO2d8?t=7237" TargetMode="External"/><Relationship Id="rId156" Type="http://schemas.openxmlformats.org/officeDocument/2006/relationships/hyperlink" Target="https://youtu.be/9GOswx0ydHQ?t=6273" TargetMode="External"/><Relationship Id="rId277" Type="http://schemas.openxmlformats.org/officeDocument/2006/relationships/hyperlink" Target="https://youtu.be/xCFCLysyTDM?t=7293" TargetMode="External"/><Relationship Id="rId155" Type="http://schemas.openxmlformats.org/officeDocument/2006/relationships/hyperlink" Target="https://youtu.be/fF0ABnUwsDQ?t=6084" TargetMode="External"/><Relationship Id="rId276" Type="http://schemas.openxmlformats.org/officeDocument/2006/relationships/hyperlink" Target="https://youtu.be/W6XPCXJO2d8?t=6247" TargetMode="External"/><Relationship Id="rId107" Type="http://schemas.openxmlformats.org/officeDocument/2006/relationships/hyperlink" Target="https://youtu.be/AGoAwSVtngc?t=2664" TargetMode="External"/><Relationship Id="rId228" Type="http://schemas.openxmlformats.org/officeDocument/2006/relationships/hyperlink" Target="https://youtu.be/cZLTVNYCQb8?t=2809" TargetMode="External"/><Relationship Id="rId349" Type="http://schemas.openxmlformats.org/officeDocument/2006/relationships/hyperlink" Target="https://youtu.be/Kpg4lxG9qVU?t=3565" TargetMode="External"/><Relationship Id="rId106" Type="http://schemas.openxmlformats.org/officeDocument/2006/relationships/hyperlink" Target="https://youtu.be/SAO08UdGHhE?t=1821" TargetMode="External"/><Relationship Id="rId227" Type="http://schemas.openxmlformats.org/officeDocument/2006/relationships/hyperlink" Target="https://youtu.be/CPDrzYFep8s?t=1850" TargetMode="External"/><Relationship Id="rId348" Type="http://schemas.openxmlformats.org/officeDocument/2006/relationships/hyperlink" Target="https://youtu.be/Uh5k1JsDgvk?t=2762" TargetMode="External"/><Relationship Id="rId105" Type="http://schemas.openxmlformats.org/officeDocument/2006/relationships/hyperlink" Target="https://youtu.be/AGoAwSVtngc?t=1841" TargetMode="External"/><Relationship Id="rId226" Type="http://schemas.openxmlformats.org/officeDocument/2006/relationships/hyperlink" Target="https://youtu.be/cZLTVNYCQb8?t=1869" TargetMode="External"/><Relationship Id="rId347" Type="http://schemas.openxmlformats.org/officeDocument/2006/relationships/hyperlink" Target="https://youtu.be/Kpg4lxG9qVU?t=2727" TargetMode="External"/><Relationship Id="rId104" Type="http://schemas.openxmlformats.org/officeDocument/2006/relationships/hyperlink" Target="https://youtu.be/SAO08UdGHhE?t=979" TargetMode="External"/><Relationship Id="rId225" Type="http://schemas.openxmlformats.org/officeDocument/2006/relationships/hyperlink" Target="https://youtu.be/CPDrzYFep8s?t=916" TargetMode="External"/><Relationship Id="rId346" Type="http://schemas.openxmlformats.org/officeDocument/2006/relationships/hyperlink" Target="https://youtu.be/Uh5k1JsDgvk?t=1912" TargetMode="External"/><Relationship Id="rId109" Type="http://schemas.openxmlformats.org/officeDocument/2006/relationships/hyperlink" Target="https://youtu.be/AGoAwSVtngc?t=3571" TargetMode="External"/><Relationship Id="rId108" Type="http://schemas.openxmlformats.org/officeDocument/2006/relationships/hyperlink" Target="https://youtu.be/SAO08UdGHhE?t=2717" TargetMode="External"/><Relationship Id="rId229" Type="http://schemas.openxmlformats.org/officeDocument/2006/relationships/hyperlink" Target="https://youtu.be/CPDrzYFep8s?t=2766" TargetMode="External"/><Relationship Id="rId220" Type="http://schemas.openxmlformats.org/officeDocument/2006/relationships/hyperlink" Target="https://youtu.be/cUG-SBn7a44?t=7851" TargetMode="External"/><Relationship Id="rId341" Type="http://schemas.openxmlformats.org/officeDocument/2006/relationships/hyperlink" Target="https://youtu.be/Kpg4lxG9qVU" TargetMode="External"/><Relationship Id="rId340" Type="http://schemas.openxmlformats.org/officeDocument/2006/relationships/hyperlink" Target="https://youtu.be/23DKU0KKj9Q?t=7902" TargetMode="External"/><Relationship Id="rId103" Type="http://schemas.openxmlformats.org/officeDocument/2006/relationships/hyperlink" Target="https://youtu.be/AGoAwSVtngc?t=922" TargetMode="External"/><Relationship Id="rId224" Type="http://schemas.openxmlformats.org/officeDocument/2006/relationships/hyperlink" Target="https://youtu.be/cZLTVNYCQb8?t=969" TargetMode="External"/><Relationship Id="rId345" Type="http://schemas.openxmlformats.org/officeDocument/2006/relationships/hyperlink" Target="https://youtu.be/Kpg4lxG9qVU?t=1841" TargetMode="External"/><Relationship Id="rId102" Type="http://schemas.openxmlformats.org/officeDocument/2006/relationships/hyperlink" Target="https://youtu.be/SAO08UdGHhE" TargetMode="External"/><Relationship Id="rId223" Type="http://schemas.openxmlformats.org/officeDocument/2006/relationships/hyperlink" Target="https://youtu.be/CPDrzYFep8s" TargetMode="External"/><Relationship Id="rId344" Type="http://schemas.openxmlformats.org/officeDocument/2006/relationships/hyperlink" Target="https://youtu.be/Uh5k1JsDgvk?t=1006" TargetMode="External"/><Relationship Id="rId101" Type="http://schemas.openxmlformats.org/officeDocument/2006/relationships/hyperlink" Target="https://youtu.be/AGoAwSVtngc" TargetMode="External"/><Relationship Id="rId222" Type="http://schemas.openxmlformats.org/officeDocument/2006/relationships/hyperlink" Target="https://youtu.be/cZLTVNYCQb8" TargetMode="External"/><Relationship Id="rId343" Type="http://schemas.openxmlformats.org/officeDocument/2006/relationships/hyperlink" Target="https://youtu.be/Kpg4lxG9qVU?t=966" TargetMode="External"/><Relationship Id="rId100" Type="http://schemas.openxmlformats.org/officeDocument/2006/relationships/hyperlink" Target="https://youtu.be/qhsOiXBES3Q?t=7599" TargetMode="External"/><Relationship Id="rId221" Type="http://schemas.openxmlformats.org/officeDocument/2006/relationships/hyperlink" Target="https://youtu.be/-UcunOWmVOw" TargetMode="External"/><Relationship Id="rId342" Type="http://schemas.openxmlformats.org/officeDocument/2006/relationships/hyperlink" Target="https://youtu.be/Uh5k1JsDgvk" TargetMode="External"/><Relationship Id="rId217" Type="http://schemas.openxmlformats.org/officeDocument/2006/relationships/hyperlink" Target="https://youtu.be/4EXVeo_oH4g?t=7114" TargetMode="External"/><Relationship Id="rId338" Type="http://schemas.openxmlformats.org/officeDocument/2006/relationships/hyperlink" Target="https://youtu.be/23DKU0KKj9Q?t=6997" TargetMode="External"/><Relationship Id="rId216" Type="http://schemas.openxmlformats.org/officeDocument/2006/relationships/hyperlink" Target="https://youtu.be/cUG-SBn7a44?t=6063" TargetMode="External"/><Relationship Id="rId337" Type="http://schemas.openxmlformats.org/officeDocument/2006/relationships/hyperlink" Target="https://youtu.be/_N3ne-1X37I?t=7050" TargetMode="External"/><Relationship Id="rId215" Type="http://schemas.openxmlformats.org/officeDocument/2006/relationships/hyperlink" Target="https://youtu.be/4EXVeo_oH4g?t=6198" TargetMode="External"/><Relationship Id="rId336" Type="http://schemas.openxmlformats.org/officeDocument/2006/relationships/hyperlink" Target="https://youtu.be/23DKU0KKj9Q?t=6126" TargetMode="External"/><Relationship Id="rId214" Type="http://schemas.openxmlformats.org/officeDocument/2006/relationships/hyperlink" Target="https://youtu.be/cUG-SBn7a44?t=5253" TargetMode="External"/><Relationship Id="rId335" Type="http://schemas.openxmlformats.org/officeDocument/2006/relationships/hyperlink" Target="https://youtu.be/_N3ne-1X37I?t=6151" TargetMode="External"/><Relationship Id="rId219" Type="http://schemas.openxmlformats.org/officeDocument/2006/relationships/hyperlink" Target="https://youtu.be/4EXVeo_oH4g?t=7956" TargetMode="External"/><Relationship Id="rId218" Type="http://schemas.openxmlformats.org/officeDocument/2006/relationships/hyperlink" Target="https://youtu.be/cUG-SBn7a44?t=6985" TargetMode="External"/><Relationship Id="rId339" Type="http://schemas.openxmlformats.org/officeDocument/2006/relationships/hyperlink" Target="https://youtu.be/_N3ne-1X37I?t=7950" TargetMode="External"/><Relationship Id="rId330" Type="http://schemas.openxmlformats.org/officeDocument/2006/relationships/hyperlink" Target="https://youtu.be/23DKU0KKj9Q?t=3441" TargetMode="External"/><Relationship Id="rId213" Type="http://schemas.openxmlformats.org/officeDocument/2006/relationships/hyperlink" Target="https://youtu.be/4EXVeo_oH4g?t=5356" TargetMode="External"/><Relationship Id="rId334" Type="http://schemas.openxmlformats.org/officeDocument/2006/relationships/hyperlink" Target="https://youtu.be/23DKU0KKj9Q?t=5266" TargetMode="External"/><Relationship Id="rId212" Type="http://schemas.openxmlformats.org/officeDocument/2006/relationships/hyperlink" Target="https://youtu.be/cUG-SBn7a44?t=4417" TargetMode="External"/><Relationship Id="rId333" Type="http://schemas.openxmlformats.org/officeDocument/2006/relationships/hyperlink" Target="https://youtu.be/_N3ne-1X37I?t=5310" TargetMode="External"/><Relationship Id="rId211" Type="http://schemas.openxmlformats.org/officeDocument/2006/relationships/hyperlink" Target="https://youtu.be/4EXVeo_oH4g?t=4446" TargetMode="External"/><Relationship Id="rId332" Type="http://schemas.openxmlformats.org/officeDocument/2006/relationships/hyperlink" Target="https://youtu.be/23DKU0KKj9Q?t=4321" TargetMode="External"/><Relationship Id="rId210" Type="http://schemas.openxmlformats.org/officeDocument/2006/relationships/hyperlink" Target="https://youtu.be/cUG-SBn7a44?t=3466" TargetMode="External"/><Relationship Id="rId331" Type="http://schemas.openxmlformats.org/officeDocument/2006/relationships/hyperlink" Target="https://youtu.be/_N3ne-1X37I?t=4410" TargetMode="External"/><Relationship Id="rId129" Type="http://schemas.openxmlformats.org/officeDocument/2006/relationships/hyperlink" Target="https://youtu.be/_sK9nm1bm80?t=4176" TargetMode="External"/><Relationship Id="rId128" Type="http://schemas.openxmlformats.org/officeDocument/2006/relationships/hyperlink" Target="https://youtu.be/NuUwlJDoSXc?t=2569" TargetMode="External"/><Relationship Id="rId249" Type="http://schemas.openxmlformats.org/officeDocument/2006/relationships/hyperlink" Target="https://youtu.be/COm-PJ0MFVk?t=3286" TargetMode="External"/><Relationship Id="rId127" Type="http://schemas.openxmlformats.org/officeDocument/2006/relationships/hyperlink" Target="https://youtu.be/_sK9nm1bm80?t=3377" TargetMode="External"/><Relationship Id="rId248" Type="http://schemas.openxmlformats.org/officeDocument/2006/relationships/hyperlink" Target="https://youtu.be/DJ5MmqeBduY?t=2830" TargetMode="External"/><Relationship Id="rId126" Type="http://schemas.openxmlformats.org/officeDocument/2006/relationships/hyperlink" Target="https://youtu.be/NuUwlJDoSXc?t=1723" TargetMode="External"/><Relationship Id="rId247" Type="http://schemas.openxmlformats.org/officeDocument/2006/relationships/hyperlink" Target="https://youtu.be/COm-PJ0MFVk?t=2398" TargetMode="External"/><Relationship Id="rId121" Type="http://schemas.openxmlformats.org/officeDocument/2006/relationships/hyperlink" Target="https://youtu.be/_sK9nm1bm80" TargetMode="External"/><Relationship Id="rId242" Type="http://schemas.openxmlformats.org/officeDocument/2006/relationships/hyperlink" Target="https://youtu.be/DJ5MmqeBduY" TargetMode="External"/><Relationship Id="rId120" Type="http://schemas.openxmlformats.org/officeDocument/2006/relationships/hyperlink" Target="https://youtu.be/SAO08UdGHhE?t=7912" TargetMode="External"/><Relationship Id="rId241" Type="http://schemas.openxmlformats.org/officeDocument/2006/relationships/hyperlink" Target="https://youtu.be/COm-PJ0MFVk" TargetMode="External"/><Relationship Id="rId240" Type="http://schemas.openxmlformats.org/officeDocument/2006/relationships/hyperlink" Target="https://youtu.be/cZLTVNYCQb8?t=8170" TargetMode="External"/><Relationship Id="rId361" Type="http://schemas.openxmlformats.org/officeDocument/2006/relationships/drawing" Target="../drawings/drawing15.xml"/><Relationship Id="rId360" Type="http://schemas.openxmlformats.org/officeDocument/2006/relationships/hyperlink" Target="https://youtu.be/Uh5k1JsDgvk?t=7899" TargetMode="External"/><Relationship Id="rId125" Type="http://schemas.openxmlformats.org/officeDocument/2006/relationships/hyperlink" Target="https://youtu.be/_sK9nm1bm80?t=2507" TargetMode="External"/><Relationship Id="rId246" Type="http://schemas.openxmlformats.org/officeDocument/2006/relationships/hyperlink" Target="https://youtu.be/DJ5MmqeBduY?t=2003" TargetMode="External"/><Relationship Id="rId124" Type="http://schemas.openxmlformats.org/officeDocument/2006/relationships/hyperlink" Target="https://youtu.be/NuUwlJDoSXc?t=922" TargetMode="External"/><Relationship Id="rId245" Type="http://schemas.openxmlformats.org/officeDocument/2006/relationships/hyperlink" Target="https://youtu.be/COm-PJ0MFVk?t=1536" TargetMode="External"/><Relationship Id="rId123" Type="http://schemas.openxmlformats.org/officeDocument/2006/relationships/hyperlink" Target="https://youtu.be/_sK9nm1bm80?t=1658" TargetMode="External"/><Relationship Id="rId244" Type="http://schemas.openxmlformats.org/officeDocument/2006/relationships/hyperlink" Target="https://youtu.be/DJ5MmqeBduY?t=885" TargetMode="External"/><Relationship Id="rId122" Type="http://schemas.openxmlformats.org/officeDocument/2006/relationships/hyperlink" Target="https://youtu.be/NuUwlJDoSXc" TargetMode="External"/><Relationship Id="rId243" Type="http://schemas.openxmlformats.org/officeDocument/2006/relationships/hyperlink" Target="https://youtu.be/COm-PJ0MFVk?t=644" TargetMode="External"/><Relationship Id="rId95" Type="http://schemas.openxmlformats.org/officeDocument/2006/relationships/hyperlink" Target="https://youtu.be/VcAgx3FiOIE?t=6006" TargetMode="External"/><Relationship Id="rId94" Type="http://schemas.openxmlformats.org/officeDocument/2006/relationships/hyperlink" Target="https://youtu.be/qhsOiXBES3Q?t=5082" TargetMode="External"/><Relationship Id="rId97" Type="http://schemas.openxmlformats.org/officeDocument/2006/relationships/hyperlink" Target="https://youtu.be/VcAgx3FiOIE?t=6830" TargetMode="External"/><Relationship Id="rId96" Type="http://schemas.openxmlformats.org/officeDocument/2006/relationships/hyperlink" Target="https://youtu.be/qhsOiXBES3Q?t=5920" TargetMode="External"/><Relationship Id="rId99" Type="http://schemas.openxmlformats.org/officeDocument/2006/relationships/hyperlink" Target="https://youtu.be/VcAgx3FiOIE?t=7655" TargetMode="External"/><Relationship Id="rId98" Type="http://schemas.openxmlformats.org/officeDocument/2006/relationships/hyperlink" Target="https://youtu.be/qhsOiXBES3Q?t=6760" TargetMode="External"/><Relationship Id="rId91" Type="http://schemas.openxmlformats.org/officeDocument/2006/relationships/hyperlink" Target="https://youtu.be/VcAgx3FiOIE?t=4315" TargetMode="External"/><Relationship Id="rId90" Type="http://schemas.openxmlformats.org/officeDocument/2006/relationships/hyperlink" Target="https://youtu.be/qhsOiXBES3Q?t=3448" TargetMode="External"/><Relationship Id="rId93" Type="http://schemas.openxmlformats.org/officeDocument/2006/relationships/hyperlink" Target="https://youtu.be/VcAgx3FiOIE?t=5180" TargetMode="External"/><Relationship Id="rId92" Type="http://schemas.openxmlformats.org/officeDocument/2006/relationships/hyperlink" Target="https://youtu.be/qhsOiXBES3Q?t=4236" TargetMode="External"/><Relationship Id="rId118" Type="http://schemas.openxmlformats.org/officeDocument/2006/relationships/hyperlink" Target="https://youtu.be/SAO08UdGHhE?t=7062" TargetMode="External"/><Relationship Id="rId239" Type="http://schemas.openxmlformats.org/officeDocument/2006/relationships/hyperlink" Target="https://youtu.be/CPDrzYFep8s?t=7240" TargetMode="External"/><Relationship Id="rId117" Type="http://schemas.openxmlformats.org/officeDocument/2006/relationships/hyperlink" Target="https://youtu.be/AGoAwSVtngc?t=7108" TargetMode="External"/><Relationship Id="rId238" Type="http://schemas.openxmlformats.org/officeDocument/2006/relationships/hyperlink" Target="https://youtu.be/cZLTVNYCQb8?t=7270" TargetMode="External"/><Relationship Id="rId359" Type="http://schemas.openxmlformats.org/officeDocument/2006/relationships/hyperlink" Target="https://youtu.be/Kpg4lxG9qVU?t=7864" TargetMode="External"/><Relationship Id="rId116" Type="http://schemas.openxmlformats.org/officeDocument/2006/relationships/hyperlink" Target="https://youtu.be/SAO08UdGHhE?t=6183" TargetMode="External"/><Relationship Id="rId237" Type="http://schemas.openxmlformats.org/officeDocument/2006/relationships/hyperlink" Target="https://youtu.be/CPDrzYFep8s?t=6314" TargetMode="External"/><Relationship Id="rId358" Type="http://schemas.openxmlformats.org/officeDocument/2006/relationships/hyperlink" Target="https://youtu.be/Uh5k1JsDgvk?t=7029" TargetMode="External"/><Relationship Id="rId115" Type="http://schemas.openxmlformats.org/officeDocument/2006/relationships/hyperlink" Target="https://youtu.be/AGoAwSVtngc?t=6264" TargetMode="External"/><Relationship Id="rId236" Type="http://schemas.openxmlformats.org/officeDocument/2006/relationships/hyperlink" Target="https://youtu.be/cZLTVNYCQb8?t=6412" TargetMode="External"/><Relationship Id="rId357" Type="http://schemas.openxmlformats.org/officeDocument/2006/relationships/hyperlink" Target="https://youtu.be/Kpg4lxG9qVU?t=6996" TargetMode="External"/><Relationship Id="rId119" Type="http://schemas.openxmlformats.org/officeDocument/2006/relationships/hyperlink" Target="https://youtu.be/AGoAwSVtngc?t=7939" TargetMode="External"/><Relationship Id="rId110" Type="http://schemas.openxmlformats.org/officeDocument/2006/relationships/hyperlink" Target="https://youtu.be/SAO08UdGHhE?t=3596" TargetMode="External"/><Relationship Id="rId231" Type="http://schemas.openxmlformats.org/officeDocument/2006/relationships/hyperlink" Target="https://youtu.be/CPDrzYFep8s?t=3724" TargetMode="External"/><Relationship Id="rId352" Type="http://schemas.openxmlformats.org/officeDocument/2006/relationships/hyperlink" Target="https://youtu.be/Uh5k1JsDgvk?t=4458" TargetMode="External"/><Relationship Id="rId230" Type="http://schemas.openxmlformats.org/officeDocument/2006/relationships/hyperlink" Target="https://youtu.be/cZLTVNYCQb8?t=3729" TargetMode="External"/><Relationship Id="rId351" Type="http://schemas.openxmlformats.org/officeDocument/2006/relationships/hyperlink" Target="https://youtu.be/Kpg4lxG9qVU?t=4456" TargetMode="External"/><Relationship Id="rId350" Type="http://schemas.openxmlformats.org/officeDocument/2006/relationships/hyperlink" Target="https://youtu.be/Uh5k1JsDgvk?t=3618" TargetMode="External"/><Relationship Id="rId114" Type="http://schemas.openxmlformats.org/officeDocument/2006/relationships/hyperlink" Target="https://youtu.be/SAO08UdGHhE?t=5361" TargetMode="External"/><Relationship Id="rId235" Type="http://schemas.openxmlformats.org/officeDocument/2006/relationships/hyperlink" Target="https://youtu.be/CPDrzYFep8s?t=5444" TargetMode="External"/><Relationship Id="rId356" Type="http://schemas.openxmlformats.org/officeDocument/2006/relationships/hyperlink" Target="https://youtu.be/Uh5k1JsDgvk?t=6159" TargetMode="External"/><Relationship Id="rId113" Type="http://schemas.openxmlformats.org/officeDocument/2006/relationships/hyperlink" Target="https://youtu.be/AGoAwSVtngc?t=5392" TargetMode="External"/><Relationship Id="rId234" Type="http://schemas.openxmlformats.org/officeDocument/2006/relationships/hyperlink" Target="https://youtu.be/cZLTVNYCQb8?t=5531" TargetMode="External"/><Relationship Id="rId355" Type="http://schemas.openxmlformats.org/officeDocument/2006/relationships/hyperlink" Target="https://youtu.be/Kpg4lxG9qVU?t=6135" TargetMode="External"/><Relationship Id="rId112" Type="http://schemas.openxmlformats.org/officeDocument/2006/relationships/hyperlink" Target="https://youtu.be/SAO08UdGHhE?t=4506" TargetMode="External"/><Relationship Id="rId233" Type="http://schemas.openxmlformats.org/officeDocument/2006/relationships/hyperlink" Target="https://youtu.be/CPDrzYFep8s?t=4574" TargetMode="External"/><Relationship Id="rId354" Type="http://schemas.openxmlformats.org/officeDocument/2006/relationships/hyperlink" Target="https://youtu.be/Uh5k1JsDgvk?t=5319" TargetMode="External"/><Relationship Id="rId111" Type="http://schemas.openxmlformats.org/officeDocument/2006/relationships/hyperlink" Target="https://youtu.be/AGoAwSVtngc?t=4540" TargetMode="External"/><Relationship Id="rId232" Type="http://schemas.openxmlformats.org/officeDocument/2006/relationships/hyperlink" Target="https://youtu.be/cZLTVNYCQb8?t=4661" TargetMode="External"/><Relationship Id="rId353" Type="http://schemas.openxmlformats.org/officeDocument/2006/relationships/hyperlink" Target="https://youtu.be/Kpg4lxG9qVU?t=5302" TargetMode="External"/><Relationship Id="rId305" Type="http://schemas.openxmlformats.org/officeDocument/2006/relationships/hyperlink" Target="https://youtu.be/A01Zvt2SPNQ?t=1957" TargetMode="External"/><Relationship Id="rId304" Type="http://schemas.openxmlformats.org/officeDocument/2006/relationships/hyperlink" Target="https://youtu.be/SF0xBGyAqoc?t=1014" TargetMode="External"/><Relationship Id="rId303" Type="http://schemas.openxmlformats.org/officeDocument/2006/relationships/hyperlink" Target="https://youtu.be/A01Zvt2SPNQ?t=1027" TargetMode="External"/><Relationship Id="rId302" Type="http://schemas.openxmlformats.org/officeDocument/2006/relationships/hyperlink" Target="https://youtu.be/SF0xBGyAqoc" TargetMode="External"/><Relationship Id="rId309" Type="http://schemas.openxmlformats.org/officeDocument/2006/relationships/hyperlink" Target="https://youtu.be/A01Zvt2SPNQ?t=3782" TargetMode="External"/><Relationship Id="rId308" Type="http://schemas.openxmlformats.org/officeDocument/2006/relationships/hyperlink" Target="https://youtu.be/SF0xBGyAqoc?t=2880" TargetMode="External"/><Relationship Id="rId307" Type="http://schemas.openxmlformats.org/officeDocument/2006/relationships/hyperlink" Target="https://youtu.be/A01Zvt2SPNQ?t=2845" TargetMode="External"/><Relationship Id="rId306" Type="http://schemas.openxmlformats.org/officeDocument/2006/relationships/hyperlink" Target="https://youtu.be/SF0xBGyAqoc?t=1923" TargetMode="External"/><Relationship Id="rId301" Type="http://schemas.openxmlformats.org/officeDocument/2006/relationships/hyperlink" Target="https://youtu.be/A01Zvt2SPNQ" TargetMode="External"/><Relationship Id="rId300" Type="http://schemas.openxmlformats.org/officeDocument/2006/relationships/hyperlink" Target="https://youtu.be/OlOkGpJ4DzE?t=7899" TargetMode="External"/><Relationship Id="rId206" Type="http://schemas.openxmlformats.org/officeDocument/2006/relationships/hyperlink" Target="https://youtu.be/cUG-SBn7a44?t=1809" TargetMode="External"/><Relationship Id="rId327" Type="http://schemas.openxmlformats.org/officeDocument/2006/relationships/hyperlink" Target="https://youtu.be/_N3ne-1X37I?t=2759" TargetMode="External"/><Relationship Id="rId205" Type="http://schemas.openxmlformats.org/officeDocument/2006/relationships/hyperlink" Target="https://youtu.be/4EXVeo_oH4g?t=1830" TargetMode="External"/><Relationship Id="rId326" Type="http://schemas.openxmlformats.org/officeDocument/2006/relationships/hyperlink" Target="https://youtu.be/23DKU0KKj9Q?t=1701" TargetMode="External"/><Relationship Id="rId204" Type="http://schemas.openxmlformats.org/officeDocument/2006/relationships/hyperlink" Target="https://youtu.be/cUG-SBn7a44?t=887" TargetMode="External"/><Relationship Id="rId325" Type="http://schemas.openxmlformats.org/officeDocument/2006/relationships/hyperlink" Target="https://youtu.be/_N3ne-1X37I?t=1860" TargetMode="External"/><Relationship Id="rId203" Type="http://schemas.openxmlformats.org/officeDocument/2006/relationships/hyperlink" Target="https://youtu.be/4EXVeo_oH4g?t=1014" TargetMode="External"/><Relationship Id="rId324" Type="http://schemas.openxmlformats.org/officeDocument/2006/relationships/hyperlink" Target="https://youtu.be/23DKU0KKj9Q?t=879" TargetMode="External"/><Relationship Id="rId209" Type="http://schemas.openxmlformats.org/officeDocument/2006/relationships/hyperlink" Target="https://youtu.be/4EXVeo_oH4g?t=3567" TargetMode="External"/><Relationship Id="rId208" Type="http://schemas.openxmlformats.org/officeDocument/2006/relationships/hyperlink" Target="https://youtu.be/cUG-SBn7a44?t=2626" TargetMode="External"/><Relationship Id="rId329" Type="http://schemas.openxmlformats.org/officeDocument/2006/relationships/hyperlink" Target="https://youtu.be/_N3ne-1X37I?t=3541" TargetMode="External"/><Relationship Id="rId207" Type="http://schemas.openxmlformats.org/officeDocument/2006/relationships/hyperlink" Target="https://youtu.be/4EXVeo_oH4g?t=2714" TargetMode="External"/><Relationship Id="rId328" Type="http://schemas.openxmlformats.org/officeDocument/2006/relationships/hyperlink" Target="https://youtu.be/23DKU0KKj9Q?t=2620" TargetMode="External"/><Relationship Id="rId202" Type="http://schemas.openxmlformats.org/officeDocument/2006/relationships/hyperlink" Target="https://youtu.be/cUG-SBn7a44" TargetMode="External"/><Relationship Id="rId323" Type="http://schemas.openxmlformats.org/officeDocument/2006/relationships/hyperlink" Target="https://youtu.be/_N3ne-1X37I?t=929" TargetMode="External"/><Relationship Id="rId201" Type="http://schemas.openxmlformats.org/officeDocument/2006/relationships/hyperlink" Target="https://youtu.be/4EXVeo_oH4g" TargetMode="External"/><Relationship Id="rId322" Type="http://schemas.openxmlformats.org/officeDocument/2006/relationships/hyperlink" Target="https://youtu.be/23DKU0KKj9Q" TargetMode="External"/><Relationship Id="rId200" Type="http://schemas.openxmlformats.org/officeDocument/2006/relationships/hyperlink" Target="https://youtu.be/lzBenbNCWX0?t=7883" TargetMode="External"/><Relationship Id="rId321" Type="http://schemas.openxmlformats.org/officeDocument/2006/relationships/hyperlink" Target="https://youtu.be/_N3ne-1X37I" TargetMode="External"/><Relationship Id="rId320" Type="http://schemas.openxmlformats.org/officeDocument/2006/relationships/hyperlink" Target="https://youtu.be/SF0xBGyAqoc?t=8365" TargetMode="External"/><Relationship Id="rId316" Type="http://schemas.openxmlformats.org/officeDocument/2006/relationships/hyperlink" Target="https://youtu.be/SF0xBGyAqoc?t=6599" TargetMode="External"/><Relationship Id="rId315" Type="http://schemas.openxmlformats.org/officeDocument/2006/relationships/hyperlink" Target="https://youtu.be/A01Zvt2SPNQ?t=6558" TargetMode="External"/><Relationship Id="rId314" Type="http://schemas.openxmlformats.org/officeDocument/2006/relationships/hyperlink" Target="https://youtu.be/SF0xBGyAqoc?t=5617" TargetMode="External"/><Relationship Id="rId313" Type="http://schemas.openxmlformats.org/officeDocument/2006/relationships/hyperlink" Target="https://youtu.be/A01Zvt2SPNQ?t=5614" TargetMode="External"/><Relationship Id="rId319" Type="http://schemas.openxmlformats.org/officeDocument/2006/relationships/hyperlink" Target="https://youtu.be/A01Zvt2SPNQ?t=8354" TargetMode="External"/><Relationship Id="rId318" Type="http://schemas.openxmlformats.org/officeDocument/2006/relationships/hyperlink" Target="https://youtu.be/SF0xBGyAqoc?t=7439" TargetMode="External"/><Relationship Id="rId317" Type="http://schemas.openxmlformats.org/officeDocument/2006/relationships/hyperlink" Target="https://youtu.be/A01Zvt2SPNQ?t=7468" TargetMode="External"/><Relationship Id="rId312" Type="http://schemas.openxmlformats.org/officeDocument/2006/relationships/hyperlink" Target="https://youtu.be/SF0xBGyAqoc?t=4734" TargetMode="External"/><Relationship Id="rId311" Type="http://schemas.openxmlformats.org/officeDocument/2006/relationships/hyperlink" Target="https://youtu.be/A01Zvt2SPNQ?t=4733" TargetMode="External"/><Relationship Id="rId310" Type="http://schemas.openxmlformats.org/officeDocument/2006/relationships/hyperlink" Target="https://youtu.be/SF0xBGyAqoc?t=3813" TargetMode="External"/></Relationships>
</file>

<file path=xl/worksheets/_rels/sheet1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RSakqTEfmDI?t=7828" TargetMode="External"/><Relationship Id="rId190" Type="http://schemas.openxmlformats.org/officeDocument/2006/relationships/hyperlink" Target="https://youtu.be/kQV4oW6m0FQ?t=1892" TargetMode="External"/><Relationship Id="rId42" Type="http://schemas.openxmlformats.org/officeDocument/2006/relationships/hyperlink" Target="https://youtu.be/wokSvE9Cixc" TargetMode="External"/><Relationship Id="rId41" Type="http://schemas.openxmlformats.org/officeDocument/2006/relationships/hyperlink" Target="https://youtu.be/4Z1XunaR3V4" TargetMode="External"/><Relationship Id="rId44" Type="http://schemas.openxmlformats.org/officeDocument/2006/relationships/hyperlink" Target="https://youtu.be/wokSvE9Cixc?t=929" TargetMode="External"/><Relationship Id="rId194" Type="http://schemas.openxmlformats.org/officeDocument/2006/relationships/hyperlink" Target="https://youtu.be/kQV4oW6m0FQ?t=3814" TargetMode="External"/><Relationship Id="rId43" Type="http://schemas.openxmlformats.org/officeDocument/2006/relationships/hyperlink" Target="https://youtu.be/4Z1XunaR3V4?t=702" TargetMode="External"/><Relationship Id="rId193" Type="http://schemas.openxmlformats.org/officeDocument/2006/relationships/hyperlink" Target="https://youtu.be/gjh3WhaJAZg?t=3936" TargetMode="External"/><Relationship Id="rId46" Type="http://schemas.openxmlformats.org/officeDocument/2006/relationships/hyperlink" Target="https://youtu.be/wokSvE9Cixc?t=1753" TargetMode="External"/><Relationship Id="rId192" Type="http://schemas.openxmlformats.org/officeDocument/2006/relationships/hyperlink" Target="https://youtu.be/kQV4oW6m0FQ?t=2843" TargetMode="External"/><Relationship Id="rId45" Type="http://schemas.openxmlformats.org/officeDocument/2006/relationships/hyperlink" Target="https://youtu.be/4Z1XunaR3V4?t=1564" TargetMode="External"/><Relationship Id="rId191" Type="http://schemas.openxmlformats.org/officeDocument/2006/relationships/hyperlink" Target="https://youtu.be/gjh3WhaJAZg?t=2991" TargetMode="External"/><Relationship Id="rId48" Type="http://schemas.openxmlformats.org/officeDocument/2006/relationships/hyperlink" Target="https://youtu.be/wokSvE9Cixc?t=2650" TargetMode="External"/><Relationship Id="rId187" Type="http://schemas.openxmlformats.org/officeDocument/2006/relationships/hyperlink" Target="https://youtu.be/gjh3WhaJAZg?t=1046" TargetMode="External"/><Relationship Id="rId47" Type="http://schemas.openxmlformats.org/officeDocument/2006/relationships/hyperlink" Target="https://youtu.be/4Z1XunaR3V4?t=2388" TargetMode="External"/><Relationship Id="rId186" Type="http://schemas.openxmlformats.org/officeDocument/2006/relationships/hyperlink" Target="https://youtu.be/kQV4oW6m0FQ" TargetMode="External"/><Relationship Id="rId185" Type="http://schemas.openxmlformats.org/officeDocument/2006/relationships/hyperlink" Target="https://youtu.be/gjh3WhaJAZg" TargetMode="External"/><Relationship Id="rId49" Type="http://schemas.openxmlformats.org/officeDocument/2006/relationships/hyperlink" Target="https://youtu.be/4Z1XunaR3V4?t=3312" TargetMode="External"/><Relationship Id="rId184" Type="http://schemas.openxmlformats.org/officeDocument/2006/relationships/hyperlink" Target="https://youtu.be/LU_c9emZXoA?t=8028" TargetMode="External"/><Relationship Id="rId189" Type="http://schemas.openxmlformats.org/officeDocument/2006/relationships/hyperlink" Target="https://youtu.be/gjh3WhaJAZg?t=2008" TargetMode="External"/><Relationship Id="rId188" Type="http://schemas.openxmlformats.org/officeDocument/2006/relationships/hyperlink" Target="https://youtu.be/kQV4oW6m0FQ?t=931" TargetMode="External"/><Relationship Id="rId31" Type="http://schemas.openxmlformats.org/officeDocument/2006/relationships/hyperlink" Target="https://youtu.be/svbe4HLFJkU?t=5256" TargetMode="External"/><Relationship Id="rId30" Type="http://schemas.openxmlformats.org/officeDocument/2006/relationships/hyperlink" Target="https://youtu.be/RSakqTEfmDI?t=3462" TargetMode="External"/><Relationship Id="rId33" Type="http://schemas.openxmlformats.org/officeDocument/2006/relationships/hyperlink" Target="https://youtu.be/svbe4HLFJkU?t=6129" TargetMode="External"/><Relationship Id="rId183" Type="http://schemas.openxmlformats.org/officeDocument/2006/relationships/hyperlink" Target="https://youtu.be/mkhueRN3JfA?t=8021" TargetMode="External"/><Relationship Id="rId32" Type="http://schemas.openxmlformats.org/officeDocument/2006/relationships/hyperlink" Target="https://youtu.be/RSakqTEfmDI?t=4320" TargetMode="External"/><Relationship Id="rId182" Type="http://schemas.openxmlformats.org/officeDocument/2006/relationships/hyperlink" Target="https://youtu.be/LU_c9emZXoA?t=7128" TargetMode="External"/><Relationship Id="rId35" Type="http://schemas.openxmlformats.org/officeDocument/2006/relationships/hyperlink" Target="https://youtu.be/svbe4HLFJkU?t=7047" TargetMode="External"/><Relationship Id="rId181" Type="http://schemas.openxmlformats.org/officeDocument/2006/relationships/hyperlink" Target="https://youtu.be/mkhueRN3JfA?t=7183" TargetMode="External"/><Relationship Id="rId34" Type="http://schemas.openxmlformats.org/officeDocument/2006/relationships/hyperlink" Target="https://youtu.be/RSakqTEfmDI?t=5210" TargetMode="External"/><Relationship Id="rId180" Type="http://schemas.openxmlformats.org/officeDocument/2006/relationships/hyperlink" Target="https://youtu.be/LU_c9emZXoA?t=6171" TargetMode="External"/><Relationship Id="rId37" Type="http://schemas.openxmlformats.org/officeDocument/2006/relationships/hyperlink" Target="https://youtu.be/svbe4HLFJkU?t=7868" TargetMode="External"/><Relationship Id="rId176" Type="http://schemas.openxmlformats.org/officeDocument/2006/relationships/hyperlink" Target="https://youtu.be/LU_c9emZXoA?t=4434" TargetMode="External"/><Relationship Id="rId297" Type="http://schemas.openxmlformats.org/officeDocument/2006/relationships/hyperlink" Target="https://youtu.be/hConAmIC6gc?t=5375" TargetMode="External"/><Relationship Id="rId36" Type="http://schemas.openxmlformats.org/officeDocument/2006/relationships/hyperlink" Target="https://youtu.be/RSakqTEfmDI?t=6103" TargetMode="External"/><Relationship Id="rId175" Type="http://schemas.openxmlformats.org/officeDocument/2006/relationships/hyperlink" Target="https://youtu.be/mkhueRN3JfA?t=4465" TargetMode="External"/><Relationship Id="rId296" Type="http://schemas.openxmlformats.org/officeDocument/2006/relationships/hyperlink" Target="https://youtu.be/IN-SiMjZ2g4?t=4377" TargetMode="External"/><Relationship Id="rId39" Type="http://schemas.openxmlformats.org/officeDocument/2006/relationships/hyperlink" Target="https://youtu.be/svbe4HLFJkU?t=8741" TargetMode="External"/><Relationship Id="rId174" Type="http://schemas.openxmlformats.org/officeDocument/2006/relationships/hyperlink" Target="https://youtu.be/LU_c9emZXoA?t=3591" TargetMode="External"/><Relationship Id="rId295" Type="http://schemas.openxmlformats.org/officeDocument/2006/relationships/hyperlink" Target="https://youtu.be/hConAmIC6gc?t=4549" TargetMode="External"/><Relationship Id="rId38" Type="http://schemas.openxmlformats.org/officeDocument/2006/relationships/hyperlink" Target="https://youtu.be/RSakqTEfmDI?t=7004" TargetMode="External"/><Relationship Id="rId173" Type="http://schemas.openxmlformats.org/officeDocument/2006/relationships/hyperlink" Target="https://youtu.be/mkhueRN3JfA?t=3591" TargetMode="External"/><Relationship Id="rId294" Type="http://schemas.openxmlformats.org/officeDocument/2006/relationships/hyperlink" Target="https://youtu.be/IN-SiMjZ2g4?t=3558" TargetMode="External"/><Relationship Id="rId179" Type="http://schemas.openxmlformats.org/officeDocument/2006/relationships/hyperlink" Target="https://youtu.be/mkhueRN3JfA?t=6222" TargetMode="External"/><Relationship Id="rId178" Type="http://schemas.openxmlformats.org/officeDocument/2006/relationships/hyperlink" Target="https://youtu.be/LU_c9emZXoA?t=5272" TargetMode="External"/><Relationship Id="rId299" Type="http://schemas.openxmlformats.org/officeDocument/2006/relationships/hyperlink" Target="https://youtu.be/hConAmIC6gc?t=6251" TargetMode="External"/><Relationship Id="rId177" Type="http://schemas.openxmlformats.org/officeDocument/2006/relationships/hyperlink" Target="https://youtu.be/mkhueRN3JfA?t=5326" TargetMode="External"/><Relationship Id="rId298" Type="http://schemas.openxmlformats.org/officeDocument/2006/relationships/hyperlink" Target="https://youtu.be/IN-SiMjZ2g4?t=5218" TargetMode="External"/><Relationship Id="rId20" Type="http://schemas.openxmlformats.org/officeDocument/2006/relationships/hyperlink" Target="https://youtu.be/KQwbunAX5uk?t=7777" TargetMode="External"/><Relationship Id="rId22" Type="http://schemas.openxmlformats.org/officeDocument/2006/relationships/hyperlink" Target="https://youtu.be/RSakqTEfmDI" TargetMode="External"/><Relationship Id="rId21" Type="http://schemas.openxmlformats.org/officeDocument/2006/relationships/hyperlink" Target="https://youtu.be/svbe4HLFJkU?t=911" TargetMode="External"/><Relationship Id="rId24" Type="http://schemas.openxmlformats.org/officeDocument/2006/relationships/hyperlink" Target="https://youtu.be/RSakqTEfmDI?t=935" TargetMode="External"/><Relationship Id="rId23" Type="http://schemas.openxmlformats.org/officeDocument/2006/relationships/hyperlink" Target="https://youtu.be/svbe4HLFJkU?t=1791" TargetMode="External"/><Relationship Id="rId26" Type="http://schemas.openxmlformats.org/officeDocument/2006/relationships/hyperlink" Target="https://youtu.be/RSakqTEfmDI?t=1796" TargetMode="External"/><Relationship Id="rId25" Type="http://schemas.openxmlformats.org/officeDocument/2006/relationships/hyperlink" Target="https://youtu.be/svbe4HLFJkU?t=2677" TargetMode="External"/><Relationship Id="rId28" Type="http://schemas.openxmlformats.org/officeDocument/2006/relationships/hyperlink" Target="https://youtu.be/RSakqTEfmDI?t=2658" TargetMode="External"/><Relationship Id="rId27" Type="http://schemas.openxmlformats.org/officeDocument/2006/relationships/hyperlink" Target="https://youtu.be/svbe4HLFJkU?t=3543" TargetMode="External"/><Relationship Id="rId29" Type="http://schemas.openxmlformats.org/officeDocument/2006/relationships/hyperlink" Target="https://youtu.be/svbe4HLFJkU?t=4416" TargetMode="External"/><Relationship Id="rId11" Type="http://schemas.openxmlformats.org/officeDocument/2006/relationships/hyperlink" Target="https://youtu.be/kY0Cy7l_r2k?t=4561" TargetMode="External"/><Relationship Id="rId10" Type="http://schemas.openxmlformats.org/officeDocument/2006/relationships/hyperlink" Target="https://youtu.be/KQwbunAX5uk?t=3443" TargetMode="External"/><Relationship Id="rId13" Type="http://schemas.openxmlformats.org/officeDocument/2006/relationships/hyperlink" Target="https://youtu.be/kY0Cy7l_r2k?t=5423" TargetMode="External"/><Relationship Id="rId12" Type="http://schemas.openxmlformats.org/officeDocument/2006/relationships/hyperlink" Target="https://youtu.be/KQwbunAX5uk?t=4267" TargetMode="External"/><Relationship Id="rId15" Type="http://schemas.openxmlformats.org/officeDocument/2006/relationships/hyperlink" Target="https://youtu.be/kY0Cy7l_r2k?t=6271" TargetMode="External"/><Relationship Id="rId198" Type="http://schemas.openxmlformats.org/officeDocument/2006/relationships/hyperlink" Target="https://youtu.be/kQV4oW6m0FQ?t=5723" TargetMode="External"/><Relationship Id="rId14" Type="http://schemas.openxmlformats.org/officeDocument/2006/relationships/hyperlink" Target="https://youtu.be/KQwbunAX5uk?t=5154" TargetMode="External"/><Relationship Id="rId197" Type="http://schemas.openxmlformats.org/officeDocument/2006/relationships/hyperlink" Target="https://youtu.be/gjh3WhaJAZg?t=5851" TargetMode="External"/><Relationship Id="rId17" Type="http://schemas.openxmlformats.org/officeDocument/2006/relationships/hyperlink" Target="https://youtu.be/kY0Cy7l_r2k?t=7186" TargetMode="External"/><Relationship Id="rId196" Type="http://schemas.openxmlformats.org/officeDocument/2006/relationships/hyperlink" Target="https://youtu.be/kQV4oW6m0FQ?t=4765%D1%8A" TargetMode="External"/><Relationship Id="rId16" Type="http://schemas.openxmlformats.org/officeDocument/2006/relationships/hyperlink" Target="https://youtu.be/KQwbunAX5uk?t=6004" TargetMode="External"/><Relationship Id="rId195" Type="http://schemas.openxmlformats.org/officeDocument/2006/relationships/hyperlink" Target="https://youtu.be/gjh3WhaJAZg?t=4953" TargetMode="External"/><Relationship Id="rId19" Type="http://schemas.openxmlformats.org/officeDocument/2006/relationships/hyperlink" Target="https://youtu.be/kY0Cy7l_r2k?t=8076" TargetMode="External"/><Relationship Id="rId18" Type="http://schemas.openxmlformats.org/officeDocument/2006/relationships/hyperlink" Target="https://youtu.be/KQwbunAX5uk?t=6907" TargetMode="External"/><Relationship Id="rId199" Type="http://schemas.openxmlformats.org/officeDocument/2006/relationships/hyperlink" Target="https://youtu.be/gjh3WhaJAZg?t=6787" TargetMode="External"/><Relationship Id="rId84" Type="http://schemas.openxmlformats.org/officeDocument/2006/relationships/hyperlink" Target="https://youtu.be/uSZtmC5JI7c?t=993" TargetMode="External"/><Relationship Id="rId83" Type="http://schemas.openxmlformats.org/officeDocument/2006/relationships/hyperlink" Target="https://youtu.be/HmnxMpIbHkg?t=1112" TargetMode="External"/><Relationship Id="rId86" Type="http://schemas.openxmlformats.org/officeDocument/2006/relationships/hyperlink" Target="https://youtu.be/uSZtmC5JI7c?t=1944" TargetMode="External"/><Relationship Id="rId85" Type="http://schemas.openxmlformats.org/officeDocument/2006/relationships/hyperlink" Target="https://youtu.be/HmnxMpIbHkg?t=2015" TargetMode="External"/><Relationship Id="rId88" Type="http://schemas.openxmlformats.org/officeDocument/2006/relationships/hyperlink" Target="https://youtu.be/uSZtmC5JI7c?t=2868" TargetMode="External"/><Relationship Id="rId150" Type="http://schemas.openxmlformats.org/officeDocument/2006/relationships/hyperlink" Target="https://youtu.be/0CRevkysPok?t=7644" TargetMode="External"/><Relationship Id="rId271" Type="http://schemas.openxmlformats.org/officeDocument/2006/relationships/hyperlink" Target="https://youtu.be/KzwH8Cq966s?t=2908" TargetMode="External"/><Relationship Id="rId87" Type="http://schemas.openxmlformats.org/officeDocument/2006/relationships/hyperlink" Target="https://youtu.be/HmnxMpIbHkg?t=3014" TargetMode="External"/><Relationship Id="rId270" Type="http://schemas.openxmlformats.org/officeDocument/2006/relationships/hyperlink" Target="https://youtu.be/rzJ31gzdOKs?t=2073" TargetMode="External"/><Relationship Id="rId89" Type="http://schemas.openxmlformats.org/officeDocument/2006/relationships/hyperlink" Target="https://youtu.be/HmnxMpIbHkg?t=3973" TargetMode="External"/><Relationship Id="rId80" Type="http://schemas.openxmlformats.org/officeDocument/2006/relationships/hyperlink" Target="https://youtu.be/tAz8zP9r5kE?t=8735" TargetMode="External"/><Relationship Id="rId82" Type="http://schemas.openxmlformats.org/officeDocument/2006/relationships/hyperlink" Target="https://youtu.be/uSZtmC5JI7c" TargetMode="External"/><Relationship Id="rId81" Type="http://schemas.openxmlformats.org/officeDocument/2006/relationships/hyperlink" Target="https://youtu.be/HmnxMpIbHkg" TargetMode="External"/><Relationship Id="rId1" Type="http://schemas.openxmlformats.org/officeDocument/2006/relationships/hyperlink" Target="https://youtu.be/kY0Cy7l_r2k" TargetMode="External"/><Relationship Id="rId2" Type="http://schemas.openxmlformats.org/officeDocument/2006/relationships/hyperlink" Target="https://youtu.be/KQwbunAX5uk" TargetMode="External"/><Relationship Id="rId3" Type="http://schemas.openxmlformats.org/officeDocument/2006/relationships/hyperlink" Target="https://youtu.be/kY0Cy7l_r2k?t=1171" TargetMode="External"/><Relationship Id="rId149" Type="http://schemas.openxmlformats.org/officeDocument/2006/relationships/hyperlink" Target="https://youtu.be/Dt2m9o7QuLQ?t=7718" TargetMode="External"/><Relationship Id="rId4" Type="http://schemas.openxmlformats.org/officeDocument/2006/relationships/hyperlink" Target="https://youtu.be/KQwbunAX5uk?t=944" TargetMode="External"/><Relationship Id="rId148" Type="http://schemas.openxmlformats.org/officeDocument/2006/relationships/hyperlink" Target="https://youtu.be/0CRevkysPok?t=6689" TargetMode="External"/><Relationship Id="rId269" Type="http://schemas.openxmlformats.org/officeDocument/2006/relationships/hyperlink" Target="https://youtu.be/KzwH8Cq966s?t=1927" TargetMode="External"/><Relationship Id="rId9" Type="http://schemas.openxmlformats.org/officeDocument/2006/relationships/hyperlink" Target="https://youtu.be/kY0Cy7l_r2k?t=3738" TargetMode="External"/><Relationship Id="rId143" Type="http://schemas.openxmlformats.org/officeDocument/2006/relationships/hyperlink" Target="https://youtu.be/Dt2m9o7QuLQ?t=4860" TargetMode="External"/><Relationship Id="rId264" Type="http://schemas.openxmlformats.org/officeDocument/2006/relationships/hyperlink" Target="https://youtu.be/EXUFyKnZsmI?t=8138" TargetMode="External"/><Relationship Id="rId142" Type="http://schemas.openxmlformats.org/officeDocument/2006/relationships/hyperlink" Target="https://youtu.be/0CRevkysPok?t=3813" TargetMode="External"/><Relationship Id="rId263" Type="http://schemas.openxmlformats.org/officeDocument/2006/relationships/hyperlink" Target="https://youtu.be/vvl4lInKJLw?t=8215" TargetMode="External"/><Relationship Id="rId141" Type="http://schemas.openxmlformats.org/officeDocument/2006/relationships/hyperlink" Target="https://youtu.be/Dt2m9o7QuLQ?t=3876" TargetMode="External"/><Relationship Id="rId262" Type="http://schemas.openxmlformats.org/officeDocument/2006/relationships/hyperlink" Target="https://youtu.be/EXUFyKnZsmI?t=7301" TargetMode="External"/><Relationship Id="rId140" Type="http://schemas.openxmlformats.org/officeDocument/2006/relationships/hyperlink" Target="https://youtu.be/0CRevkysPok?t=2851" TargetMode="External"/><Relationship Id="rId261" Type="http://schemas.openxmlformats.org/officeDocument/2006/relationships/hyperlink" Target="https://youtu.be/vvl4lInKJLw?t=7382" TargetMode="External"/><Relationship Id="rId5" Type="http://schemas.openxmlformats.org/officeDocument/2006/relationships/hyperlink" Target="https://youtu.be/kY0Cy7l_r2k?t=2048" TargetMode="External"/><Relationship Id="rId147" Type="http://schemas.openxmlformats.org/officeDocument/2006/relationships/hyperlink" Target="https://youtu.be/Dt2m9o7QuLQ?t=6749" TargetMode="External"/><Relationship Id="rId268" Type="http://schemas.openxmlformats.org/officeDocument/2006/relationships/hyperlink" Target="https://youtu.be/rzJ31gzdOKs?t=1113" TargetMode="External"/><Relationship Id="rId6" Type="http://schemas.openxmlformats.org/officeDocument/2006/relationships/hyperlink" Target="https://youtu.be/KQwbunAX5uk?t=1766" TargetMode="External"/><Relationship Id="rId146" Type="http://schemas.openxmlformats.org/officeDocument/2006/relationships/hyperlink" Target="https://youtu.be/0CRevkysPok?t=5730" TargetMode="External"/><Relationship Id="rId267" Type="http://schemas.openxmlformats.org/officeDocument/2006/relationships/hyperlink" Target="https://youtu.be/KzwH8Cq966s?t=969" TargetMode="External"/><Relationship Id="rId7" Type="http://schemas.openxmlformats.org/officeDocument/2006/relationships/hyperlink" Target="https://youtu.be/kY0Cy7l_r2k?t=2901" TargetMode="External"/><Relationship Id="rId145" Type="http://schemas.openxmlformats.org/officeDocument/2006/relationships/hyperlink" Target="https://youtu.be/Dt2m9o7QuLQ?t=5802" TargetMode="External"/><Relationship Id="rId266" Type="http://schemas.openxmlformats.org/officeDocument/2006/relationships/hyperlink" Target="https://youtu.be/rzJ31gzdOKs" TargetMode="External"/><Relationship Id="rId8" Type="http://schemas.openxmlformats.org/officeDocument/2006/relationships/hyperlink" Target="https://youtu.be/KQwbunAX5uk?t=2623" TargetMode="External"/><Relationship Id="rId144" Type="http://schemas.openxmlformats.org/officeDocument/2006/relationships/hyperlink" Target="https://youtu.be/0CRevkysPok?t=4768" TargetMode="External"/><Relationship Id="rId265" Type="http://schemas.openxmlformats.org/officeDocument/2006/relationships/hyperlink" Target="https://youtu.be/KzwH8Cq966s" TargetMode="External"/><Relationship Id="rId73" Type="http://schemas.openxmlformats.org/officeDocument/2006/relationships/hyperlink" Target="https://youtu.be/DtZzkml8aII?t=5684" TargetMode="External"/><Relationship Id="rId72" Type="http://schemas.openxmlformats.org/officeDocument/2006/relationships/hyperlink" Target="https://youtu.be/tAz8zP9r5kE?t=4905" TargetMode="External"/><Relationship Id="rId75" Type="http://schemas.openxmlformats.org/officeDocument/2006/relationships/hyperlink" Target="https://youtu.be/DtZzkml8aII?t=6749" TargetMode="External"/><Relationship Id="rId74" Type="http://schemas.openxmlformats.org/officeDocument/2006/relationships/hyperlink" Target="https://youtu.be/tAz8zP9r5kE?t=5878" TargetMode="External"/><Relationship Id="rId77" Type="http://schemas.openxmlformats.org/officeDocument/2006/relationships/hyperlink" Target="https://youtu.be/DtZzkml8aII?t=7686" TargetMode="External"/><Relationship Id="rId260" Type="http://schemas.openxmlformats.org/officeDocument/2006/relationships/hyperlink" Target="https://youtu.be/EXUFyKnZsmI?t=6337" TargetMode="External"/><Relationship Id="rId76" Type="http://schemas.openxmlformats.org/officeDocument/2006/relationships/hyperlink" Target="https://youtu.be/tAz8zP9r5kE?t=6833" TargetMode="External"/><Relationship Id="rId79" Type="http://schemas.openxmlformats.org/officeDocument/2006/relationships/hyperlink" Target="https://youtu.be/DtZzkml8aII?t=8630" TargetMode="External"/><Relationship Id="rId78" Type="http://schemas.openxmlformats.org/officeDocument/2006/relationships/hyperlink" Target="https://youtu.be/tAz8zP9r5kE?t=7782" TargetMode="External"/><Relationship Id="rId71" Type="http://schemas.openxmlformats.org/officeDocument/2006/relationships/hyperlink" Target="https://youtu.be/DtZzkml8aII?t=4785" TargetMode="External"/><Relationship Id="rId70" Type="http://schemas.openxmlformats.org/officeDocument/2006/relationships/hyperlink" Target="https://youtu.be/tAz8zP9r5kE?t=3985" TargetMode="External"/><Relationship Id="rId139" Type="http://schemas.openxmlformats.org/officeDocument/2006/relationships/hyperlink" Target="https://youtu.be/Dt2m9o7QuLQ?t=2924" TargetMode="External"/><Relationship Id="rId138" Type="http://schemas.openxmlformats.org/officeDocument/2006/relationships/hyperlink" Target="https://youtu.be/0CRevkysPok?t=1886" TargetMode="External"/><Relationship Id="rId259" Type="http://schemas.openxmlformats.org/officeDocument/2006/relationships/hyperlink" Target="https://youtu.be/vvl4lInKJLw?t=6541" TargetMode="External"/><Relationship Id="rId137" Type="http://schemas.openxmlformats.org/officeDocument/2006/relationships/hyperlink" Target="https://youtu.be/Dt2m9o7QuLQ?t=1992" TargetMode="External"/><Relationship Id="rId258" Type="http://schemas.openxmlformats.org/officeDocument/2006/relationships/hyperlink" Target="https://youtu.be/EXUFyKnZsmI?t=5438" TargetMode="External"/><Relationship Id="rId132" Type="http://schemas.openxmlformats.org/officeDocument/2006/relationships/hyperlink" Target="https://youtu.be/60mHVk0shD0?t=7764" TargetMode="External"/><Relationship Id="rId253" Type="http://schemas.openxmlformats.org/officeDocument/2006/relationships/hyperlink" Target="https://youtu.be/vvl4lInKJLw?t=3892" TargetMode="External"/><Relationship Id="rId131" Type="http://schemas.openxmlformats.org/officeDocument/2006/relationships/hyperlink" Target="https://youtu.be/OJtiSSqtYDU?t=7610" TargetMode="External"/><Relationship Id="rId252" Type="http://schemas.openxmlformats.org/officeDocument/2006/relationships/hyperlink" Target="https://youtu.be/EXUFyKnZsmI?t=2800" TargetMode="External"/><Relationship Id="rId130" Type="http://schemas.openxmlformats.org/officeDocument/2006/relationships/hyperlink" Target="https://youtu.be/OJtiSSqtYDU?t=6756" TargetMode="External"/><Relationship Id="rId251" Type="http://schemas.openxmlformats.org/officeDocument/2006/relationships/hyperlink" Target="https://youtu.be/vvl4lInKJLw?t=2988" TargetMode="External"/><Relationship Id="rId250" Type="http://schemas.openxmlformats.org/officeDocument/2006/relationships/hyperlink" Target="https://youtu.be/EXUFyKnZsmI?t=1898" TargetMode="External"/><Relationship Id="rId136" Type="http://schemas.openxmlformats.org/officeDocument/2006/relationships/hyperlink" Target="https://youtu.be/0CRevkysPok?t=936" TargetMode="External"/><Relationship Id="rId257" Type="http://schemas.openxmlformats.org/officeDocument/2006/relationships/hyperlink" Target="https://youtu.be/vvl4lInKJLw?t=5630" TargetMode="External"/><Relationship Id="rId135" Type="http://schemas.openxmlformats.org/officeDocument/2006/relationships/hyperlink" Target="https://youtu.be/Dt2m9o7QuLQ?t=1033" TargetMode="External"/><Relationship Id="rId256" Type="http://schemas.openxmlformats.org/officeDocument/2006/relationships/hyperlink" Target="https://youtu.be/EXUFyKnZsmI?t=4538" TargetMode="External"/><Relationship Id="rId134" Type="http://schemas.openxmlformats.org/officeDocument/2006/relationships/hyperlink" Target="https://youtu.be/0CRevkysPok" TargetMode="External"/><Relationship Id="rId255" Type="http://schemas.openxmlformats.org/officeDocument/2006/relationships/hyperlink" Target="https://youtu.be/vvl4lInKJLw?t=4767" TargetMode="External"/><Relationship Id="rId133" Type="http://schemas.openxmlformats.org/officeDocument/2006/relationships/hyperlink" Target="https://youtu.be/Dt2m9o7QuLQ" TargetMode="External"/><Relationship Id="rId254" Type="http://schemas.openxmlformats.org/officeDocument/2006/relationships/hyperlink" Target="https://youtu.be/EXUFyKnZsmI?t=3699" TargetMode="External"/><Relationship Id="rId62" Type="http://schemas.openxmlformats.org/officeDocument/2006/relationships/hyperlink" Target="https://youtu.be/tAz8zP9r5kE" TargetMode="External"/><Relationship Id="rId61" Type="http://schemas.openxmlformats.org/officeDocument/2006/relationships/hyperlink" Target="https://youtu.be/DtZzkml8aII" TargetMode="External"/><Relationship Id="rId64" Type="http://schemas.openxmlformats.org/officeDocument/2006/relationships/hyperlink" Target="https://youtu.be/tAz8zP9r5kE?t=1059" TargetMode="External"/><Relationship Id="rId63" Type="http://schemas.openxmlformats.org/officeDocument/2006/relationships/hyperlink" Target="https://youtu.be/DtZzkml8aII?t=980" TargetMode="External"/><Relationship Id="rId66" Type="http://schemas.openxmlformats.org/officeDocument/2006/relationships/hyperlink" Target="https://youtu.be/tAz8zP9r5kE?t=2053" TargetMode="External"/><Relationship Id="rId172" Type="http://schemas.openxmlformats.org/officeDocument/2006/relationships/hyperlink" Target="https://youtu.be/LU_c9emZXoA?t=2643" TargetMode="External"/><Relationship Id="rId293" Type="http://schemas.openxmlformats.org/officeDocument/2006/relationships/hyperlink" Target="https://youtu.be/hConAmIC6gc?t=3712" TargetMode="External"/><Relationship Id="rId65" Type="http://schemas.openxmlformats.org/officeDocument/2006/relationships/hyperlink" Target="https://youtu.be/DtZzkml8aII?t=1946" TargetMode="External"/><Relationship Id="rId171" Type="http://schemas.openxmlformats.org/officeDocument/2006/relationships/hyperlink" Target="https://youtu.be/mkhueRN3JfA?t=2759" TargetMode="External"/><Relationship Id="rId292" Type="http://schemas.openxmlformats.org/officeDocument/2006/relationships/hyperlink" Target="https://youtu.be/IN-SiMjZ2g4?t=2728" TargetMode="External"/><Relationship Id="rId68" Type="http://schemas.openxmlformats.org/officeDocument/2006/relationships/hyperlink" Target="https://youtu.be/tAz8zP9r5kE?t=3100" TargetMode="External"/><Relationship Id="rId170" Type="http://schemas.openxmlformats.org/officeDocument/2006/relationships/hyperlink" Target="https://youtu.be/LU_c9emZXoA?t=1790" TargetMode="External"/><Relationship Id="rId291" Type="http://schemas.openxmlformats.org/officeDocument/2006/relationships/hyperlink" Target="https://youtu.be/hConAmIC6gc?t=2883" TargetMode="External"/><Relationship Id="rId67" Type="http://schemas.openxmlformats.org/officeDocument/2006/relationships/hyperlink" Target="https://youtu.be/DtZzkml8aII?t=3053" TargetMode="External"/><Relationship Id="rId290" Type="http://schemas.openxmlformats.org/officeDocument/2006/relationships/hyperlink" Target="https://youtu.be/IN-SiMjZ2g4?t=1799" TargetMode="External"/><Relationship Id="rId60" Type="http://schemas.openxmlformats.org/officeDocument/2006/relationships/hyperlink" Target="https://youtu.be/wokSvE9Cixc?t=7782" TargetMode="External"/><Relationship Id="rId165" Type="http://schemas.openxmlformats.org/officeDocument/2006/relationships/hyperlink" Target="https://youtu.be/mkhueRN3JfA" TargetMode="External"/><Relationship Id="rId286" Type="http://schemas.openxmlformats.org/officeDocument/2006/relationships/hyperlink" Target="https://youtu.be/IN-SiMjZ2g4" TargetMode="External"/><Relationship Id="rId69" Type="http://schemas.openxmlformats.org/officeDocument/2006/relationships/hyperlink" Target="https://youtu.be/DtZzkml8aII?t=3893" TargetMode="External"/><Relationship Id="rId164" Type="http://schemas.openxmlformats.org/officeDocument/2006/relationships/hyperlink" Target="https://youtu.be/KJxlA9C6lYw?t=7344" TargetMode="External"/><Relationship Id="rId285" Type="http://schemas.openxmlformats.org/officeDocument/2006/relationships/hyperlink" Target="https://youtu.be/hConAmIC6gc" TargetMode="External"/><Relationship Id="rId163" Type="http://schemas.openxmlformats.org/officeDocument/2006/relationships/hyperlink" Target="https://youtu.be/4eFb7cz4CGY?t=6923" TargetMode="External"/><Relationship Id="rId284" Type="http://schemas.openxmlformats.org/officeDocument/2006/relationships/hyperlink" Target="https://youtu.be/rzJ31gzdOKs?t=8794" TargetMode="External"/><Relationship Id="rId162" Type="http://schemas.openxmlformats.org/officeDocument/2006/relationships/hyperlink" Target="https://youtu.be/4eFb7cz4CGY?t=6048" TargetMode="External"/><Relationship Id="rId283" Type="http://schemas.openxmlformats.org/officeDocument/2006/relationships/hyperlink" Target="https://youtu.be/KzwH8Cq966s?t=8640" TargetMode="External"/><Relationship Id="rId169" Type="http://schemas.openxmlformats.org/officeDocument/2006/relationships/hyperlink" Target="https://youtu.be/mkhueRN3JfA?t=1807" TargetMode="External"/><Relationship Id="rId168" Type="http://schemas.openxmlformats.org/officeDocument/2006/relationships/hyperlink" Target="https://youtu.be/LU_c9emZXoA?t=863" TargetMode="External"/><Relationship Id="rId289" Type="http://schemas.openxmlformats.org/officeDocument/2006/relationships/hyperlink" Target="https://youtu.be/hConAmIC6gc?t=1964" TargetMode="External"/><Relationship Id="rId167" Type="http://schemas.openxmlformats.org/officeDocument/2006/relationships/hyperlink" Target="https://youtu.be/mkhueRN3JfA?t=909" TargetMode="External"/><Relationship Id="rId288" Type="http://schemas.openxmlformats.org/officeDocument/2006/relationships/hyperlink" Target="https://youtu.be/IN-SiMjZ2g4?t=913" TargetMode="External"/><Relationship Id="rId166" Type="http://schemas.openxmlformats.org/officeDocument/2006/relationships/hyperlink" Target="https://youtu.be/LU_c9emZXoA?t=25" TargetMode="External"/><Relationship Id="rId287" Type="http://schemas.openxmlformats.org/officeDocument/2006/relationships/hyperlink" Target="https://youtu.be/hConAmIC6gc?t=1120" TargetMode="External"/><Relationship Id="rId51" Type="http://schemas.openxmlformats.org/officeDocument/2006/relationships/hyperlink" Target="https://youtu.be/4Z1XunaR3V4?t=4191" TargetMode="External"/><Relationship Id="rId50" Type="http://schemas.openxmlformats.org/officeDocument/2006/relationships/hyperlink" Target="https://youtu.be/wokSvE9Cixc?t=3582" TargetMode="External"/><Relationship Id="rId53" Type="http://schemas.openxmlformats.org/officeDocument/2006/relationships/hyperlink" Target="https://youtu.be/4Z1XunaR3V4?t=5045" TargetMode="External"/><Relationship Id="rId52" Type="http://schemas.openxmlformats.org/officeDocument/2006/relationships/hyperlink" Target="https://youtu.be/wokSvE9Cixc?t=4419" TargetMode="External"/><Relationship Id="rId55" Type="http://schemas.openxmlformats.org/officeDocument/2006/relationships/hyperlink" Target="https://youtu.be/4Z1XunaR3V4?t=5900" TargetMode="External"/><Relationship Id="rId161" Type="http://schemas.openxmlformats.org/officeDocument/2006/relationships/hyperlink" Target="https://youtu.be/KJxlA9C6lYw?t=5102" TargetMode="External"/><Relationship Id="rId282" Type="http://schemas.openxmlformats.org/officeDocument/2006/relationships/hyperlink" Target="https://youtu.be/rzJ31gzdOKs?t=7835" TargetMode="External"/><Relationship Id="rId54" Type="http://schemas.openxmlformats.org/officeDocument/2006/relationships/hyperlink" Target="https://youtu.be/wokSvE9Cixc?t=5246" TargetMode="External"/><Relationship Id="rId160" Type="http://schemas.openxmlformats.org/officeDocument/2006/relationships/hyperlink" Target="https://youtu.be/KJxlA9C6lYw?t=4262" TargetMode="External"/><Relationship Id="rId281" Type="http://schemas.openxmlformats.org/officeDocument/2006/relationships/hyperlink" Target="https://youtu.be/KzwH8Cq966s?t=7680" TargetMode="External"/><Relationship Id="rId57" Type="http://schemas.openxmlformats.org/officeDocument/2006/relationships/hyperlink" Target="https://youtu.be/4Z1XunaR3V4?t=6768" TargetMode="External"/><Relationship Id="rId280" Type="http://schemas.openxmlformats.org/officeDocument/2006/relationships/hyperlink" Target="https://youtu.be/rzJ31gzdOKs?t=6875" TargetMode="External"/><Relationship Id="rId56" Type="http://schemas.openxmlformats.org/officeDocument/2006/relationships/hyperlink" Target="https://youtu.be/wokSvE9Cixc?t=6094" TargetMode="External"/><Relationship Id="rId159" Type="http://schemas.openxmlformats.org/officeDocument/2006/relationships/hyperlink" Target="https://youtu.be/4eFb7cz4CGY?t=3647" TargetMode="External"/><Relationship Id="rId59" Type="http://schemas.openxmlformats.org/officeDocument/2006/relationships/hyperlink" Target="https://youtu.be/4Z1XunaR3V4?t=7592" TargetMode="External"/><Relationship Id="rId154" Type="http://schemas.openxmlformats.org/officeDocument/2006/relationships/hyperlink" Target="https://youtu.be/KJxlA9C6lYw" TargetMode="External"/><Relationship Id="rId275" Type="http://schemas.openxmlformats.org/officeDocument/2006/relationships/hyperlink" Target="https://youtu.be/KzwH8Cq966s?t=4812" TargetMode="External"/><Relationship Id="rId58" Type="http://schemas.openxmlformats.org/officeDocument/2006/relationships/hyperlink" Target="https://youtu.be/wokSvE9Cixc?t=6969" TargetMode="External"/><Relationship Id="rId153" Type="http://schemas.openxmlformats.org/officeDocument/2006/relationships/hyperlink" Target="https://youtu.be/4eFb7cz4CGY" TargetMode="External"/><Relationship Id="rId274" Type="http://schemas.openxmlformats.org/officeDocument/2006/relationships/hyperlink" Target="https://youtu.be/rzJ31gzdOKs?t=3994" TargetMode="External"/><Relationship Id="rId152" Type="http://schemas.openxmlformats.org/officeDocument/2006/relationships/hyperlink" Target="https://youtu.be/0CRevkysPok?t=8518" TargetMode="External"/><Relationship Id="rId273" Type="http://schemas.openxmlformats.org/officeDocument/2006/relationships/hyperlink" Target="https://youtu.be/KzwH8Cq966s?t=3854" TargetMode="External"/><Relationship Id="rId151" Type="http://schemas.openxmlformats.org/officeDocument/2006/relationships/hyperlink" Target="https://youtu.be/Dt2m9o7QuLQ?t=8626" TargetMode="External"/><Relationship Id="rId272" Type="http://schemas.openxmlformats.org/officeDocument/2006/relationships/hyperlink" Target="https://youtu.be/rzJ31gzdOKs?t=3034" TargetMode="External"/><Relationship Id="rId158" Type="http://schemas.openxmlformats.org/officeDocument/2006/relationships/hyperlink" Target="https://youtu.be/KJxlA9C6lYw?t=2589" TargetMode="External"/><Relationship Id="rId279" Type="http://schemas.openxmlformats.org/officeDocument/2006/relationships/hyperlink" Target="https://youtu.be/KzwH8Cq966s?t=6728" TargetMode="External"/><Relationship Id="rId157" Type="http://schemas.openxmlformats.org/officeDocument/2006/relationships/hyperlink" Target="https://youtu.be/4eFb7cz4CGY?t=2709" TargetMode="External"/><Relationship Id="rId278" Type="http://schemas.openxmlformats.org/officeDocument/2006/relationships/hyperlink" Target="https://youtu.be/rzJ31gzdOKs?t=5914" TargetMode="External"/><Relationship Id="rId156" Type="http://schemas.openxmlformats.org/officeDocument/2006/relationships/hyperlink" Target="https://youtu.be/4eFb7cz4CGY?t=1841" TargetMode="External"/><Relationship Id="rId277" Type="http://schemas.openxmlformats.org/officeDocument/2006/relationships/hyperlink" Target="https://youtu.be/KzwH8Cq966s?t=5759" TargetMode="External"/><Relationship Id="rId155" Type="http://schemas.openxmlformats.org/officeDocument/2006/relationships/hyperlink" Target="https://youtu.be/KJxlA9C6lYw?t=991" TargetMode="External"/><Relationship Id="rId276" Type="http://schemas.openxmlformats.org/officeDocument/2006/relationships/hyperlink" Target="https://youtu.be/rzJ31gzdOKs?t=4953" TargetMode="External"/><Relationship Id="rId107" Type="http://schemas.openxmlformats.org/officeDocument/2006/relationships/hyperlink" Target="https://youtu.be/Gdvk0SlZLGM?t=2923" TargetMode="External"/><Relationship Id="rId228" Type="http://schemas.openxmlformats.org/officeDocument/2006/relationships/hyperlink" Target="https://youtu.be/PIHcwcDSkJs?t=905" TargetMode="External"/><Relationship Id="rId106" Type="http://schemas.openxmlformats.org/officeDocument/2006/relationships/hyperlink" Target="https://youtu.be/0M3AIWpkHVw?t=1896" TargetMode="External"/><Relationship Id="rId227" Type="http://schemas.openxmlformats.org/officeDocument/2006/relationships/hyperlink" Target="https://youtu.be/RERO483fwmA?t=1092" TargetMode="External"/><Relationship Id="rId105" Type="http://schemas.openxmlformats.org/officeDocument/2006/relationships/hyperlink" Target="https://youtu.be/Gdvk0SlZLGM?t=1964" TargetMode="External"/><Relationship Id="rId226" Type="http://schemas.openxmlformats.org/officeDocument/2006/relationships/hyperlink" Target="https://youtu.be/PIHcwcDSkJs" TargetMode="External"/><Relationship Id="rId104" Type="http://schemas.openxmlformats.org/officeDocument/2006/relationships/hyperlink" Target="https://youtu.be/0M3AIWpkHVw?t=937" TargetMode="External"/><Relationship Id="rId225" Type="http://schemas.openxmlformats.org/officeDocument/2006/relationships/hyperlink" Target="https://youtu.be/RERO483fwmA" TargetMode="External"/><Relationship Id="rId109" Type="http://schemas.openxmlformats.org/officeDocument/2006/relationships/hyperlink" Target="https://youtu.be/Gdvk0SlZLGM?t=3899" TargetMode="External"/><Relationship Id="rId108" Type="http://schemas.openxmlformats.org/officeDocument/2006/relationships/hyperlink" Target="https://youtu.be/0M3AIWpkHVw?t=2879" TargetMode="External"/><Relationship Id="rId229" Type="http://schemas.openxmlformats.org/officeDocument/2006/relationships/hyperlink" Target="https://youtu.be/RERO483fwmA?t=1939" TargetMode="External"/><Relationship Id="rId220" Type="http://schemas.openxmlformats.org/officeDocument/2006/relationships/hyperlink" Target="https://youtu.be/ROMtw-qrK9k?t=6828" TargetMode="External"/><Relationship Id="rId103" Type="http://schemas.openxmlformats.org/officeDocument/2006/relationships/hyperlink" Target="https://youtu.be/Gdvk0SlZLGM?t=1037" TargetMode="External"/><Relationship Id="rId224" Type="http://schemas.openxmlformats.org/officeDocument/2006/relationships/hyperlink" Target="https://youtu.be/ROMtw-qrK9k?t=8749" TargetMode="External"/><Relationship Id="rId102" Type="http://schemas.openxmlformats.org/officeDocument/2006/relationships/hyperlink" Target="https://youtu.be/0M3AIWpkHVw" TargetMode="External"/><Relationship Id="rId223" Type="http://schemas.openxmlformats.org/officeDocument/2006/relationships/hyperlink" Target="https://youtu.be/28gBfY5BiFQ?t=8602" TargetMode="External"/><Relationship Id="rId101" Type="http://schemas.openxmlformats.org/officeDocument/2006/relationships/hyperlink" Target="https://youtu.be/Gdvk0SlZLGM" TargetMode="External"/><Relationship Id="rId222" Type="http://schemas.openxmlformats.org/officeDocument/2006/relationships/hyperlink" Target="https://youtu.be/ROMtw-qrK9k?t=7789" TargetMode="External"/><Relationship Id="rId100" Type="http://schemas.openxmlformats.org/officeDocument/2006/relationships/hyperlink" Target="https://youtu.be/uSZtmC5JI7c?t=8614" TargetMode="External"/><Relationship Id="rId221" Type="http://schemas.openxmlformats.org/officeDocument/2006/relationships/hyperlink" Target="https://youtu.be/28gBfY5BiFQ?t=7504" TargetMode="External"/><Relationship Id="rId217" Type="http://schemas.openxmlformats.org/officeDocument/2006/relationships/hyperlink" Target="https://youtu.be/28gBfY5BiFQ?t=5721" TargetMode="External"/><Relationship Id="rId216" Type="http://schemas.openxmlformats.org/officeDocument/2006/relationships/hyperlink" Target="https://youtu.be/ROMtw-qrK9k?t=4908" TargetMode="External"/><Relationship Id="rId215" Type="http://schemas.openxmlformats.org/officeDocument/2006/relationships/hyperlink" Target="https://youtu.be/28gBfY5BiFQ?t=4779" TargetMode="External"/><Relationship Id="rId214" Type="http://schemas.openxmlformats.org/officeDocument/2006/relationships/hyperlink" Target="https://youtu.be/ROMtw-qrK9k?t=3949" TargetMode="External"/><Relationship Id="rId219" Type="http://schemas.openxmlformats.org/officeDocument/2006/relationships/hyperlink" Target="https://youtu.be/28gBfY5BiFQ?t=6699" TargetMode="External"/><Relationship Id="rId218" Type="http://schemas.openxmlformats.org/officeDocument/2006/relationships/hyperlink" Target="https://youtu.be/ROMtw-qrK9k?t=5869" TargetMode="External"/><Relationship Id="rId213" Type="http://schemas.openxmlformats.org/officeDocument/2006/relationships/hyperlink" Target="https://youtu.be/28gBfY5BiFQ?t=3805" TargetMode="External"/><Relationship Id="rId212" Type="http://schemas.openxmlformats.org/officeDocument/2006/relationships/hyperlink" Target="https://youtu.be/ROMtw-qrK9k?t=2988" TargetMode="External"/><Relationship Id="rId211" Type="http://schemas.openxmlformats.org/officeDocument/2006/relationships/hyperlink" Target="https://youtu.be/28gBfY5BiFQ?t=2854" TargetMode="External"/><Relationship Id="rId210" Type="http://schemas.openxmlformats.org/officeDocument/2006/relationships/hyperlink" Target="https://youtu.be/ROMtw-qrK9k?t=2029" TargetMode="External"/><Relationship Id="rId129" Type="http://schemas.openxmlformats.org/officeDocument/2006/relationships/hyperlink" Target="https://youtu.be/60mHVk0shD0?t=6045" TargetMode="External"/><Relationship Id="rId128" Type="http://schemas.openxmlformats.org/officeDocument/2006/relationships/hyperlink" Target="https://youtu.be/60mHVk0shD0?t=5182" TargetMode="External"/><Relationship Id="rId249" Type="http://schemas.openxmlformats.org/officeDocument/2006/relationships/hyperlink" Target="https://youtu.be/vvl4lInKJLw?t=2097" TargetMode="External"/><Relationship Id="rId127" Type="http://schemas.openxmlformats.org/officeDocument/2006/relationships/hyperlink" Target="https://youtu.be/OJtiSSqtYDU?t=4322" TargetMode="External"/><Relationship Id="rId248" Type="http://schemas.openxmlformats.org/officeDocument/2006/relationships/hyperlink" Target="https://youtu.be/EXUFyKnZsmI?t=947" TargetMode="External"/><Relationship Id="rId126" Type="http://schemas.openxmlformats.org/officeDocument/2006/relationships/hyperlink" Target="https://youtu.be/60mHVk0shD0?t=3480" TargetMode="External"/><Relationship Id="rId247" Type="http://schemas.openxmlformats.org/officeDocument/2006/relationships/hyperlink" Target="https://youtu.be/vvl4lInKJLw?t=1255" TargetMode="External"/><Relationship Id="rId121" Type="http://schemas.openxmlformats.org/officeDocument/2006/relationships/hyperlink" Target="https://youtu.be/OJtiSSqtYDU" TargetMode="External"/><Relationship Id="rId242" Type="http://schemas.openxmlformats.org/officeDocument/2006/relationships/hyperlink" Target="https://youtu.be/PIHcwcDSkJs?t=7128" TargetMode="External"/><Relationship Id="rId120" Type="http://schemas.openxmlformats.org/officeDocument/2006/relationships/hyperlink" Target="https://youtu.be/0M3AIWpkHVw?t=8549" TargetMode="External"/><Relationship Id="rId241" Type="http://schemas.openxmlformats.org/officeDocument/2006/relationships/hyperlink" Target="https://youtu.be/RERO483fwmA?t=7227" TargetMode="External"/><Relationship Id="rId240" Type="http://schemas.openxmlformats.org/officeDocument/2006/relationships/hyperlink" Target="https://youtu.be/PIHcwcDSkJs?t=6230" TargetMode="External"/><Relationship Id="rId125" Type="http://schemas.openxmlformats.org/officeDocument/2006/relationships/hyperlink" Target="https://youtu.be/OJtiSSqtYDU?t=3403" TargetMode="External"/><Relationship Id="rId246" Type="http://schemas.openxmlformats.org/officeDocument/2006/relationships/hyperlink" Target="https://youtu.be/EXUFyKnZsmI" TargetMode="External"/><Relationship Id="rId124" Type="http://schemas.openxmlformats.org/officeDocument/2006/relationships/hyperlink" Target="https://youtu.be/OJtiSSqtYDU?t=2512" TargetMode="External"/><Relationship Id="rId245" Type="http://schemas.openxmlformats.org/officeDocument/2006/relationships/hyperlink" Target="https://youtu.be/vvl4lInKJLw" TargetMode="External"/><Relationship Id="rId123" Type="http://schemas.openxmlformats.org/officeDocument/2006/relationships/hyperlink" Target="https://youtu.be/60mHVk0shD0?t=1878" TargetMode="External"/><Relationship Id="rId244" Type="http://schemas.openxmlformats.org/officeDocument/2006/relationships/hyperlink" Target="https://youtu.be/PIHcwcDSkJs?t=8031" TargetMode="External"/><Relationship Id="rId122" Type="http://schemas.openxmlformats.org/officeDocument/2006/relationships/hyperlink" Target="https://youtu.be/60mHVk0shD0" TargetMode="External"/><Relationship Id="rId243" Type="http://schemas.openxmlformats.org/officeDocument/2006/relationships/hyperlink" Target="https://youtu.be/RERO483fwmA?t=8063" TargetMode="External"/><Relationship Id="rId95" Type="http://schemas.openxmlformats.org/officeDocument/2006/relationships/hyperlink" Target="https://youtu.be/HmnxMpIbHkg?t=6916" TargetMode="External"/><Relationship Id="rId94" Type="http://schemas.openxmlformats.org/officeDocument/2006/relationships/hyperlink" Target="https://youtu.be/uSZtmC5JI7c?t=5744" TargetMode="External"/><Relationship Id="rId97" Type="http://schemas.openxmlformats.org/officeDocument/2006/relationships/hyperlink" Target="https://youtu.be/HmnxMpIbHkg?t=7789" TargetMode="External"/><Relationship Id="rId96" Type="http://schemas.openxmlformats.org/officeDocument/2006/relationships/hyperlink" Target="https://youtu.be/uSZtmC5JI7c?t=6717" TargetMode="External"/><Relationship Id="rId99" Type="http://schemas.openxmlformats.org/officeDocument/2006/relationships/hyperlink" Target="https://youtu.be/HmnxMpIbHkg?t=8700" TargetMode="External"/><Relationship Id="rId98" Type="http://schemas.openxmlformats.org/officeDocument/2006/relationships/hyperlink" Target="https://youtu.be/uSZtmC5JI7c?t=7670" TargetMode="External"/><Relationship Id="rId91" Type="http://schemas.openxmlformats.org/officeDocument/2006/relationships/hyperlink" Target="https://youtu.be/HmnxMpIbHkg?t=4942" TargetMode="External"/><Relationship Id="rId90" Type="http://schemas.openxmlformats.org/officeDocument/2006/relationships/hyperlink" Target="https://youtu.be/uSZtmC5JI7c?t=3824" TargetMode="External"/><Relationship Id="rId93" Type="http://schemas.openxmlformats.org/officeDocument/2006/relationships/hyperlink" Target="https://youtu.be/HmnxMpIbHkg?t=5932" TargetMode="External"/><Relationship Id="rId92" Type="http://schemas.openxmlformats.org/officeDocument/2006/relationships/hyperlink" Target="https://youtu.be/uSZtmC5JI7c?t=4762" TargetMode="External"/><Relationship Id="rId118" Type="http://schemas.openxmlformats.org/officeDocument/2006/relationships/hyperlink" Target="https://youtu.be/0M3AIWpkHVw?t=7649" TargetMode="External"/><Relationship Id="rId239" Type="http://schemas.openxmlformats.org/officeDocument/2006/relationships/hyperlink" Target="https://youtu.be/RERO483fwmA?t=6376" TargetMode="External"/><Relationship Id="rId117" Type="http://schemas.openxmlformats.org/officeDocument/2006/relationships/hyperlink" Target="https://youtu.be/Gdvk0SlZLGM?t=7742" TargetMode="External"/><Relationship Id="rId238" Type="http://schemas.openxmlformats.org/officeDocument/2006/relationships/hyperlink" Target="https://youtu.be/PIHcwcDSkJs?t=5389" TargetMode="External"/><Relationship Id="rId116" Type="http://schemas.openxmlformats.org/officeDocument/2006/relationships/hyperlink" Target="https://youtu.be/0M3AIWpkHVw?t=6686" TargetMode="External"/><Relationship Id="rId237" Type="http://schemas.openxmlformats.org/officeDocument/2006/relationships/hyperlink" Target="https://youtu.be/RERO483fwmA?t=5537" TargetMode="External"/><Relationship Id="rId115" Type="http://schemas.openxmlformats.org/officeDocument/2006/relationships/hyperlink" Target="https://youtu.be/Gdvk0SlZLGM?t=6769" TargetMode="External"/><Relationship Id="rId236" Type="http://schemas.openxmlformats.org/officeDocument/2006/relationships/hyperlink" Target="https://youtu.be/PIHcwcDSkJs?t=4562" TargetMode="External"/><Relationship Id="rId119" Type="http://schemas.openxmlformats.org/officeDocument/2006/relationships/hyperlink" Target="https://youtu.be/Gdvk0SlZLGM?t=8636" TargetMode="External"/><Relationship Id="rId110" Type="http://schemas.openxmlformats.org/officeDocument/2006/relationships/hyperlink" Target="https://youtu.be/0M3AIWpkHVw?t=3809" TargetMode="External"/><Relationship Id="rId231" Type="http://schemas.openxmlformats.org/officeDocument/2006/relationships/hyperlink" Target="https://youtu.be/RERO483fwmA?t=2810" TargetMode="External"/><Relationship Id="rId230" Type="http://schemas.openxmlformats.org/officeDocument/2006/relationships/hyperlink" Target="https://youtu.be/PIHcwcDSkJs?t=1848" TargetMode="External"/><Relationship Id="rId114" Type="http://schemas.openxmlformats.org/officeDocument/2006/relationships/hyperlink" Target="https://youtu.be/0M3AIWpkHVw?t=5725" TargetMode="External"/><Relationship Id="rId235" Type="http://schemas.openxmlformats.org/officeDocument/2006/relationships/hyperlink" Target="https://youtu.be/RERO483fwmA?t=4697" TargetMode="External"/><Relationship Id="rId113" Type="http://schemas.openxmlformats.org/officeDocument/2006/relationships/hyperlink" Target="https://youtu.be/Gdvk0SlZLGM?t=5833" TargetMode="External"/><Relationship Id="rId234" Type="http://schemas.openxmlformats.org/officeDocument/2006/relationships/hyperlink" Target="https://youtu.be/PIHcwcDSkJs?t=3666" TargetMode="External"/><Relationship Id="rId112" Type="http://schemas.openxmlformats.org/officeDocument/2006/relationships/hyperlink" Target="https://youtu.be/0M3AIWpkHVw?t=4767" TargetMode="External"/><Relationship Id="rId233" Type="http://schemas.openxmlformats.org/officeDocument/2006/relationships/hyperlink" Target="https://youtu.be/RERO483fwmA?t=3675" TargetMode="External"/><Relationship Id="rId111" Type="http://schemas.openxmlformats.org/officeDocument/2006/relationships/hyperlink" Target="https://youtu.be/Gdvk0SlZLGM?t=4897" TargetMode="External"/><Relationship Id="rId232" Type="http://schemas.openxmlformats.org/officeDocument/2006/relationships/hyperlink" Target="https://youtu.be/PIHcwcDSkJs?t=2791" TargetMode="External"/><Relationship Id="rId305" Type="http://schemas.openxmlformats.org/officeDocument/2006/relationships/drawing" Target="../drawings/drawing16.xml"/><Relationship Id="rId304" Type="http://schemas.openxmlformats.org/officeDocument/2006/relationships/hyperlink" Target="https://youtu.be/IN-SiMjZ2g4?t=7738" TargetMode="External"/><Relationship Id="rId303" Type="http://schemas.openxmlformats.org/officeDocument/2006/relationships/hyperlink" Target="https://youtu.be/hConAmIC6gc?t=7899" TargetMode="External"/><Relationship Id="rId302" Type="http://schemas.openxmlformats.org/officeDocument/2006/relationships/hyperlink" Target="https://youtu.be/IN-SiMjZ2g4?t=6898" TargetMode="External"/><Relationship Id="rId301" Type="http://schemas.openxmlformats.org/officeDocument/2006/relationships/hyperlink" Target="https://youtu.be/hConAmIC6gc?t=7116" TargetMode="External"/><Relationship Id="rId300" Type="http://schemas.openxmlformats.org/officeDocument/2006/relationships/hyperlink" Target="https://youtu.be/IN-SiMjZ2g4?t=6060" TargetMode="External"/><Relationship Id="rId206" Type="http://schemas.openxmlformats.org/officeDocument/2006/relationships/hyperlink" Target="https://youtu.be/ROMtw-qrK9k" TargetMode="External"/><Relationship Id="rId205" Type="http://schemas.openxmlformats.org/officeDocument/2006/relationships/hyperlink" Target="https://youtu.be/28gBfY5BiFQ" TargetMode="External"/><Relationship Id="rId204" Type="http://schemas.openxmlformats.org/officeDocument/2006/relationships/hyperlink" Target="https://youtu.be/kQV4oW6m0FQ?t=8551" TargetMode="External"/><Relationship Id="rId203" Type="http://schemas.openxmlformats.org/officeDocument/2006/relationships/hyperlink" Target="https://youtu.be/gjh3WhaJAZg?t=8742" TargetMode="External"/><Relationship Id="rId209" Type="http://schemas.openxmlformats.org/officeDocument/2006/relationships/hyperlink" Target="https://youtu.be/28gBfY5BiFQ?t=1897" TargetMode="External"/><Relationship Id="rId208" Type="http://schemas.openxmlformats.org/officeDocument/2006/relationships/hyperlink" Target="https://youtu.be/ROMtw-qrK9k?t=1068" TargetMode="External"/><Relationship Id="rId207" Type="http://schemas.openxmlformats.org/officeDocument/2006/relationships/hyperlink" Target="https://youtu.be/28gBfY5BiFQ?t=934" TargetMode="External"/><Relationship Id="rId202" Type="http://schemas.openxmlformats.org/officeDocument/2006/relationships/hyperlink" Target="https://youtu.be/kQV4oW6m0FQ?t=7643" TargetMode="External"/><Relationship Id="rId201" Type="http://schemas.openxmlformats.org/officeDocument/2006/relationships/hyperlink" Target="https://youtu.be/gjh3WhaJAZg?t=7767" TargetMode="External"/><Relationship Id="rId200" Type="http://schemas.openxmlformats.org/officeDocument/2006/relationships/hyperlink" Target="https://youtu.be/kQV4oW6m0FQ?t=6679" TargetMode="External"/></Relationships>
</file>

<file path=xl/worksheets/_rels/sheet1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fctbtICOu4?t=8694" TargetMode="External"/><Relationship Id="rId190" Type="http://schemas.openxmlformats.org/officeDocument/2006/relationships/hyperlink" Target="https://youtu.be/NlVsYG_ZlAU?t=4720" TargetMode="External"/><Relationship Id="rId42" Type="http://schemas.openxmlformats.org/officeDocument/2006/relationships/hyperlink" Target="https://youtu.be/RKRbDRme2_M" TargetMode="External"/><Relationship Id="rId41" Type="http://schemas.openxmlformats.org/officeDocument/2006/relationships/hyperlink" Target="https://youtu.be/k8ZCxFbDjGk" TargetMode="External"/><Relationship Id="rId44" Type="http://schemas.openxmlformats.org/officeDocument/2006/relationships/hyperlink" Target="https://youtu.be/RKRbDRme2_M?t=909" TargetMode="External"/><Relationship Id="rId194" Type="http://schemas.openxmlformats.org/officeDocument/2006/relationships/hyperlink" Target="https://youtu.be/NlVsYG_ZlAU?t=6458" TargetMode="External"/><Relationship Id="rId43" Type="http://schemas.openxmlformats.org/officeDocument/2006/relationships/hyperlink" Target="https://youtu.be/k8ZCxFbDjGk?t=906" TargetMode="External"/><Relationship Id="rId193" Type="http://schemas.openxmlformats.org/officeDocument/2006/relationships/hyperlink" Target="https://youtu.be/eIKE8ZEVhbE?t=5611" TargetMode="External"/><Relationship Id="rId46" Type="http://schemas.openxmlformats.org/officeDocument/2006/relationships/hyperlink" Target="https://youtu.be/RKRbDRme2_M?t=1823" TargetMode="External"/><Relationship Id="rId192" Type="http://schemas.openxmlformats.org/officeDocument/2006/relationships/hyperlink" Target="https://youtu.be/NlVsYG_ZlAU?t=5538" TargetMode="External"/><Relationship Id="rId45" Type="http://schemas.openxmlformats.org/officeDocument/2006/relationships/hyperlink" Target="https://youtu.be/k8ZCxFbDjGk?t=1780" TargetMode="External"/><Relationship Id="rId191" Type="http://schemas.openxmlformats.org/officeDocument/2006/relationships/hyperlink" Target="https://youtu.be/eIKE8ZEVhbE?t=4683" TargetMode="External"/><Relationship Id="rId48" Type="http://schemas.openxmlformats.org/officeDocument/2006/relationships/hyperlink" Target="https://youtu.be/RKRbDRme2_M?t=2722" TargetMode="External"/><Relationship Id="rId187" Type="http://schemas.openxmlformats.org/officeDocument/2006/relationships/hyperlink" Target="https://youtu.be/eIKE8ZEVhbE?t=2875" TargetMode="External"/><Relationship Id="rId47" Type="http://schemas.openxmlformats.org/officeDocument/2006/relationships/hyperlink" Target="https://youtu.be/k8ZCxFbDjGk?t=2596" TargetMode="External"/><Relationship Id="rId186" Type="http://schemas.openxmlformats.org/officeDocument/2006/relationships/hyperlink" Target="https://youtu.be/NlVsYG_ZlAU?t=2933%D1%81" TargetMode="External"/><Relationship Id="rId185" Type="http://schemas.openxmlformats.org/officeDocument/2006/relationships/hyperlink" Target="https://youtu.be/eIKE8ZEVhbE?t=1949" TargetMode="External"/><Relationship Id="rId49" Type="http://schemas.openxmlformats.org/officeDocument/2006/relationships/hyperlink" Target="https://youtu.be/k8ZCxFbDjGk?t=3421" TargetMode="External"/><Relationship Id="rId184" Type="http://schemas.openxmlformats.org/officeDocument/2006/relationships/hyperlink" Target="https://youtu.be/NlVsYG_ZlAU?t=2018" TargetMode="External"/><Relationship Id="rId189" Type="http://schemas.openxmlformats.org/officeDocument/2006/relationships/hyperlink" Target="https://youtu.be/eIKE8ZEVhbE?t=3858" TargetMode="External"/><Relationship Id="rId188" Type="http://schemas.openxmlformats.org/officeDocument/2006/relationships/hyperlink" Target="https://youtu.be/NlVsYG_ZlAU?t=3843" TargetMode="External"/><Relationship Id="rId31" Type="http://schemas.openxmlformats.org/officeDocument/2006/relationships/hyperlink" Target="https://youtu.be/LCeSCvNl6ko?t=4798" TargetMode="External"/><Relationship Id="rId30" Type="http://schemas.openxmlformats.org/officeDocument/2006/relationships/hyperlink" Target="https://youtu.be/yfctbtICOu4?t=3912" TargetMode="External"/><Relationship Id="rId33" Type="http://schemas.openxmlformats.org/officeDocument/2006/relationships/hyperlink" Target="https://youtu.be/LCeSCvNl6ko?t=5739" TargetMode="External"/><Relationship Id="rId183" Type="http://schemas.openxmlformats.org/officeDocument/2006/relationships/hyperlink" Target="https://youtu.be/eIKE8ZEVhbE?t=1068" TargetMode="External"/><Relationship Id="rId32" Type="http://schemas.openxmlformats.org/officeDocument/2006/relationships/hyperlink" Target="https://youtu.be/yfctbtICOu4?t=4894" TargetMode="External"/><Relationship Id="rId182" Type="http://schemas.openxmlformats.org/officeDocument/2006/relationships/hyperlink" Target="https://youtu.be/NlVsYG_ZlAU?t=1160" TargetMode="External"/><Relationship Id="rId35" Type="http://schemas.openxmlformats.org/officeDocument/2006/relationships/hyperlink" Target="https://youtu.be/LCeSCvNl6ko?t=6745" TargetMode="External"/><Relationship Id="rId181" Type="http://schemas.openxmlformats.org/officeDocument/2006/relationships/hyperlink" Target="https://youtu.be/eIKE8ZEVhbE" TargetMode="External"/><Relationship Id="rId34" Type="http://schemas.openxmlformats.org/officeDocument/2006/relationships/hyperlink" Target="https://youtu.be/yfctbtICOu4?t=5819" TargetMode="External"/><Relationship Id="rId180" Type="http://schemas.openxmlformats.org/officeDocument/2006/relationships/hyperlink" Target="https://youtu.be/NlVsYG_ZlAU" TargetMode="External"/><Relationship Id="rId37" Type="http://schemas.openxmlformats.org/officeDocument/2006/relationships/hyperlink" Target="https://youtu.be/LCeSCvNl6ko?t=7665" TargetMode="External"/><Relationship Id="rId176" Type="http://schemas.openxmlformats.org/officeDocument/2006/relationships/hyperlink" Target="https://youtu.be/zPIFNuf-B2A?t=6992" TargetMode="External"/><Relationship Id="rId297" Type="http://schemas.openxmlformats.org/officeDocument/2006/relationships/hyperlink" Target="https://youtu.be/Il6u4JV-i0w?t=7770" TargetMode="External"/><Relationship Id="rId36" Type="http://schemas.openxmlformats.org/officeDocument/2006/relationships/hyperlink" Target="https://youtu.be/yfctbtICOu4?t=6768" TargetMode="External"/><Relationship Id="rId175" Type="http://schemas.openxmlformats.org/officeDocument/2006/relationships/hyperlink" Target="https://youtu.be/A_MpPCruSsI?t=6057" TargetMode="External"/><Relationship Id="rId296" Type="http://schemas.openxmlformats.org/officeDocument/2006/relationships/hyperlink" Target="https://youtu.be/MrnKQ3h5E5U?t=7663" TargetMode="External"/><Relationship Id="rId39" Type="http://schemas.openxmlformats.org/officeDocument/2006/relationships/hyperlink" Target="https://youtu.be/LCeSCvNl6ko?t=8654" TargetMode="External"/><Relationship Id="rId174" Type="http://schemas.openxmlformats.org/officeDocument/2006/relationships/hyperlink" Target="https://youtu.be/zPIFNuf-B2A?t=6093" TargetMode="External"/><Relationship Id="rId295" Type="http://schemas.openxmlformats.org/officeDocument/2006/relationships/hyperlink" Target="https://youtu.be/Il6u4JV-i0w?t=6821" TargetMode="External"/><Relationship Id="rId38" Type="http://schemas.openxmlformats.org/officeDocument/2006/relationships/hyperlink" Target="https://youtu.be/yfctbtICOu4?t=7742" TargetMode="External"/><Relationship Id="rId173" Type="http://schemas.openxmlformats.org/officeDocument/2006/relationships/hyperlink" Target="https://youtu.be/A_MpPCruSsI?t=5185" TargetMode="External"/><Relationship Id="rId294" Type="http://schemas.openxmlformats.org/officeDocument/2006/relationships/hyperlink" Target="https://youtu.be/MrnKQ3h5E5U?t=6775" TargetMode="External"/><Relationship Id="rId179" Type="http://schemas.openxmlformats.org/officeDocument/2006/relationships/hyperlink" Target="https://youtu.be/A_MpPCruSsI?t=7747" TargetMode="External"/><Relationship Id="rId178" Type="http://schemas.openxmlformats.org/officeDocument/2006/relationships/hyperlink" Target="https://youtu.be/zPIFNuf-B2A?t=7853" TargetMode="External"/><Relationship Id="rId299" Type="http://schemas.openxmlformats.org/officeDocument/2006/relationships/hyperlink" Target="https://youtu.be/Il6u4JV-i0w?t=8726" TargetMode="External"/><Relationship Id="rId177" Type="http://schemas.openxmlformats.org/officeDocument/2006/relationships/hyperlink" Target="https://youtu.be/A_MpPCruSsI?t=6866" TargetMode="External"/><Relationship Id="rId298" Type="http://schemas.openxmlformats.org/officeDocument/2006/relationships/hyperlink" Target="https://youtu.be/MrnKQ3h5E5U?t=8570" TargetMode="External"/><Relationship Id="rId20" Type="http://schemas.openxmlformats.org/officeDocument/2006/relationships/hyperlink" Target="https://youtu.be/2spzbhkg2ZM?t=7562" TargetMode="External"/><Relationship Id="rId22" Type="http://schemas.openxmlformats.org/officeDocument/2006/relationships/hyperlink" Target="https://youtu.be/yfctbtICOu4" TargetMode="External"/><Relationship Id="rId21" Type="http://schemas.openxmlformats.org/officeDocument/2006/relationships/hyperlink" Target="https://youtu.be/LCeSCvNl6ko" TargetMode="External"/><Relationship Id="rId24" Type="http://schemas.openxmlformats.org/officeDocument/2006/relationships/hyperlink" Target="https://youtu.be/yfctbtICOu4?t=1015" TargetMode="External"/><Relationship Id="rId23" Type="http://schemas.openxmlformats.org/officeDocument/2006/relationships/hyperlink" Target="https://youtu.be/LCeSCvNl6ko?t=964" TargetMode="External"/><Relationship Id="rId26" Type="http://schemas.openxmlformats.org/officeDocument/2006/relationships/hyperlink" Target="https://youtu.be/yfctbtICOu4?t=1996" TargetMode="External"/><Relationship Id="rId25" Type="http://schemas.openxmlformats.org/officeDocument/2006/relationships/hyperlink" Target="https://youtu.be/LCeSCvNl6ko?t=1934" TargetMode="External"/><Relationship Id="rId28" Type="http://schemas.openxmlformats.org/officeDocument/2006/relationships/hyperlink" Target="https://youtu.be/yfctbtICOu4?t=2954" TargetMode="External"/><Relationship Id="rId27" Type="http://schemas.openxmlformats.org/officeDocument/2006/relationships/hyperlink" Target="https://youtu.be/LCeSCvNl6ko?t=2876" TargetMode="External"/><Relationship Id="rId29" Type="http://schemas.openxmlformats.org/officeDocument/2006/relationships/hyperlink" Target="https://youtu.be/LCeSCvNl6ko?t=3824" TargetMode="External"/><Relationship Id="rId11" Type="http://schemas.openxmlformats.org/officeDocument/2006/relationships/hyperlink" Target="https://youtu.be/MrpjISdv1_w?t=4238" TargetMode="External"/><Relationship Id="rId10" Type="http://schemas.openxmlformats.org/officeDocument/2006/relationships/hyperlink" Target="https://youtu.be/2spzbhkg2ZM?t=3480" TargetMode="External"/><Relationship Id="rId13" Type="http://schemas.openxmlformats.org/officeDocument/2006/relationships/hyperlink" Target="https://youtu.be/MrpjISdv1_w?t=5124" TargetMode="External"/><Relationship Id="rId12" Type="http://schemas.openxmlformats.org/officeDocument/2006/relationships/hyperlink" Target="https://youtu.be/2spzbhkg2ZM?t=4269" TargetMode="External"/><Relationship Id="rId15" Type="http://schemas.openxmlformats.org/officeDocument/2006/relationships/hyperlink" Target="https://youtu.be/MrpjISdv1_w?t=5940" TargetMode="External"/><Relationship Id="rId198" Type="http://schemas.openxmlformats.org/officeDocument/2006/relationships/hyperlink" Target="https://youtu.be/NlVsYG_ZlAU?t=8245" TargetMode="External"/><Relationship Id="rId14" Type="http://schemas.openxmlformats.org/officeDocument/2006/relationships/hyperlink" Target="https://youtu.be/2spzbhkg2ZM?t=5085" TargetMode="External"/><Relationship Id="rId197" Type="http://schemas.openxmlformats.org/officeDocument/2006/relationships/hyperlink" Target="https://youtu.be/eIKE8ZEVhbE?t=7511" TargetMode="External"/><Relationship Id="rId17" Type="http://schemas.openxmlformats.org/officeDocument/2006/relationships/hyperlink" Target="https://youtu.be/MrpjISdv1_w?t=6760" TargetMode="External"/><Relationship Id="rId196" Type="http://schemas.openxmlformats.org/officeDocument/2006/relationships/hyperlink" Target="https://youtu.be/NlVsYG_ZlAU?t=7340" TargetMode="External"/><Relationship Id="rId16" Type="http://schemas.openxmlformats.org/officeDocument/2006/relationships/hyperlink" Target="https://youtu.be/2spzbhkg2ZM?t=5901" TargetMode="External"/><Relationship Id="rId195" Type="http://schemas.openxmlformats.org/officeDocument/2006/relationships/hyperlink" Target="https://youtu.be/eIKE8ZEVhbE?t=6441" TargetMode="External"/><Relationship Id="rId19" Type="http://schemas.openxmlformats.org/officeDocument/2006/relationships/hyperlink" Target="https://youtu.be/MrpjISdv1_w?t=7593" TargetMode="External"/><Relationship Id="rId18" Type="http://schemas.openxmlformats.org/officeDocument/2006/relationships/hyperlink" Target="https://youtu.be/2spzbhkg2ZM?t=6741" TargetMode="External"/><Relationship Id="rId199" Type="http://schemas.openxmlformats.org/officeDocument/2006/relationships/hyperlink" Target="https://youtu.be/eIKE8ZEVhbE?t=8283" TargetMode="External"/><Relationship Id="rId84" Type="http://schemas.openxmlformats.org/officeDocument/2006/relationships/hyperlink" Target="https://youtu.be/n7f7BNk1B-w?t=963" TargetMode="External"/><Relationship Id="rId83" Type="http://schemas.openxmlformats.org/officeDocument/2006/relationships/hyperlink" Target="https://youtu.be/DTxcaxLO8Hw?t=1035" TargetMode="External"/><Relationship Id="rId86" Type="http://schemas.openxmlformats.org/officeDocument/2006/relationships/hyperlink" Target="https://youtu.be/n7f7BNk1B-w?t=1894" TargetMode="External"/><Relationship Id="rId85" Type="http://schemas.openxmlformats.org/officeDocument/2006/relationships/hyperlink" Target="https://youtu.be/DTxcaxLO8Hw?t=1980" TargetMode="External"/><Relationship Id="rId88" Type="http://schemas.openxmlformats.org/officeDocument/2006/relationships/hyperlink" Target="https://youtu.be/n7f7BNk1B-w?t=2726" TargetMode="External"/><Relationship Id="rId150" Type="http://schemas.openxmlformats.org/officeDocument/2006/relationships/hyperlink" Target="https://youtu.be/0zVXFdOsnL4?t=4902" TargetMode="External"/><Relationship Id="rId271" Type="http://schemas.openxmlformats.org/officeDocument/2006/relationships/hyperlink" Target="https://youtu.be/zWk6Iw9i158?t=4368" TargetMode="External"/><Relationship Id="rId87" Type="http://schemas.openxmlformats.org/officeDocument/2006/relationships/hyperlink" Target="https://youtu.be/DTxcaxLO8Hw?t=2893" TargetMode="External"/><Relationship Id="rId270" Type="http://schemas.openxmlformats.org/officeDocument/2006/relationships/hyperlink" Target="https://youtu.be/p1-l-HSMVtg?t=4397" TargetMode="External"/><Relationship Id="rId89" Type="http://schemas.openxmlformats.org/officeDocument/2006/relationships/hyperlink" Target="https://youtu.be/DTxcaxLO8Hw?t=3795" TargetMode="External"/><Relationship Id="rId80" Type="http://schemas.openxmlformats.org/officeDocument/2006/relationships/hyperlink" Target="https://youtu.be/EdO0XsFnpvI?t=8679" TargetMode="External"/><Relationship Id="rId82" Type="http://schemas.openxmlformats.org/officeDocument/2006/relationships/hyperlink" Target="https://youtu.be/n7f7BNk1B-w" TargetMode="External"/><Relationship Id="rId81" Type="http://schemas.openxmlformats.org/officeDocument/2006/relationships/hyperlink" Target="https://youtu.be/DTxcaxLO8Hw" TargetMode="External"/><Relationship Id="rId1" Type="http://schemas.openxmlformats.org/officeDocument/2006/relationships/hyperlink" Target="https://youtu.be/MrpjISdv1_w" TargetMode="External"/><Relationship Id="rId2" Type="http://schemas.openxmlformats.org/officeDocument/2006/relationships/hyperlink" Target="https://youtu.be/2spzbhkg2ZM" TargetMode="External"/><Relationship Id="rId3" Type="http://schemas.openxmlformats.org/officeDocument/2006/relationships/hyperlink" Target="https://youtu.be/MrpjISdv1_w?t=894" TargetMode="External"/><Relationship Id="rId149" Type="http://schemas.openxmlformats.org/officeDocument/2006/relationships/hyperlink" Target="https://youtu.be/GU9phi243Oc?t=3660" TargetMode="External"/><Relationship Id="rId4" Type="http://schemas.openxmlformats.org/officeDocument/2006/relationships/hyperlink" Target="https://youtu.be/2spzbhkg2ZM?t=864" TargetMode="External"/><Relationship Id="rId148" Type="http://schemas.openxmlformats.org/officeDocument/2006/relationships/hyperlink" Target="https://youtu.be/0zVXFdOsnL4?t=3824" TargetMode="External"/><Relationship Id="rId269" Type="http://schemas.openxmlformats.org/officeDocument/2006/relationships/hyperlink" Target="https://youtu.be/zWk6Iw9i158?t=3554" TargetMode="External"/><Relationship Id="rId9" Type="http://schemas.openxmlformats.org/officeDocument/2006/relationships/hyperlink" Target="https://youtu.be/MrpjISdv1_w?t=3404" TargetMode="External"/><Relationship Id="rId143" Type="http://schemas.openxmlformats.org/officeDocument/2006/relationships/hyperlink" Target="https://youtu.be/GU9phi243Oc?t=890" TargetMode="External"/><Relationship Id="rId264" Type="http://schemas.openxmlformats.org/officeDocument/2006/relationships/hyperlink" Target="https://youtu.be/p1-l-HSMVtg?t=1833" TargetMode="External"/><Relationship Id="rId142" Type="http://schemas.openxmlformats.org/officeDocument/2006/relationships/hyperlink" Target="https://youtu.be/0zVXFdOsnL4?t=989" TargetMode="External"/><Relationship Id="rId263" Type="http://schemas.openxmlformats.org/officeDocument/2006/relationships/hyperlink" Target="https://youtu.be/zWk6Iw9i158?t=950" TargetMode="External"/><Relationship Id="rId141" Type="http://schemas.openxmlformats.org/officeDocument/2006/relationships/hyperlink" Target="https://youtu.be/GU9phi243Oc" TargetMode="External"/><Relationship Id="rId262" Type="http://schemas.openxmlformats.org/officeDocument/2006/relationships/hyperlink" Target="https://youtu.be/p1-l-HSMVtg?t=968" TargetMode="External"/><Relationship Id="rId140" Type="http://schemas.openxmlformats.org/officeDocument/2006/relationships/hyperlink" Target="https://youtu.be/0zVXFdOsnL4" TargetMode="External"/><Relationship Id="rId261" Type="http://schemas.openxmlformats.org/officeDocument/2006/relationships/hyperlink" Target="https://youtu.be/zWk6Iw9i158" TargetMode="External"/><Relationship Id="rId5" Type="http://schemas.openxmlformats.org/officeDocument/2006/relationships/hyperlink" Target="https://youtu.be/MrpjISdv1_w?t=1737" TargetMode="External"/><Relationship Id="rId147" Type="http://schemas.openxmlformats.org/officeDocument/2006/relationships/hyperlink" Target="https://youtu.be/GU9phi243Oc?t=2774" TargetMode="External"/><Relationship Id="rId268" Type="http://schemas.openxmlformats.org/officeDocument/2006/relationships/hyperlink" Target="https://youtu.be/p1-l-HSMVtg?t=3504" TargetMode="External"/><Relationship Id="rId6" Type="http://schemas.openxmlformats.org/officeDocument/2006/relationships/hyperlink" Target="https://youtu.be/2spzbhkg2ZM?t=1699" TargetMode="External"/><Relationship Id="rId146" Type="http://schemas.openxmlformats.org/officeDocument/2006/relationships/hyperlink" Target="https://youtu.be/0zVXFdOsnL4?t=2918" TargetMode="External"/><Relationship Id="rId267" Type="http://schemas.openxmlformats.org/officeDocument/2006/relationships/hyperlink" Target="https://youtu.be/zWk6Iw9i158?t=2700" TargetMode="External"/><Relationship Id="rId7" Type="http://schemas.openxmlformats.org/officeDocument/2006/relationships/hyperlink" Target="https://youtu.be/MrpjISdv1_w?t=2601" TargetMode="External"/><Relationship Id="rId145" Type="http://schemas.openxmlformats.org/officeDocument/2006/relationships/hyperlink" Target="https://youtu.be/GU9phi243Oc?t=1862" TargetMode="External"/><Relationship Id="rId266" Type="http://schemas.openxmlformats.org/officeDocument/2006/relationships/hyperlink" Target="https://youtu.be/p1-l-HSMVtg?t=2652" TargetMode="External"/><Relationship Id="rId8" Type="http://schemas.openxmlformats.org/officeDocument/2006/relationships/hyperlink" Target="https://youtu.be/2spzbhkg2ZM?t=2586" TargetMode="External"/><Relationship Id="rId144" Type="http://schemas.openxmlformats.org/officeDocument/2006/relationships/hyperlink" Target="https://youtu.be/0zVXFdOsnL4?t=1989" TargetMode="External"/><Relationship Id="rId265" Type="http://schemas.openxmlformats.org/officeDocument/2006/relationships/hyperlink" Target="https://youtu.be/zWk6Iw9i158?t=1856" TargetMode="External"/><Relationship Id="rId73" Type="http://schemas.openxmlformats.org/officeDocument/2006/relationships/hyperlink" Target="https://youtu.be/hZvFxmSEvYw?t=5715" TargetMode="External"/><Relationship Id="rId72" Type="http://schemas.openxmlformats.org/officeDocument/2006/relationships/hyperlink" Target="https://youtu.be/EdO0XsFnpvI?t=4903" TargetMode="External"/><Relationship Id="rId75" Type="http://schemas.openxmlformats.org/officeDocument/2006/relationships/hyperlink" Target="https://youtu.be/hZvFxmSEvYw?t=6738" TargetMode="External"/><Relationship Id="rId74" Type="http://schemas.openxmlformats.org/officeDocument/2006/relationships/hyperlink" Target="https://youtu.be/EdO0XsFnpvI?t=5864" TargetMode="External"/><Relationship Id="rId77" Type="http://schemas.openxmlformats.org/officeDocument/2006/relationships/hyperlink" Target="https://youtu.be/hZvFxmSEvYw?t=7714" TargetMode="External"/><Relationship Id="rId260" Type="http://schemas.openxmlformats.org/officeDocument/2006/relationships/hyperlink" Target="https://youtu.be/p1-l-HSMVtg" TargetMode="External"/><Relationship Id="rId76" Type="http://schemas.openxmlformats.org/officeDocument/2006/relationships/hyperlink" Target="https://youtu.be/EdO0XsFnpvI?t=6847" TargetMode="External"/><Relationship Id="rId79" Type="http://schemas.openxmlformats.org/officeDocument/2006/relationships/hyperlink" Target="https://youtu.be/hZvFxmSEvYw?t=8638" TargetMode="External"/><Relationship Id="rId78" Type="http://schemas.openxmlformats.org/officeDocument/2006/relationships/hyperlink" Target="https://youtu.be/EdO0XsFnpvI?t=7793" TargetMode="External"/><Relationship Id="rId71" Type="http://schemas.openxmlformats.org/officeDocument/2006/relationships/hyperlink" Target="https://youtu.be/hZvFxmSEvYw?t=4776" TargetMode="External"/><Relationship Id="rId70" Type="http://schemas.openxmlformats.org/officeDocument/2006/relationships/hyperlink" Target="https://youtu.be/EdO0XsFnpvI?t=3967" TargetMode="External"/><Relationship Id="rId139" Type="http://schemas.openxmlformats.org/officeDocument/2006/relationships/hyperlink" Target="https://youtu.be/0sWZ3jeSF2g?t=6774" TargetMode="External"/><Relationship Id="rId138" Type="http://schemas.openxmlformats.org/officeDocument/2006/relationships/hyperlink" Target="https://youtu.be/MeJxnMzzYEU?t=7595" TargetMode="External"/><Relationship Id="rId259" Type="http://schemas.openxmlformats.org/officeDocument/2006/relationships/hyperlink" Target="https://youtu.be/4ZJHbmGNx7U?t=7966" TargetMode="External"/><Relationship Id="rId137" Type="http://schemas.openxmlformats.org/officeDocument/2006/relationships/hyperlink" Target="https://youtu.be/0sWZ3jeSF2g?t=5848" TargetMode="External"/><Relationship Id="rId258" Type="http://schemas.openxmlformats.org/officeDocument/2006/relationships/hyperlink" Target="https://youtu.be/Jb2MkWLYdqo?t=7949" TargetMode="External"/><Relationship Id="rId132" Type="http://schemas.openxmlformats.org/officeDocument/2006/relationships/hyperlink" Target="https://youtu.be/MeJxnMzzYEU?t=4847" TargetMode="External"/><Relationship Id="rId253" Type="http://schemas.openxmlformats.org/officeDocument/2006/relationships/hyperlink" Target="https://youtu.be/4ZJHbmGNx7U?t=5311" TargetMode="External"/><Relationship Id="rId131" Type="http://schemas.openxmlformats.org/officeDocument/2006/relationships/hyperlink" Target="https://youtu.be/0sWZ3jeSF2g?t=3145" TargetMode="External"/><Relationship Id="rId252" Type="http://schemas.openxmlformats.org/officeDocument/2006/relationships/hyperlink" Target="https://youtu.be/Jb2MkWLYdqo?t=5340" TargetMode="External"/><Relationship Id="rId130" Type="http://schemas.openxmlformats.org/officeDocument/2006/relationships/hyperlink" Target="https://youtu.be/MeJxnMzzYEU?t=3926" TargetMode="External"/><Relationship Id="rId251" Type="http://schemas.openxmlformats.org/officeDocument/2006/relationships/hyperlink" Target="https://youtu.be/4ZJHbmGNx7U?t=4492" TargetMode="External"/><Relationship Id="rId250" Type="http://schemas.openxmlformats.org/officeDocument/2006/relationships/hyperlink" Target="https://youtu.be/Jb2MkWLYdqo?t=4473" TargetMode="External"/><Relationship Id="rId136" Type="http://schemas.openxmlformats.org/officeDocument/2006/relationships/hyperlink" Target="https://youtu.be/MeJxnMzzYEU?t=6607" TargetMode="External"/><Relationship Id="rId257" Type="http://schemas.openxmlformats.org/officeDocument/2006/relationships/hyperlink" Target="https://youtu.be/4ZJHbmGNx7U?t=7063" TargetMode="External"/><Relationship Id="rId135" Type="http://schemas.openxmlformats.org/officeDocument/2006/relationships/hyperlink" Target="https://youtu.be/0sWZ3jeSF2g?t=5004" TargetMode="External"/><Relationship Id="rId256" Type="http://schemas.openxmlformats.org/officeDocument/2006/relationships/hyperlink" Target="https://youtu.be/Jb2MkWLYdqo?t=7050" TargetMode="External"/><Relationship Id="rId134" Type="http://schemas.openxmlformats.org/officeDocument/2006/relationships/hyperlink" Target="https://youtu.be/MeJxnMzzYEU?t=5767" TargetMode="External"/><Relationship Id="rId255" Type="http://schemas.openxmlformats.org/officeDocument/2006/relationships/hyperlink" Target="https://youtu.be/4ZJHbmGNx7U?t=6241" TargetMode="External"/><Relationship Id="rId133" Type="http://schemas.openxmlformats.org/officeDocument/2006/relationships/hyperlink" Target="https://youtu.be/0sWZ3jeSF2g?t=4126" TargetMode="External"/><Relationship Id="rId254" Type="http://schemas.openxmlformats.org/officeDocument/2006/relationships/hyperlink" Target="https://youtu.be/Jb2MkWLYdqo?t=6206" TargetMode="External"/><Relationship Id="rId62" Type="http://schemas.openxmlformats.org/officeDocument/2006/relationships/hyperlink" Target="https://youtu.be/EdO0XsFnpvI" TargetMode="External"/><Relationship Id="rId61" Type="http://schemas.openxmlformats.org/officeDocument/2006/relationships/hyperlink" Target="https://youtu.be/hZvFxmSEvYw" TargetMode="External"/><Relationship Id="rId64" Type="http://schemas.openxmlformats.org/officeDocument/2006/relationships/hyperlink" Target="https://youtu.be/EdO0XsFnpvI?t=1085" TargetMode="External"/><Relationship Id="rId63" Type="http://schemas.openxmlformats.org/officeDocument/2006/relationships/hyperlink" Target="https://youtu.be/hZvFxmSEvYw?t=972" TargetMode="External"/><Relationship Id="rId66" Type="http://schemas.openxmlformats.org/officeDocument/2006/relationships/hyperlink" Target="https://youtu.be/EdO0XsFnpvI?t=2024" TargetMode="External"/><Relationship Id="rId172" Type="http://schemas.openxmlformats.org/officeDocument/2006/relationships/hyperlink" Target="https://youtu.be/zPIFNuf-B2A?t=5213" TargetMode="External"/><Relationship Id="rId293" Type="http://schemas.openxmlformats.org/officeDocument/2006/relationships/hyperlink" Target="https://youtu.be/Il6u4JV-i0w?t=5866" TargetMode="External"/><Relationship Id="rId65" Type="http://schemas.openxmlformats.org/officeDocument/2006/relationships/hyperlink" Target="https://youtu.be/hZvFxmSEvYw?t=1914" TargetMode="External"/><Relationship Id="rId171" Type="http://schemas.openxmlformats.org/officeDocument/2006/relationships/hyperlink" Target="https://youtu.be/A_MpPCruSsI?t=4356" TargetMode="External"/><Relationship Id="rId292" Type="http://schemas.openxmlformats.org/officeDocument/2006/relationships/hyperlink" Target="https://youtu.be/MrnKQ3h5E5U?t=5848" TargetMode="External"/><Relationship Id="rId68" Type="http://schemas.openxmlformats.org/officeDocument/2006/relationships/hyperlink" Target="https://youtu.be/EdO0XsFnpvI?t=2984" TargetMode="External"/><Relationship Id="rId170" Type="http://schemas.openxmlformats.org/officeDocument/2006/relationships/hyperlink" Target="https://youtu.be/zPIFNuf-B2A?t=4373" TargetMode="External"/><Relationship Id="rId291" Type="http://schemas.openxmlformats.org/officeDocument/2006/relationships/hyperlink" Target="https://youtu.be/Il6u4JV-i0w?t=4906" TargetMode="External"/><Relationship Id="rId67" Type="http://schemas.openxmlformats.org/officeDocument/2006/relationships/hyperlink" Target="https://youtu.be/hZvFxmSEvYw?t=2854" TargetMode="External"/><Relationship Id="rId290" Type="http://schemas.openxmlformats.org/officeDocument/2006/relationships/hyperlink" Target="https://youtu.be/MrnKQ3h5E5U?t=4831" TargetMode="External"/><Relationship Id="rId60" Type="http://schemas.openxmlformats.org/officeDocument/2006/relationships/hyperlink" Target="https://youtu.be/RKRbDRme2_M?t=7742" TargetMode="External"/><Relationship Id="rId165" Type="http://schemas.openxmlformats.org/officeDocument/2006/relationships/hyperlink" Target="https://youtu.be/A_MpPCruSsI?t=1732" TargetMode="External"/><Relationship Id="rId286" Type="http://schemas.openxmlformats.org/officeDocument/2006/relationships/hyperlink" Target="https://youtu.be/MrnKQ3h5E5U?t=2927" TargetMode="External"/><Relationship Id="rId69" Type="http://schemas.openxmlformats.org/officeDocument/2006/relationships/hyperlink" Target="https://youtu.be/hZvFxmSEvYw?t=3802" TargetMode="External"/><Relationship Id="rId164" Type="http://schemas.openxmlformats.org/officeDocument/2006/relationships/hyperlink" Target="https://youtu.be/zPIFNuf-B2A?t=1760" TargetMode="External"/><Relationship Id="rId285" Type="http://schemas.openxmlformats.org/officeDocument/2006/relationships/hyperlink" Target="https://youtu.be/Il6u4JV-i0w?t=2006" TargetMode="External"/><Relationship Id="rId163" Type="http://schemas.openxmlformats.org/officeDocument/2006/relationships/hyperlink" Target="https://youtu.be/A_MpPCruSsI?t=912" TargetMode="External"/><Relationship Id="rId284" Type="http://schemas.openxmlformats.org/officeDocument/2006/relationships/hyperlink" Target="https://youtu.be/MrnKQ3h5E5U?t=1968" TargetMode="External"/><Relationship Id="rId162" Type="http://schemas.openxmlformats.org/officeDocument/2006/relationships/hyperlink" Target="https://youtu.be/zPIFNuf-B2A?t=912" TargetMode="External"/><Relationship Id="rId283" Type="http://schemas.openxmlformats.org/officeDocument/2006/relationships/hyperlink" Target="https://youtu.be/Il6u4JV-i0w?t=1044" TargetMode="External"/><Relationship Id="rId169" Type="http://schemas.openxmlformats.org/officeDocument/2006/relationships/hyperlink" Target="https://youtu.be/A_MpPCruSsI?t=3513" TargetMode="External"/><Relationship Id="rId168" Type="http://schemas.openxmlformats.org/officeDocument/2006/relationships/hyperlink" Target="https://youtu.be/zPIFNuf-B2A?t=3503" TargetMode="External"/><Relationship Id="rId289" Type="http://schemas.openxmlformats.org/officeDocument/2006/relationships/hyperlink" Target="https://youtu.be/Il6u4JV-i0w?t=3941" TargetMode="External"/><Relationship Id="rId167" Type="http://schemas.openxmlformats.org/officeDocument/2006/relationships/hyperlink" Target="https://youtu.be/A_MpPCruSsI?t=2675" TargetMode="External"/><Relationship Id="rId288" Type="http://schemas.openxmlformats.org/officeDocument/2006/relationships/hyperlink" Target="https://youtu.be/MrnKQ3h5E5U?t=3887" TargetMode="External"/><Relationship Id="rId166" Type="http://schemas.openxmlformats.org/officeDocument/2006/relationships/hyperlink" Target="https://youtu.be/zPIFNuf-B2A?t=2595" TargetMode="External"/><Relationship Id="rId287" Type="http://schemas.openxmlformats.org/officeDocument/2006/relationships/hyperlink" Target="https://youtu.be/Il6u4JV-i0w?t=3015" TargetMode="External"/><Relationship Id="rId51" Type="http://schemas.openxmlformats.org/officeDocument/2006/relationships/hyperlink" Target="https://youtu.be/k8ZCxFbDjGk?t=4358" TargetMode="External"/><Relationship Id="rId50" Type="http://schemas.openxmlformats.org/officeDocument/2006/relationships/hyperlink" Target="https://youtu.be/RKRbDRme2_M?t=3613" TargetMode="External"/><Relationship Id="rId53" Type="http://schemas.openxmlformats.org/officeDocument/2006/relationships/hyperlink" Target="https://youtu.be/k8ZCxFbDjGk?t=5192" TargetMode="External"/><Relationship Id="rId52" Type="http://schemas.openxmlformats.org/officeDocument/2006/relationships/hyperlink" Target="https://youtu.be/RKRbDRme2_M?t=4383" TargetMode="External"/><Relationship Id="rId55" Type="http://schemas.openxmlformats.org/officeDocument/2006/relationships/hyperlink" Target="https://youtu.be/k8ZCxFbDjGk?t=6044" TargetMode="External"/><Relationship Id="rId161" Type="http://schemas.openxmlformats.org/officeDocument/2006/relationships/hyperlink" Target="https://youtu.be/A_MpPCruSsI" TargetMode="External"/><Relationship Id="rId282" Type="http://schemas.openxmlformats.org/officeDocument/2006/relationships/hyperlink" Target="https://youtu.be/MrnKQ3h5E5U?t=1050" TargetMode="External"/><Relationship Id="rId54" Type="http://schemas.openxmlformats.org/officeDocument/2006/relationships/hyperlink" Target="https://youtu.be/RKRbDRme2_M?t=5203" TargetMode="External"/><Relationship Id="rId160" Type="http://schemas.openxmlformats.org/officeDocument/2006/relationships/hyperlink" Target="https://youtu.be/zPIFNuf-B2A" TargetMode="External"/><Relationship Id="rId281" Type="http://schemas.openxmlformats.org/officeDocument/2006/relationships/hyperlink" Target="https://youtu.be/Il6u4JV-i0w" TargetMode="External"/><Relationship Id="rId57" Type="http://schemas.openxmlformats.org/officeDocument/2006/relationships/hyperlink" Target="https://youtu.be/k8ZCxFbDjGk?t=6869" TargetMode="External"/><Relationship Id="rId280" Type="http://schemas.openxmlformats.org/officeDocument/2006/relationships/hyperlink" Target="https://youtu.be/MrnKQ3h5E5U" TargetMode="External"/><Relationship Id="rId56" Type="http://schemas.openxmlformats.org/officeDocument/2006/relationships/hyperlink" Target="https://youtu.be/RKRbDRme2_M?t=6014" TargetMode="External"/><Relationship Id="rId159" Type="http://schemas.openxmlformats.org/officeDocument/2006/relationships/hyperlink" Target="https://youtu.be/GU9phi243Oc?t=8384" TargetMode="External"/><Relationship Id="rId59" Type="http://schemas.openxmlformats.org/officeDocument/2006/relationships/hyperlink" Target="https://youtu.be/k8ZCxFbDjGk?t=7690" TargetMode="External"/><Relationship Id="rId154" Type="http://schemas.openxmlformats.org/officeDocument/2006/relationships/hyperlink" Target="https://youtu.be/0zVXFdOsnL4?t=6745" TargetMode="External"/><Relationship Id="rId275" Type="http://schemas.openxmlformats.org/officeDocument/2006/relationships/hyperlink" Target="https://youtu.be/zWk6Iw9i158?t=6082" TargetMode="External"/><Relationship Id="rId58" Type="http://schemas.openxmlformats.org/officeDocument/2006/relationships/hyperlink" Target="https://youtu.be/RKRbDRme2_M?t=6879" TargetMode="External"/><Relationship Id="rId153" Type="http://schemas.openxmlformats.org/officeDocument/2006/relationships/hyperlink" Target="https://youtu.be/GU9phi243Oc?t=5517" TargetMode="External"/><Relationship Id="rId274" Type="http://schemas.openxmlformats.org/officeDocument/2006/relationships/hyperlink" Target="https://youtu.be/p1-l-HSMVtg?t=6153" TargetMode="External"/><Relationship Id="rId152" Type="http://schemas.openxmlformats.org/officeDocument/2006/relationships/hyperlink" Target="https://youtu.be/0zVXFdOsnL4?t=5804" TargetMode="External"/><Relationship Id="rId273" Type="http://schemas.openxmlformats.org/officeDocument/2006/relationships/hyperlink" Target="https://youtu.be/zWk6Iw9i158?t=5204" TargetMode="External"/><Relationship Id="rId151" Type="http://schemas.openxmlformats.org/officeDocument/2006/relationships/hyperlink" Target="https://youtu.be/GU9phi243Oc?t=4556" TargetMode="External"/><Relationship Id="rId272" Type="http://schemas.openxmlformats.org/officeDocument/2006/relationships/hyperlink" Target="https://youtu.be/p1-l-HSMVtg?t=5285" TargetMode="External"/><Relationship Id="rId158" Type="http://schemas.openxmlformats.org/officeDocument/2006/relationships/hyperlink" Target="https://youtu.be/0zVXFdOsnL4?t=8532" TargetMode="External"/><Relationship Id="rId279" Type="http://schemas.openxmlformats.org/officeDocument/2006/relationships/hyperlink" Target="https://youtu.be/zWk6Iw9i158?t=7865" TargetMode="External"/><Relationship Id="rId157" Type="http://schemas.openxmlformats.org/officeDocument/2006/relationships/hyperlink" Target="https://youtu.be/GU9phi243Oc?t=7531" TargetMode="External"/><Relationship Id="rId278" Type="http://schemas.openxmlformats.org/officeDocument/2006/relationships/hyperlink" Target="https://youtu.be/p1-l-HSMVtg?t=7865" TargetMode="External"/><Relationship Id="rId156" Type="http://schemas.openxmlformats.org/officeDocument/2006/relationships/hyperlink" Target="https://youtu.be/0zVXFdOsnL4?t=7636" TargetMode="External"/><Relationship Id="rId277" Type="http://schemas.openxmlformats.org/officeDocument/2006/relationships/hyperlink" Target="https://youtu.be/zWk6Iw9i158?t=6978" TargetMode="External"/><Relationship Id="rId155" Type="http://schemas.openxmlformats.org/officeDocument/2006/relationships/hyperlink" Target="https://youtu.be/GU9phi243Oc?t=6537" TargetMode="External"/><Relationship Id="rId276" Type="http://schemas.openxmlformats.org/officeDocument/2006/relationships/hyperlink" Target="https://youtu.be/p1-l-HSMVtg?t=6988" TargetMode="External"/><Relationship Id="rId107" Type="http://schemas.openxmlformats.org/officeDocument/2006/relationships/hyperlink" Target="https://youtu.be/Apxe4QjGW24?t=2959" TargetMode="External"/><Relationship Id="rId228" Type="http://schemas.openxmlformats.org/officeDocument/2006/relationships/hyperlink" Target="https://youtu.be/8dmoX8wl8J0?t=3770" TargetMode="External"/><Relationship Id="rId106" Type="http://schemas.openxmlformats.org/officeDocument/2006/relationships/hyperlink" Target="https://youtu.be/Yj-byvDR2mc?t=2053" TargetMode="External"/><Relationship Id="rId227" Type="http://schemas.openxmlformats.org/officeDocument/2006/relationships/hyperlink" Target="https://youtu.be/clnKFrtKBIU?t=2989" TargetMode="External"/><Relationship Id="rId105" Type="http://schemas.openxmlformats.org/officeDocument/2006/relationships/hyperlink" Target="https://youtu.be/Apxe4QjGW24?t=2041" TargetMode="External"/><Relationship Id="rId226" Type="http://schemas.openxmlformats.org/officeDocument/2006/relationships/hyperlink" Target="https://youtu.be/8dmoX8wl8J0?t=2825" TargetMode="External"/><Relationship Id="rId104" Type="http://schemas.openxmlformats.org/officeDocument/2006/relationships/hyperlink" Target="https://youtu.be/Yj-byvDR2mc?t=927" TargetMode="External"/><Relationship Id="rId225" Type="http://schemas.openxmlformats.org/officeDocument/2006/relationships/hyperlink" Target="https://youtu.be/clnKFrtKBIU?t=2019" TargetMode="External"/><Relationship Id="rId109" Type="http://schemas.openxmlformats.org/officeDocument/2006/relationships/hyperlink" Target="https://youtu.be/Apxe4QjGW24?t=3904" TargetMode="External"/><Relationship Id="rId108" Type="http://schemas.openxmlformats.org/officeDocument/2006/relationships/hyperlink" Target="https://youtu.be/Yj-byvDR2mc?t=2880" TargetMode="External"/><Relationship Id="rId229" Type="http://schemas.openxmlformats.org/officeDocument/2006/relationships/hyperlink" Target="https://youtu.be/clnKFrtKBIU?t=3956" TargetMode="External"/><Relationship Id="rId220" Type="http://schemas.openxmlformats.org/officeDocument/2006/relationships/hyperlink" Target="https://youtu.be/8dmoX8wl8J0" TargetMode="External"/><Relationship Id="rId103" Type="http://schemas.openxmlformats.org/officeDocument/2006/relationships/hyperlink" Target="https://youtu.be/Apxe4QjGW24?t=1097" TargetMode="External"/><Relationship Id="rId224" Type="http://schemas.openxmlformats.org/officeDocument/2006/relationships/hyperlink" Target="https://youtu.be/8dmoX8wl8J0?t=1891" TargetMode="External"/><Relationship Id="rId102" Type="http://schemas.openxmlformats.org/officeDocument/2006/relationships/hyperlink" Target="https://youtu.be/Yj-byvDR2mc" TargetMode="External"/><Relationship Id="rId223" Type="http://schemas.openxmlformats.org/officeDocument/2006/relationships/hyperlink" Target="https://youtu.be/clnKFrtKBIU?t=1083" TargetMode="External"/><Relationship Id="rId101" Type="http://schemas.openxmlformats.org/officeDocument/2006/relationships/hyperlink" Target="https://youtu.be/Apxe4QjGW24" TargetMode="External"/><Relationship Id="rId222" Type="http://schemas.openxmlformats.org/officeDocument/2006/relationships/hyperlink" Target="https://youtu.be/8dmoX8wl8J0?t=982" TargetMode="External"/><Relationship Id="rId100" Type="http://schemas.openxmlformats.org/officeDocument/2006/relationships/hyperlink" Target="https://youtu.be/n7f7BNk1B-w?t=8629" TargetMode="External"/><Relationship Id="rId221" Type="http://schemas.openxmlformats.org/officeDocument/2006/relationships/hyperlink" Target="https://youtu.be/clnKFrtKBIU" TargetMode="External"/><Relationship Id="rId217" Type="http://schemas.openxmlformats.org/officeDocument/2006/relationships/hyperlink" Target="https://youtu.be/tenTsWs5qP8?t=7427" TargetMode="External"/><Relationship Id="rId216" Type="http://schemas.openxmlformats.org/officeDocument/2006/relationships/hyperlink" Target="https://youtu.be/usO3LjHeqY8?t=7602" TargetMode="External"/><Relationship Id="rId215" Type="http://schemas.openxmlformats.org/officeDocument/2006/relationships/hyperlink" Target="https://youtu.be/tenTsWs5qP8?t=6530" TargetMode="External"/><Relationship Id="rId214" Type="http://schemas.openxmlformats.org/officeDocument/2006/relationships/hyperlink" Target="https://youtu.be/usO3LjHeqY8?t=6629" TargetMode="External"/><Relationship Id="rId219" Type="http://schemas.openxmlformats.org/officeDocument/2006/relationships/hyperlink" Target="https://youtu.be/tenTsWs5qP8?t=8367" TargetMode="External"/><Relationship Id="rId218" Type="http://schemas.openxmlformats.org/officeDocument/2006/relationships/hyperlink" Target="https://youtu.be/usO3LjHeqY8?t=8499" TargetMode="External"/><Relationship Id="rId213" Type="http://schemas.openxmlformats.org/officeDocument/2006/relationships/hyperlink" Target="https://youtu.be/tenTsWs5qP8?t=5569" TargetMode="External"/><Relationship Id="rId212" Type="http://schemas.openxmlformats.org/officeDocument/2006/relationships/hyperlink" Target="https://youtu.be/usO3LjHeqY8?t=5692" TargetMode="External"/><Relationship Id="rId211" Type="http://schemas.openxmlformats.org/officeDocument/2006/relationships/hyperlink" Target="https://youtu.be/tenTsWs5qP8?t=4666" TargetMode="External"/><Relationship Id="rId210" Type="http://schemas.openxmlformats.org/officeDocument/2006/relationships/hyperlink" Target="https://youtu.be/usO3LjHeqY8?t=4773" TargetMode="External"/><Relationship Id="rId129" Type="http://schemas.openxmlformats.org/officeDocument/2006/relationships/hyperlink" Target="https://youtu.be/0sWZ3jeSF2g?t=2274" TargetMode="External"/><Relationship Id="rId128" Type="http://schemas.openxmlformats.org/officeDocument/2006/relationships/hyperlink" Target="https://youtu.be/MeJxnMzzYEU?t=3041" TargetMode="External"/><Relationship Id="rId249" Type="http://schemas.openxmlformats.org/officeDocument/2006/relationships/hyperlink" Target="https://youtu.be/4ZJHbmGNx7U?t=3625" TargetMode="External"/><Relationship Id="rId127" Type="http://schemas.openxmlformats.org/officeDocument/2006/relationships/hyperlink" Target="https://youtu.be/0sWZ3jeSF2g?t=1398" TargetMode="External"/><Relationship Id="rId248" Type="http://schemas.openxmlformats.org/officeDocument/2006/relationships/hyperlink" Target="https://youtu.be/Jb2MkWLYdqo?t=3620" TargetMode="External"/><Relationship Id="rId126" Type="http://schemas.openxmlformats.org/officeDocument/2006/relationships/hyperlink" Target="https://youtu.be/MeJxnMzzYEU?t=2166" TargetMode="External"/><Relationship Id="rId247" Type="http://schemas.openxmlformats.org/officeDocument/2006/relationships/hyperlink" Target="https://youtu.be/4ZJHbmGNx7U?t=2711" TargetMode="External"/><Relationship Id="rId121" Type="http://schemas.openxmlformats.org/officeDocument/2006/relationships/hyperlink" Target="https://youtu.be/MeJxnMzzYEU" TargetMode="External"/><Relationship Id="rId242" Type="http://schemas.openxmlformats.org/officeDocument/2006/relationships/hyperlink" Target="https://youtu.be/Jb2MkWLYdqo?t=959" TargetMode="External"/><Relationship Id="rId120" Type="http://schemas.openxmlformats.org/officeDocument/2006/relationships/hyperlink" Target="https://youtu.be/Yj-byvDR2mc?t=8543" TargetMode="External"/><Relationship Id="rId241" Type="http://schemas.openxmlformats.org/officeDocument/2006/relationships/hyperlink" Target="https://youtu.be/4ZJHbmGNx7U" TargetMode="External"/><Relationship Id="rId240" Type="http://schemas.openxmlformats.org/officeDocument/2006/relationships/hyperlink" Target="https://youtu.be/Jb2MkWLYdqo" TargetMode="External"/><Relationship Id="rId125" Type="http://schemas.openxmlformats.org/officeDocument/2006/relationships/hyperlink" Target="https://youtu.be/0sWZ3jeSF2g?t=456" TargetMode="External"/><Relationship Id="rId246" Type="http://schemas.openxmlformats.org/officeDocument/2006/relationships/hyperlink" Target="https://youtu.be/Jb2MkWLYdqo?t=2707" TargetMode="External"/><Relationship Id="rId124" Type="http://schemas.openxmlformats.org/officeDocument/2006/relationships/hyperlink" Target="https://youtu.be/MeJxnMzzYEU?t=1290" TargetMode="External"/><Relationship Id="rId245" Type="http://schemas.openxmlformats.org/officeDocument/2006/relationships/hyperlink" Target="https://youtu.be/4ZJHbmGNx7U?t=1788" TargetMode="External"/><Relationship Id="rId123" Type="http://schemas.openxmlformats.org/officeDocument/2006/relationships/hyperlink" Target="https://youtu.be/MeJxnMzzYEU?t=288" TargetMode="External"/><Relationship Id="rId244" Type="http://schemas.openxmlformats.org/officeDocument/2006/relationships/hyperlink" Target="https://youtu.be/Jb2MkWLYdqo?t=1798" TargetMode="External"/><Relationship Id="rId122" Type="http://schemas.openxmlformats.org/officeDocument/2006/relationships/hyperlink" Target="https://youtu.be/0sWZ3jeSF2g" TargetMode="External"/><Relationship Id="rId243" Type="http://schemas.openxmlformats.org/officeDocument/2006/relationships/hyperlink" Target="https://youtu.be/4ZJHbmGNx7U?t=938" TargetMode="External"/><Relationship Id="rId95" Type="http://schemas.openxmlformats.org/officeDocument/2006/relationships/hyperlink" Target="https://youtu.be/DTxcaxLO8Hw?t=6803" TargetMode="External"/><Relationship Id="rId94" Type="http://schemas.openxmlformats.org/officeDocument/2006/relationships/hyperlink" Target="https://youtu.be/n7f7BNk1B-w?t=5595" TargetMode="External"/><Relationship Id="rId97" Type="http://schemas.openxmlformats.org/officeDocument/2006/relationships/hyperlink" Target="https://youtu.be/DTxcaxLO8Hw?t=7729" TargetMode="External"/><Relationship Id="rId96" Type="http://schemas.openxmlformats.org/officeDocument/2006/relationships/hyperlink" Target="https://youtu.be/n7f7BNk1B-w?t=6795" TargetMode="External"/><Relationship Id="rId99" Type="http://schemas.openxmlformats.org/officeDocument/2006/relationships/hyperlink" Target="https://youtu.be/DTxcaxLO8Hw?t=8698" TargetMode="External"/><Relationship Id="rId98" Type="http://schemas.openxmlformats.org/officeDocument/2006/relationships/hyperlink" Target="https://youtu.be/n7f7BNk1B-w?t=7627" TargetMode="External"/><Relationship Id="rId91" Type="http://schemas.openxmlformats.org/officeDocument/2006/relationships/hyperlink" Target="https://youtu.be/DTxcaxLO8Hw?t=4821" TargetMode="External"/><Relationship Id="rId90" Type="http://schemas.openxmlformats.org/officeDocument/2006/relationships/hyperlink" Target="https://youtu.be/n7f7BNk1B-w?t=3651" TargetMode="External"/><Relationship Id="rId93" Type="http://schemas.openxmlformats.org/officeDocument/2006/relationships/hyperlink" Target="https://youtu.be/DTxcaxLO8Hw?t=5774" TargetMode="External"/><Relationship Id="rId92" Type="http://schemas.openxmlformats.org/officeDocument/2006/relationships/hyperlink" Target="https://youtu.be/n7f7BNk1B-w?t=4625" TargetMode="External"/><Relationship Id="rId118" Type="http://schemas.openxmlformats.org/officeDocument/2006/relationships/hyperlink" Target="https://youtu.be/Yj-byvDR2mc?t=7621" TargetMode="External"/><Relationship Id="rId239" Type="http://schemas.openxmlformats.org/officeDocument/2006/relationships/hyperlink" Target="https://youtu.be/clnKFrtKBIU?t=8744" TargetMode="External"/><Relationship Id="rId117" Type="http://schemas.openxmlformats.org/officeDocument/2006/relationships/hyperlink" Target="https://youtu.be/Apxe4QjGW24?t=7672" TargetMode="External"/><Relationship Id="rId238" Type="http://schemas.openxmlformats.org/officeDocument/2006/relationships/hyperlink" Target="https://youtu.be/8dmoX8wl8J0?t=8575" TargetMode="External"/><Relationship Id="rId116" Type="http://schemas.openxmlformats.org/officeDocument/2006/relationships/hyperlink" Target="https://youtu.be/Yj-byvDR2mc?t=6749" TargetMode="External"/><Relationship Id="rId237" Type="http://schemas.openxmlformats.org/officeDocument/2006/relationships/hyperlink" Target="https://youtu.be/clnKFrtKBIU?t=7804" TargetMode="External"/><Relationship Id="rId115" Type="http://schemas.openxmlformats.org/officeDocument/2006/relationships/hyperlink" Target="https://youtu.be/Apxe4QjGW24?t=6746" TargetMode="External"/><Relationship Id="rId236" Type="http://schemas.openxmlformats.org/officeDocument/2006/relationships/hyperlink" Target="https://youtu.be/8dmoX8wl8J0?t=7623" TargetMode="External"/><Relationship Id="rId119" Type="http://schemas.openxmlformats.org/officeDocument/2006/relationships/hyperlink" Target="https://youtu.be/Apxe4QjGW24?t=8588" TargetMode="External"/><Relationship Id="rId110" Type="http://schemas.openxmlformats.org/officeDocument/2006/relationships/hyperlink" Target="https://youtu.be/Yj-byvDR2mc?t=3785" TargetMode="External"/><Relationship Id="rId231" Type="http://schemas.openxmlformats.org/officeDocument/2006/relationships/hyperlink" Target="https://youtu.be/clnKFrtKBIU?t=4904" TargetMode="External"/><Relationship Id="rId230" Type="http://schemas.openxmlformats.org/officeDocument/2006/relationships/hyperlink" Target="https://youtu.be/8dmoX8wl8J0?t=4728" TargetMode="External"/><Relationship Id="rId114" Type="http://schemas.openxmlformats.org/officeDocument/2006/relationships/hyperlink" Target="https://youtu.be/Yj-byvDR2mc?t=5894" TargetMode="External"/><Relationship Id="rId235" Type="http://schemas.openxmlformats.org/officeDocument/2006/relationships/hyperlink" Target="https://youtu.be/clnKFrtKBIU?t=6849" TargetMode="External"/><Relationship Id="rId113" Type="http://schemas.openxmlformats.org/officeDocument/2006/relationships/hyperlink" Target="https://youtu.be/Apxe4QjGW24?t=5783" TargetMode="External"/><Relationship Id="rId234" Type="http://schemas.openxmlformats.org/officeDocument/2006/relationships/hyperlink" Target="https://youtu.be/8dmoX8wl8J0?t=6725" TargetMode="External"/><Relationship Id="rId112" Type="http://schemas.openxmlformats.org/officeDocument/2006/relationships/hyperlink" Target="https://youtu.be/Yj-byvDR2mc?t=4895" TargetMode="External"/><Relationship Id="rId233" Type="http://schemas.openxmlformats.org/officeDocument/2006/relationships/hyperlink" Target="https://youtu.be/clnKFrtKBIU?t=5846" TargetMode="External"/><Relationship Id="rId111" Type="http://schemas.openxmlformats.org/officeDocument/2006/relationships/hyperlink" Target="https://youtu.be/Apxe4QjGW24?t=4866" TargetMode="External"/><Relationship Id="rId232" Type="http://schemas.openxmlformats.org/officeDocument/2006/relationships/hyperlink" Target="https://youtu.be/8dmoX8wl8J0?t=5782" TargetMode="External"/><Relationship Id="rId305" Type="http://schemas.openxmlformats.org/officeDocument/2006/relationships/hyperlink" Target="https://youtu.be/WFdv83AIhV8?t=1843" TargetMode="External"/><Relationship Id="rId304" Type="http://schemas.openxmlformats.org/officeDocument/2006/relationships/hyperlink" Target="https://youtu.be/w47TJgNk1_4?t=1796" TargetMode="External"/><Relationship Id="rId303" Type="http://schemas.openxmlformats.org/officeDocument/2006/relationships/hyperlink" Target="https://youtu.be/WFdv83AIhV8?t=949" TargetMode="External"/><Relationship Id="rId302" Type="http://schemas.openxmlformats.org/officeDocument/2006/relationships/hyperlink" Target="https://youtu.be/w47TJgNk1_4?t=911" TargetMode="External"/><Relationship Id="rId309" Type="http://schemas.openxmlformats.org/officeDocument/2006/relationships/hyperlink" Target="https://youtu.be/WFdv83AIhV8?t=3493" TargetMode="External"/><Relationship Id="rId308" Type="http://schemas.openxmlformats.org/officeDocument/2006/relationships/hyperlink" Target="https://youtu.be/w47TJgNk1_4?t=3491" TargetMode="External"/><Relationship Id="rId307" Type="http://schemas.openxmlformats.org/officeDocument/2006/relationships/hyperlink" Target="https://youtu.be/WFdv83AIhV8?t=2665" TargetMode="External"/><Relationship Id="rId306" Type="http://schemas.openxmlformats.org/officeDocument/2006/relationships/hyperlink" Target="https://youtu.be/w47TJgNk1_4?t=2627" TargetMode="External"/><Relationship Id="rId301" Type="http://schemas.openxmlformats.org/officeDocument/2006/relationships/hyperlink" Target="https://youtu.be/WFdv83AIhV8" TargetMode="External"/><Relationship Id="rId300" Type="http://schemas.openxmlformats.org/officeDocument/2006/relationships/hyperlink" Target="https://youtu.be/w47TJgNk1_4" TargetMode="External"/><Relationship Id="rId206" Type="http://schemas.openxmlformats.org/officeDocument/2006/relationships/hyperlink" Target="https://youtu.be/usO3LjHeqY8?t=2887" TargetMode="External"/><Relationship Id="rId205" Type="http://schemas.openxmlformats.org/officeDocument/2006/relationships/hyperlink" Target="https://youtu.be/tenTsWs5qP8?t=1771" TargetMode="External"/><Relationship Id="rId204" Type="http://schemas.openxmlformats.org/officeDocument/2006/relationships/hyperlink" Target="https://youtu.be/usO3LjHeqY8?t=1951" TargetMode="External"/><Relationship Id="rId203" Type="http://schemas.openxmlformats.org/officeDocument/2006/relationships/hyperlink" Target="https://youtu.be/tenTsWs5qP8?t=961" TargetMode="External"/><Relationship Id="rId209" Type="http://schemas.openxmlformats.org/officeDocument/2006/relationships/hyperlink" Target="https://youtu.be/tenTsWs5qP8?t=3662" TargetMode="External"/><Relationship Id="rId208" Type="http://schemas.openxmlformats.org/officeDocument/2006/relationships/hyperlink" Target="https://youtu.be/usO3LjHeqY8?t=3839" TargetMode="External"/><Relationship Id="rId207" Type="http://schemas.openxmlformats.org/officeDocument/2006/relationships/hyperlink" Target="https://youtu.be/tenTsWs5qP8?t=2690" TargetMode="External"/><Relationship Id="rId202" Type="http://schemas.openxmlformats.org/officeDocument/2006/relationships/hyperlink" Target="https://youtu.be/usO3LjHeqY8?t=1005" TargetMode="External"/><Relationship Id="rId201" Type="http://schemas.openxmlformats.org/officeDocument/2006/relationships/hyperlink" Target="https://youtu.be/tenTsWs5qP8" TargetMode="External"/><Relationship Id="rId200" Type="http://schemas.openxmlformats.org/officeDocument/2006/relationships/hyperlink" Target="https://youtu.be/usO3LjHeqY8" TargetMode="External"/><Relationship Id="rId320" Type="http://schemas.openxmlformats.org/officeDocument/2006/relationships/drawing" Target="../drawings/drawing17.xml"/><Relationship Id="rId316" Type="http://schemas.openxmlformats.org/officeDocument/2006/relationships/hyperlink" Target="https://youtu.be/w47TJgNk1_4?t=6951" TargetMode="External"/><Relationship Id="rId315" Type="http://schemas.openxmlformats.org/officeDocument/2006/relationships/hyperlink" Target="https://youtu.be/WFdv83AIhV8?t=5983" TargetMode="External"/><Relationship Id="rId314" Type="http://schemas.openxmlformats.org/officeDocument/2006/relationships/hyperlink" Target="https://youtu.be/w47TJgNk1_4?t=6078" TargetMode="External"/><Relationship Id="rId313" Type="http://schemas.openxmlformats.org/officeDocument/2006/relationships/hyperlink" Target="https://youtu.be/WFdv83AIhV8?t=5165" TargetMode="External"/><Relationship Id="rId319" Type="http://schemas.openxmlformats.org/officeDocument/2006/relationships/hyperlink" Target="https://youtu.be/WFdv83AIhV8?t=7810" TargetMode="External"/><Relationship Id="rId318" Type="http://schemas.openxmlformats.org/officeDocument/2006/relationships/hyperlink" Target="https://youtu.be/w47TJgNk1_4?t=7807" TargetMode="External"/><Relationship Id="rId317" Type="http://schemas.openxmlformats.org/officeDocument/2006/relationships/hyperlink" Target="https://youtu.be/WFdv83AIhV8?t=6971" TargetMode="External"/><Relationship Id="rId312" Type="http://schemas.openxmlformats.org/officeDocument/2006/relationships/hyperlink" Target="https://youtu.be/w47TJgNk1_4?t=5226" TargetMode="External"/><Relationship Id="rId311" Type="http://schemas.openxmlformats.org/officeDocument/2006/relationships/hyperlink" Target="https://youtu.be/WFdv83AIhV8?t=4321" TargetMode="External"/><Relationship Id="rId310" Type="http://schemas.openxmlformats.org/officeDocument/2006/relationships/hyperlink" Target="https://youtu.be/w47TJgNk1_4?t=4335" TargetMode="External"/></Relationships>
</file>

<file path=xl/worksheets/_rels/sheet1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OlapvCyxpRo?t=8732" TargetMode="External"/><Relationship Id="rId190" Type="http://schemas.openxmlformats.org/officeDocument/2006/relationships/hyperlink" Target="https://youtu.be/G10uyE0VWcM?t=3483" TargetMode="External"/><Relationship Id="rId42" Type="http://schemas.openxmlformats.org/officeDocument/2006/relationships/hyperlink" Target="https://youtu.be/D_SPTr-ICCE" TargetMode="External"/><Relationship Id="rId41" Type="http://schemas.openxmlformats.org/officeDocument/2006/relationships/hyperlink" Target="https://youtu.be/qXwduBYE_CQ" TargetMode="External"/><Relationship Id="rId44" Type="http://schemas.openxmlformats.org/officeDocument/2006/relationships/hyperlink" Target="https://youtu.be/D_SPTr-ICCE?t=852" TargetMode="External"/><Relationship Id="rId194" Type="http://schemas.openxmlformats.org/officeDocument/2006/relationships/hyperlink" Target="https://youtu.be/G10uyE0VWcM?t=5142" TargetMode="External"/><Relationship Id="rId43" Type="http://schemas.openxmlformats.org/officeDocument/2006/relationships/hyperlink" Target="https://youtu.be/qXwduBYE_CQ?t=866" TargetMode="External"/><Relationship Id="rId193" Type="http://schemas.openxmlformats.org/officeDocument/2006/relationships/hyperlink" Target="https://youtu.be/sHh05TdLKck?t=5200" TargetMode="External"/><Relationship Id="rId46" Type="http://schemas.openxmlformats.org/officeDocument/2006/relationships/hyperlink" Target="https://youtu.be/D_SPTr-ICCE?t=1673" TargetMode="External"/><Relationship Id="rId192" Type="http://schemas.openxmlformats.org/officeDocument/2006/relationships/hyperlink" Target="https://youtu.be/G10uyE0VWcM?t=4314" TargetMode="External"/><Relationship Id="rId45" Type="http://schemas.openxmlformats.org/officeDocument/2006/relationships/hyperlink" Target="https://youtu.be/qXwduBYE_CQ?t=1679" TargetMode="External"/><Relationship Id="rId191" Type="http://schemas.openxmlformats.org/officeDocument/2006/relationships/hyperlink" Target="https://youtu.be/sHh05TdLKck?t=4324" TargetMode="External"/><Relationship Id="rId48" Type="http://schemas.openxmlformats.org/officeDocument/2006/relationships/hyperlink" Target="https://youtu.be/D_SPTr-ICCE?t=2468" TargetMode="External"/><Relationship Id="rId187" Type="http://schemas.openxmlformats.org/officeDocument/2006/relationships/hyperlink" Target="https://youtu.be/sHh05TdLKck?t=2624" TargetMode="External"/><Relationship Id="rId47" Type="http://schemas.openxmlformats.org/officeDocument/2006/relationships/hyperlink" Target="https://youtu.be/qXwduBYE_CQ?t=2469" TargetMode="External"/><Relationship Id="rId186" Type="http://schemas.openxmlformats.org/officeDocument/2006/relationships/hyperlink" Target="https://youtu.be/G10uyE0VWcM?t=1783" TargetMode="External"/><Relationship Id="rId185" Type="http://schemas.openxmlformats.org/officeDocument/2006/relationships/hyperlink" Target="https://youtu.be/sHh05TdLKck?t=1809" TargetMode="External"/><Relationship Id="rId49" Type="http://schemas.openxmlformats.org/officeDocument/2006/relationships/hyperlink" Target="https://youtu.be/qXwduBYE_CQ?t=3282" TargetMode="External"/><Relationship Id="rId184" Type="http://schemas.openxmlformats.org/officeDocument/2006/relationships/hyperlink" Target="https://youtu.be/G10uyE0VWcM?t=887" TargetMode="External"/><Relationship Id="rId189" Type="http://schemas.openxmlformats.org/officeDocument/2006/relationships/hyperlink" Target="https://youtu.be/sHh05TdLKck?t=3452" TargetMode="External"/><Relationship Id="rId188" Type="http://schemas.openxmlformats.org/officeDocument/2006/relationships/hyperlink" Target="https://youtu.be/G10uyE0VWcM?t=2617" TargetMode="External"/><Relationship Id="rId31" Type="http://schemas.openxmlformats.org/officeDocument/2006/relationships/hyperlink" Target="https://youtu.be/1m2wJ1CzMf8?t=4823" TargetMode="External"/><Relationship Id="rId30" Type="http://schemas.openxmlformats.org/officeDocument/2006/relationships/hyperlink" Target="https://youtu.be/OlapvCyxpRo?t=3943" TargetMode="External"/><Relationship Id="rId33" Type="http://schemas.openxmlformats.org/officeDocument/2006/relationships/hyperlink" Target="https://youtu.be/1m2wJ1CzMf8?t=5747" TargetMode="External"/><Relationship Id="rId183" Type="http://schemas.openxmlformats.org/officeDocument/2006/relationships/hyperlink" Target="https://youtu.be/sHh05TdLKck?t=930" TargetMode="External"/><Relationship Id="rId32" Type="http://schemas.openxmlformats.org/officeDocument/2006/relationships/hyperlink" Target="https://youtu.be/OlapvCyxpRo?t=4918" TargetMode="External"/><Relationship Id="rId182" Type="http://schemas.openxmlformats.org/officeDocument/2006/relationships/hyperlink" Target="https://youtu.be/G10uyE0VWcM" TargetMode="External"/><Relationship Id="rId35" Type="http://schemas.openxmlformats.org/officeDocument/2006/relationships/hyperlink" Target="https://youtu.be/1m2wJ1CzMf8?t=6748" TargetMode="External"/><Relationship Id="rId181" Type="http://schemas.openxmlformats.org/officeDocument/2006/relationships/hyperlink" Target="https://youtu.be/sHh05TdLKck" TargetMode="External"/><Relationship Id="rId34" Type="http://schemas.openxmlformats.org/officeDocument/2006/relationships/hyperlink" Target="https://youtu.be/OlapvCyxpRo?t=5869" TargetMode="External"/><Relationship Id="rId180" Type="http://schemas.openxmlformats.org/officeDocument/2006/relationships/hyperlink" Target="https://youtu.be/wr5TNHsZErk?t=7841" TargetMode="External"/><Relationship Id="rId37" Type="http://schemas.openxmlformats.org/officeDocument/2006/relationships/hyperlink" Target="https://youtu.be/1m2wJ1CzMf8?t=7695" TargetMode="External"/><Relationship Id="rId176" Type="http://schemas.openxmlformats.org/officeDocument/2006/relationships/hyperlink" Target="https://youtu.be/wr5TNHsZErk?t=6109" TargetMode="External"/><Relationship Id="rId297" Type="http://schemas.openxmlformats.org/officeDocument/2006/relationships/hyperlink" Target="https://youtu.be/8jvYhrpO4Z4?t=7714" TargetMode="External"/><Relationship Id="rId36" Type="http://schemas.openxmlformats.org/officeDocument/2006/relationships/hyperlink" Target="https://youtu.be/OlapvCyxpRo?t=6819" TargetMode="External"/><Relationship Id="rId175" Type="http://schemas.openxmlformats.org/officeDocument/2006/relationships/hyperlink" Target="https://youtu.be/LC4CM52Ibx8?t=6242" TargetMode="External"/><Relationship Id="rId296" Type="http://schemas.openxmlformats.org/officeDocument/2006/relationships/hyperlink" Target="https://youtu.be/XTycx6AmfJ0?t=6753" TargetMode="External"/><Relationship Id="rId39" Type="http://schemas.openxmlformats.org/officeDocument/2006/relationships/hyperlink" Target="https://youtu.be/1m2wJ1CzMf8?t=8668" TargetMode="External"/><Relationship Id="rId174" Type="http://schemas.openxmlformats.org/officeDocument/2006/relationships/hyperlink" Target="https://youtu.be/wr5TNHsZErk?t=5290" TargetMode="External"/><Relationship Id="rId295" Type="http://schemas.openxmlformats.org/officeDocument/2006/relationships/hyperlink" Target="https://youtu.be/8jvYhrpO4Z4?t=6754" TargetMode="External"/><Relationship Id="rId38" Type="http://schemas.openxmlformats.org/officeDocument/2006/relationships/hyperlink" Target="https://youtu.be/OlapvCyxpRo?t=7785" TargetMode="External"/><Relationship Id="rId173" Type="http://schemas.openxmlformats.org/officeDocument/2006/relationships/hyperlink" Target="https://youtu.be/LC4CM52Ibx8?t=5377" TargetMode="External"/><Relationship Id="rId294" Type="http://schemas.openxmlformats.org/officeDocument/2006/relationships/hyperlink" Target="https://youtu.be/XTycx6AmfJ0?t=5831" TargetMode="External"/><Relationship Id="rId179" Type="http://schemas.openxmlformats.org/officeDocument/2006/relationships/hyperlink" Target="https://youtu.be/LC4CM52Ibx8?t=7939" TargetMode="External"/><Relationship Id="rId178" Type="http://schemas.openxmlformats.org/officeDocument/2006/relationships/hyperlink" Target="https://youtu.be/wr5TNHsZErk?t=6957" TargetMode="External"/><Relationship Id="rId299" Type="http://schemas.openxmlformats.org/officeDocument/2006/relationships/hyperlink" Target="https://youtu.be/8jvYhrpO4Z4?t=8677" TargetMode="External"/><Relationship Id="rId177" Type="http://schemas.openxmlformats.org/officeDocument/2006/relationships/hyperlink" Target="https://youtu.be/LC4CM52Ibx8?t=7103" TargetMode="External"/><Relationship Id="rId298" Type="http://schemas.openxmlformats.org/officeDocument/2006/relationships/hyperlink" Target="https://youtu.be/XTycx6AmfJ0?t=7725" TargetMode="External"/><Relationship Id="rId20" Type="http://schemas.openxmlformats.org/officeDocument/2006/relationships/hyperlink" Target="https://youtu.be/3pPHpojjjZ8?t=7387" TargetMode="External"/><Relationship Id="rId22" Type="http://schemas.openxmlformats.org/officeDocument/2006/relationships/hyperlink" Target="https://youtu.be/OlapvCyxpRo" TargetMode="External"/><Relationship Id="rId21" Type="http://schemas.openxmlformats.org/officeDocument/2006/relationships/hyperlink" Target="https://youtu.be/1m2wJ1CzMf8" TargetMode="External"/><Relationship Id="rId24" Type="http://schemas.openxmlformats.org/officeDocument/2006/relationships/hyperlink" Target="https://youtu.be/OlapvCyxpRo?t=1084" TargetMode="External"/><Relationship Id="rId23" Type="http://schemas.openxmlformats.org/officeDocument/2006/relationships/hyperlink" Target="https://youtu.be/1m2wJ1CzMf8?t=978" TargetMode="External"/><Relationship Id="rId26" Type="http://schemas.openxmlformats.org/officeDocument/2006/relationships/hyperlink" Target="https://youtu.be/OlapvCyxpRo?t=2071" TargetMode="External"/><Relationship Id="rId25" Type="http://schemas.openxmlformats.org/officeDocument/2006/relationships/hyperlink" Target="https://youtu.be/1m2wJ1CzMf8?t=1925" TargetMode="External"/><Relationship Id="rId28" Type="http://schemas.openxmlformats.org/officeDocument/2006/relationships/hyperlink" Target="https://youtu.be/OlapvCyxpRo?t=2984" TargetMode="External"/><Relationship Id="rId27" Type="http://schemas.openxmlformats.org/officeDocument/2006/relationships/hyperlink" Target="https://youtu.be/1m2wJ1CzMf8?t=2835" TargetMode="External"/><Relationship Id="rId29" Type="http://schemas.openxmlformats.org/officeDocument/2006/relationships/hyperlink" Target="https://youtu.be/1m2wJ1CzMf8?t=3809" TargetMode="External"/><Relationship Id="rId11" Type="http://schemas.openxmlformats.org/officeDocument/2006/relationships/hyperlink" Target="https://youtu.be/RBiPRosXV6c?t=4079" TargetMode="External"/><Relationship Id="rId10" Type="http://schemas.openxmlformats.org/officeDocument/2006/relationships/hyperlink" Target="https://youtu.be/3pPHpojjjZ8?t=3252" TargetMode="External"/><Relationship Id="rId13" Type="http://schemas.openxmlformats.org/officeDocument/2006/relationships/hyperlink" Target="https://youtu.be/RBiPRosXV6c?t=4936" TargetMode="External"/><Relationship Id="rId12" Type="http://schemas.openxmlformats.org/officeDocument/2006/relationships/hyperlink" Target="https://youtu.be/3pPHpojjjZ8?t=4066" TargetMode="External"/><Relationship Id="rId15" Type="http://schemas.openxmlformats.org/officeDocument/2006/relationships/hyperlink" Target="https://youtu.be/RBiPRosXV6c?t=5776" TargetMode="External"/><Relationship Id="rId198" Type="http://schemas.openxmlformats.org/officeDocument/2006/relationships/hyperlink" Target="https://youtu.be/G10uyE0VWcM?t=6915" TargetMode="External"/><Relationship Id="rId14" Type="http://schemas.openxmlformats.org/officeDocument/2006/relationships/hyperlink" Target="https://youtu.be/3pPHpojjjZ8?t=4893" TargetMode="External"/><Relationship Id="rId197" Type="http://schemas.openxmlformats.org/officeDocument/2006/relationships/hyperlink" Target="https://youtu.be/sHh05TdLKck?t=7013" TargetMode="External"/><Relationship Id="rId17" Type="http://schemas.openxmlformats.org/officeDocument/2006/relationships/hyperlink" Target="https://youtu.be/RBiPRosXV6c?t=6584" TargetMode="External"/><Relationship Id="rId196" Type="http://schemas.openxmlformats.org/officeDocument/2006/relationships/hyperlink" Target="https://youtu.be/G10uyE0VWcM?t=6021" TargetMode="External"/><Relationship Id="rId16" Type="http://schemas.openxmlformats.org/officeDocument/2006/relationships/hyperlink" Target="https://youtu.be/3pPHpojjjZ8?t=5742" TargetMode="External"/><Relationship Id="rId195" Type="http://schemas.openxmlformats.org/officeDocument/2006/relationships/hyperlink" Target="https://youtu.be/sHh05TdLKck?t=6114" TargetMode="External"/><Relationship Id="rId19" Type="http://schemas.openxmlformats.org/officeDocument/2006/relationships/hyperlink" Target="https://youtu.be/RBiPRosXV6c?t=7413" TargetMode="External"/><Relationship Id="rId18" Type="http://schemas.openxmlformats.org/officeDocument/2006/relationships/hyperlink" Target="https://youtu.be/3pPHpojjjZ8?t=6569" TargetMode="External"/><Relationship Id="rId199" Type="http://schemas.openxmlformats.org/officeDocument/2006/relationships/hyperlink" Target="https://youtu.be/sHh05TdLKck?t=7831" TargetMode="External"/><Relationship Id="rId84" Type="http://schemas.openxmlformats.org/officeDocument/2006/relationships/hyperlink" Target="https://youtu.be/zKu4pCHfA_g?t=1142" TargetMode="External"/><Relationship Id="rId83" Type="http://schemas.openxmlformats.org/officeDocument/2006/relationships/hyperlink" Target="https://youtu.be/eEzFFBXPscU?t=1049" TargetMode="External"/><Relationship Id="rId86" Type="http://schemas.openxmlformats.org/officeDocument/2006/relationships/hyperlink" Target="https://youtu.be/zKu4pCHfA_g?t=2036" TargetMode="External"/><Relationship Id="rId85" Type="http://schemas.openxmlformats.org/officeDocument/2006/relationships/hyperlink" Target="https://youtu.be/eEzFFBXPscU?t=1961" TargetMode="External"/><Relationship Id="rId88" Type="http://schemas.openxmlformats.org/officeDocument/2006/relationships/hyperlink" Target="https://youtu.be/zKu4pCHfA_g?t=2970" TargetMode="External"/><Relationship Id="rId150" Type="http://schemas.openxmlformats.org/officeDocument/2006/relationships/hyperlink" Target="https://youtu.be/mDU3Wvk4tIE?t=3935" TargetMode="External"/><Relationship Id="rId271" Type="http://schemas.openxmlformats.org/officeDocument/2006/relationships/hyperlink" Target="https://youtu.be/8_bqnQ756JA?t=4313" TargetMode="External"/><Relationship Id="rId87" Type="http://schemas.openxmlformats.org/officeDocument/2006/relationships/hyperlink" Target="https://youtu.be/eEzFFBXPscU?t=2948" TargetMode="External"/><Relationship Id="rId270" Type="http://schemas.openxmlformats.org/officeDocument/2006/relationships/hyperlink" Target="https://youtu.be/D1SzjEeps7k?t=3447" TargetMode="External"/><Relationship Id="rId89" Type="http://schemas.openxmlformats.org/officeDocument/2006/relationships/hyperlink" Target="https://youtu.be/eEzFFBXPscU?t=3842" TargetMode="External"/><Relationship Id="rId80" Type="http://schemas.openxmlformats.org/officeDocument/2006/relationships/hyperlink" Target="https://youtu.be/AYP9plDFymw?t=8719" TargetMode="External"/><Relationship Id="rId82" Type="http://schemas.openxmlformats.org/officeDocument/2006/relationships/hyperlink" Target="https://youtu.be/zKu4pCHfA_g" TargetMode="External"/><Relationship Id="rId81" Type="http://schemas.openxmlformats.org/officeDocument/2006/relationships/hyperlink" Target="https://youtu.be/eEzFFBXPscU" TargetMode="External"/><Relationship Id="rId1" Type="http://schemas.openxmlformats.org/officeDocument/2006/relationships/hyperlink" Target="https://youtu.be/RBiPRosXV6c" TargetMode="External"/><Relationship Id="rId2" Type="http://schemas.openxmlformats.org/officeDocument/2006/relationships/hyperlink" Target="https://youtu.be/3pPHpojjjZ8" TargetMode="External"/><Relationship Id="rId3" Type="http://schemas.openxmlformats.org/officeDocument/2006/relationships/hyperlink" Target="https://youtu.be/RBiPRosXV6c?t=821" TargetMode="External"/><Relationship Id="rId149" Type="http://schemas.openxmlformats.org/officeDocument/2006/relationships/hyperlink" Target="https://youtu.be/0GEOUWZfp2c?t=3937" TargetMode="External"/><Relationship Id="rId4" Type="http://schemas.openxmlformats.org/officeDocument/2006/relationships/hyperlink" Target="https://youtu.be/3pPHpojjjZ8?t=854" TargetMode="External"/><Relationship Id="rId148" Type="http://schemas.openxmlformats.org/officeDocument/2006/relationships/hyperlink" Target="https://youtu.be/mDU3Wvk4tIE?t=2959" TargetMode="External"/><Relationship Id="rId269" Type="http://schemas.openxmlformats.org/officeDocument/2006/relationships/hyperlink" Target="https://youtu.be/8_bqnQ756JA?t=3448" TargetMode="External"/><Relationship Id="rId9" Type="http://schemas.openxmlformats.org/officeDocument/2006/relationships/hyperlink" Target="https://youtu.be/RBiPRosXV6c?t=3273" TargetMode="External"/><Relationship Id="rId143" Type="http://schemas.openxmlformats.org/officeDocument/2006/relationships/hyperlink" Target="https://youtu.be/0GEOUWZfp2c?t=1114" TargetMode="External"/><Relationship Id="rId264" Type="http://schemas.openxmlformats.org/officeDocument/2006/relationships/hyperlink" Target="https://youtu.be/D1SzjEeps7k?t=951" TargetMode="External"/><Relationship Id="rId142" Type="http://schemas.openxmlformats.org/officeDocument/2006/relationships/hyperlink" Target="https://youtu.be/mDU3Wvk4tIE" TargetMode="External"/><Relationship Id="rId263" Type="http://schemas.openxmlformats.org/officeDocument/2006/relationships/hyperlink" Target="https://youtu.be/8_bqnQ756JA?t=973" TargetMode="External"/><Relationship Id="rId141" Type="http://schemas.openxmlformats.org/officeDocument/2006/relationships/hyperlink" Target="https://youtu.be/0GEOUWZfp2c" TargetMode="External"/><Relationship Id="rId262" Type="http://schemas.openxmlformats.org/officeDocument/2006/relationships/hyperlink" Target="https://youtu.be/D1SzjEeps7k" TargetMode="External"/><Relationship Id="rId140" Type="http://schemas.openxmlformats.org/officeDocument/2006/relationships/hyperlink" Target="https://youtu.be/1Dk2o98ydOE?t=7677" TargetMode="External"/><Relationship Id="rId261" Type="http://schemas.openxmlformats.org/officeDocument/2006/relationships/hyperlink" Target="https://youtu.be/8_bqnQ756JA" TargetMode="External"/><Relationship Id="rId5" Type="http://schemas.openxmlformats.org/officeDocument/2006/relationships/hyperlink" Target="https://youtu.be/RBiPRosXV6c?t=1626" TargetMode="External"/><Relationship Id="rId147" Type="http://schemas.openxmlformats.org/officeDocument/2006/relationships/hyperlink" Target="https://youtu.be/0GEOUWZfp2c?t=3040" TargetMode="External"/><Relationship Id="rId268" Type="http://schemas.openxmlformats.org/officeDocument/2006/relationships/hyperlink" Target="https://youtu.be/D1SzjEeps7k?t=2576" TargetMode="External"/><Relationship Id="rId6" Type="http://schemas.openxmlformats.org/officeDocument/2006/relationships/hyperlink" Target="https://youtu.be/3pPHpojjjZ8?t=1641" TargetMode="External"/><Relationship Id="rId146" Type="http://schemas.openxmlformats.org/officeDocument/2006/relationships/hyperlink" Target="https://youtu.be/mDU3Wvk4tIE?t=2017" TargetMode="External"/><Relationship Id="rId267" Type="http://schemas.openxmlformats.org/officeDocument/2006/relationships/hyperlink" Target="https://youtu.be/8_bqnQ756JA?t=2618" TargetMode="External"/><Relationship Id="rId7" Type="http://schemas.openxmlformats.org/officeDocument/2006/relationships/hyperlink" Target="https://youtu.be/RBiPRosXV6c?t=2468" TargetMode="External"/><Relationship Id="rId145" Type="http://schemas.openxmlformats.org/officeDocument/2006/relationships/hyperlink" Target="https://youtu.be/0GEOUWZfp2c?t=2045" TargetMode="External"/><Relationship Id="rId266" Type="http://schemas.openxmlformats.org/officeDocument/2006/relationships/hyperlink" Target="https://youtu.be/D1SzjEeps7k?t=1754" TargetMode="External"/><Relationship Id="rId8" Type="http://schemas.openxmlformats.org/officeDocument/2006/relationships/hyperlink" Target="https://youtu.be/3pPHpojjjZ8?t=2435" TargetMode="External"/><Relationship Id="rId144" Type="http://schemas.openxmlformats.org/officeDocument/2006/relationships/hyperlink" Target="https://youtu.be/mDU3Wvk4tIE?t=1021" TargetMode="External"/><Relationship Id="rId265" Type="http://schemas.openxmlformats.org/officeDocument/2006/relationships/hyperlink" Target="https://youtu.be/8_bqnQ756JA?t=1799" TargetMode="External"/><Relationship Id="rId73" Type="http://schemas.openxmlformats.org/officeDocument/2006/relationships/hyperlink" Target="https://youtu.be/u2jpRQb3yFU?t=5762" TargetMode="External"/><Relationship Id="rId72" Type="http://schemas.openxmlformats.org/officeDocument/2006/relationships/hyperlink" Target="https://youtu.be/AYP9plDFymw?t=4891" TargetMode="External"/><Relationship Id="rId75" Type="http://schemas.openxmlformats.org/officeDocument/2006/relationships/hyperlink" Target="https://youtu.be/u2jpRQb3yFU?t=6747" TargetMode="External"/><Relationship Id="rId74" Type="http://schemas.openxmlformats.org/officeDocument/2006/relationships/hyperlink" Target="https://youtu.be/AYP9plDFymw?t=5846" TargetMode="External"/><Relationship Id="rId77" Type="http://schemas.openxmlformats.org/officeDocument/2006/relationships/hyperlink" Target="https://youtu.be/u2jpRQb3yFU?t=7713" TargetMode="External"/><Relationship Id="rId260" Type="http://schemas.openxmlformats.org/officeDocument/2006/relationships/hyperlink" Target="https://youtu.be/j2J_raQAaWc?t=7718" TargetMode="External"/><Relationship Id="rId76" Type="http://schemas.openxmlformats.org/officeDocument/2006/relationships/hyperlink" Target="https://youtu.be/AYP9plDFymw?t=6797" TargetMode="External"/><Relationship Id="rId79" Type="http://schemas.openxmlformats.org/officeDocument/2006/relationships/hyperlink" Target="https://youtu.be/u2jpRQb3yFU?t=8672" TargetMode="External"/><Relationship Id="rId78" Type="http://schemas.openxmlformats.org/officeDocument/2006/relationships/hyperlink" Target="https://youtu.be/AYP9plDFymw?t=7763" TargetMode="External"/><Relationship Id="rId71" Type="http://schemas.openxmlformats.org/officeDocument/2006/relationships/hyperlink" Target="https://youtu.be/u2jpRQb3yFU?t=4855" TargetMode="External"/><Relationship Id="rId70" Type="http://schemas.openxmlformats.org/officeDocument/2006/relationships/hyperlink" Target="https://youtu.be/AYP9plDFymw?t=3920" TargetMode="External"/><Relationship Id="rId139" Type="http://schemas.openxmlformats.org/officeDocument/2006/relationships/hyperlink" Target="https://youtu.be/pqvxdAG4O20?t=7677" TargetMode="External"/><Relationship Id="rId138" Type="http://schemas.openxmlformats.org/officeDocument/2006/relationships/hyperlink" Target="https://youtu.be/1Dk2o98ydOE?t=6887" TargetMode="External"/><Relationship Id="rId259" Type="http://schemas.openxmlformats.org/officeDocument/2006/relationships/hyperlink" Target="https://youtu.be/7vkGjaSbelc?t=7726" TargetMode="External"/><Relationship Id="rId137" Type="http://schemas.openxmlformats.org/officeDocument/2006/relationships/hyperlink" Target="https://youtu.be/pqvxdAG4O20?t=6823" TargetMode="External"/><Relationship Id="rId258" Type="http://schemas.openxmlformats.org/officeDocument/2006/relationships/hyperlink" Target="https://youtu.be/j2J_raQAaWc?t=6867" TargetMode="External"/><Relationship Id="rId132" Type="http://schemas.openxmlformats.org/officeDocument/2006/relationships/hyperlink" Target="https://youtu.be/1Dk2o98ydOE?t=4310" TargetMode="External"/><Relationship Id="rId253" Type="http://schemas.openxmlformats.org/officeDocument/2006/relationships/hyperlink" Target="https://youtu.be/7vkGjaSbelc?t=5244" TargetMode="External"/><Relationship Id="rId131" Type="http://schemas.openxmlformats.org/officeDocument/2006/relationships/hyperlink" Target="https://youtu.be/pqvxdAG4O20?t=4306" TargetMode="External"/><Relationship Id="rId252" Type="http://schemas.openxmlformats.org/officeDocument/2006/relationships/hyperlink" Target="https://youtu.be/j2J_raQAaWc?t=4291" TargetMode="External"/><Relationship Id="rId130" Type="http://schemas.openxmlformats.org/officeDocument/2006/relationships/hyperlink" Target="https://youtu.be/1Dk2o98ydOE?t=3499" TargetMode="External"/><Relationship Id="rId251" Type="http://schemas.openxmlformats.org/officeDocument/2006/relationships/hyperlink" Target="https://youtu.be/7vkGjaSbelc?t=4354" TargetMode="External"/><Relationship Id="rId250" Type="http://schemas.openxmlformats.org/officeDocument/2006/relationships/hyperlink" Target="https://youtu.be/j2J_raQAaWc?t=3470" TargetMode="External"/><Relationship Id="rId136" Type="http://schemas.openxmlformats.org/officeDocument/2006/relationships/hyperlink" Target="https://youtu.be/1Dk2o98ydOE?t=6006" TargetMode="External"/><Relationship Id="rId257" Type="http://schemas.openxmlformats.org/officeDocument/2006/relationships/hyperlink" Target="https://youtu.be/7vkGjaSbelc?t=6911" TargetMode="External"/><Relationship Id="rId135" Type="http://schemas.openxmlformats.org/officeDocument/2006/relationships/hyperlink" Target="https://youtu.be/pqvxdAG4O20?t=5944" TargetMode="External"/><Relationship Id="rId256" Type="http://schemas.openxmlformats.org/officeDocument/2006/relationships/hyperlink" Target="https://youtu.be/j2J_raQAaWc?t=6041" TargetMode="External"/><Relationship Id="rId134" Type="http://schemas.openxmlformats.org/officeDocument/2006/relationships/hyperlink" Target="https://youtu.be/1Dk2o98ydOE?t=5161" TargetMode="External"/><Relationship Id="rId255" Type="http://schemas.openxmlformats.org/officeDocument/2006/relationships/hyperlink" Target="https://youtu.be/7vkGjaSbelc?t=6089" TargetMode="External"/><Relationship Id="rId133" Type="http://schemas.openxmlformats.org/officeDocument/2006/relationships/hyperlink" Target="https://youtu.be/pqvxdAG4O20?t=5128" TargetMode="External"/><Relationship Id="rId254" Type="http://schemas.openxmlformats.org/officeDocument/2006/relationships/hyperlink" Target="https://youtu.be/j2J_raQAaWc?t=5142" TargetMode="External"/><Relationship Id="rId62" Type="http://schemas.openxmlformats.org/officeDocument/2006/relationships/hyperlink" Target="https://youtu.be/AYP9plDFymw" TargetMode="External"/><Relationship Id="rId61" Type="http://schemas.openxmlformats.org/officeDocument/2006/relationships/hyperlink" Target="https://youtu.be/u2jpRQb3yFU" TargetMode="External"/><Relationship Id="rId64" Type="http://schemas.openxmlformats.org/officeDocument/2006/relationships/hyperlink" Target="https://youtu.be/AYP9plDFymw?t=1045" TargetMode="External"/><Relationship Id="rId63" Type="http://schemas.openxmlformats.org/officeDocument/2006/relationships/hyperlink" Target="https://youtu.be/u2jpRQb3yFU?t=955" TargetMode="External"/><Relationship Id="rId66" Type="http://schemas.openxmlformats.org/officeDocument/2006/relationships/hyperlink" Target="https://youtu.be/AYP9plDFymw?t=2009" TargetMode="External"/><Relationship Id="rId172" Type="http://schemas.openxmlformats.org/officeDocument/2006/relationships/hyperlink" Target="https://youtu.be/wr5TNHsZErk?t=4437" TargetMode="External"/><Relationship Id="rId293" Type="http://schemas.openxmlformats.org/officeDocument/2006/relationships/hyperlink" Target="https://youtu.be/8jvYhrpO4Z4?t=5795" TargetMode="External"/><Relationship Id="rId65" Type="http://schemas.openxmlformats.org/officeDocument/2006/relationships/hyperlink" Target="https://youtu.be/u2jpRQb3yFU?t=1939" TargetMode="External"/><Relationship Id="rId171" Type="http://schemas.openxmlformats.org/officeDocument/2006/relationships/hyperlink" Target="https://youtu.be/LC4CM52Ibx8?t=4501" TargetMode="External"/><Relationship Id="rId292" Type="http://schemas.openxmlformats.org/officeDocument/2006/relationships/hyperlink" Target="https://youtu.be/XTycx6AmfJ0?t=4852" TargetMode="External"/><Relationship Id="rId68" Type="http://schemas.openxmlformats.org/officeDocument/2006/relationships/hyperlink" Target="https://youtu.be/AYP9plDFymw?t=2974" TargetMode="External"/><Relationship Id="rId170" Type="http://schemas.openxmlformats.org/officeDocument/2006/relationships/hyperlink" Target="https://youtu.be/wr5TNHsZErk?t=3548" TargetMode="External"/><Relationship Id="rId291" Type="http://schemas.openxmlformats.org/officeDocument/2006/relationships/hyperlink" Target="https://youtu.be/8jvYhrpO4Z4?t=4820" TargetMode="External"/><Relationship Id="rId67" Type="http://schemas.openxmlformats.org/officeDocument/2006/relationships/hyperlink" Target="https://youtu.be/u2jpRQb3yFU?t=2923" TargetMode="External"/><Relationship Id="rId290" Type="http://schemas.openxmlformats.org/officeDocument/2006/relationships/hyperlink" Target="https://youtu.be/XTycx6AmfJ0?t=3901" TargetMode="External"/><Relationship Id="rId60" Type="http://schemas.openxmlformats.org/officeDocument/2006/relationships/hyperlink" Target="https://youtu.be/D_SPTr-ICCE?t=7413" TargetMode="External"/><Relationship Id="rId165" Type="http://schemas.openxmlformats.org/officeDocument/2006/relationships/hyperlink" Target="https://youtu.be/LC4CM52Ibx8?t=1818" TargetMode="External"/><Relationship Id="rId286" Type="http://schemas.openxmlformats.org/officeDocument/2006/relationships/hyperlink" Target="https://youtu.be/XTycx6AmfJ0?t=1970" TargetMode="External"/><Relationship Id="rId69" Type="http://schemas.openxmlformats.org/officeDocument/2006/relationships/hyperlink" Target="https://youtu.be/u2jpRQb3yFU?t=3880" TargetMode="External"/><Relationship Id="rId164" Type="http://schemas.openxmlformats.org/officeDocument/2006/relationships/hyperlink" Target="https://youtu.be/wr5TNHsZErk?t=853" TargetMode="External"/><Relationship Id="rId285" Type="http://schemas.openxmlformats.org/officeDocument/2006/relationships/hyperlink" Target="https://youtu.be/8jvYhrpO4Z4?t=1972" TargetMode="External"/><Relationship Id="rId163" Type="http://schemas.openxmlformats.org/officeDocument/2006/relationships/hyperlink" Target="https://youtu.be/LC4CM52Ibx8?t=1007" TargetMode="External"/><Relationship Id="rId284" Type="http://schemas.openxmlformats.org/officeDocument/2006/relationships/hyperlink" Target="https://youtu.be/XTycx6AmfJ0?t=992" TargetMode="External"/><Relationship Id="rId162" Type="http://schemas.openxmlformats.org/officeDocument/2006/relationships/hyperlink" Target="https://youtu.be/wr5TNHsZErk" TargetMode="External"/><Relationship Id="rId283" Type="http://schemas.openxmlformats.org/officeDocument/2006/relationships/hyperlink" Target="https://youtu.be/8jvYhrpO4Z4?t=999" TargetMode="External"/><Relationship Id="rId169" Type="http://schemas.openxmlformats.org/officeDocument/2006/relationships/hyperlink" Target="https://youtu.be/LC4CM52Ibx8?t=3501" TargetMode="External"/><Relationship Id="rId168" Type="http://schemas.openxmlformats.org/officeDocument/2006/relationships/hyperlink" Target="https://youtu.be/wr5TNHsZErk?t=2625" TargetMode="External"/><Relationship Id="rId289" Type="http://schemas.openxmlformats.org/officeDocument/2006/relationships/hyperlink" Target="https://youtu.be/8jvYhrpO4Z4?t=3875" TargetMode="External"/><Relationship Id="rId167" Type="http://schemas.openxmlformats.org/officeDocument/2006/relationships/hyperlink" Target="https://youtu.be/LC4CM52Ibx8?t=2696" TargetMode="External"/><Relationship Id="rId288" Type="http://schemas.openxmlformats.org/officeDocument/2006/relationships/hyperlink" Target="https://youtu.be/XTycx6AmfJ0?t=2920" TargetMode="External"/><Relationship Id="rId166" Type="http://schemas.openxmlformats.org/officeDocument/2006/relationships/hyperlink" Target="https://youtu.be/wr5TNHsZErk?t=1752" TargetMode="External"/><Relationship Id="rId287" Type="http://schemas.openxmlformats.org/officeDocument/2006/relationships/hyperlink" Target="https://youtu.be/8jvYhrpO4Z4?t=2921" TargetMode="External"/><Relationship Id="rId51" Type="http://schemas.openxmlformats.org/officeDocument/2006/relationships/hyperlink" Target="https://youtu.be/qXwduBYE_CQ?t=4108" TargetMode="External"/><Relationship Id="rId50" Type="http://schemas.openxmlformats.org/officeDocument/2006/relationships/hyperlink" Target="https://youtu.be/D_SPTr-ICCE?t=3284" TargetMode="External"/><Relationship Id="rId53" Type="http://schemas.openxmlformats.org/officeDocument/2006/relationships/hyperlink" Target="https://youtu.be/qXwduBYE_CQ?t=4932" TargetMode="External"/><Relationship Id="rId52" Type="http://schemas.openxmlformats.org/officeDocument/2006/relationships/hyperlink" Target="https://youtu.be/D_SPTr-ICCE?t=4117" TargetMode="External"/><Relationship Id="rId55" Type="http://schemas.openxmlformats.org/officeDocument/2006/relationships/hyperlink" Target="https://youtu.be/qXwduBYE_CQ?t=5750" TargetMode="External"/><Relationship Id="rId161" Type="http://schemas.openxmlformats.org/officeDocument/2006/relationships/hyperlink" Target="https://youtu.be/LC4CM52Ibx8" TargetMode="External"/><Relationship Id="rId282" Type="http://schemas.openxmlformats.org/officeDocument/2006/relationships/hyperlink" Target="https://youtu.be/XTycx6AmfJ0" TargetMode="External"/><Relationship Id="rId54" Type="http://schemas.openxmlformats.org/officeDocument/2006/relationships/hyperlink" Target="https://youtu.be/D_SPTr-ICCE?t=4923" TargetMode="External"/><Relationship Id="rId160" Type="http://schemas.openxmlformats.org/officeDocument/2006/relationships/hyperlink" Target="https://youtu.be/mDU3Wvk4tIE?t=8754" TargetMode="External"/><Relationship Id="rId281" Type="http://schemas.openxmlformats.org/officeDocument/2006/relationships/hyperlink" Target="https://youtu.be/8jvYhrpO4Z4" TargetMode="External"/><Relationship Id="rId57" Type="http://schemas.openxmlformats.org/officeDocument/2006/relationships/hyperlink" Target="https://youtu.be/qXwduBYE_CQ?t=6551" TargetMode="External"/><Relationship Id="rId280" Type="http://schemas.openxmlformats.org/officeDocument/2006/relationships/hyperlink" Target="https://youtu.be/D1SzjEeps7k?t=7672" TargetMode="External"/><Relationship Id="rId56" Type="http://schemas.openxmlformats.org/officeDocument/2006/relationships/hyperlink" Target="https://youtu.be/D_SPTr-ICCE?t=5763" TargetMode="External"/><Relationship Id="rId159" Type="http://schemas.openxmlformats.org/officeDocument/2006/relationships/hyperlink" Target="https://youtu.be/0GEOUWZfp2c?t=8704" TargetMode="External"/><Relationship Id="rId59" Type="http://schemas.openxmlformats.org/officeDocument/2006/relationships/hyperlink" Target="https://youtu.be/qXwduBYE_CQ?t=7357" TargetMode="External"/><Relationship Id="rId154" Type="http://schemas.openxmlformats.org/officeDocument/2006/relationships/hyperlink" Target="https://youtu.be/mDU3Wvk4tIE?t=5804" TargetMode="External"/><Relationship Id="rId275" Type="http://schemas.openxmlformats.org/officeDocument/2006/relationships/hyperlink" Target="https://youtu.be/8_bqnQ756JA?t=6034" TargetMode="External"/><Relationship Id="rId58" Type="http://schemas.openxmlformats.org/officeDocument/2006/relationships/hyperlink" Target="https://youtu.be/D_SPTr-ICCE?t=6581" TargetMode="External"/><Relationship Id="rId153" Type="http://schemas.openxmlformats.org/officeDocument/2006/relationships/hyperlink" Target="https://youtu.be/0GEOUWZfp2c?t=5900" TargetMode="External"/><Relationship Id="rId274" Type="http://schemas.openxmlformats.org/officeDocument/2006/relationships/hyperlink" Target="https://youtu.be/D1SzjEeps7k?t=5135" TargetMode="External"/><Relationship Id="rId152" Type="http://schemas.openxmlformats.org/officeDocument/2006/relationships/hyperlink" Target="https://youtu.be/mDU3Wvk4tIE?t=4881" TargetMode="External"/><Relationship Id="rId273" Type="http://schemas.openxmlformats.org/officeDocument/2006/relationships/hyperlink" Target="https://youtu.be/8_bqnQ756JA?t=5222" TargetMode="External"/><Relationship Id="rId151" Type="http://schemas.openxmlformats.org/officeDocument/2006/relationships/hyperlink" Target="https://youtu.be/0GEOUWZfp2c?t=4841" TargetMode="External"/><Relationship Id="rId272" Type="http://schemas.openxmlformats.org/officeDocument/2006/relationships/hyperlink" Target="https://youtu.be/D1SzjEeps7k?t=4267" TargetMode="External"/><Relationship Id="rId158" Type="http://schemas.openxmlformats.org/officeDocument/2006/relationships/hyperlink" Target="https://youtu.be/mDU3Wvk4tIE?t=7752" TargetMode="External"/><Relationship Id="rId279" Type="http://schemas.openxmlformats.org/officeDocument/2006/relationships/hyperlink" Target="https://youtu.be/8_bqnQ756JA?t=7667" TargetMode="External"/><Relationship Id="rId157" Type="http://schemas.openxmlformats.org/officeDocument/2006/relationships/hyperlink" Target="https://youtu.be/0GEOUWZfp2c?t=7825" TargetMode="External"/><Relationship Id="rId278" Type="http://schemas.openxmlformats.org/officeDocument/2006/relationships/hyperlink" Target="https://youtu.be/D1SzjEeps7k?t=6804" TargetMode="External"/><Relationship Id="rId156" Type="http://schemas.openxmlformats.org/officeDocument/2006/relationships/hyperlink" Target="https://youtu.be/mDU3Wvk4tIE?t=6751" TargetMode="External"/><Relationship Id="rId277" Type="http://schemas.openxmlformats.org/officeDocument/2006/relationships/hyperlink" Target="https://youtu.be/8_bqnQ756JA?t=6859" TargetMode="External"/><Relationship Id="rId155" Type="http://schemas.openxmlformats.org/officeDocument/2006/relationships/hyperlink" Target="https://youtu.be/0GEOUWZfp2c?t=6775" TargetMode="External"/><Relationship Id="rId276" Type="http://schemas.openxmlformats.org/officeDocument/2006/relationships/hyperlink" Target="https://youtu.be/D1SzjEeps7k?t=5966" TargetMode="External"/><Relationship Id="rId107" Type="http://schemas.openxmlformats.org/officeDocument/2006/relationships/hyperlink" Target="https://youtu.be/pIHHoE8NFq8?t=2886" TargetMode="External"/><Relationship Id="rId228" Type="http://schemas.openxmlformats.org/officeDocument/2006/relationships/hyperlink" Target="https://youtu.be/nG8XoBXg75k?t=2986" TargetMode="External"/><Relationship Id="rId106" Type="http://schemas.openxmlformats.org/officeDocument/2006/relationships/hyperlink" Target="https://youtu.be/-rfFFGSp7qk?t=1967" TargetMode="External"/><Relationship Id="rId227" Type="http://schemas.openxmlformats.org/officeDocument/2006/relationships/hyperlink" Target="https://youtu.be/UdDhQuZw960?t=2895" TargetMode="External"/><Relationship Id="rId105" Type="http://schemas.openxmlformats.org/officeDocument/2006/relationships/hyperlink" Target="https://youtu.be/pIHHoE8NFq8?t=1924" TargetMode="External"/><Relationship Id="rId226" Type="http://schemas.openxmlformats.org/officeDocument/2006/relationships/hyperlink" Target="https://youtu.be/nG8XoBXg75k?t=2046" TargetMode="External"/><Relationship Id="rId104" Type="http://schemas.openxmlformats.org/officeDocument/2006/relationships/hyperlink" Target="https://youtu.be/-rfFFGSp7qk?t=1064" TargetMode="External"/><Relationship Id="rId225" Type="http://schemas.openxmlformats.org/officeDocument/2006/relationships/hyperlink" Target="https://youtu.be/UdDhQuZw960?t=1957" TargetMode="External"/><Relationship Id="rId109" Type="http://schemas.openxmlformats.org/officeDocument/2006/relationships/hyperlink" Target="https://youtu.be/pIHHoE8NFq8?t=3806" TargetMode="External"/><Relationship Id="rId108" Type="http://schemas.openxmlformats.org/officeDocument/2006/relationships/hyperlink" Target="https://youtu.be/-rfFFGSp7qk?t=2908" TargetMode="External"/><Relationship Id="rId229" Type="http://schemas.openxmlformats.org/officeDocument/2006/relationships/hyperlink" Target="https://youtu.be/UdDhQuZw960?t=3836" TargetMode="External"/><Relationship Id="rId220" Type="http://schemas.openxmlformats.org/officeDocument/2006/relationships/hyperlink" Target="https://youtu.be/0RZiwpHja8o?t=8604" TargetMode="External"/><Relationship Id="rId103" Type="http://schemas.openxmlformats.org/officeDocument/2006/relationships/hyperlink" Target="https://youtu.be/pIHHoE8NFq8?t=978" TargetMode="External"/><Relationship Id="rId224" Type="http://schemas.openxmlformats.org/officeDocument/2006/relationships/hyperlink" Target="https://youtu.be/nG8XoBXg75k?t=1072" TargetMode="External"/><Relationship Id="rId102" Type="http://schemas.openxmlformats.org/officeDocument/2006/relationships/hyperlink" Target="https://youtu.be/-rfFFGSp7qk" TargetMode="External"/><Relationship Id="rId223" Type="http://schemas.openxmlformats.org/officeDocument/2006/relationships/hyperlink" Target="https://youtu.be/UdDhQuZw960?t=1025" TargetMode="External"/><Relationship Id="rId101" Type="http://schemas.openxmlformats.org/officeDocument/2006/relationships/hyperlink" Target="https://youtu.be/pIHHoE8NFq8" TargetMode="External"/><Relationship Id="rId222" Type="http://schemas.openxmlformats.org/officeDocument/2006/relationships/hyperlink" Target="https://youtu.be/nG8XoBXg75k" TargetMode="External"/><Relationship Id="rId100" Type="http://schemas.openxmlformats.org/officeDocument/2006/relationships/hyperlink" Target="https://youtu.be/zKu4pCHfA_g?t=8710" TargetMode="External"/><Relationship Id="rId221" Type="http://schemas.openxmlformats.org/officeDocument/2006/relationships/hyperlink" Target="https://youtu.be/UdDhQuZw960?t=163" TargetMode="External"/><Relationship Id="rId217" Type="http://schemas.openxmlformats.org/officeDocument/2006/relationships/hyperlink" Target="https://youtu.be/m0wEMXjUaFc?t=7595" TargetMode="External"/><Relationship Id="rId216" Type="http://schemas.openxmlformats.org/officeDocument/2006/relationships/hyperlink" Target="https://youtu.be/0RZiwpHja8o?t=6781" TargetMode="External"/><Relationship Id="rId215" Type="http://schemas.openxmlformats.org/officeDocument/2006/relationships/hyperlink" Target="https://youtu.be/m0wEMXjUaFc?t=6628" TargetMode="External"/><Relationship Id="rId214" Type="http://schemas.openxmlformats.org/officeDocument/2006/relationships/hyperlink" Target="https://youtu.be/0RZiwpHja8o?t=5849" TargetMode="External"/><Relationship Id="rId219" Type="http://schemas.openxmlformats.org/officeDocument/2006/relationships/hyperlink" Target="https://youtu.be/m0wEMXjUaFc?t=8542" TargetMode="External"/><Relationship Id="rId218" Type="http://schemas.openxmlformats.org/officeDocument/2006/relationships/hyperlink" Target="https://youtu.be/0RZiwpHja8o?t=7690" TargetMode="External"/><Relationship Id="rId213" Type="http://schemas.openxmlformats.org/officeDocument/2006/relationships/hyperlink" Target="https://youtu.be/m0wEMXjUaFc?t=5770" TargetMode="External"/><Relationship Id="rId212" Type="http://schemas.openxmlformats.org/officeDocument/2006/relationships/hyperlink" Target="https://youtu.be/0RZiwpHja8o?t=4904" TargetMode="External"/><Relationship Id="rId211" Type="http://schemas.openxmlformats.org/officeDocument/2006/relationships/hyperlink" Target="https://youtu.be/m0wEMXjUaFc?t=4748" TargetMode="External"/><Relationship Id="rId210" Type="http://schemas.openxmlformats.org/officeDocument/2006/relationships/hyperlink" Target="https://youtu.be/0RZiwpHja8o?t=3921" TargetMode="External"/><Relationship Id="rId129" Type="http://schemas.openxmlformats.org/officeDocument/2006/relationships/hyperlink" Target="https://youtu.be/pqvxdAG4O20?t=3423" TargetMode="External"/><Relationship Id="rId128" Type="http://schemas.openxmlformats.org/officeDocument/2006/relationships/hyperlink" Target="https://youtu.be/1Dk2o98ydOE?t=2653" TargetMode="External"/><Relationship Id="rId249" Type="http://schemas.openxmlformats.org/officeDocument/2006/relationships/hyperlink" Target="https://youtu.be/7vkGjaSbelc?t=3508" TargetMode="External"/><Relationship Id="rId127" Type="http://schemas.openxmlformats.org/officeDocument/2006/relationships/hyperlink" Target="https://youtu.be/pqvxdAG4O20?t=2618" TargetMode="External"/><Relationship Id="rId248" Type="http://schemas.openxmlformats.org/officeDocument/2006/relationships/hyperlink" Target="https://youtu.be/j2J_raQAaWc?t=2608" TargetMode="External"/><Relationship Id="rId126" Type="http://schemas.openxmlformats.org/officeDocument/2006/relationships/hyperlink" Target="https://youtu.be/1Dk2o98ydOE?t=1784" TargetMode="External"/><Relationship Id="rId247" Type="http://schemas.openxmlformats.org/officeDocument/2006/relationships/hyperlink" Target="https://youtu.be/7vkGjaSbelc?t=2676" TargetMode="External"/><Relationship Id="rId121" Type="http://schemas.openxmlformats.org/officeDocument/2006/relationships/hyperlink" Target="https://youtu.be/pqvxdAG4O20" TargetMode="External"/><Relationship Id="rId242" Type="http://schemas.openxmlformats.org/officeDocument/2006/relationships/hyperlink" Target="https://youtu.be/j2J_raQAaWc" TargetMode="External"/><Relationship Id="rId120" Type="http://schemas.openxmlformats.org/officeDocument/2006/relationships/hyperlink" Target="https://youtu.be/-rfFFGSp7qk?t=8621" TargetMode="External"/><Relationship Id="rId241" Type="http://schemas.openxmlformats.org/officeDocument/2006/relationships/hyperlink" Target="https://youtu.be/7vkGjaSbelc" TargetMode="External"/><Relationship Id="rId240" Type="http://schemas.openxmlformats.org/officeDocument/2006/relationships/hyperlink" Target="https://youtu.be/nG8XoBXg75k?t=8714" TargetMode="External"/><Relationship Id="rId125" Type="http://schemas.openxmlformats.org/officeDocument/2006/relationships/hyperlink" Target="https://youtu.be/pqvxdAG4O20?t=1829" TargetMode="External"/><Relationship Id="rId246" Type="http://schemas.openxmlformats.org/officeDocument/2006/relationships/hyperlink" Target="https://youtu.be/j2J_raQAaWc?t=1748" TargetMode="External"/><Relationship Id="rId124" Type="http://schemas.openxmlformats.org/officeDocument/2006/relationships/hyperlink" Target="https://youtu.be/1Dk2o98ydOE?t=933" TargetMode="External"/><Relationship Id="rId245" Type="http://schemas.openxmlformats.org/officeDocument/2006/relationships/hyperlink" Target="https://youtu.be/7vkGjaSbelc?t=1823" TargetMode="External"/><Relationship Id="rId123" Type="http://schemas.openxmlformats.org/officeDocument/2006/relationships/hyperlink" Target="https://youtu.be/pqvxdAG4O20?t=960" TargetMode="External"/><Relationship Id="rId244" Type="http://schemas.openxmlformats.org/officeDocument/2006/relationships/hyperlink" Target="https://youtu.be/j2J_raQAaWc?t=862" TargetMode="External"/><Relationship Id="rId122" Type="http://schemas.openxmlformats.org/officeDocument/2006/relationships/hyperlink" Target="https://youtu.be/1Dk2o98ydOE" TargetMode="External"/><Relationship Id="rId243" Type="http://schemas.openxmlformats.org/officeDocument/2006/relationships/hyperlink" Target="https://youtu.be/7vkGjaSbelc?t=953" TargetMode="External"/><Relationship Id="rId95" Type="http://schemas.openxmlformats.org/officeDocument/2006/relationships/hyperlink" Target="https://youtu.be/eEzFFBXPscU?t=6749" TargetMode="External"/><Relationship Id="rId94" Type="http://schemas.openxmlformats.org/officeDocument/2006/relationships/hyperlink" Target="https://youtu.be/zKu4pCHfA_g?t=5713" TargetMode="External"/><Relationship Id="rId97" Type="http://schemas.openxmlformats.org/officeDocument/2006/relationships/hyperlink" Target="https://youtu.be/eEzFFBXPscU?t=7681" TargetMode="External"/><Relationship Id="rId96" Type="http://schemas.openxmlformats.org/officeDocument/2006/relationships/hyperlink" Target="https://youtu.be/zKu4pCHfA_g?t=6736" TargetMode="External"/><Relationship Id="rId99" Type="http://schemas.openxmlformats.org/officeDocument/2006/relationships/hyperlink" Target="https://youtu.be/eEzFFBXPscU?t=8594" TargetMode="External"/><Relationship Id="rId98" Type="http://schemas.openxmlformats.org/officeDocument/2006/relationships/hyperlink" Target="https://youtu.be/zKu4pCHfA_g?t=7697" TargetMode="External"/><Relationship Id="rId91" Type="http://schemas.openxmlformats.org/officeDocument/2006/relationships/hyperlink" Target="https://youtu.be/eEzFFBXPscU?t=4750" TargetMode="External"/><Relationship Id="rId90" Type="http://schemas.openxmlformats.org/officeDocument/2006/relationships/hyperlink" Target="https://youtu.be/zKu4pCHfA_g?t=3871" TargetMode="External"/><Relationship Id="rId93" Type="http://schemas.openxmlformats.org/officeDocument/2006/relationships/hyperlink" Target="https://youtu.be/eEzFFBXPscU?t=5701" TargetMode="External"/><Relationship Id="rId92" Type="http://schemas.openxmlformats.org/officeDocument/2006/relationships/hyperlink" Target="https://youtu.be/zKu4pCHfA_g?t=4776" TargetMode="External"/><Relationship Id="rId118" Type="http://schemas.openxmlformats.org/officeDocument/2006/relationships/hyperlink" Target="https://youtu.be/-rfFFGSp7qk?t=7638" TargetMode="External"/><Relationship Id="rId239" Type="http://schemas.openxmlformats.org/officeDocument/2006/relationships/hyperlink" Target="https://youtu.be/UdDhQuZw960?t=8653" TargetMode="External"/><Relationship Id="rId117" Type="http://schemas.openxmlformats.org/officeDocument/2006/relationships/hyperlink" Target="https://youtu.be/pIHHoE8NFq8?t=7603" TargetMode="External"/><Relationship Id="rId238" Type="http://schemas.openxmlformats.org/officeDocument/2006/relationships/hyperlink" Target="https://youtu.be/nG8XoBXg75k?t=7825" TargetMode="External"/><Relationship Id="rId116" Type="http://schemas.openxmlformats.org/officeDocument/2006/relationships/hyperlink" Target="https://youtu.be/-rfFFGSp7qk?t=6703" TargetMode="External"/><Relationship Id="rId237" Type="http://schemas.openxmlformats.org/officeDocument/2006/relationships/hyperlink" Target="https://youtu.be/UdDhQuZw960?t=7706" TargetMode="External"/><Relationship Id="rId115" Type="http://schemas.openxmlformats.org/officeDocument/2006/relationships/hyperlink" Target="https://youtu.be/pIHHoE8NFq8?t=6614" TargetMode="External"/><Relationship Id="rId236" Type="http://schemas.openxmlformats.org/officeDocument/2006/relationships/hyperlink" Target="https://youtu.be/nG8XoBXg75k?t=6836" TargetMode="External"/><Relationship Id="rId119" Type="http://schemas.openxmlformats.org/officeDocument/2006/relationships/hyperlink" Target="https://youtu.be/pIHHoE8NFq8?t=8543" TargetMode="External"/><Relationship Id="rId110" Type="http://schemas.openxmlformats.org/officeDocument/2006/relationships/hyperlink" Target="https://youtu.be/-rfFFGSp7qk?t=3894" TargetMode="External"/><Relationship Id="rId231" Type="http://schemas.openxmlformats.org/officeDocument/2006/relationships/hyperlink" Target="https://youtu.be/UdDhQuZw960?t=4817" TargetMode="External"/><Relationship Id="rId230" Type="http://schemas.openxmlformats.org/officeDocument/2006/relationships/hyperlink" Target="https://youtu.be/nG8XoBXg75k?t=3944" TargetMode="External"/><Relationship Id="rId114" Type="http://schemas.openxmlformats.org/officeDocument/2006/relationships/hyperlink" Target="https://youtu.be/-rfFFGSp7qk?t=5803" TargetMode="External"/><Relationship Id="rId235" Type="http://schemas.openxmlformats.org/officeDocument/2006/relationships/hyperlink" Target="https://youtu.be/UdDhQuZw960?t=6728" TargetMode="External"/><Relationship Id="rId113" Type="http://schemas.openxmlformats.org/officeDocument/2006/relationships/hyperlink" Target="https://youtu.be/pIHHoE8NFq8?t=5635" TargetMode="External"/><Relationship Id="rId234" Type="http://schemas.openxmlformats.org/officeDocument/2006/relationships/hyperlink" Target="https://youtu.be/nG8XoBXg75k?t=5874" TargetMode="External"/><Relationship Id="rId112" Type="http://schemas.openxmlformats.org/officeDocument/2006/relationships/hyperlink" Target="https://youtu.be/-rfFFGSp7qk?t=4844" TargetMode="External"/><Relationship Id="rId233" Type="http://schemas.openxmlformats.org/officeDocument/2006/relationships/hyperlink" Target="https://youtu.be/UdDhQuZw960?t=5767" TargetMode="External"/><Relationship Id="rId111" Type="http://schemas.openxmlformats.org/officeDocument/2006/relationships/hyperlink" Target="https://youtu.be/pIHHoE8NFq8?t=4695" TargetMode="External"/><Relationship Id="rId232" Type="http://schemas.openxmlformats.org/officeDocument/2006/relationships/hyperlink" Target="https://youtu.be/nG8XoBXg75k?t=4901" TargetMode="External"/><Relationship Id="rId305" Type="http://schemas.openxmlformats.org/officeDocument/2006/relationships/hyperlink" Target="https://youtu.be/AQ_MZbj2TIc?t=1727" TargetMode="External"/><Relationship Id="rId304" Type="http://schemas.openxmlformats.org/officeDocument/2006/relationships/hyperlink" Target="https://youtu.be/g-b7hEvChHY?t=867" TargetMode="External"/><Relationship Id="rId303" Type="http://schemas.openxmlformats.org/officeDocument/2006/relationships/hyperlink" Target="https://youtu.be/AQ_MZbj2TIc?t=889" TargetMode="External"/><Relationship Id="rId302" Type="http://schemas.openxmlformats.org/officeDocument/2006/relationships/hyperlink" Target="https://youtu.be/g-b7hEvChHY" TargetMode="External"/><Relationship Id="rId309" Type="http://schemas.openxmlformats.org/officeDocument/2006/relationships/hyperlink" Target="https://youtu.be/AQ_MZbj2TIc?t=3345" TargetMode="External"/><Relationship Id="rId308" Type="http://schemas.openxmlformats.org/officeDocument/2006/relationships/hyperlink" Target="https://youtu.be/g-b7hEvChHY?t=2525" TargetMode="External"/><Relationship Id="rId307" Type="http://schemas.openxmlformats.org/officeDocument/2006/relationships/hyperlink" Target="https://youtu.be/AQ_MZbj2TIc?t=2528" TargetMode="External"/><Relationship Id="rId306" Type="http://schemas.openxmlformats.org/officeDocument/2006/relationships/hyperlink" Target="https://youtu.be/g-b7hEvChHY?t=1704" TargetMode="External"/><Relationship Id="rId301" Type="http://schemas.openxmlformats.org/officeDocument/2006/relationships/hyperlink" Target="https://youtu.be/AQ_MZbj2TIc" TargetMode="External"/><Relationship Id="rId300" Type="http://schemas.openxmlformats.org/officeDocument/2006/relationships/hyperlink" Target="https://youtu.be/XTycx6AmfJ0?t=8661" TargetMode="External"/><Relationship Id="rId206" Type="http://schemas.openxmlformats.org/officeDocument/2006/relationships/hyperlink" Target="https://youtu.be/0RZiwpHja8o?t=1991" TargetMode="External"/><Relationship Id="rId205" Type="http://schemas.openxmlformats.org/officeDocument/2006/relationships/hyperlink" Target="https://youtu.be/m0wEMXjUaFc?t=2058" TargetMode="External"/><Relationship Id="rId204" Type="http://schemas.openxmlformats.org/officeDocument/2006/relationships/hyperlink" Target="https://youtu.be/0RZiwpHja8o?t=994" TargetMode="External"/><Relationship Id="rId203" Type="http://schemas.openxmlformats.org/officeDocument/2006/relationships/hyperlink" Target="https://youtu.be/m0wEMXjUaFc?t=873" TargetMode="External"/><Relationship Id="rId209" Type="http://schemas.openxmlformats.org/officeDocument/2006/relationships/hyperlink" Target="https://youtu.be/m0wEMXjUaFc?t=3756" TargetMode="External"/><Relationship Id="rId208" Type="http://schemas.openxmlformats.org/officeDocument/2006/relationships/hyperlink" Target="https://youtu.be/0RZiwpHja8o?t=2947" TargetMode="External"/><Relationship Id="rId207" Type="http://schemas.openxmlformats.org/officeDocument/2006/relationships/hyperlink" Target="https://youtu.be/m0wEMXjUaFc?t=2946" TargetMode="External"/><Relationship Id="rId202" Type="http://schemas.openxmlformats.org/officeDocument/2006/relationships/hyperlink" Target="https://youtu.be/0RZiwpHja8o" TargetMode="External"/><Relationship Id="rId201" Type="http://schemas.openxmlformats.org/officeDocument/2006/relationships/hyperlink" Target="https://youtu.be/m0wEMXjUaFc" TargetMode="External"/><Relationship Id="rId200" Type="http://schemas.openxmlformats.org/officeDocument/2006/relationships/hyperlink" Target="https://youtu.be/G10uyE0VWcM?t=7790" TargetMode="External"/><Relationship Id="rId321" Type="http://schemas.openxmlformats.org/officeDocument/2006/relationships/drawing" Target="../drawings/drawing18.xml"/><Relationship Id="rId320" Type="http://schemas.openxmlformats.org/officeDocument/2006/relationships/hyperlink" Target="https://youtu.be/g-b7hEvChHY?t=7458" TargetMode="External"/><Relationship Id="rId316" Type="http://schemas.openxmlformats.org/officeDocument/2006/relationships/hyperlink" Target="https://youtu.be/g-b7hEvChHY?t=5776" TargetMode="External"/><Relationship Id="rId315" Type="http://schemas.openxmlformats.org/officeDocument/2006/relationships/hyperlink" Target="https://youtu.be/AQ_MZbj2TIc?t=5804" TargetMode="External"/><Relationship Id="rId314" Type="http://schemas.openxmlformats.org/officeDocument/2006/relationships/hyperlink" Target="https://youtu.be/g-b7hEvChHY?t=4947" TargetMode="External"/><Relationship Id="rId313" Type="http://schemas.openxmlformats.org/officeDocument/2006/relationships/hyperlink" Target="https://youtu.be/AQ_MZbj2TIc?t=4976" TargetMode="External"/><Relationship Id="rId319" Type="http://schemas.openxmlformats.org/officeDocument/2006/relationships/hyperlink" Target="https://youtu.be/AQ_MZbj2TIc?t=7449" TargetMode="External"/><Relationship Id="rId318" Type="http://schemas.openxmlformats.org/officeDocument/2006/relationships/hyperlink" Target="https://youtu.be/g-b7hEvChHY?t=6611" TargetMode="External"/><Relationship Id="rId317" Type="http://schemas.openxmlformats.org/officeDocument/2006/relationships/hyperlink" Target="https://youtu.be/AQ_MZbj2TIc?t=6633" TargetMode="External"/><Relationship Id="rId312" Type="http://schemas.openxmlformats.org/officeDocument/2006/relationships/hyperlink" Target="https://youtu.be/g-b7hEvChHY?t=4138" TargetMode="External"/><Relationship Id="rId311" Type="http://schemas.openxmlformats.org/officeDocument/2006/relationships/hyperlink" Target="https://youtu.be/AQ_MZbj2TIc?t=4143" TargetMode="External"/><Relationship Id="rId310" Type="http://schemas.openxmlformats.org/officeDocument/2006/relationships/hyperlink" Target="https://youtu.be/g-b7hEvChHY?t=3341" TargetMode="External"/></Relationships>
</file>

<file path=xl/worksheets/_rels/sheet1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RPhOt1sAn-M?t=8671" TargetMode="External"/><Relationship Id="rId190" Type="http://schemas.openxmlformats.org/officeDocument/2006/relationships/hyperlink" Target="https://youtu.be/L-PfudLPuug?t=1992" TargetMode="External"/><Relationship Id="rId42" Type="http://schemas.openxmlformats.org/officeDocument/2006/relationships/hyperlink" Target="https://youtu.be/Z_juAcOaWBk" TargetMode="External"/><Relationship Id="rId41" Type="http://schemas.openxmlformats.org/officeDocument/2006/relationships/hyperlink" Target="https://youtu.be/zu9li1503dQ" TargetMode="External"/><Relationship Id="rId44" Type="http://schemas.openxmlformats.org/officeDocument/2006/relationships/hyperlink" Target="https://youtu.be/Z_juAcOaWBk?t=885" TargetMode="External"/><Relationship Id="rId194" Type="http://schemas.openxmlformats.org/officeDocument/2006/relationships/hyperlink" Target="https://youtu.be/L-PfudLPuug?t=3976" TargetMode="External"/><Relationship Id="rId43" Type="http://schemas.openxmlformats.org/officeDocument/2006/relationships/hyperlink" Target="https://youtu.be/zu9li1503dQ?t=849" TargetMode="External"/><Relationship Id="rId193" Type="http://schemas.openxmlformats.org/officeDocument/2006/relationships/hyperlink" Target="https://youtu.be/IaTdcLepvxI?t=3833" TargetMode="External"/><Relationship Id="rId46" Type="http://schemas.openxmlformats.org/officeDocument/2006/relationships/hyperlink" Target="https://youtu.be/Z_juAcOaWBk?t=1709" TargetMode="External"/><Relationship Id="rId192" Type="http://schemas.openxmlformats.org/officeDocument/2006/relationships/hyperlink" Target="https://youtu.be/L-PfudLPuug?t=3000" TargetMode="External"/><Relationship Id="rId45" Type="http://schemas.openxmlformats.org/officeDocument/2006/relationships/hyperlink" Target="https://youtu.be/zu9li1503dQ?t=1658" TargetMode="External"/><Relationship Id="rId191" Type="http://schemas.openxmlformats.org/officeDocument/2006/relationships/hyperlink" Target="https://youtu.be/IaTdcLepvxI?t=2909" TargetMode="External"/><Relationship Id="rId48" Type="http://schemas.openxmlformats.org/officeDocument/2006/relationships/hyperlink" Target="https://youtu.be/Z_juAcOaWBk?t=2569" TargetMode="External"/><Relationship Id="rId187" Type="http://schemas.openxmlformats.org/officeDocument/2006/relationships/hyperlink" Target="https://youtu.be/IaTdcLepvxI?t=1005" TargetMode="External"/><Relationship Id="rId47" Type="http://schemas.openxmlformats.org/officeDocument/2006/relationships/hyperlink" Target="https://youtu.be/zu9li1503dQ?t=2507" TargetMode="External"/><Relationship Id="rId186" Type="http://schemas.openxmlformats.org/officeDocument/2006/relationships/hyperlink" Target="https://youtu.be/L-PfudLPuug" TargetMode="External"/><Relationship Id="rId185" Type="http://schemas.openxmlformats.org/officeDocument/2006/relationships/hyperlink" Target="https://youtu.be/IaTdcLepvxI" TargetMode="External"/><Relationship Id="rId49" Type="http://schemas.openxmlformats.org/officeDocument/2006/relationships/hyperlink" Target="https://youtu.be/zu9li1503dQ?t=3284" TargetMode="External"/><Relationship Id="rId184" Type="http://schemas.openxmlformats.org/officeDocument/2006/relationships/hyperlink" Target="https://youtu.be/K5usXoT3QaQ?t=7594" TargetMode="External"/><Relationship Id="rId189" Type="http://schemas.openxmlformats.org/officeDocument/2006/relationships/hyperlink" Target="https://youtu.be/IaTdcLepvxI?t=1949" TargetMode="External"/><Relationship Id="rId188" Type="http://schemas.openxmlformats.org/officeDocument/2006/relationships/hyperlink" Target="https://youtu.be/L-PfudLPuug?t=1058" TargetMode="External"/><Relationship Id="rId31" Type="http://schemas.openxmlformats.org/officeDocument/2006/relationships/hyperlink" Target="https://youtu.be/0LdnB3K029U?t=4837" TargetMode="External"/><Relationship Id="rId30" Type="http://schemas.openxmlformats.org/officeDocument/2006/relationships/hyperlink" Target="https://youtu.be/RPhOt1sAn-M?t=3966" TargetMode="External"/><Relationship Id="rId33" Type="http://schemas.openxmlformats.org/officeDocument/2006/relationships/hyperlink" Target="https://youtu.be/0LdnB3K029U?t=5771" TargetMode="External"/><Relationship Id="rId183" Type="http://schemas.openxmlformats.org/officeDocument/2006/relationships/hyperlink" Target="https://youtu.be/t4gU5NxpXdk?t=7621" TargetMode="External"/><Relationship Id="rId32" Type="http://schemas.openxmlformats.org/officeDocument/2006/relationships/hyperlink" Target="https://youtu.be/RPhOt1sAn-M?t=4873" TargetMode="External"/><Relationship Id="rId182" Type="http://schemas.openxmlformats.org/officeDocument/2006/relationships/hyperlink" Target="https://youtu.be/K5usXoT3QaQ?t=6762" TargetMode="External"/><Relationship Id="rId35" Type="http://schemas.openxmlformats.org/officeDocument/2006/relationships/hyperlink" Target="https://youtu.be/0LdnB3K029U?t=6750" TargetMode="External"/><Relationship Id="rId181" Type="http://schemas.openxmlformats.org/officeDocument/2006/relationships/hyperlink" Target="https://youtu.be/t4gU5NxpXdk?t=6796" TargetMode="External"/><Relationship Id="rId34" Type="http://schemas.openxmlformats.org/officeDocument/2006/relationships/hyperlink" Target="https://youtu.be/RPhOt1sAn-M?t=5828" TargetMode="External"/><Relationship Id="rId180" Type="http://schemas.openxmlformats.org/officeDocument/2006/relationships/hyperlink" Target="https://youtu.be/K5usXoT3QaQ?t=5960" TargetMode="External"/><Relationship Id="rId37" Type="http://schemas.openxmlformats.org/officeDocument/2006/relationships/hyperlink" Target="https://youtu.be/0LdnB3K029U?t=7701" TargetMode="External"/><Relationship Id="rId176" Type="http://schemas.openxmlformats.org/officeDocument/2006/relationships/hyperlink" Target="https://youtu.be/K5usXoT3QaQ?t=4288" TargetMode="External"/><Relationship Id="rId297" Type="http://schemas.openxmlformats.org/officeDocument/2006/relationships/hyperlink" Target="https://youtu.be/LAXlAMBUf48?t=5265" TargetMode="External"/><Relationship Id="rId36" Type="http://schemas.openxmlformats.org/officeDocument/2006/relationships/hyperlink" Target="https://youtu.be/RPhOt1sAn-M?t=6794" TargetMode="External"/><Relationship Id="rId175" Type="http://schemas.openxmlformats.org/officeDocument/2006/relationships/hyperlink" Target="https://youtu.be/t4gU5NxpXdk?t=4321" TargetMode="External"/><Relationship Id="rId296" Type="http://schemas.openxmlformats.org/officeDocument/2006/relationships/hyperlink" Target="https://youtu.be/_8yhsI8irJQ?t=4377" TargetMode="External"/><Relationship Id="rId39" Type="http://schemas.openxmlformats.org/officeDocument/2006/relationships/hyperlink" Target="https://youtu.be/0LdnB3K029U?t=8647" TargetMode="External"/><Relationship Id="rId174" Type="http://schemas.openxmlformats.org/officeDocument/2006/relationships/hyperlink" Target="https://youtu.be/K5usXoT3QaQ?t=3424" TargetMode="External"/><Relationship Id="rId295" Type="http://schemas.openxmlformats.org/officeDocument/2006/relationships/hyperlink" Target="https://youtu.be/LAXlAMBUf48?t=4426" TargetMode="External"/><Relationship Id="rId38" Type="http://schemas.openxmlformats.org/officeDocument/2006/relationships/hyperlink" Target="https://youtu.be/RPhOt1sAn-M?t=7762" TargetMode="External"/><Relationship Id="rId173" Type="http://schemas.openxmlformats.org/officeDocument/2006/relationships/hyperlink" Target="https://youtu.be/t4gU5NxpXdk?t=3437" TargetMode="External"/><Relationship Id="rId294" Type="http://schemas.openxmlformats.org/officeDocument/2006/relationships/hyperlink" Target="https://youtu.be/_8yhsI8irJQ?t=3548" TargetMode="External"/><Relationship Id="rId179" Type="http://schemas.openxmlformats.org/officeDocument/2006/relationships/hyperlink" Target="https://youtu.be/t4gU5NxpXdk?t=6008" TargetMode="External"/><Relationship Id="rId178" Type="http://schemas.openxmlformats.org/officeDocument/2006/relationships/hyperlink" Target="https://youtu.be/K5usXoT3QaQ?t=5112" TargetMode="External"/><Relationship Id="rId299" Type="http://schemas.openxmlformats.org/officeDocument/2006/relationships/hyperlink" Target="https://youtu.be/LAXlAMBUf48?t=6078" TargetMode="External"/><Relationship Id="rId177" Type="http://schemas.openxmlformats.org/officeDocument/2006/relationships/hyperlink" Target="https://youtu.be/t4gU5NxpXdk?t=5125" TargetMode="External"/><Relationship Id="rId298" Type="http://schemas.openxmlformats.org/officeDocument/2006/relationships/hyperlink" Target="https://youtu.be/_8yhsI8irJQ?t=5173" TargetMode="External"/><Relationship Id="rId20" Type="http://schemas.openxmlformats.org/officeDocument/2006/relationships/hyperlink" Target="https://youtu.be/hgJhJd0cr8I?t=7602" TargetMode="External"/><Relationship Id="rId22" Type="http://schemas.openxmlformats.org/officeDocument/2006/relationships/hyperlink" Target="https://youtu.be/RPhOt1sAn-M" TargetMode="External"/><Relationship Id="rId21" Type="http://schemas.openxmlformats.org/officeDocument/2006/relationships/hyperlink" Target="https://youtu.be/0LdnB3K029U" TargetMode="External"/><Relationship Id="rId24" Type="http://schemas.openxmlformats.org/officeDocument/2006/relationships/hyperlink" Target="https://youtu.be/RPhOt1sAn-M?t=1020" TargetMode="External"/><Relationship Id="rId23" Type="http://schemas.openxmlformats.org/officeDocument/2006/relationships/hyperlink" Target="https://youtu.be/0LdnB3K029U?t=978" TargetMode="External"/><Relationship Id="rId26" Type="http://schemas.openxmlformats.org/officeDocument/2006/relationships/hyperlink" Target="https://youtu.be/RPhOt1sAn-M?t=2007" TargetMode="External"/><Relationship Id="rId25" Type="http://schemas.openxmlformats.org/officeDocument/2006/relationships/hyperlink" Target="https://youtu.be/0LdnB3K029U?t=1922" TargetMode="External"/><Relationship Id="rId28" Type="http://schemas.openxmlformats.org/officeDocument/2006/relationships/hyperlink" Target="https://youtu.be/RPhOt1sAn-M?t=2963" TargetMode="External"/><Relationship Id="rId27" Type="http://schemas.openxmlformats.org/officeDocument/2006/relationships/hyperlink" Target="https://youtu.be/0LdnB3K029U?t=2912" TargetMode="External"/><Relationship Id="rId29" Type="http://schemas.openxmlformats.org/officeDocument/2006/relationships/hyperlink" Target="https://youtu.be/0LdnB3K029U?t=3876" TargetMode="External"/><Relationship Id="rId11" Type="http://schemas.openxmlformats.org/officeDocument/2006/relationships/hyperlink" Target="https://youtu.be/y19af-SLafo?t=4158" TargetMode="External"/><Relationship Id="rId10" Type="http://schemas.openxmlformats.org/officeDocument/2006/relationships/hyperlink" Target="https://youtu.be/hgJhJd0cr8I?t=3366" TargetMode="External"/><Relationship Id="rId13" Type="http://schemas.openxmlformats.org/officeDocument/2006/relationships/hyperlink" Target="https://youtu.be/y19af-SLafo?t=4988" TargetMode="External"/><Relationship Id="rId12" Type="http://schemas.openxmlformats.org/officeDocument/2006/relationships/hyperlink" Target="https://youtu.be/hgJhJd0cr8I?t=4190" TargetMode="External"/><Relationship Id="rId15" Type="http://schemas.openxmlformats.org/officeDocument/2006/relationships/hyperlink" Target="https://youtu.be/y19af-SLafo?t=5812" TargetMode="External"/><Relationship Id="rId198" Type="http://schemas.openxmlformats.org/officeDocument/2006/relationships/hyperlink" Target="https://youtu.be/L-PfudLPuug?t=5836" TargetMode="External"/><Relationship Id="rId14" Type="http://schemas.openxmlformats.org/officeDocument/2006/relationships/hyperlink" Target="https://youtu.be/hgJhJd0cr8I?t=5050" TargetMode="External"/><Relationship Id="rId197" Type="http://schemas.openxmlformats.org/officeDocument/2006/relationships/hyperlink" Target="https://youtu.be/IaTdcLepvxI?t=5709" TargetMode="External"/><Relationship Id="rId17" Type="http://schemas.openxmlformats.org/officeDocument/2006/relationships/hyperlink" Target="https://youtu.be/y19af-SLafo?t=6637" TargetMode="External"/><Relationship Id="rId196" Type="http://schemas.openxmlformats.org/officeDocument/2006/relationships/hyperlink" Target="https://youtu.be/L-PfudLPuug?t=4892" TargetMode="External"/><Relationship Id="rId16" Type="http://schemas.openxmlformats.org/officeDocument/2006/relationships/hyperlink" Target="https://youtu.be/hgJhJd0cr8I?t=5856" TargetMode="External"/><Relationship Id="rId195" Type="http://schemas.openxmlformats.org/officeDocument/2006/relationships/hyperlink" Target="https://youtu.be/IaTdcLepvxI?t=4792" TargetMode="External"/><Relationship Id="rId19" Type="http://schemas.openxmlformats.org/officeDocument/2006/relationships/hyperlink" Target="https://youtu.be/y19af-SLafo?t=7475" TargetMode="External"/><Relationship Id="rId18" Type="http://schemas.openxmlformats.org/officeDocument/2006/relationships/hyperlink" Target="https://youtu.be/hgJhJd0cr8I?t=6713" TargetMode="External"/><Relationship Id="rId199" Type="http://schemas.openxmlformats.org/officeDocument/2006/relationships/hyperlink" Target="https://youtu.be/IaTdcLepvxI?t=6655" TargetMode="External"/><Relationship Id="rId84" Type="http://schemas.openxmlformats.org/officeDocument/2006/relationships/hyperlink" Target="https://youtu.be/Be6ok-FZQ3w?t=1330" TargetMode="External"/><Relationship Id="rId83" Type="http://schemas.openxmlformats.org/officeDocument/2006/relationships/hyperlink" Target="https://youtu.be/z47aEOO9va0?t=945" TargetMode="External"/><Relationship Id="rId86" Type="http://schemas.openxmlformats.org/officeDocument/2006/relationships/hyperlink" Target="https://youtu.be/Be6ok-FZQ3w?t=2724" TargetMode="External"/><Relationship Id="rId85" Type="http://schemas.openxmlformats.org/officeDocument/2006/relationships/hyperlink" Target="https://youtu.be/z47aEOO9va0?t=1873" TargetMode="External"/><Relationship Id="rId88" Type="http://schemas.openxmlformats.org/officeDocument/2006/relationships/hyperlink" Target="https://youtu.be/z47aEOO9va0?t=3556" TargetMode="External"/><Relationship Id="rId150" Type="http://schemas.openxmlformats.org/officeDocument/2006/relationships/hyperlink" Target="https://youtu.be/pZ_LleJYAiI?t=1889" TargetMode="External"/><Relationship Id="rId271" Type="http://schemas.openxmlformats.org/officeDocument/2006/relationships/hyperlink" Target="https://youtu.be/AT2GJVRNYfs?t=2907" TargetMode="External"/><Relationship Id="rId87" Type="http://schemas.openxmlformats.org/officeDocument/2006/relationships/hyperlink" Target="https://youtu.be/z47aEOO9va0?t=2715" TargetMode="External"/><Relationship Id="rId270" Type="http://schemas.openxmlformats.org/officeDocument/2006/relationships/hyperlink" Target="https://youtu.be/BwWwN9V2h9I?t=1960" TargetMode="External"/><Relationship Id="rId89" Type="http://schemas.openxmlformats.org/officeDocument/2006/relationships/hyperlink" Target="https://youtu.be/z47aEOO9va0?t=5146" TargetMode="External"/><Relationship Id="rId80" Type="http://schemas.openxmlformats.org/officeDocument/2006/relationships/hyperlink" Target="https://youtu.be/9YjAccwiw-Y?t=8616" TargetMode="External"/><Relationship Id="rId82" Type="http://schemas.openxmlformats.org/officeDocument/2006/relationships/hyperlink" Target="https://youtu.be/Be6ok-FZQ3w" TargetMode="External"/><Relationship Id="rId81" Type="http://schemas.openxmlformats.org/officeDocument/2006/relationships/hyperlink" Target="https://youtu.be/z47aEOO9va0" TargetMode="External"/><Relationship Id="rId1" Type="http://schemas.openxmlformats.org/officeDocument/2006/relationships/hyperlink" Target="https://youtu.be/y19af-SLafo" TargetMode="External"/><Relationship Id="rId2" Type="http://schemas.openxmlformats.org/officeDocument/2006/relationships/hyperlink" Target="https://youtu.be/hgJhJd0cr8I" TargetMode="External"/><Relationship Id="rId3" Type="http://schemas.openxmlformats.org/officeDocument/2006/relationships/hyperlink" Target="https://youtu.be/y19af-SLafo" TargetMode="External"/><Relationship Id="rId149" Type="http://schemas.openxmlformats.org/officeDocument/2006/relationships/hyperlink" Target="https://youtu.be/FzGKX3LK224?t=1761" TargetMode="External"/><Relationship Id="rId4" Type="http://schemas.openxmlformats.org/officeDocument/2006/relationships/hyperlink" Target="https://youtu.be/hgJhJd0cr8I?t=875" TargetMode="External"/><Relationship Id="rId148" Type="http://schemas.openxmlformats.org/officeDocument/2006/relationships/hyperlink" Target="https://youtu.be/pZ_LleJYAiI?t=1076" TargetMode="External"/><Relationship Id="rId269" Type="http://schemas.openxmlformats.org/officeDocument/2006/relationships/hyperlink" Target="https://youtu.be/AT2GJVRNYfs?t=1965" TargetMode="External"/><Relationship Id="rId9" Type="http://schemas.openxmlformats.org/officeDocument/2006/relationships/hyperlink" Target="https://youtu.be/y19af-SLafo?t=3334" TargetMode="External"/><Relationship Id="rId143" Type="http://schemas.openxmlformats.org/officeDocument/2006/relationships/hyperlink" Target="https://youtu.be/7ytXlESWr0k?t=8562" TargetMode="External"/><Relationship Id="rId264" Type="http://schemas.openxmlformats.org/officeDocument/2006/relationships/hyperlink" Target="https://youtu.be/MswkvowTCw8?t=7892" TargetMode="External"/><Relationship Id="rId142" Type="http://schemas.openxmlformats.org/officeDocument/2006/relationships/hyperlink" Target="https://youtu.be/g70Xl_-IUhM?t=7684" TargetMode="External"/><Relationship Id="rId263" Type="http://schemas.openxmlformats.org/officeDocument/2006/relationships/hyperlink" Target="https://youtu.be/iMWqqdmyXug?t=7938" TargetMode="External"/><Relationship Id="rId141" Type="http://schemas.openxmlformats.org/officeDocument/2006/relationships/hyperlink" Target="https://youtu.be/7ytXlESWr0k?t=7660" TargetMode="External"/><Relationship Id="rId262" Type="http://schemas.openxmlformats.org/officeDocument/2006/relationships/hyperlink" Target="https://youtu.be/MswkvowTCw8?t=7056" TargetMode="External"/><Relationship Id="rId140" Type="http://schemas.openxmlformats.org/officeDocument/2006/relationships/hyperlink" Target="https://youtu.be/g70Xl_-IUhM?t=6718" TargetMode="External"/><Relationship Id="rId261" Type="http://schemas.openxmlformats.org/officeDocument/2006/relationships/hyperlink" Target="https://youtu.be/iMWqqdmyXug?t=7121" TargetMode="External"/><Relationship Id="rId5" Type="http://schemas.openxmlformats.org/officeDocument/2006/relationships/hyperlink" Target="https://youtu.be/y19af-SLafo?t=1701" TargetMode="External"/><Relationship Id="rId147" Type="http://schemas.openxmlformats.org/officeDocument/2006/relationships/hyperlink" Target="https://youtu.be/FzGKX3LK224?t=896" TargetMode="External"/><Relationship Id="rId268" Type="http://schemas.openxmlformats.org/officeDocument/2006/relationships/hyperlink" Target="https://youtu.be/BwWwN9V2h9I?t=1010" TargetMode="External"/><Relationship Id="rId6" Type="http://schemas.openxmlformats.org/officeDocument/2006/relationships/hyperlink" Target="https://youtu.be/hgJhJd0cr8I?t=1697" TargetMode="External"/><Relationship Id="rId146" Type="http://schemas.openxmlformats.org/officeDocument/2006/relationships/hyperlink" Target="https://youtu.be/pZ_LleJYAiI" TargetMode="External"/><Relationship Id="rId267" Type="http://schemas.openxmlformats.org/officeDocument/2006/relationships/hyperlink" Target="https://youtu.be/AT2GJVRNYfs?t=963" TargetMode="External"/><Relationship Id="rId7" Type="http://schemas.openxmlformats.org/officeDocument/2006/relationships/hyperlink" Target="https://youtu.be/y19af-SLafo?t=2496" TargetMode="External"/><Relationship Id="rId145" Type="http://schemas.openxmlformats.org/officeDocument/2006/relationships/hyperlink" Target="https://youtu.be/FzGKX3LK224" TargetMode="External"/><Relationship Id="rId266" Type="http://schemas.openxmlformats.org/officeDocument/2006/relationships/hyperlink" Target="https://youtu.be/BwWwN9V2h9I" TargetMode="External"/><Relationship Id="rId8" Type="http://schemas.openxmlformats.org/officeDocument/2006/relationships/hyperlink" Target="https://youtu.be/hgJhJd0cr8I?t=2556" TargetMode="External"/><Relationship Id="rId144" Type="http://schemas.openxmlformats.org/officeDocument/2006/relationships/hyperlink" Target="https://youtu.be/g70Xl_-IUhM?t=8632" TargetMode="External"/><Relationship Id="rId265" Type="http://schemas.openxmlformats.org/officeDocument/2006/relationships/hyperlink" Target="https://youtu.be/AT2GJVRNYfs" TargetMode="External"/><Relationship Id="rId73" Type="http://schemas.openxmlformats.org/officeDocument/2006/relationships/hyperlink" Target="https://youtu.be/EvNY_GrkqYY?t=5751" TargetMode="External"/><Relationship Id="rId72" Type="http://schemas.openxmlformats.org/officeDocument/2006/relationships/hyperlink" Target="https://youtu.be/9YjAccwiw-Y?t=4909" TargetMode="External"/><Relationship Id="rId75" Type="http://schemas.openxmlformats.org/officeDocument/2006/relationships/hyperlink" Target="https://youtu.be/EvNY_GrkqYY?t=6745" TargetMode="External"/><Relationship Id="rId74" Type="http://schemas.openxmlformats.org/officeDocument/2006/relationships/hyperlink" Target="https://youtu.be/9YjAccwiw-Y?t=5838" TargetMode="External"/><Relationship Id="rId77" Type="http://schemas.openxmlformats.org/officeDocument/2006/relationships/hyperlink" Target="https://youtu.be/EvNY_GrkqYY?t=7694" TargetMode="External"/><Relationship Id="rId260" Type="http://schemas.openxmlformats.org/officeDocument/2006/relationships/hyperlink" Target="https://youtu.be/MswkvowTCw8?t=6165" TargetMode="External"/><Relationship Id="rId76" Type="http://schemas.openxmlformats.org/officeDocument/2006/relationships/hyperlink" Target="https://youtu.be/9YjAccwiw-Y?t=6853" TargetMode="External"/><Relationship Id="rId79" Type="http://schemas.openxmlformats.org/officeDocument/2006/relationships/hyperlink" Target="https://youtu.be/EvNY_GrkqYY?t=8681" TargetMode="External"/><Relationship Id="rId78" Type="http://schemas.openxmlformats.org/officeDocument/2006/relationships/hyperlink" Target="https://youtu.be/9YjAccwiw-Y?t=7754" TargetMode="External"/><Relationship Id="rId71" Type="http://schemas.openxmlformats.org/officeDocument/2006/relationships/hyperlink" Target="https://youtu.be/EvNY_GrkqYY?t=4816" TargetMode="External"/><Relationship Id="rId70" Type="http://schemas.openxmlformats.org/officeDocument/2006/relationships/hyperlink" Target="https://youtu.be/9YjAccwiw-Y?t=4090" TargetMode="External"/><Relationship Id="rId139" Type="http://schemas.openxmlformats.org/officeDocument/2006/relationships/hyperlink" Target="https://youtu.be/7ytXlESWr0k?t=6699" TargetMode="External"/><Relationship Id="rId138" Type="http://schemas.openxmlformats.org/officeDocument/2006/relationships/hyperlink" Target="https://youtu.be/g70Xl_-IUhM?t=5757" TargetMode="External"/><Relationship Id="rId259" Type="http://schemas.openxmlformats.org/officeDocument/2006/relationships/hyperlink" Target="https://youtu.be/iMWqqdmyXug?t=6217" TargetMode="External"/><Relationship Id="rId137" Type="http://schemas.openxmlformats.org/officeDocument/2006/relationships/hyperlink" Target="https://youtu.be/7ytXlESWr0k?t=5762" TargetMode="External"/><Relationship Id="rId258" Type="http://schemas.openxmlformats.org/officeDocument/2006/relationships/hyperlink" Target="https://youtu.be/MswkvowTCw8?t=5303" TargetMode="External"/><Relationship Id="rId132" Type="http://schemas.openxmlformats.org/officeDocument/2006/relationships/hyperlink" Target="https://youtu.be/g70Xl_-IUhM?t=2874" TargetMode="External"/><Relationship Id="rId253" Type="http://schemas.openxmlformats.org/officeDocument/2006/relationships/hyperlink" Target="https://youtu.be/iMWqqdmyXug?t=3584" TargetMode="External"/><Relationship Id="rId131" Type="http://schemas.openxmlformats.org/officeDocument/2006/relationships/hyperlink" Target="https://youtu.be/7ytXlESWr0k?t=2849" TargetMode="External"/><Relationship Id="rId252" Type="http://schemas.openxmlformats.org/officeDocument/2006/relationships/hyperlink" Target="https://youtu.be/MswkvowTCw8?t=2653" TargetMode="External"/><Relationship Id="rId130" Type="http://schemas.openxmlformats.org/officeDocument/2006/relationships/hyperlink" Target="https://youtu.be/g70Xl_-IUhM?t=1937" TargetMode="External"/><Relationship Id="rId251" Type="http://schemas.openxmlformats.org/officeDocument/2006/relationships/hyperlink" Target="https://youtu.be/iMWqqdmyXug?t=2735" TargetMode="External"/><Relationship Id="rId250" Type="http://schemas.openxmlformats.org/officeDocument/2006/relationships/hyperlink" Target="https://youtu.be/MswkvowTCw8?t=1787" TargetMode="External"/><Relationship Id="rId136" Type="http://schemas.openxmlformats.org/officeDocument/2006/relationships/hyperlink" Target="https://youtu.be/g70Xl_-IUhM?t=4829" TargetMode="External"/><Relationship Id="rId257" Type="http://schemas.openxmlformats.org/officeDocument/2006/relationships/hyperlink" Target="https://youtu.be/iMWqqdmyXug?t=5382" TargetMode="External"/><Relationship Id="rId135" Type="http://schemas.openxmlformats.org/officeDocument/2006/relationships/hyperlink" Target="https://youtu.be/7ytXlESWr0k?t=4752" TargetMode="External"/><Relationship Id="rId256" Type="http://schemas.openxmlformats.org/officeDocument/2006/relationships/hyperlink" Target="https://youtu.be/MswkvowTCw8?t=4437" TargetMode="External"/><Relationship Id="rId134" Type="http://schemas.openxmlformats.org/officeDocument/2006/relationships/hyperlink" Target="https://youtu.be/g70Xl_-IUhM?t=3866" TargetMode="External"/><Relationship Id="rId255" Type="http://schemas.openxmlformats.org/officeDocument/2006/relationships/hyperlink" Target="https://youtu.be/iMWqqdmyXug?t=4502" TargetMode="External"/><Relationship Id="rId133" Type="http://schemas.openxmlformats.org/officeDocument/2006/relationships/hyperlink" Target="https://youtu.be/7ytXlESWr0k?t=3786" TargetMode="External"/><Relationship Id="rId254" Type="http://schemas.openxmlformats.org/officeDocument/2006/relationships/hyperlink" Target="https://youtu.be/MswkvowTCw8?t=3531" TargetMode="External"/><Relationship Id="rId62" Type="http://schemas.openxmlformats.org/officeDocument/2006/relationships/hyperlink" Target="https://youtu.be/9YjAccwiw-Y" TargetMode="External"/><Relationship Id="rId61" Type="http://schemas.openxmlformats.org/officeDocument/2006/relationships/hyperlink" Target="https://youtu.be/EvNY_GrkqYY" TargetMode="External"/><Relationship Id="rId64" Type="http://schemas.openxmlformats.org/officeDocument/2006/relationships/hyperlink" Target="https://youtu.be/9YjAccwiw-Y?t=1123" TargetMode="External"/><Relationship Id="rId63" Type="http://schemas.openxmlformats.org/officeDocument/2006/relationships/hyperlink" Target="https://youtu.be/EvNY_GrkqYY?t=1087" TargetMode="External"/><Relationship Id="rId66" Type="http://schemas.openxmlformats.org/officeDocument/2006/relationships/hyperlink" Target="https://youtu.be/9YjAccwiw-Y?t=2046" TargetMode="External"/><Relationship Id="rId172" Type="http://schemas.openxmlformats.org/officeDocument/2006/relationships/hyperlink" Target="https://youtu.be/K5usXoT3QaQ?t=2573" TargetMode="External"/><Relationship Id="rId293" Type="http://schemas.openxmlformats.org/officeDocument/2006/relationships/hyperlink" Target="https://youtu.be/LAXlAMBUf48?t=3581" TargetMode="External"/><Relationship Id="rId65" Type="http://schemas.openxmlformats.org/officeDocument/2006/relationships/hyperlink" Target="https://youtu.be/EvNY_GrkqYY?t=1991" TargetMode="External"/><Relationship Id="rId171" Type="http://schemas.openxmlformats.org/officeDocument/2006/relationships/hyperlink" Target="https://youtu.be/t4gU5NxpXdk?t=2574" TargetMode="External"/><Relationship Id="rId292" Type="http://schemas.openxmlformats.org/officeDocument/2006/relationships/hyperlink" Target="https://youtu.be/_8yhsI8irJQ?t=2665" TargetMode="External"/><Relationship Id="rId68" Type="http://schemas.openxmlformats.org/officeDocument/2006/relationships/hyperlink" Target="https://youtu.be/9YjAccwiw-Y?t=2971" TargetMode="External"/><Relationship Id="rId170" Type="http://schemas.openxmlformats.org/officeDocument/2006/relationships/hyperlink" Target="https://youtu.be/K5usXoT3QaQ?t=1743" TargetMode="External"/><Relationship Id="rId291" Type="http://schemas.openxmlformats.org/officeDocument/2006/relationships/hyperlink" Target="https://youtu.be/LAXlAMBUf48?t=2728" TargetMode="External"/><Relationship Id="rId67" Type="http://schemas.openxmlformats.org/officeDocument/2006/relationships/hyperlink" Target="https://youtu.be/EvNY_GrkqYY?t=2899" TargetMode="External"/><Relationship Id="rId290" Type="http://schemas.openxmlformats.org/officeDocument/2006/relationships/hyperlink" Target="https://youtu.be/_8yhsI8irJQ?t=1800" TargetMode="External"/><Relationship Id="rId60" Type="http://schemas.openxmlformats.org/officeDocument/2006/relationships/hyperlink" Target="https://youtu.be/Z_juAcOaWBk?t=7640" TargetMode="External"/><Relationship Id="rId165" Type="http://schemas.openxmlformats.org/officeDocument/2006/relationships/hyperlink" Target="https://youtu.be/t4gU5NxpXdk" TargetMode="External"/><Relationship Id="rId286" Type="http://schemas.openxmlformats.org/officeDocument/2006/relationships/hyperlink" Target="https://youtu.be/_8yhsI8irJQ" TargetMode="External"/><Relationship Id="rId69" Type="http://schemas.openxmlformats.org/officeDocument/2006/relationships/hyperlink" Target="https://youtu.be/EvNY_GrkqYY?t=3847" TargetMode="External"/><Relationship Id="rId164" Type="http://schemas.openxmlformats.org/officeDocument/2006/relationships/hyperlink" Target="https://youtu.be/pZ_LleJYAiI?t=7730" TargetMode="External"/><Relationship Id="rId285" Type="http://schemas.openxmlformats.org/officeDocument/2006/relationships/hyperlink" Target="https://youtu.be/LAXlAMBUf48" TargetMode="External"/><Relationship Id="rId163" Type="http://schemas.openxmlformats.org/officeDocument/2006/relationships/hyperlink" Target="https://youtu.be/FzGKX3LK224?t=7678" TargetMode="External"/><Relationship Id="rId284" Type="http://schemas.openxmlformats.org/officeDocument/2006/relationships/hyperlink" Target="https://youtu.be/BwWwN9V2h9I?t=8595" TargetMode="External"/><Relationship Id="rId162" Type="http://schemas.openxmlformats.org/officeDocument/2006/relationships/hyperlink" Target="https://youtu.be/pZ_LleJYAiI?t=6927" TargetMode="External"/><Relationship Id="rId283" Type="http://schemas.openxmlformats.org/officeDocument/2006/relationships/hyperlink" Target="https://youtu.be/AT2GJVRNYfs?t=8634" TargetMode="External"/><Relationship Id="rId169" Type="http://schemas.openxmlformats.org/officeDocument/2006/relationships/hyperlink" Target="https://youtu.be/t4gU5NxpXdk?t=1718" TargetMode="External"/><Relationship Id="rId168" Type="http://schemas.openxmlformats.org/officeDocument/2006/relationships/hyperlink" Target="https://youtu.be/K5usXoT3QaQ?t=897" TargetMode="External"/><Relationship Id="rId289" Type="http://schemas.openxmlformats.org/officeDocument/2006/relationships/hyperlink" Target="https://youtu.be/LAXlAMBUf48?t=1856" TargetMode="External"/><Relationship Id="rId167" Type="http://schemas.openxmlformats.org/officeDocument/2006/relationships/hyperlink" Target="https://youtu.be/t4gU5NxpXdk?t=894" TargetMode="External"/><Relationship Id="rId288" Type="http://schemas.openxmlformats.org/officeDocument/2006/relationships/hyperlink" Target="https://youtu.be/_8yhsI8irJQ?t=924" TargetMode="External"/><Relationship Id="rId166" Type="http://schemas.openxmlformats.org/officeDocument/2006/relationships/hyperlink" Target="https://youtu.be/K5usXoT3QaQ" TargetMode="External"/><Relationship Id="rId287" Type="http://schemas.openxmlformats.org/officeDocument/2006/relationships/hyperlink" Target="https://youtu.be/LAXlAMBUf48?t=996" TargetMode="External"/><Relationship Id="rId51" Type="http://schemas.openxmlformats.org/officeDocument/2006/relationships/hyperlink" Target="https://youtu.be/zu9li1503dQ?t=4234" TargetMode="External"/><Relationship Id="rId50" Type="http://schemas.openxmlformats.org/officeDocument/2006/relationships/hyperlink" Target="https://youtu.be/Z_juAcOaWBk?t=3393" TargetMode="External"/><Relationship Id="rId53" Type="http://schemas.openxmlformats.org/officeDocument/2006/relationships/hyperlink" Target="https://youtu.be/zu9li1503dQ?t=5062" TargetMode="External"/><Relationship Id="rId52" Type="http://schemas.openxmlformats.org/officeDocument/2006/relationships/hyperlink" Target="https://youtu.be/Z_juAcOaWBk?t=4278" TargetMode="External"/><Relationship Id="rId55" Type="http://schemas.openxmlformats.org/officeDocument/2006/relationships/hyperlink" Target="https://youtu.be/zu9li1503dQ?t=5895" TargetMode="External"/><Relationship Id="rId161" Type="http://schemas.openxmlformats.org/officeDocument/2006/relationships/hyperlink" Target="https://youtu.be/FzGKX3LK224?t=6866" TargetMode="External"/><Relationship Id="rId282" Type="http://schemas.openxmlformats.org/officeDocument/2006/relationships/hyperlink" Target="https://youtu.be/BwWwN9V2h9I?t=7710" TargetMode="External"/><Relationship Id="rId54" Type="http://schemas.openxmlformats.org/officeDocument/2006/relationships/hyperlink" Target="https://youtu.be/Z_juAcOaWBk?t=5076" TargetMode="External"/><Relationship Id="rId160" Type="http://schemas.openxmlformats.org/officeDocument/2006/relationships/hyperlink" Target="https://youtu.be/pZ_LleJYAiI?t=6109" TargetMode="External"/><Relationship Id="rId281" Type="http://schemas.openxmlformats.org/officeDocument/2006/relationships/hyperlink" Target="https://youtu.be/AT2GJVRNYfs?t=7704" TargetMode="External"/><Relationship Id="rId57" Type="http://schemas.openxmlformats.org/officeDocument/2006/relationships/hyperlink" Target="https://youtu.be/zu9li1503dQ?t=6707" TargetMode="External"/><Relationship Id="rId280" Type="http://schemas.openxmlformats.org/officeDocument/2006/relationships/hyperlink" Target="https://youtu.be/BwWwN9V2h9I?t=6779" TargetMode="External"/><Relationship Id="rId56" Type="http://schemas.openxmlformats.org/officeDocument/2006/relationships/hyperlink" Target="https://youtu.be/Z_juAcOaWBk?t=5945" TargetMode="External"/><Relationship Id="rId159" Type="http://schemas.openxmlformats.org/officeDocument/2006/relationships/hyperlink" Target="https://youtu.be/FzGKX3LK224?t=6039" TargetMode="External"/><Relationship Id="rId59" Type="http://schemas.openxmlformats.org/officeDocument/2006/relationships/hyperlink" Target="https://youtu.be/zu9li1503dQ?t=7569" TargetMode="External"/><Relationship Id="rId154" Type="http://schemas.openxmlformats.org/officeDocument/2006/relationships/hyperlink" Target="https://youtu.be/pZ_LleJYAiI?t=3617" TargetMode="External"/><Relationship Id="rId275" Type="http://schemas.openxmlformats.org/officeDocument/2006/relationships/hyperlink" Target="https://youtu.be/AT2GJVRNYfs?t=4839" TargetMode="External"/><Relationship Id="rId58" Type="http://schemas.openxmlformats.org/officeDocument/2006/relationships/hyperlink" Target="https://youtu.be/Z_juAcOaWBk?t=6819" TargetMode="External"/><Relationship Id="rId153" Type="http://schemas.openxmlformats.org/officeDocument/2006/relationships/hyperlink" Target="https://youtu.be/FzGKX3LK224?t=3438" TargetMode="External"/><Relationship Id="rId274" Type="http://schemas.openxmlformats.org/officeDocument/2006/relationships/hyperlink" Target="https://youtu.be/BwWwN9V2h9I?t=3862" TargetMode="External"/><Relationship Id="rId152" Type="http://schemas.openxmlformats.org/officeDocument/2006/relationships/hyperlink" Target="https://youtu.be/pZ_LleJYAiI?t=2724" TargetMode="External"/><Relationship Id="rId273" Type="http://schemas.openxmlformats.org/officeDocument/2006/relationships/hyperlink" Target="https://youtu.be/AT2GJVRNYfs?t=3875" TargetMode="External"/><Relationship Id="rId151" Type="http://schemas.openxmlformats.org/officeDocument/2006/relationships/hyperlink" Target="https://youtu.be/FzGKX3LK224?t=2609" TargetMode="External"/><Relationship Id="rId272" Type="http://schemas.openxmlformats.org/officeDocument/2006/relationships/hyperlink" Target="https://youtu.be/BwWwN9V2h9I?t=2910" TargetMode="External"/><Relationship Id="rId158" Type="http://schemas.openxmlformats.org/officeDocument/2006/relationships/hyperlink" Target="https://youtu.be/pZ_LleJYAiI?t=5297" TargetMode="External"/><Relationship Id="rId279" Type="http://schemas.openxmlformats.org/officeDocument/2006/relationships/hyperlink" Target="https://youtu.be/AT2GJVRNYfs?t=6688" TargetMode="External"/><Relationship Id="rId157" Type="http://schemas.openxmlformats.org/officeDocument/2006/relationships/hyperlink" Target="https://youtu.be/FzGKX3LK224?t=5243" TargetMode="External"/><Relationship Id="rId278" Type="http://schemas.openxmlformats.org/officeDocument/2006/relationships/hyperlink" Target="https://youtu.be/BwWwN9V2h9I?t=5806" TargetMode="External"/><Relationship Id="rId156" Type="http://schemas.openxmlformats.org/officeDocument/2006/relationships/hyperlink" Target="https://youtu.be/pZ_LleJYAiI?t=4485" TargetMode="External"/><Relationship Id="rId277" Type="http://schemas.openxmlformats.org/officeDocument/2006/relationships/hyperlink" Target="https://youtu.be/AT2GJVRNYfs?t=5762" TargetMode="External"/><Relationship Id="rId155" Type="http://schemas.openxmlformats.org/officeDocument/2006/relationships/hyperlink" Target="https://youtu.be/FzGKX3LK224?t=4419" TargetMode="External"/><Relationship Id="rId276" Type="http://schemas.openxmlformats.org/officeDocument/2006/relationships/hyperlink" Target="https://youtu.be/BwWwN9V2h9I?t=4835" TargetMode="External"/><Relationship Id="rId107" Type="http://schemas.openxmlformats.org/officeDocument/2006/relationships/hyperlink" Target="https://youtu.be/6m9rcZSjMyM?t=1152" TargetMode="External"/><Relationship Id="rId228" Type="http://schemas.openxmlformats.org/officeDocument/2006/relationships/hyperlink" Target="https://youtu.be/8UoYAF_cTdA?t=947" TargetMode="External"/><Relationship Id="rId106" Type="http://schemas.openxmlformats.org/officeDocument/2006/relationships/hyperlink" Target="https://youtu.be/1bQYo8-1Jjg?t=311" TargetMode="External"/><Relationship Id="rId227" Type="http://schemas.openxmlformats.org/officeDocument/2006/relationships/hyperlink" Target="https://youtu.be/62PSgVD-XqQ?t=873" TargetMode="External"/><Relationship Id="rId105" Type="http://schemas.openxmlformats.org/officeDocument/2006/relationships/hyperlink" Target="https://youtu.be/6m9rcZSjMyM" TargetMode="External"/><Relationship Id="rId226" Type="http://schemas.openxmlformats.org/officeDocument/2006/relationships/hyperlink" Target="https://youtu.be/8UoYAF_cTdA" TargetMode="External"/><Relationship Id="rId104" Type="http://schemas.openxmlformats.org/officeDocument/2006/relationships/hyperlink" Target="https://youtu.be/6GRShjlbsSg?t=22" TargetMode="External"/><Relationship Id="rId225" Type="http://schemas.openxmlformats.org/officeDocument/2006/relationships/hyperlink" Target="https://youtu.be/62PSgVD-XqQ" TargetMode="External"/><Relationship Id="rId109" Type="http://schemas.openxmlformats.org/officeDocument/2006/relationships/hyperlink" Target="https://youtu.be/6m9rcZSjMyM?t=2006" TargetMode="External"/><Relationship Id="rId108" Type="http://schemas.openxmlformats.org/officeDocument/2006/relationships/hyperlink" Target="https://youtu.be/1bQYo8-1Jjg?t=1310" TargetMode="External"/><Relationship Id="rId229" Type="http://schemas.openxmlformats.org/officeDocument/2006/relationships/hyperlink" Target="https://youtu.be/62PSgVD-XqQ?t=1699" TargetMode="External"/><Relationship Id="rId220" Type="http://schemas.openxmlformats.org/officeDocument/2006/relationships/hyperlink" Target="https://youtu.be/oGNllkIYd3g?t=6850" TargetMode="External"/><Relationship Id="rId103" Type="http://schemas.openxmlformats.org/officeDocument/2006/relationships/hyperlink" Target="https://youtu.be/tdXkaz10t24?t=8543" TargetMode="External"/><Relationship Id="rId224" Type="http://schemas.openxmlformats.org/officeDocument/2006/relationships/hyperlink" Target="https://youtu.be/oGNllkIYd3g?t=8729" TargetMode="External"/><Relationship Id="rId102" Type="http://schemas.openxmlformats.org/officeDocument/2006/relationships/hyperlink" Target="https://youtu.be/tdXkaz10t24?t=7599" TargetMode="External"/><Relationship Id="rId223" Type="http://schemas.openxmlformats.org/officeDocument/2006/relationships/hyperlink" Target="https://youtu.be/bEq46W-GJ0w?t=8691" TargetMode="External"/><Relationship Id="rId101" Type="http://schemas.openxmlformats.org/officeDocument/2006/relationships/hyperlink" Target="https://youtu.be/tdXkaz10t24?t=6625" TargetMode="External"/><Relationship Id="rId222" Type="http://schemas.openxmlformats.org/officeDocument/2006/relationships/hyperlink" Target="https://youtu.be/oGNllkIYd3g?t=7773" TargetMode="External"/><Relationship Id="rId100" Type="http://schemas.openxmlformats.org/officeDocument/2006/relationships/hyperlink" Target="https://youtu.be/tdXkaz10t24?t=5666" TargetMode="External"/><Relationship Id="rId221" Type="http://schemas.openxmlformats.org/officeDocument/2006/relationships/hyperlink" Target="https://youtu.be/bEq46W-GJ0w?t=7728" TargetMode="External"/><Relationship Id="rId217" Type="http://schemas.openxmlformats.org/officeDocument/2006/relationships/hyperlink" Target="https://youtu.be/bEq46W-GJ0w?t=5812" TargetMode="External"/><Relationship Id="rId216" Type="http://schemas.openxmlformats.org/officeDocument/2006/relationships/hyperlink" Target="https://youtu.be/oGNllkIYd3g?t=4915" TargetMode="External"/><Relationship Id="rId215" Type="http://schemas.openxmlformats.org/officeDocument/2006/relationships/hyperlink" Target="https://youtu.be/bEq46W-GJ0w?t=4874" TargetMode="External"/><Relationship Id="rId214" Type="http://schemas.openxmlformats.org/officeDocument/2006/relationships/hyperlink" Target="https://youtu.be/oGNllkIYd3g?t=3980" TargetMode="External"/><Relationship Id="rId219" Type="http://schemas.openxmlformats.org/officeDocument/2006/relationships/hyperlink" Target="https://youtu.be/bEq46W-GJ0w?t=6782" TargetMode="External"/><Relationship Id="rId218" Type="http://schemas.openxmlformats.org/officeDocument/2006/relationships/hyperlink" Target="https://youtu.be/oGNllkIYd3g?t=5842" TargetMode="External"/><Relationship Id="rId213" Type="http://schemas.openxmlformats.org/officeDocument/2006/relationships/hyperlink" Target="https://youtu.be/bEq46W-GJ0w?t=3929" TargetMode="External"/><Relationship Id="rId212" Type="http://schemas.openxmlformats.org/officeDocument/2006/relationships/hyperlink" Target="https://youtu.be/oGNllkIYd3g?t=2967" TargetMode="External"/><Relationship Id="rId211" Type="http://schemas.openxmlformats.org/officeDocument/2006/relationships/hyperlink" Target="https://youtu.be/bEq46W-GJ0w?t=2992" TargetMode="External"/><Relationship Id="rId210" Type="http://schemas.openxmlformats.org/officeDocument/2006/relationships/hyperlink" Target="https://youtu.be/oGNllkIYd3g?t=2010" TargetMode="External"/><Relationship Id="rId129" Type="http://schemas.openxmlformats.org/officeDocument/2006/relationships/hyperlink" Target="https://youtu.be/7ytXlESWr0k?t=1925" TargetMode="External"/><Relationship Id="rId128" Type="http://schemas.openxmlformats.org/officeDocument/2006/relationships/hyperlink" Target="https://youtu.be/g70Xl_-IUhM?t=978" TargetMode="External"/><Relationship Id="rId249" Type="http://schemas.openxmlformats.org/officeDocument/2006/relationships/hyperlink" Target="https://youtu.be/iMWqqdmyXug?t=1880" TargetMode="External"/><Relationship Id="rId127" Type="http://schemas.openxmlformats.org/officeDocument/2006/relationships/hyperlink" Target="https://youtu.be/7ytXlESWr0k?t=990" TargetMode="External"/><Relationship Id="rId248" Type="http://schemas.openxmlformats.org/officeDocument/2006/relationships/hyperlink" Target="https://youtu.be/MswkvowTCw8?t=908" TargetMode="External"/><Relationship Id="rId126" Type="http://schemas.openxmlformats.org/officeDocument/2006/relationships/hyperlink" Target="https://youtu.be/g70Xl_-IUhM" TargetMode="External"/><Relationship Id="rId247" Type="http://schemas.openxmlformats.org/officeDocument/2006/relationships/hyperlink" Target="https://youtu.be/iMWqqdmyXug?t=983" TargetMode="External"/><Relationship Id="rId121" Type="http://schemas.openxmlformats.org/officeDocument/2006/relationships/hyperlink" Target="https://youtu.be/6m9rcZSjMyM?t=7165" TargetMode="External"/><Relationship Id="rId242" Type="http://schemas.openxmlformats.org/officeDocument/2006/relationships/hyperlink" Target="https://youtu.be/8UoYAF_cTdA?t=6948" TargetMode="External"/><Relationship Id="rId120" Type="http://schemas.openxmlformats.org/officeDocument/2006/relationships/hyperlink" Target="https://youtu.be/1bQYo8-1Jjg?t=6581" TargetMode="External"/><Relationship Id="rId241" Type="http://schemas.openxmlformats.org/officeDocument/2006/relationships/hyperlink" Target="https://youtu.be/62PSgVD-XqQ?t=6861" TargetMode="External"/><Relationship Id="rId240" Type="http://schemas.openxmlformats.org/officeDocument/2006/relationships/hyperlink" Target="https://youtu.be/8UoYAF_cTdA?t=6057" TargetMode="External"/><Relationship Id="rId125" Type="http://schemas.openxmlformats.org/officeDocument/2006/relationships/hyperlink" Target="https://youtu.be/7ytXlESWr0k" TargetMode="External"/><Relationship Id="rId246" Type="http://schemas.openxmlformats.org/officeDocument/2006/relationships/hyperlink" Target="https://youtu.be/MswkvowTCw8" TargetMode="External"/><Relationship Id="rId124" Type="http://schemas.openxmlformats.org/officeDocument/2006/relationships/hyperlink" Target="https://youtu.be/1bQYo8-1Jjg?t=8254" TargetMode="External"/><Relationship Id="rId245" Type="http://schemas.openxmlformats.org/officeDocument/2006/relationships/hyperlink" Target="https://youtu.be/iMWqqdmyXug" TargetMode="External"/><Relationship Id="rId123" Type="http://schemas.openxmlformats.org/officeDocument/2006/relationships/hyperlink" Target="https://youtu.be/6m9rcZSjMyM?t=8038" TargetMode="External"/><Relationship Id="rId244" Type="http://schemas.openxmlformats.org/officeDocument/2006/relationships/hyperlink" Target="https://youtu.be/8UoYAF_cTdA?t=7812" TargetMode="External"/><Relationship Id="rId122" Type="http://schemas.openxmlformats.org/officeDocument/2006/relationships/hyperlink" Target="https://youtu.be/1bQYo8-1Jjg?t=7415" TargetMode="External"/><Relationship Id="rId243" Type="http://schemas.openxmlformats.org/officeDocument/2006/relationships/hyperlink" Target="https://youtu.be/62PSgVD-XqQ?t=7700" TargetMode="External"/><Relationship Id="rId95" Type="http://schemas.openxmlformats.org/officeDocument/2006/relationships/hyperlink" Target="https://youtu.be/tdXkaz10t24?t=988" TargetMode="External"/><Relationship Id="rId94" Type="http://schemas.openxmlformats.org/officeDocument/2006/relationships/hyperlink" Target="https://youtu.be/tdXkaz10t24" TargetMode="External"/><Relationship Id="rId97" Type="http://schemas.openxmlformats.org/officeDocument/2006/relationships/hyperlink" Target="https://youtu.be/tdXkaz10t24?t=2864" TargetMode="External"/><Relationship Id="rId96" Type="http://schemas.openxmlformats.org/officeDocument/2006/relationships/hyperlink" Target="https://youtu.be/tdXkaz10t24?t=1948" TargetMode="External"/><Relationship Id="rId99" Type="http://schemas.openxmlformats.org/officeDocument/2006/relationships/hyperlink" Target="https://youtu.be/tdXkaz10t24?t=4718" TargetMode="External"/><Relationship Id="rId98" Type="http://schemas.openxmlformats.org/officeDocument/2006/relationships/hyperlink" Target="https://youtu.be/tdXkaz10t24?t=3772" TargetMode="External"/><Relationship Id="rId91" Type="http://schemas.openxmlformats.org/officeDocument/2006/relationships/hyperlink" Target="https://youtu.be/z47aEOO9va0?t=6835" TargetMode="External"/><Relationship Id="rId90" Type="http://schemas.openxmlformats.org/officeDocument/2006/relationships/hyperlink" Target="https://youtu.be/z47aEOO9va0?t=5976" TargetMode="External"/><Relationship Id="rId93" Type="http://schemas.openxmlformats.org/officeDocument/2006/relationships/hyperlink" Target="https://youtu.be/z47aEOO9va0?t=8446" TargetMode="External"/><Relationship Id="rId92" Type="http://schemas.openxmlformats.org/officeDocument/2006/relationships/hyperlink" Target="https://youtu.be/z47aEOO9va0?t=7632" TargetMode="External"/><Relationship Id="rId118" Type="http://schemas.openxmlformats.org/officeDocument/2006/relationships/hyperlink" Target="https://youtu.be/1bQYo8-1Jjg?t=5766" TargetMode="External"/><Relationship Id="rId239" Type="http://schemas.openxmlformats.org/officeDocument/2006/relationships/hyperlink" Target="https://youtu.be/62PSgVD-XqQ?t=5981" TargetMode="External"/><Relationship Id="rId117" Type="http://schemas.openxmlformats.org/officeDocument/2006/relationships/hyperlink" Target="https://youtu.be/6m9rcZSjMyM?t=5490" TargetMode="External"/><Relationship Id="rId238" Type="http://schemas.openxmlformats.org/officeDocument/2006/relationships/hyperlink" Target="https://youtu.be/8UoYAF_cTdA?t=5207" TargetMode="External"/><Relationship Id="rId116" Type="http://schemas.openxmlformats.org/officeDocument/2006/relationships/hyperlink" Target="https://youtu.be/1bQYo8-1Jjg?t=4866" TargetMode="External"/><Relationship Id="rId237" Type="http://schemas.openxmlformats.org/officeDocument/2006/relationships/hyperlink" Target="https://youtu.be/62PSgVD-XqQ?t=5089" TargetMode="External"/><Relationship Id="rId115" Type="http://schemas.openxmlformats.org/officeDocument/2006/relationships/hyperlink" Target="https://youtu.be/6m9rcZSjMyM?t=4656" TargetMode="External"/><Relationship Id="rId236" Type="http://schemas.openxmlformats.org/officeDocument/2006/relationships/hyperlink" Target="https://youtu.be/8UoYAF_cTdA?t=4339" TargetMode="External"/><Relationship Id="rId119" Type="http://schemas.openxmlformats.org/officeDocument/2006/relationships/hyperlink" Target="https://youtu.be/6m9rcZSjMyM?t=6329" TargetMode="External"/><Relationship Id="rId110" Type="http://schemas.openxmlformats.org/officeDocument/2006/relationships/hyperlink" Target="https://youtu.be/1bQYo8-1Jjg?t=2212" TargetMode="External"/><Relationship Id="rId231" Type="http://schemas.openxmlformats.org/officeDocument/2006/relationships/hyperlink" Target="https://youtu.be/62PSgVD-XqQ?t=2516" TargetMode="External"/><Relationship Id="rId230" Type="http://schemas.openxmlformats.org/officeDocument/2006/relationships/hyperlink" Target="https://youtu.be/8UoYAF_cTdA?t=1796" TargetMode="External"/><Relationship Id="rId114" Type="http://schemas.openxmlformats.org/officeDocument/2006/relationships/hyperlink" Target="https://youtu.be/1bQYo8-1Jjg?t=4018" TargetMode="External"/><Relationship Id="rId235" Type="http://schemas.openxmlformats.org/officeDocument/2006/relationships/hyperlink" Target="https://youtu.be/62PSgVD-XqQ?t=4245" TargetMode="External"/><Relationship Id="rId113" Type="http://schemas.openxmlformats.org/officeDocument/2006/relationships/hyperlink" Target="https://youtu.be/6m9rcZSjMyM?t=3777" TargetMode="External"/><Relationship Id="rId234" Type="http://schemas.openxmlformats.org/officeDocument/2006/relationships/hyperlink" Target="https://youtu.be/8UoYAF_cTdA?t=3495" TargetMode="External"/><Relationship Id="rId112" Type="http://schemas.openxmlformats.org/officeDocument/2006/relationships/hyperlink" Target="https://youtu.be/1bQYo8-1Jjg?t=3110" TargetMode="External"/><Relationship Id="rId233" Type="http://schemas.openxmlformats.org/officeDocument/2006/relationships/hyperlink" Target="https://youtu.be/62PSgVD-XqQ?t=3331" TargetMode="External"/><Relationship Id="rId111" Type="http://schemas.openxmlformats.org/officeDocument/2006/relationships/hyperlink" Target="https://youtu.be/6m9rcZSjMyM?t=2853" TargetMode="External"/><Relationship Id="rId232" Type="http://schemas.openxmlformats.org/officeDocument/2006/relationships/hyperlink" Target="https://youtu.be/8UoYAF_cTdA?t=2612" TargetMode="External"/><Relationship Id="rId305" Type="http://schemas.openxmlformats.org/officeDocument/2006/relationships/drawing" Target="../drawings/drawing19.xml"/><Relationship Id="rId304" Type="http://schemas.openxmlformats.org/officeDocument/2006/relationships/hyperlink" Target="https://youtu.be/_8yhsI8irJQ?t=7624" TargetMode="External"/><Relationship Id="rId303" Type="http://schemas.openxmlformats.org/officeDocument/2006/relationships/hyperlink" Target="https://youtu.be/LAXlAMBUf48?t=7683" TargetMode="External"/><Relationship Id="rId302" Type="http://schemas.openxmlformats.org/officeDocument/2006/relationships/hyperlink" Target="https://youtu.be/_8yhsI8irJQ?t=6836" TargetMode="External"/><Relationship Id="rId301" Type="http://schemas.openxmlformats.org/officeDocument/2006/relationships/hyperlink" Target="https://youtu.be/LAXlAMBUf48?t=6899" TargetMode="External"/><Relationship Id="rId300" Type="http://schemas.openxmlformats.org/officeDocument/2006/relationships/hyperlink" Target="https://youtu.be/_8yhsI8irJQ?t=6034" TargetMode="External"/><Relationship Id="rId206" Type="http://schemas.openxmlformats.org/officeDocument/2006/relationships/hyperlink" Target="https://youtu.be/oGNllkIYd3g" TargetMode="External"/><Relationship Id="rId205" Type="http://schemas.openxmlformats.org/officeDocument/2006/relationships/hyperlink" Target="https://youtu.be/bEq46W-GJ0w" TargetMode="External"/><Relationship Id="rId204" Type="http://schemas.openxmlformats.org/officeDocument/2006/relationships/hyperlink" Target="https://youtu.be/L-PfudLPuug?t=8689" TargetMode="External"/><Relationship Id="rId203" Type="http://schemas.openxmlformats.org/officeDocument/2006/relationships/hyperlink" Target="https://youtu.be/IaTdcLepvxI?t=8524" TargetMode="External"/><Relationship Id="rId209" Type="http://schemas.openxmlformats.org/officeDocument/2006/relationships/hyperlink" Target="https://youtu.be/bEq46W-GJ0w?t=2066" TargetMode="External"/><Relationship Id="rId208" Type="http://schemas.openxmlformats.org/officeDocument/2006/relationships/hyperlink" Target="https://youtu.be/oGNllkIYd3g?t=1077" TargetMode="External"/><Relationship Id="rId207" Type="http://schemas.openxmlformats.org/officeDocument/2006/relationships/hyperlink" Target="https://youtu.be/bEq46W-GJ0w?t=1002" TargetMode="External"/><Relationship Id="rId202" Type="http://schemas.openxmlformats.org/officeDocument/2006/relationships/hyperlink" Target="https://youtu.be/L-PfudLPuug?t=7750" TargetMode="External"/><Relationship Id="rId201" Type="http://schemas.openxmlformats.org/officeDocument/2006/relationships/hyperlink" Target="https://youtu.be/IaTdcLepvxI?t=7624" TargetMode="External"/><Relationship Id="rId200" Type="http://schemas.openxmlformats.org/officeDocument/2006/relationships/hyperlink" Target="https://youtu.be/L-PfudLPuug?t=6797" TargetMode="External"/></Relationships>
</file>

<file path=xl/worksheets/_rels/sheet2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dwWC2voX3Wc" TargetMode="External"/><Relationship Id="rId190" Type="http://schemas.openxmlformats.org/officeDocument/2006/relationships/hyperlink" Target="https://youtu.be/aP4qJ-VDLlc?t=4349" TargetMode="External"/><Relationship Id="rId42" Type="http://schemas.openxmlformats.org/officeDocument/2006/relationships/hyperlink" Target="https://youtu.be/dwWC2voX3Wc?t=882" TargetMode="External"/><Relationship Id="rId41" Type="http://schemas.openxmlformats.org/officeDocument/2006/relationships/hyperlink" Target="https://youtu.be/y7kFjola-nI" TargetMode="External"/><Relationship Id="rId44" Type="http://schemas.openxmlformats.org/officeDocument/2006/relationships/hyperlink" Target="https://youtu.be/dwWC2voX3Wc?t=1687" TargetMode="External"/><Relationship Id="rId194" Type="http://schemas.openxmlformats.org/officeDocument/2006/relationships/hyperlink" Target="https://youtu.be/aP4qJ-VDLlc?t=6080" TargetMode="External"/><Relationship Id="rId43" Type="http://schemas.openxmlformats.org/officeDocument/2006/relationships/hyperlink" Target="https://youtu.be/y7kFjola-nI?t=919" TargetMode="External"/><Relationship Id="rId193" Type="http://schemas.openxmlformats.org/officeDocument/2006/relationships/hyperlink" Target="https://youtu.be/GBenXhNXlTU?t=5149" TargetMode="External"/><Relationship Id="rId46" Type="http://schemas.openxmlformats.org/officeDocument/2006/relationships/hyperlink" Target="https://youtu.be/dwWC2voX3Wc?t=2493" TargetMode="External"/><Relationship Id="rId192" Type="http://schemas.openxmlformats.org/officeDocument/2006/relationships/hyperlink" Target="https://youtu.be/aP4qJ-VDLlc?t=5217" TargetMode="External"/><Relationship Id="rId45" Type="http://schemas.openxmlformats.org/officeDocument/2006/relationships/hyperlink" Target="https://youtu.be/y7kFjola-nI?t=1768" TargetMode="External"/><Relationship Id="rId191" Type="http://schemas.openxmlformats.org/officeDocument/2006/relationships/hyperlink" Target="https://youtu.be/GBenXhNXlTU?t=4299" TargetMode="External"/><Relationship Id="rId48" Type="http://schemas.openxmlformats.org/officeDocument/2006/relationships/hyperlink" Target="https://youtu.be/dwWC2voX3Wc?t=3314" TargetMode="External"/><Relationship Id="rId187" Type="http://schemas.openxmlformats.org/officeDocument/2006/relationships/hyperlink" Target="https://youtu.be/GBenXhNXlTU?t=2638" TargetMode="External"/><Relationship Id="rId47" Type="http://schemas.openxmlformats.org/officeDocument/2006/relationships/hyperlink" Target="https://youtu.be/y7kFjola-nI?t=2599" TargetMode="External"/><Relationship Id="rId186" Type="http://schemas.openxmlformats.org/officeDocument/2006/relationships/hyperlink" Target="https://youtu.be/aP4qJ-VDLlc?t=2617" TargetMode="External"/><Relationship Id="rId185" Type="http://schemas.openxmlformats.org/officeDocument/2006/relationships/hyperlink" Target="https://youtu.be/GBenXhNXlTU?t=1743" TargetMode="External"/><Relationship Id="rId49" Type="http://schemas.openxmlformats.org/officeDocument/2006/relationships/hyperlink" Target="https://youtu.be/y7kFjola-nI?t=3560" TargetMode="External"/><Relationship Id="rId184" Type="http://schemas.openxmlformats.org/officeDocument/2006/relationships/hyperlink" Target="https://youtu.be/aP4qJ-VDLlc?t=1781" TargetMode="External"/><Relationship Id="rId189" Type="http://schemas.openxmlformats.org/officeDocument/2006/relationships/hyperlink" Target="https://youtu.be/GBenXhNXlTU?t=3457" TargetMode="External"/><Relationship Id="rId188" Type="http://schemas.openxmlformats.org/officeDocument/2006/relationships/hyperlink" Target="https://youtu.be/aP4qJ-VDLlc?t=3463" TargetMode="External"/><Relationship Id="rId31" Type="http://schemas.openxmlformats.org/officeDocument/2006/relationships/hyperlink" Target="https://youtu.be/Du5005bkcjU?t=4278" TargetMode="External"/><Relationship Id="rId30" Type="http://schemas.openxmlformats.org/officeDocument/2006/relationships/hyperlink" Target="https://youtu.be/fzzVTjvq1Mk?t=4276" TargetMode="External"/><Relationship Id="rId33" Type="http://schemas.openxmlformats.org/officeDocument/2006/relationships/hyperlink" Target="https://youtu.be/Du5005bkcjU?t=5163" TargetMode="External"/><Relationship Id="rId183" Type="http://schemas.openxmlformats.org/officeDocument/2006/relationships/hyperlink" Target="https://youtu.be/GBenXhNXlTU?t=905" TargetMode="External"/><Relationship Id="rId32" Type="http://schemas.openxmlformats.org/officeDocument/2006/relationships/hyperlink" Target="https://youtu.be/fzzVTjvq1Mk?t=5144" TargetMode="External"/><Relationship Id="rId182" Type="http://schemas.openxmlformats.org/officeDocument/2006/relationships/hyperlink" Target="https://youtu.be/aP4qJ-VDLlc?t=927" TargetMode="External"/><Relationship Id="rId35" Type="http://schemas.openxmlformats.org/officeDocument/2006/relationships/hyperlink" Target="https://youtu.be/Du5005bkcjU?t=6140" TargetMode="External"/><Relationship Id="rId181" Type="http://schemas.openxmlformats.org/officeDocument/2006/relationships/hyperlink" Target="https://youtu.be/GBenXhNXlTU" TargetMode="External"/><Relationship Id="rId34" Type="http://schemas.openxmlformats.org/officeDocument/2006/relationships/hyperlink" Target="https://youtu.be/fzzVTjvq1Mk?t=6152" TargetMode="External"/><Relationship Id="rId180" Type="http://schemas.openxmlformats.org/officeDocument/2006/relationships/hyperlink" Target="https://youtu.be/aP4qJ-VDLlc" TargetMode="External"/><Relationship Id="rId37" Type="http://schemas.openxmlformats.org/officeDocument/2006/relationships/hyperlink" Target="https://youtu.be/Du5005bkcjU?t=7107" TargetMode="External"/><Relationship Id="rId176" Type="http://schemas.openxmlformats.org/officeDocument/2006/relationships/hyperlink" Target="https://youtu.be/EsUlbshptZo?t=7008" TargetMode="External"/><Relationship Id="rId297" Type="http://schemas.openxmlformats.org/officeDocument/2006/relationships/hyperlink" Target="https://youtu.be/8kqbzUEVsyA?t=7770" TargetMode="External"/><Relationship Id="rId36" Type="http://schemas.openxmlformats.org/officeDocument/2006/relationships/hyperlink" Target="https://youtu.be/fzzVTjvq1Mk?t=7099" TargetMode="External"/><Relationship Id="rId175" Type="http://schemas.openxmlformats.org/officeDocument/2006/relationships/hyperlink" Target="https://youtu.be/h2VmVL2sJ9U?t=5966" TargetMode="External"/><Relationship Id="rId296" Type="http://schemas.openxmlformats.org/officeDocument/2006/relationships/hyperlink" Target="https://youtu.be/zTavFvGz5cc?t=7717" TargetMode="External"/><Relationship Id="rId39" Type="http://schemas.openxmlformats.org/officeDocument/2006/relationships/hyperlink" Target="https://youtu.be/Du5005bkcjU?t=8044" TargetMode="External"/><Relationship Id="rId174" Type="http://schemas.openxmlformats.org/officeDocument/2006/relationships/hyperlink" Target="https://youtu.be/EsUlbshptZo?t=6164" TargetMode="External"/><Relationship Id="rId295" Type="http://schemas.openxmlformats.org/officeDocument/2006/relationships/hyperlink" Target="https://youtu.be/8kqbzUEVsyA?t=6822" TargetMode="External"/><Relationship Id="rId38" Type="http://schemas.openxmlformats.org/officeDocument/2006/relationships/hyperlink" Target="https://youtu.be/fzzVTjvq1Mk?t=8057" TargetMode="External"/><Relationship Id="rId173" Type="http://schemas.openxmlformats.org/officeDocument/2006/relationships/hyperlink" Target="https://youtu.be/h2VmVL2sJ9U?t=5148" TargetMode="External"/><Relationship Id="rId294" Type="http://schemas.openxmlformats.org/officeDocument/2006/relationships/hyperlink" Target="https://youtu.be/zTavFvGz5cc?t=6754" TargetMode="External"/><Relationship Id="rId179" Type="http://schemas.openxmlformats.org/officeDocument/2006/relationships/hyperlink" Target="https://youtu.be/h2VmVL2sJ9U?t=7803" TargetMode="External"/><Relationship Id="rId178" Type="http://schemas.openxmlformats.org/officeDocument/2006/relationships/hyperlink" Target="https://youtu.be/EsUlbshptZo?t=7890" TargetMode="External"/><Relationship Id="rId299" Type="http://schemas.openxmlformats.org/officeDocument/2006/relationships/hyperlink" Target="https://youtu.be/8kqbzUEVsyA?t=8698" TargetMode="External"/><Relationship Id="rId177" Type="http://schemas.openxmlformats.org/officeDocument/2006/relationships/hyperlink" Target="https://youtu.be/h2VmVL2sJ9U?t=6873" TargetMode="External"/><Relationship Id="rId298" Type="http://schemas.openxmlformats.org/officeDocument/2006/relationships/hyperlink" Target="https://youtu.be/zTavFvGz5cc?t=8652" TargetMode="External"/><Relationship Id="rId20" Type="http://schemas.openxmlformats.org/officeDocument/2006/relationships/hyperlink" Target="https://youtu.be/fzzVTjvq1Mk" TargetMode="External"/><Relationship Id="rId22" Type="http://schemas.openxmlformats.org/officeDocument/2006/relationships/hyperlink" Target="https://youtu.be/fzzVTjvq1Mk?t=919" TargetMode="External"/><Relationship Id="rId21" Type="http://schemas.openxmlformats.org/officeDocument/2006/relationships/hyperlink" Target="https://youtu.be/Du5005bkcjU" TargetMode="External"/><Relationship Id="rId24" Type="http://schemas.openxmlformats.org/officeDocument/2006/relationships/hyperlink" Target="https://youtu.be/fzzVTjvq1Mk?t=1735" TargetMode="External"/><Relationship Id="rId23" Type="http://schemas.openxmlformats.org/officeDocument/2006/relationships/hyperlink" Target="https://youtu.be/Du5005bkcjU?t=872" TargetMode="External"/><Relationship Id="rId26" Type="http://schemas.openxmlformats.org/officeDocument/2006/relationships/hyperlink" Target="https://youtu.be/fzzVTjvq1Mk?t=2574" TargetMode="External"/><Relationship Id="rId25" Type="http://schemas.openxmlformats.org/officeDocument/2006/relationships/hyperlink" Target="https://youtu.be/Du5005bkcjU?t=1689" TargetMode="External"/><Relationship Id="rId28" Type="http://schemas.openxmlformats.org/officeDocument/2006/relationships/hyperlink" Target="https://youtu.be/fzzVTjvq1Mk?t=3431" TargetMode="External"/><Relationship Id="rId27" Type="http://schemas.openxmlformats.org/officeDocument/2006/relationships/hyperlink" Target="https://youtu.be/Du5005bkcjU?t=2552" TargetMode="External"/><Relationship Id="rId29" Type="http://schemas.openxmlformats.org/officeDocument/2006/relationships/hyperlink" Target="https://youtu.be/Du5005bkcjU?t=3465" TargetMode="External"/><Relationship Id="rId11" Type="http://schemas.openxmlformats.org/officeDocument/2006/relationships/hyperlink" Target="https://youtu.be/xkijjuvIXsk?t=4523" TargetMode="External"/><Relationship Id="rId10" Type="http://schemas.openxmlformats.org/officeDocument/2006/relationships/hyperlink" Target="https://youtu.be/E9tNDYWgp2w?t=3809" TargetMode="External"/><Relationship Id="rId13" Type="http://schemas.openxmlformats.org/officeDocument/2006/relationships/hyperlink" Target="https://youtu.be/xkijjuvIXsk?t=5421" TargetMode="External"/><Relationship Id="rId12" Type="http://schemas.openxmlformats.org/officeDocument/2006/relationships/hyperlink" Target="https://youtu.be/E9tNDYWgp2w?t=4613" TargetMode="External"/><Relationship Id="rId15" Type="http://schemas.openxmlformats.org/officeDocument/2006/relationships/hyperlink" Target="https://youtu.be/xkijjuvIXsk?t=6324" TargetMode="External"/><Relationship Id="rId198" Type="http://schemas.openxmlformats.org/officeDocument/2006/relationships/hyperlink" Target="https://youtu.be/aP4qJ-VDLlc?t=7776" TargetMode="External"/><Relationship Id="rId14" Type="http://schemas.openxmlformats.org/officeDocument/2006/relationships/hyperlink" Target="https://youtu.be/E9tNDYWgp2w?t=5582" TargetMode="External"/><Relationship Id="rId197" Type="http://schemas.openxmlformats.org/officeDocument/2006/relationships/hyperlink" Target="https://youtu.be/GBenXhNXlTU?t=6882" TargetMode="External"/><Relationship Id="rId17" Type="http://schemas.openxmlformats.org/officeDocument/2006/relationships/hyperlink" Target="https://youtu.be/xkijjuvIXsk?t=7160" TargetMode="External"/><Relationship Id="rId196" Type="http://schemas.openxmlformats.org/officeDocument/2006/relationships/hyperlink" Target="https://youtu.be/aP4qJ-VDLlc?t=6949" TargetMode="External"/><Relationship Id="rId16" Type="http://schemas.openxmlformats.org/officeDocument/2006/relationships/hyperlink" Target="https://youtu.be/E9tNDYWgp2w?t=6411" TargetMode="External"/><Relationship Id="rId195" Type="http://schemas.openxmlformats.org/officeDocument/2006/relationships/hyperlink" Target="https://youtu.be/GBenXhNXlTU?t=5992" TargetMode="External"/><Relationship Id="rId19" Type="http://schemas.openxmlformats.org/officeDocument/2006/relationships/hyperlink" Target="https://youtu.be/E9tNDYWgp2w?t=8074" TargetMode="External"/><Relationship Id="rId18" Type="http://schemas.openxmlformats.org/officeDocument/2006/relationships/hyperlink" Target="https://youtu.be/E9tNDYWgp2w?t=7216" TargetMode="External"/><Relationship Id="rId199" Type="http://schemas.openxmlformats.org/officeDocument/2006/relationships/hyperlink" Target="https://youtu.be/GBenXhNXlTU?t=7691" TargetMode="External"/><Relationship Id="rId84" Type="http://schemas.openxmlformats.org/officeDocument/2006/relationships/hyperlink" Target="https://youtu.be/jhQ9sXEUWWo?t=1869" TargetMode="External"/><Relationship Id="rId83" Type="http://schemas.openxmlformats.org/officeDocument/2006/relationships/hyperlink" Target="https://youtu.be/4Iy4lYnXq88?t=1029" TargetMode="External"/><Relationship Id="rId86" Type="http://schemas.openxmlformats.org/officeDocument/2006/relationships/hyperlink" Target="https://youtu.be/jhQ9sXEUWWo?t=2775" TargetMode="External"/><Relationship Id="rId85" Type="http://schemas.openxmlformats.org/officeDocument/2006/relationships/hyperlink" Target="https://youtu.be/4Iy4lYnXq88?t=1938" TargetMode="External"/><Relationship Id="rId88" Type="http://schemas.openxmlformats.org/officeDocument/2006/relationships/hyperlink" Target="https://youtu.be/jhQ9sXEUWWo?t=3791" TargetMode="External"/><Relationship Id="rId150" Type="http://schemas.openxmlformats.org/officeDocument/2006/relationships/hyperlink" Target="https://youtu.be/nsXCbRLCweI?t=4785" TargetMode="External"/><Relationship Id="rId271" Type="http://schemas.openxmlformats.org/officeDocument/2006/relationships/hyperlink" Target="https://youtu.be/Oaskybinm68?t=4238" TargetMode="External"/><Relationship Id="rId87" Type="http://schemas.openxmlformats.org/officeDocument/2006/relationships/hyperlink" Target="https://youtu.be/4Iy4lYnXq88?t=2922" TargetMode="External"/><Relationship Id="rId270" Type="http://schemas.openxmlformats.org/officeDocument/2006/relationships/hyperlink" Target="https://youtu.be/b449U2Ioiks?t=4307" TargetMode="External"/><Relationship Id="rId89" Type="http://schemas.openxmlformats.org/officeDocument/2006/relationships/hyperlink" Target="https://youtu.be/4Iy4lYnXq88?t=3842" TargetMode="External"/><Relationship Id="rId80" Type="http://schemas.openxmlformats.org/officeDocument/2006/relationships/hyperlink" Target="https://youtu.be/jhQ9sXEUWWo" TargetMode="External"/><Relationship Id="rId82" Type="http://schemas.openxmlformats.org/officeDocument/2006/relationships/hyperlink" Target="https://youtu.be/jhQ9sXEUWWo?t=947" TargetMode="External"/><Relationship Id="rId81" Type="http://schemas.openxmlformats.org/officeDocument/2006/relationships/hyperlink" Target="https://youtu.be/4Iy4lYnXq88" TargetMode="External"/><Relationship Id="rId1" Type="http://schemas.openxmlformats.org/officeDocument/2006/relationships/hyperlink" Target="https://youtu.be/xkijjuvIXsk" TargetMode="External"/><Relationship Id="rId2" Type="http://schemas.openxmlformats.org/officeDocument/2006/relationships/hyperlink" Target="https://youtu.be/E9tNDYWgp2w?t=53" TargetMode="External"/><Relationship Id="rId3" Type="http://schemas.openxmlformats.org/officeDocument/2006/relationships/hyperlink" Target="https://youtu.be/xkijjuvIXsk?t=850" TargetMode="External"/><Relationship Id="rId149" Type="http://schemas.openxmlformats.org/officeDocument/2006/relationships/hyperlink" Target="https://youtu.be/kEcfEpP82vQ?t=3840" TargetMode="External"/><Relationship Id="rId4" Type="http://schemas.openxmlformats.org/officeDocument/2006/relationships/hyperlink" Target="https://youtu.be/E9tNDYWgp2w?t=949" TargetMode="External"/><Relationship Id="rId148" Type="http://schemas.openxmlformats.org/officeDocument/2006/relationships/hyperlink" Target="https://youtu.be/nsXCbRLCweI?t=3858" TargetMode="External"/><Relationship Id="rId269" Type="http://schemas.openxmlformats.org/officeDocument/2006/relationships/hyperlink" Target="https://youtu.be/Oaskybinm68?t=3417" TargetMode="External"/><Relationship Id="rId9" Type="http://schemas.openxmlformats.org/officeDocument/2006/relationships/hyperlink" Target="https://youtu.be/xkijjuvIXsk?t=3517" TargetMode="External"/><Relationship Id="rId143" Type="http://schemas.openxmlformats.org/officeDocument/2006/relationships/hyperlink" Target="https://youtu.be/kEcfEpP82vQ?t=1049" TargetMode="External"/><Relationship Id="rId264" Type="http://schemas.openxmlformats.org/officeDocument/2006/relationships/hyperlink" Target="https://youtu.be/b449U2Ioiks?t=1816" TargetMode="External"/><Relationship Id="rId142" Type="http://schemas.openxmlformats.org/officeDocument/2006/relationships/hyperlink" Target="https://youtu.be/nsXCbRLCweI?t=984" TargetMode="External"/><Relationship Id="rId263" Type="http://schemas.openxmlformats.org/officeDocument/2006/relationships/hyperlink" Target="https://youtu.be/Oaskybinm68?t=888" TargetMode="External"/><Relationship Id="rId141" Type="http://schemas.openxmlformats.org/officeDocument/2006/relationships/hyperlink" Target="https://youtu.be/kEcfEpP82vQ" TargetMode="External"/><Relationship Id="rId262" Type="http://schemas.openxmlformats.org/officeDocument/2006/relationships/hyperlink" Target="https://youtu.be/b449U2Ioiks?t=984" TargetMode="External"/><Relationship Id="rId140" Type="http://schemas.openxmlformats.org/officeDocument/2006/relationships/hyperlink" Target="https://youtu.be/nsXCbRLCweI" TargetMode="External"/><Relationship Id="rId261" Type="http://schemas.openxmlformats.org/officeDocument/2006/relationships/hyperlink" Target="https://youtu.be/Oaskybinm68" TargetMode="External"/><Relationship Id="rId5" Type="http://schemas.openxmlformats.org/officeDocument/2006/relationships/hyperlink" Target="https://youtu.be/xkijjuvIXsk?t=1726" TargetMode="External"/><Relationship Id="rId147" Type="http://schemas.openxmlformats.org/officeDocument/2006/relationships/hyperlink" Target="https://youtu.be/kEcfEpP82vQ?t=2909" TargetMode="External"/><Relationship Id="rId268" Type="http://schemas.openxmlformats.org/officeDocument/2006/relationships/hyperlink" Target="https://youtu.be/b449U2Ioiks?t=3493" TargetMode="External"/><Relationship Id="rId6" Type="http://schemas.openxmlformats.org/officeDocument/2006/relationships/hyperlink" Target="https://youtu.be/E9tNDYWgp2w?t=1876" TargetMode="External"/><Relationship Id="rId146" Type="http://schemas.openxmlformats.org/officeDocument/2006/relationships/hyperlink" Target="https://youtu.be/nsXCbRLCweI?t=2882" TargetMode="External"/><Relationship Id="rId267" Type="http://schemas.openxmlformats.org/officeDocument/2006/relationships/hyperlink" Target="https://youtu.be/Oaskybinm68?t=2581" TargetMode="External"/><Relationship Id="rId7" Type="http://schemas.openxmlformats.org/officeDocument/2006/relationships/hyperlink" Target="https://youtu.be/xkijjuvIXsk?t=2579" TargetMode="External"/><Relationship Id="rId145" Type="http://schemas.openxmlformats.org/officeDocument/2006/relationships/hyperlink" Target="https://youtu.be/kEcfEpP82vQ?t=1987" TargetMode="External"/><Relationship Id="rId266" Type="http://schemas.openxmlformats.org/officeDocument/2006/relationships/hyperlink" Target="https://youtu.be/b449U2Ioiks?t=2657" TargetMode="External"/><Relationship Id="rId8" Type="http://schemas.openxmlformats.org/officeDocument/2006/relationships/hyperlink" Target="https://youtu.be/E9tNDYWgp2w?t=2914" TargetMode="External"/><Relationship Id="rId144" Type="http://schemas.openxmlformats.org/officeDocument/2006/relationships/hyperlink" Target="https://youtu.be/nsXCbRLCweI?t=1962" TargetMode="External"/><Relationship Id="rId265" Type="http://schemas.openxmlformats.org/officeDocument/2006/relationships/hyperlink" Target="https://youtu.be/Oaskybinm68?t=1735" TargetMode="External"/><Relationship Id="rId73" Type="http://schemas.openxmlformats.org/officeDocument/2006/relationships/hyperlink" Target="https://youtu.be/LEnnkPv3Jw0?t=5883" TargetMode="External"/><Relationship Id="rId72" Type="http://schemas.openxmlformats.org/officeDocument/2006/relationships/hyperlink" Target="https://youtu.be/L8ETYkKVdQk?t=5763" TargetMode="External"/><Relationship Id="rId75" Type="http://schemas.openxmlformats.org/officeDocument/2006/relationships/hyperlink" Target="https://youtu.be/LEnnkPv3Jw0?t=6876" TargetMode="External"/><Relationship Id="rId74" Type="http://schemas.openxmlformats.org/officeDocument/2006/relationships/hyperlink" Target="https://youtu.be/L8ETYkKVdQk?t=6716" TargetMode="External"/><Relationship Id="rId77" Type="http://schemas.openxmlformats.org/officeDocument/2006/relationships/hyperlink" Target="https://youtu.be/LEnnkPv3Jw0?t=7789" TargetMode="External"/><Relationship Id="rId260" Type="http://schemas.openxmlformats.org/officeDocument/2006/relationships/hyperlink" Target="https://youtu.be/b449U2Ioiks" TargetMode="External"/><Relationship Id="rId76" Type="http://schemas.openxmlformats.org/officeDocument/2006/relationships/hyperlink" Target="https://youtu.be/L8ETYkKVdQk?t=7719" TargetMode="External"/><Relationship Id="rId79" Type="http://schemas.openxmlformats.org/officeDocument/2006/relationships/hyperlink" Target="https://youtu.be/LEnnkPv3Jw0?t=8698" TargetMode="External"/><Relationship Id="rId78" Type="http://schemas.openxmlformats.org/officeDocument/2006/relationships/hyperlink" Target="https://youtu.be/L8ETYkKVdQk?t=8677" TargetMode="External"/><Relationship Id="rId71" Type="http://schemas.openxmlformats.org/officeDocument/2006/relationships/hyperlink" Target="https://youtu.be/LEnnkPv3Jw0?t=4899" TargetMode="External"/><Relationship Id="rId70" Type="http://schemas.openxmlformats.org/officeDocument/2006/relationships/hyperlink" Target="https://youtu.be/L8ETYkKVdQk?t=4828" TargetMode="External"/><Relationship Id="rId139" Type="http://schemas.openxmlformats.org/officeDocument/2006/relationships/hyperlink" Target="https://youtu.be/K9HQmkshoZA?t=7523" TargetMode="External"/><Relationship Id="rId138" Type="http://schemas.openxmlformats.org/officeDocument/2006/relationships/hyperlink" Target="https://youtu.be/a-ct2Py4378?t=7680" TargetMode="External"/><Relationship Id="rId259" Type="http://schemas.openxmlformats.org/officeDocument/2006/relationships/hyperlink" Target="https://youtu.be/qHP1zQJUTHk?t=7826" TargetMode="External"/><Relationship Id="rId137" Type="http://schemas.openxmlformats.org/officeDocument/2006/relationships/hyperlink" Target="https://youtu.be/K9HQmkshoZA?t=6685" TargetMode="External"/><Relationship Id="rId258" Type="http://schemas.openxmlformats.org/officeDocument/2006/relationships/hyperlink" Target="https://youtu.be/tShJDcdQh5w?t=7781" TargetMode="External"/><Relationship Id="rId132" Type="http://schemas.openxmlformats.org/officeDocument/2006/relationships/hyperlink" Target="https://youtu.be/a-ct2Py4378?t=5180" TargetMode="External"/><Relationship Id="rId253" Type="http://schemas.openxmlformats.org/officeDocument/2006/relationships/hyperlink" Target="https://youtu.be/qHP1zQJUTHk?t=5280" TargetMode="External"/><Relationship Id="rId131" Type="http://schemas.openxmlformats.org/officeDocument/2006/relationships/hyperlink" Target="https://youtu.be/K9HQmkshoZA?t=4126" TargetMode="External"/><Relationship Id="rId252" Type="http://schemas.openxmlformats.org/officeDocument/2006/relationships/hyperlink" Target="https://youtu.be/tShJDcdQh5w?t=5295" TargetMode="External"/><Relationship Id="rId130" Type="http://schemas.openxmlformats.org/officeDocument/2006/relationships/hyperlink" Target="https://youtu.be/a-ct2Py4378?t=4292" TargetMode="External"/><Relationship Id="rId251" Type="http://schemas.openxmlformats.org/officeDocument/2006/relationships/hyperlink" Target="https://youtu.be/qHP1zQJUTHk?t=4429" TargetMode="External"/><Relationship Id="rId250" Type="http://schemas.openxmlformats.org/officeDocument/2006/relationships/hyperlink" Target="https://youtu.be/tShJDcdQh5w?t=4494" TargetMode="External"/><Relationship Id="rId136" Type="http://schemas.openxmlformats.org/officeDocument/2006/relationships/hyperlink" Target="https://youtu.be/a-ct2Py4378?t=6865" TargetMode="External"/><Relationship Id="rId257" Type="http://schemas.openxmlformats.org/officeDocument/2006/relationships/hyperlink" Target="https://youtu.be/qHP1zQJUTHk?t=6984" TargetMode="External"/><Relationship Id="rId135" Type="http://schemas.openxmlformats.org/officeDocument/2006/relationships/hyperlink" Target="https://youtu.be/K9HQmkshoZA?t=5791" TargetMode="External"/><Relationship Id="rId256" Type="http://schemas.openxmlformats.org/officeDocument/2006/relationships/hyperlink" Target="https://youtu.be/tShJDcdQh5w?t=6941" TargetMode="External"/><Relationship Id="rId134" Type="http://schemas.openxmlformats.org/officeDocument/2006/relationships/hyperlink" Target="https://youtu.be/a-ct2Py4378?t=6013" TargetMode="External"/><Relationship Id="rId255" Type="http://schemas.openxmlformats.org/officeDocument/2006/relationships/hyperlink" Target="https://youtu.be/qHP1zQJUTHk?t=6121" TargetMode="External"/><Relationship Id="rId133" Type="http://schemas.openxmlformats.org/officeDocument/2006/relationships/hyperlink" Target="https://youtu.be/K9HQmkshoZA?t=4960" TargetMode="External"/><Relationship Id="rId254" Type="http://schemas.openxmlformats.org/officeDocument/2006/relationships/hyperlink" Target="https://youtu.be/tShJDcdQh5w?t=6133" TargetMode="External"/><Relationship Id="rId62" Type="http://schemas.openxmlformats.org/officeDocument/2006/relationships/hyperlink" Target="https://youtu.be/L8ETYkKVdQk?t=949" TargetMode="External"/><Relationship Id="rId61" Type="http://schemas.openxmlformats.org/officeDocument/2006/relationships/hyperlink" Target="https://youtu.be/LEnnkPv3Jw0" TargetMode="External"/><Relationship Id="rId64" Type="http://schemas.openxmlformats.org/officeDocument/2006/relationships/hyperlink" Target="https://youtu.be/L8ETYkKVdQk?t=1931" TargetMode="External"/><Relationship Id="rId63" Type="http://schemas.openxmlformats.org/officeDocument/2006/relationships/hyperlink" Target="https://youtu.be/LEnnkPv3Jw0?t=1081" TargetMode="External"/><Relationship Id="rId66" Type="http://schemas.openxmlformats.org/officeDocument/2006/relationships/hyperlink" Target="https://youtu.be/L8ETYkKVdQk?t=2893" TargetMode="External"/><Relationship Id="rId172" Type="http://schemas.openxmlformats.org/officeDocument/2006/relationships/hyperlink" Target="https://youtu.be/EsUlbshptZo?t=5260" TargetMode="External"/><Relationship Id="rId293" Type="http://schemas.openxmlformats.org/officeDocument/2006/relationships/hyperlink" Target="https://youtu.be/8kqbzUEVsyA?t=5857" TargetMode="External"/><Relationship Id="rId65" Type="http://schemas.openxmlformats.org/officeDocument/2006/relationships/hyperlink" Target="https://youtu.be/LEnnkPv3Jw0?t=2053" TargetMode="External"/><Relationship Id="rId171" Type="http://schemas.openxmlformats.org/officeDocument/2006/relationships/hyperlink" Target="https://youtu.be/h2VmVL2sJ9U?t=4256" TargetMode="External"/><Relationship Id="rId292" Type="http://schemas.openxmlformats.org/officeDocument/2006/relationships/hyperlink" Target="https://youtu.be/zTavFvGz5cc?t=5773" TargetMode="External"/><Relationship Id="rId68" Type="http://schemas.openxmlformats.org/officeDocument/2006/relationships/hyperlink" Target="https://youtu.be/L8ETYkKVdQk?t=3881" TargetMode="External"/><Relationship Id="rId170" Type="http://schemas.openxmlformats.org/officeDocument/2006/relationships/hyperlink" Target="https://youtu.be/EsUlbshptZo?t=4425" TargetMode="External"/><Relationship Id="rId291" Type="http://schemas.openxmlformats.org/officeDocument/2006/relationships/hyperlink" Target="https://youtu.be/8kqbzUEVsyA?t=4904" TargetMode="External"/><Relationship Id="rId67" Type="http://schemas.openxmlformats.org/officeDocument/2006/relationships/hyperlink" Target="https://youtu.be/LEnnkPv3Jw0?t=3023" TargetMode="External"/><Relationship Id="rId290" Type="http://schemas.openxmlformats.org/officeDocument/2006/relationships/hyperlink" Target="https://youtu.be/zTavFvGz5cc?t=4808" TargetMode="External"/><Relationship Id="rId60" Type="http://schemas.openxmlformats.org/officeDocument/2006/relationships/hyperlink" Target="https://youtu.be/L8ETYkKVdQk" TargetMode="External"/><Relationship Id="rId165" Type="http://schemas.openxmlformats.org/officeDocument/2006/relationships/hyperlink" Target="https://youtu.be/h2VmVL2sJ9U?t=1686" TargetMode="External"/><Relationship Id="rId286" Type="http://schemas.openxmlformats.org/officeDocument/2006/relationships/hyperlink" Target="https://youtu.be/zTavFvGz5cc?t=2915" TargetMode="External"/><Relationship Id="rId69" Type="http://schemas.openxmlformats.org/officeDocument/2006/relationships/hyperlink" Target="https://youtu.be/LEnnkPv3Jw0?t=3975" TargetMode="External"/><Relationship Id="rId164" Type="http://schemas.openxmlformats.org/officeDocument/2006/relationships/hyperlink" Target="https://youtu.be/EsUlbshptZo?t=1771" TargetMode="External"/><Relationship Id="rId285" Type="http://schemas.openxmlformats.org/officeDocument/2006/relationships/hyperlink" Target="https://youtu.be/8kqbzUEVsyA?t=2028" TargetMode="External"/><Relationship Id="rId163" Type="http://schemas.openxmlformats.org/officeDocument/2006/relationships/hyperlink" Target="https://youtu.be/h2VmVL2sJ9U?t=868" TargetMode="External"/><Relationship Id="rId284" Type="http://schemas.openxmlformats.org/officeDocument/2006/relationships/hyperlink" Target="https://youtu.be/zTavFvGz5cc?t=1947" TargetMode="External"/><Relationship Id="rId162" Type="http://schemas.openxmlformats.org/officeDocument/2006/relationships/hyperlink" Target="https://youtu.be/EsUlbshptZo?t=965" TargetMode="External"/><Relationship Id="rId283" Type="http://schemas.openxmlformats.org/officeDocument/2006/relationships/hyperlink" Target="https://youtu.be/8kqbzUEVsyA?t=1080" TargetMode="External"/><Relationship Id="rId169" Type="http://schemas.openxmlformats.org/officeDocument/2006/relationships/hyperlink" Target="https://youtu.be/h2VmVL2sJ9U?t=3458" TargetMode="External"/><Relationship Id="rId168" Type="http://schemas.openxmlformats.org/officeDocument/2006/relationships/hyperlink" Target="https://youtu.be/EsUlbshptZo?t=3465" TargetMode="External"/><Relationship Id="rId289" Type="http://schemas.openxmlformats.org/officeDocument/2006/relationships/hyperlink" Target="https://youtu.be/8kqbzUEVsyA?t=3958" TargetMode="External"/><Relationship Id="rId167" Type="http://schemas.openxmlformats.org/officeDocument/2006/relationships/hyperlink" Target="https://youtu.be/h2VmVL2sJ9U?t=2634" TargetMode="External"/><Relationship Id="rId288" Type="http://schemas.openxmlformats.org/officeDocument/2006/relationships/hyperlink" Target="https://youtu.be/zTavFvGz5cc?t=3853" TargetMode="External"/><Relationship Id="rId166" Type="http://schemas.openxmlformats.org/officeDocument/2006/relationships/hyperlink" Target="https://youtu.be/EsUlbshptZo?t=2643" TargetMode="External"/><Relationship Id="rId287" Type="http://schemas.openxmlformats.org/officeDocument/2006/relationships/hyperlink" Target="https://youtu.be/8kqbzUEVsyA?t=2976" TargetMode="External"/><Relationship Id="rId51" Type="http://schemas.openxmlformats.org/officeDocument/2006/relationships/hyperlink" Target="https://youtu.be/y7kFjola-nI?t=4355" TargetMode="External"/><Relationship Id="rId50" Type="http://schemas.openxmlformats.org/officeDocument/2006/relationships/hyperlink" Target="https://youtu.be/dwWC2voX3Wc?t=4283" TargetMode="External"/><Relationship Id="rId53" Type="http://schemas.openxmlformats.org/officeDocument/2006/relationships/hyperlink" Target="https://youtu.be/y7kFjola-nI?t=5145" TargetMode="External"/><Relationship Id="rId52" Type="http://schemas.openxmlformats.org/officeDocument/2006/relationships/hyperlink" Target="https://youtu.be/dwWC2voX3Wc?t=5086" TargetMode="External"/><Relationship Id="rId55" Type="http://schemas.openxmlformats.org/officeDocument/2006/relationships/hyperlink" Target="https://youtu.be/y7kFjola-nI?t=5986" TargetMode="External"/><Relationship Id="rId161" Type="http://schemas.openxmlformats.org/officeDocument/2006/relationships/hyperlink" Target="https://youtu.be/h2VmVL2sJ9U" TargetMode="External"/><Relationship Id="rId282" Type="http://schemas.openxmlformats.org/officeDocument/2006/relationships/hyperlink" Target="https://youtu.be/zTavFvGz5cc?t=1001" TargetMode="External"/><Relationship Id="rId54" Type="http://schemas.openxmlformats.org/officeDocument/2006/relationships/hyperlink" Target="https://youtu.be/dwWC2voX3Wc?t=5922" TargetMode="External"/><Relationship Id="rId160" Type="http://schemas.openxmlformats.org/officeDocument/2006/relationships/hyperlink" Target="https://youtu.be/EsUlbshptZo" TargetMode="External"/><Relationship Id="rId281" Type="http://schemas.openxmlformats.org/officeDocument/2006/relationships/hyperlink" Target="https://youtu.be/8kqbzUEVsyA" TargetMode="External"/><Relationship Id="rId57" Type="http://schemas.openxmlformats.org/officeDocument/2006/relationships/hyperlink" Target="https://youtu.be/y7kFjola-nI?t=6865" TargetMode="External"/><Relationship Id="rId280" Type="http://schemas.openxmlformats.org/officeDocument/2006/relationships/hyperlink" Target="https://youtu.be/zTavFvGz5cc" TargetMode="External"/><Relationship Id="rId56" Type="http://schemas.openxmlformats.org/officeDocument/2006/relationships/hyperlink" Target="https://youtu.be/dwWC2voX3Wc?t=6752" TargetMode="External"/><Relationship Id="rId159" Type="http://schemas.openxmlformats.org/officeDocument/2006/relationships/hyperlink" Target="https://youtu.be/kEcfEpP82vQ?t=8643" TargetMode="External"/><Relationship Id="rId59" Type="http://schemas.openxmlformats.org/officeDocument/2006/relationships/hyperlink" Target="https://youtu.be/y7kFjola-nI?t=7665" TargetMode="External"/><Relationship Id="rId154" Type="http://schemas.openxmlformats.org/officeDocument/2006/relationships/hyperlink" Target="https://youtu.be/nsXCbRLCweI?t=6627" TargetMode="External"/><Relationship Id="rId275" Type="http://schemas.openxmlformats.org/officeDocument/2006/relationships/hyperlink" Target="https://youtu.be/Oaskybinm68?t=5914" TargetMode="External"/><Relationship Id="rId58" Type="http://schemas.openxmlformats.org/officeDocument/2006/relationships/hyperlink" Target="https://youtu.be/dwWC2voX3Wc?t=7563" TargetMode="External"/><Relationship Id="rId153" Type="http://schemas.openxmlformats.org/officeDocument/2006/relationships/hyperlink" Target="https://youtu.be/kEcfEpP82vQ?t=5784" TargetMode="External"/><Relationship Id="rId274" Type="http://schemas.openxmlformats.org/officeDocument/2006/relationships/hyperlink" Target="https://youtu.be/b449U2Ioiks?t=5940" TargetMode="External"/><Relationship Id="rId152" Type="http://schemas.openxmlformats.org/officeDocument/2006/relationships/hyperlink" Target="https://youtu.be/nsXCbRLCweI?t=5700" TargetMode="External"/><Relationship Id="rId273" Type="http://schemas.openxmlformats.org/officeDocument/2006/relationships/hyperlink" Target="https://youtu.be/Oaskybinm68?t=5059" TargetMode="External"/><Relationship Id="rId151" Type="http://schemas.openxmlformats.org/officeDocument/2006/relationships/hyperlink" Target="https://youtu.be/kEcfEpP82vQ?t=4824" TargetMode="External"/><Relationship Id="rId272" Type="http://schemas.openxmlformats.org/officeDocument/2006/relationships/hyperlink" Target="https://youtu.be/b449U2Ioiks?t=5135" TargetMode="External"/><Relationship Id="rId158" Type="http://schemas.openxmlformats.org/officeDocument/2006/relationships/hyperlink" Target="https://youtu.be/nsXCbRLCweI?t=8555" TargetMode="External"/><Relationship Id="rId279" Type="http://schemas.openxmlformats.org/officeDocument/2006/relationships/hyperlink" Target="https://youtu.be/Oaskybinm68?t=7659" TargetMode="External"/><Relationship Id="rId157" Type="http://schemas.openxmlformats.org/officeDocument/2006/relationships/hyperlink" Target="https://youtu.be/kEcfEpP82vQ?t=7732" TargetMode="External"/><Relationship Id="rId278" Type="http://schemas.openxmlformats.org/officeDocument/2006/relationships/hyperlink" Target="https://youtu.be/b449U2Ioiks?t=7658" TargetMode="External"/><Relationship Id="rId156" Type="http://schemas.openxmlformats.org/officeDocument/2006/relationships/hyperlink" Target="https://youtu.be/nsXCbRLCweI?t=7616" TargetMode="External"/><Relationship Id="rId277" Type="http://schemas.openxmlformats.org/officeDocument/2006/relationships/hyperlink" Target="https://youtu.be/Oaskybinm68?t=6775" TargetMode="External"/><Relationship Id="rId155" Type="http://schemas.openxmlformats.org/officeDocument/2006/relationships/hyperlink" Target="https://youtu.be/kEcfEpP82vQ?t=6708" TargetMode="External"/><Relationship Id="rId276" Type="http://schemas.openxmlformats.org/officeDocument/2006/relationships/hyperlink" Target="https://youtu.be/b449U2Ioiks?t=6814" TargetMode="External"/><Relationship Id="rId107" Type="http://schemas.openxmlformats.org/officeDocument/2006/relationships/hyperlink" Target="https://youtu.be/4cG03oe8rVQ?t=2973" TargetMode="External"/><Relationship Id="rId228" Type="http://schemas.openxmlformats.org/officeDocument/2006/relationships/hyperlink" Target="https://youtu.be/nNXqLMtL364?t=3867" TargetMode="External"/><Relationship Id="rId106" Type="http://schemas.openxmlformats.org/officeDocument/2006/relationships/hyperlink" Target="https://youtu.be/k0QZigmicg0?t=2877" TargetMode="External"/><Relationship Id="rId227" Type="http://schemas.openxmlformats.org/officeDocument/2006/relationships/hyperlink" Target="https://youtu.be/GgqOz9VPUGg?t=3035" TargetMode="External"/><Relationship Id="rId105" Type="http://schemas.openxmlformats.org/officeDocument/2006/relationships/hyperlink" Target="https://youtu.be/4cG03oe8rVQ?t=2080" TargetMode="External"/><Relationship Id="rId226" Type="http://schemas.openxmlformats.org/officeDocument/2006/relationships/hyperlink" Target="https://youtu.be/nNXqLMtL364?t=2913" TargetMode="External"/><Relationship Id="rId104" Type="http://schemas.openxmlformats.org/officeDocument/2006/relationships/hyperlink" Target="https://youtu.be/k0QZigmicg0?t=1904" TargetMode="External"/><Relationship Id="rId225" Type="http://schemas.openxmlformats.org/officeDocument/2006/relationships/hyperlink" Target="https://youtu.be/GgqOz9VPUGg?t=2066" TargetMode="External"/><Relationship Id="rId109" Type="http://schemas.openxmlformats.org/officeDocument/2006/relationships/hyperlink" Target="https://youtu.be/4cG03oe8rVQ?t=3947" TargetMode="External"/><Relationship Id="rId108" Type="http://schemas.openxmlformats.org/officeDocument/2006/relationships/hyperlink" Target="https://youtu.be/k0QZigmicg0?t=3842" TargetMode="External"/><Relationship Id="rId229" Type="http://schemas.openxmlformats.org/officeDocument/2006/relationships/hyperlink" Target="https://youtu.be/GgqOz9VPUGg?t=3976" TargetMode="External"/><Relationship Id="rId220" Type="http://schemas.openxmlformats.org/officeDocument/2006/relationships/hyperlink" Target="https://youtu.be/nNXqLMtL364" TargetMode="External"/><Relationship Id="rId103" Type="http://schemas.openxmlformats.org/officeDocument/2006/relationships/hyperlink" Target="https://youtu.be/4cG03oe8rVQ?t=1056" TargetMode="External"/><Relationship Id="rId224" Type="http://schemas.openxmlformats.org/officeDocument/2006/relationships/hyperlink" Target="https://youtu.be/nNXqLMtL364?t=1992" TargetMode="External"/><Relationship Id="rId102" Type="http://schemas.openxmlformats.org/officeDocument/2006/relationships/hyperlink" Target="https://youtu.be/k0QZigmicg0?t=945" TargetMode="External"/><Relationship Id="rId223" Type="http://schemas.openxmlformats.org/officeDocument/2006/relationships/hyperlink" Target="https://youtu.be/GgqOz9VPUGg?t=1078" TargetMode="External"/><Relationship Id="rId101" Type="http://schemas.openxmlformats.org/officeDocument/2006/relationships/hyperlink" Target="https://youtu.be/4cG03oe8rVQ" TargetMode="External"/><Relationship Id="rId222" Type="http://schemas.openxmlformats.org/officeDocument/2006/relationships/hyperlink" Target="https://youtu.be/nNXqLMtL364?t=994" TargetMode="External"/><Relationship Id="rId100" Type="http://schemas.openxmlformats.org/officeDocument/2006/relationships/hyperlink" Target="https://youtu.be/k0QZigmicg0" TargetMode="External"/><Relationship Id="rId221" Type="http://schemas.openxmlformats.org/officeDocument/2006/relationships/hyperlink" Target="https://youtu.be/GgqOz9VPUGg" TargetMode="External"/><Relationship Id="rId217" Type="http://schemas.openxmlformats.org/officeDocument/2006/relationships/hyperlink" Target="https://youtu.be/LvJAS4VhfuE?t=7598" TargetMode="External"/><Relationship Id="rId216" Type="http://schemas.openxmlformats.org/officeDocument/2006/relationships/hyperlink" Target="https://youtu.be/h-3gQHO9q4Q?t=7535" TargetMode="External"/><Relationship Id="rId215" Type="http://schemas.openxmlformats.org/officeDocument/2006/relationships/hyperlink" Target="https://youtu.be/LvJAS4VhfuE?t=6653" TargetMode="External"/><Relationship Id="rId214" Type="http://schemas.openxmlformats.org/officeDocument/2006/relationships/hyperlink" Target="https://youtu.be/h-3gQHO9q4Q?t=6579" TargetMode="External"/><Relationship Id="rId219" Type="http://schemas.openxmlformats.org/officeDocument/2006/relationships/hyperlink" Target="https://youtu.be/LvJAS4VhfuE?t=8492" TargetMode="External"/><Relationship Id="rId218" Type="http://schemas.openxmlformats.org/officeDocument/2006/relationships/hyperlink" Target="https://youtu.be/h-3gQHO9q4Q?t=8497" TargetMode="External"/><Relationship Id="rId213" Type="http://schemas.openxmlformats.org/officeDocument/2006/relationships/hyperlink" Target="https://youtu.be/LvJAS4VhfuE?t=5689" TargetMode="External"/><Relationship Id="rId212" Type="http://schemas.openxmlformats.org/officeDocument/2006/relationships/hyperlink" Target="https://youtu.be/h-3gQHO9q4Q?t=5666" TargetMode="External"/><Relationship Id="rId211" Type="http://schemas.openxmlformats.org/officeDocument/2006/relationships/hyperlink" Target="https://youtu.be/LvJAS4VhfuE?t=4734" TargetMode="External"/><Relationship Id="rId210" Type="http://schemas.openxmlformats.org/officeDocument/2006/relationships/hyperlink" Target="https://youtu.be/h-3gQHO9q4Q?t=4733" TargetMode="External"/><Relationship Id="rId129" Type="http://schemas.openxmlformats.org/officeDocument/2006/relationships/hyperlink" Target="https://youtu.be/K9HQmkshoZA?t=3308" TargetMode="External"/><Relationship Id="rId128" Type="http://schemas.openxmlformats.org/officeDocument/2006/relationships/hyperlink" Target="https://youtu.be/a-ct2Py4378?t=3477" TargetMode="External"/><Relationship Id="rId249" Type="http://schemas.openxmlformats.org/officeDocument/2006/relationships/hyperlink" Target="https://youtu.be/qHP1zQJUTHk?t=3545" TargetMode="External"/><Relationship Id="rId127" Type="http://schemas.openxmlformats.org/officeDocument/2006/relationships/hyperlink" Target="https://youtu.be/K9HQmkshoZA?t=2516" TargetMode="External"/><Relationship Id="rId248" Type="http://schemas.openxmlformats.org/officeDocument/2006/relationships/hyperlink" Target="https://youtu.be/tShJDcdQh5w?t=3509" TargetMode="External"/><Relationship Id="rId126" Type="http://schemas.openxmlformats.org/officeDocument/2006/relationships/hyperlink" Target="https://youtu.be/a-ct2Py4378?t=2652" TargetMode="External"/><Relationship Id="rId247" Type="http://schemas.openxmlformats.org/officeDocument/2006/relationships/hyperlink" Target="https://youtu.be/qHP1zQJUTHk?t=2695" TargetMode="External"/><Relationship Id="rId121" Type="http://schemas.openxmlformats.org/officeDocument/2006/relationships/hyperlink" Target="https://youtu.be/K9HQmkshoZA?t=67" TargetMode="External"/><Relationship Id="rId242" Type="http://schemas.openxmlformats.org/officeDocument/2006/relationships/hyperlink" Target="https://youtu.be/tShJDcdQh5w?t=980" TargetMode="External"/><Relationship Id="rId120" Type="http://schemas.openxmlformats.org/officeDocument/2006/relationships/hyperlink" Target="https://youtu.be/a-ct2Py4378" TargetMode="External"/><Relationship Id="rId241" Type="http://schemas.openxmlformats.org/officeDocument/2006/relationships/hyperlink" Target="https://youtu.be/qHP1zQJUTHk" TargetMode="External"/><Relationship Id="rId240" Type="http://schemas.openxmlformats.org/officeDocument/2006/relationships/hyperlink" Target="https://youtu.be/tShJDcdQh5w" TargetMode="External"/><Relationship Id="rId125" Type="http://schemas.openxmlformats.org/officeDocument/2006/relationships/hyperlink" Target="https://youtu.be/K9HQmkshoZA?t=1711" TargetMode="External"/><Relationship Id="rId246" Type="http://schemas.openxmlformats.org/officeDocument/2006/relationships/hyperlink" Target="https://youtu.be/tShJDcdQh5w?t=2707" TargetMode="External"/><Relationship Id="rId124" Type="http://schemas.openxmlformats.org/officeDocument/2006/relationships/hyperlink" Target="https://youtu.be/a-ct2Py4378?t=1828" TargetMode="External"/><Relationship Id="rId245" Type="http://schemas.openxmlformats.org/officeDocument/2006/relationships/hyperlink" Target="https://youtu.be/qHP1zQJUTHk?t=1782" TargetMode="External"/><Relationship Id="rId123" Type="http://schemas.openxmlformats.org/officeDocument/2006/relationships/hyperlink" Target="https://youtu.be/K9HQmkshoZA?t=860" TargetMode="External"/><Relationship Id="rId244" Type="http://schemas.openxmlformats.org/officeDocument/2006/relationships/hyperlink" Target="https://youtu.be/tShJDcdQh5w?t=1820" TargetMode="External"/><Relationship Id="rId122" Type="http://schemas.openxmlformats.org/officeDocument/2006/relationships/hyperlink" Target="https://youtu.be/a-ct2Py4378?t=985" TargetMode="External"/><Relationship Id="rId243" Type="http://schemas.openxmlformats.org/officeDocument/2006/relationships/hyperlink" Target="https://youtu.be/qHP1zQJUTHk?t=902" TargetMode="External"/><Relationship Id="rId95" Type="http://schemas.openxmlformats.org/officeDocument/2006/relationships/hyperlink" Target="https://youtu.be/4Iy4lYnXq88?t=6816" TargetMode="External"/><Relationship Id="rId94" Type="http://schemas.openxmlformats.org/officeDocument/2006/relationships/hyperlink" Target="https://youtu.be/jhQ9sXEUWWo?t=6660" TargetMode="External"/><Relationship Id="rId97" Type="http://schemas.openxmlformats.org/officeDocument/2006/relationships/hyperlink" Target="https://youtu.be/4Iy4lYnXq88?t=7773" TargetMode="External"/><Relationship Id="rId96" Type="http://schemas.openxmlformats.org/officeDocument/2006/relationships/hyperlink" Target="https://youtu.be/jhQ9sXEUWWo?t=7569" TargetMode="External"/><Relationship Id="rId99" Type="http://schemas.openxmlformats.org/officeDocument/2006/relationships/hyperlink" Target="https://youtu.be/4Iy4lYnXq88?t=8677" TargetMode="External"/><Relationship Id="rId98" Type="http://schemas.openxmlformats.org/officeDocument/2006/relationships/hyperlink" Target="https://youtu.be/jhQ9sXEUWWo?t=8505" TargetMode="External"/><Relationship Id="rId91" Type="http://schemas.openxmlformats.org/officeDocument/2006/relationships/hyperlink" Target="https://youtu.be/4Iy4lYnXq88?t=4821" TargetMode="External"/><Relationship Id="rId90" Type="http://schemas.openxmlformats.org/officeDocument/2006/relationships/hyperlink" Target="https://youtu.be/jhQ9sXEUWWo?t=4782" TargetMode="External"/><Relationship Id="rId93" Type="http://schemas.openxmlformats.org/officeDocument/2006/relationships/hyperlink" Target="https://youtu.be/4Iy4lYnXq88?t=5827" TargetMode="External"/><Relationship Id="rId92" Type="http://schemas.openxmlformats.org/officeDocument/2006/relationships/hyperlink" Target="https://youtu.be/jhQ9sXEUWWo?t=5719" TargetMode="External"/><Relationship Id="rId118" Type="http://schemas.openxmlformats.org/officeDocument/2006/relationships/hyperlink" Target="https://youtu.be/k0QZigmicg0?t=8514" TargetMode="External"/><Relationship Id="rId239" Type="http://schemas.openxmlformats.org/officeDocument/2006/relationships/hyperlink" Target="https://youtu.be/GgqOz9VPUGg?t=8730" TargetMode="External"/><Relationship Id="rId117" Type="http://schemas.openxmlformats.org/officeDocument/2006/relationships/hyperlink" Target="https://youtu.be/4cG03oe8rVQ?t=7796" TargetMode="External"/><Relationship Id="rId238" Type="http://schemas.openxmlformats.org/officeDocument/2006/relationships/hyperlink" Target="https://youtu.be/nNXqLMtL364?t=8650" TargetMode="External"/><Relationship Id="rId116" Type="http://schemas.openxmlformats.org/officeDocument/2006/relationships/hyperlink" Target="https://youtu.be/k0QZigmicg0?t=7642" TargetMode="External"/><Relationship Id="rId237" Type="http://schemas.openxmlformats.org/officeDocument/2006/relationships/hyperlink" Target="https://youtu.be/GgqOz9VPUGg?t=7775" TargetMode="External"/><Relationship Id="rId115" Type="http://schemas.openxmlformats.org/officeDocument/2006/relationships/hyperlink" Target="https://youtu.be/4cG03oe8rVQ?t=6810" TargetMode="External"/><Relationship Id="rId236" Type="http://schemas.openxmlformats.org/officeDocument/2006/relationships/hyperlink" Target="https://youtu.be/nNXqLMtL364?t=7702" TargetMode="External"/><Relationship Id="rId119" Type="http://schemas.openxmlformats.org/officeDocument/2006/relationships/hyperlink" Target="https://youtu.be/4cG03oe8rVQ?t=8764" TargetMode="External"/><Relationship Id="rId110" Type="http://schemas.openxmlformats.org/officeDocument/2006/relationships/hyperlink" Target="https://youtu.be/k0QZigmicg0?t=4929" TargetMode="External"/><Relationship Id="rId231" Type="http://schemas.openxmlformats.org/officeDocument/2006/relationships/hyperlink" Target="https://youtu.be/GgqOz9VPUGg?t=4923" TargetMode="External"/><Relationship Id="rId230" Type="http://schemas.openxmlformats.org/officeDocument/2006/relationships/hyperlink" Target="https://youtu.be/nNXqLMtL364?t=4829" TargetMode="External"/><Relationship Id="rId114" Type="http://schemas.openxmlformats.org/officeDocument/2006/relationships/hyperlink" Target="https://youtu.be/k0QZigmicg0?t=6748" TargetMode="External"/><Relationship Id="rId235" Type="http://schemas.openxmlformats.org/officeDocument/2006/relationships/hyperlink" Target="https://youtu.be/GgqOz9VPUGg?t=6830" TargetMode="External"/><Relationship Id="rId113" Type="http://schemas.openxmlformats.org/officeDocument/2006/relationships/hyperlink" Target="https://youtu.be/4cG03oe8rVQ?t=5820" TargetMode="External"/><Relationship Id="rId234" Type="http://schemas.openxmlformats.org/officeDocument/2006/relationships/hyperlink" Target="https://youtu.be/nNXqLMtL364?t=6771" TargetMode="External"/><Relationship Id="rId112" Type="http://schemas.openxmlformats.org/officeDocument/2006/relationships/hyperlink" Target="https://youtu.be/k0QZigmicg0?t=5806" TargetMode="External"/><Relationship Id="rId233" Type="http://schemas.openxmlformats.org/officeDocument/2006/relationships/hyperlink" Target="https://youtu.be/GgqOz9VPUGg?t=5869" TargetMode="External"/><Relationship Id="rId111" Type="http://schemas.openxmlformats.org/officeDocument/2006/relationships/hyperlink" Target="https://youtu.be/4cG03oe8rVQ?t=4876" TargetMode="External"/><Relationship Id="rId232" Type="http://schemas.openxmlformats.org/officeDocument/2006/relationships/hyperlink" Target="https://youtu.be/nNXqLMtL364?t=5816" TargetMode="External"/><Relationship Id="rId305" Type="http://schemas.openxmlformats.org/officeDocument/2006/relationships/hyperlink" Target="https://youtu.be/RB72XzKL7n0?t=1744" TargetMode="External"/><Relationship Id="rId304" Type="http://schemas.openxmlformats.org/officeDocument/2006/relationships/hyperlink" Target="https://youtu.be/uAuBJ0C-w_U?t=1727" TargetMode="External"/><Relationship Id="rId303" Type="http://schemas.openxmlformats.org/officeDocument/2006/relationships/hyperlink" Target="https://youtu.be/RB72XzKL7n0?t=910" TargetMode="External"/><Relationship Id="rId302" Type="http://schemas.openxmlformats.org/officeDocument/2006/relationships/hyperlink" Target="https://youtu.be/uAuBJ0C-w_U?t=849" TargetMode="External"/><Relationship Id="rId309" Type="http://schemas.openxmlformats.org/officeDocument/2006/relationships/hyperlink" Target="https://youtu.be/RB72XzKL7n0?t=3420" TargetMode="External"/><Relationship Id="rId308" Type="http://schemas.openxmlformats.org/officeDocument/2006/relationships/hyperlink" Target="https://youtu.be/uAuBJ0C-w_U?t=3375" TargetMode="External"/><Relationship Id="rId307" Type="http://schemas.openxmlformats.org/officeDocument/2006/relationships/hyperlink" Target="https://youtu.be/RB72XzKL7n0?t=2607" TargetMode="External"/><Relationship Id="rId306" Type="http://schemas.openxmlformats.org/officeDocument/2006/relationships/hyperlink" Target="https://youtu.be/uAuBJ0C-w_U?t=2543" TargetMode="External"/><Relationship Id="rId301" Type="http://schemas.openxmlformats.org/officeDocument/2006/relationships/hyperlink" Target="https://youtu.be/RB72XzKL7n0" TargetMode="External"/><Relationship Id="rId300" Type="http://schemas.openxmlformats.org/officeDocument/2006/relationships/hyperlink" Target="https://youtu.be/uAuBJ0C-w_U" TargetMode="External"/><Relationship Id="rId206" Type="http://schemas.openxmlformats.org/officeDocument/2006/relationships/hyperlink" Target="https://youtu.be/h-3gQHO9q4Q?t=2870" TargetMode="External"/><Relationship Id="rId205" Type="http://schemas.openxmlformats.org/officeDocument/2006/relationships/hyperlink" Target="https://youtu.be/LvJAS4VhfuE?t=2014" TargetMode="External"/><Relationship Id="rId204" Type="http://schemas.openxmlformats.org/officeDocument/2006/relationships/hyperlink" Target="https://youtu.be/h-3gQHO9q4Q?t=1958" TargetMode="External"/><Relationship Id="rId203" Type="http://schemas.openxmlformats.org/officeDocument/2006/relationships/hyperlink" Target="https://youtu.be/LvJAS4VhfuE?t=1088" TargetMode="External"/><Relationship Id="rId209" Type="http://schemas.openxmlformats.org/officeDocument/2006/relationships/hyperlink" Target="https://youtu.be/LvJAS4VhfuE?t=3774" TargetMode="External"/><Relationship Id="rId208" Type="http://schemas.openxmlformats.org/officeDocument/2006/relationships/hyperlink" Target="https://youtu.be/h-3gQHO9q4Q?t=3784" TargetMode="External"/><Relationship Id="rId207" Type="http://schemas.openxmlformats.org/officeDocument/2006/relationships/hyperlink" Target="https://youtu.be/LvJAS4VhfuE?t=2864" TargetMode="External"/><Relationship Id="rId202" Type="http://schemas.openxmlformats.org/officeDocument/2006/relationships/hyperlink" Target="https://youtu.be/h-3gQHO9q4Q?t=1017" TargetMode="External"/><Relationship Id="rId201" Type="http://schemas.openxmlformats.org/officeDocument/2006/relationships/hyperlink" Target="https://youtu.be/LvJAS4VhfuE" TargetMode="External"/><Relationship Id="rId200" Type="http://schemas.openxmlformats.org/officeDocument/2006/relationships/hyperlink" Target="https://youtu.be/h-3gQHO9q4Q" TargetMode="External"/><Relationship Id="rId320" Type="http://schemas.openxmlformats.org/officeDocument/2006/relationships/drawing" Target="../drawings/drawing20.xml"/><Relationship Id="rId316" Type="http://schemas.openxmlformats.org/officeDocument/2006/relationships/hyperlink" Target="https://youtu.be/uAuBJ0C-w_U?t=6570" TargetMode="External"/><Relationship Id="rId315" Type="http://schemas.openxmlformats.org/officeDocument/2006/relationships/hyperlink" Target="https://youtu.be/RB72XzKL7n0?t=5872" TargetMode="External"/><Relationship Id="rId314" Type="http://schemas.openxmlformats.org/officeDocument/2006/relationships/hyperlink" Target="https://youtu.be/uAuBJ0C-w_U?t=5781" TargetMode="External"/><Relationship Id="rId313" Type="http://schemas.openxmlformats.org/officeDocument/2006/relationships/hyperlink" Target="https://youtu.be/RB72XzKL7n0?t=5056" TargetMode="External"/><Relationship Id="rId319" Type="http://schemas.openxmlformats.org/officeDocument/2006/relationships/hyperlink" Target="https://youtu.be/RB72XzKL7n0?t=7559" TargetMode="External"/><Relationship Id="rId318" Type="http://schemas.openxmlformats.org/officeDocument/2006/relationships/hyperlink" Target="https://youtu.be/uAuBJ0C-w_U?t=7410" TargetMode="External"/><Relationship Id="rId317" Type="http://schemas.openxmlformats.org/officeDocument/2006/relationships/hyperlink" Target="https://youtu.be/RB72XzKL7n0?t=6677" TargetMode="External"/><Relationship Id="rId312" Type="http://schemas.openxmlformats.org/officeDocument/2006/relationships/hyperlink" Target="https://youtu.be/uAuBJ0C-w_U?t=4985" TargetMode="External"/><Relationship Id="rId311" Type="http://schemas.openxmlformats.org/officeDocument/2006/relationships/hyperlink" Target="https://youtu.be/RB72XzKL7n0?t=4246" TargetMode="External"/><Relationship Id="rId310" Type="http://schemas.openxmlformats.org/officeDocument/2006/relationships/hyperlink" Target="https://youtu.be/uAuBJ0C-w_U?t=4181" TargetMode="External"/></Relationships>
</file>

<file path=xl/worksheets/_rels/sheet2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OS0rMt8Swhw?t=8226" TargetMode="External"/><Relationship Id="rId190" Type="http://schemas.openxmlformats.org/officeDocument/2006/relationships/hyperlink" Target="https://youtu.be/fJ5c5WHhQn0?t=3467" TargetMode="External"/><Relationship Id="rId42" Type="http://schemas.openxmlformats.org/officeDocument/2006/relationships/hyperlink" Target="https://youtu.be/GwxgQEvBLRk" TargetMode="External"/><Relationship Id="rId41" Type="http://schemas.openxmlformats.org/officeDocument/2006/relationships/hyperlink" Target="https://youtu.be/r2VxcpVDpro" TargetMode="External"/><Relationship Id="rId44" Type="http://schemas.openxmlformats.org/officeDocument/2006/relationships/hyperlink" Target="https://youtu.be/GwxgQEvBLRk?t=786" TargetMode="External"/><Relationship Id="rId194" Type="http://schemas.openxmlformats.org/officeDocument/2006/relationships/hyperlink" Target="https://youtu.be/fJ5c5WHhQn0?t=5179" TargetMode="External"/><Relationship Id="rId43" Type="http://schemas.openxmlformats.org/officeDocument/2006/relationships/hyperlink" Target="https://youtu.be/r2VxcpVDpro?t=1508" TargetMode="External"/><Relationship Id="rId193" Type="http://schemas.openxmlformats.org/officeDocument/2006/relationships/hyperlink" Target="https://youtu.be/Rs71mrRIc8Q?t=5197" TargetMode="External"/><Relationship Id="rId46" Type="http://schemas.openxmlformats.org/officeDocument/2006/relationships/hyperlink" Target="https://youtu.be/GwxgQEvBLRk?t=1579" TargetMode="External"/><Relationship Id="rId192" Type="http://schemas.openxmlformats.org/officeDocument/2006/relationships/hyperlink" Target="https://youtu.be/fJ5c5WHhQn0?t=4316" TargetMode="External"/><Relationship Id="rId45" Type="http://schemas.openxmlformats.org/officeDocument/2006/relationships/hyperlink" Target="https://youtu.be/r2VxcpVDpro?t=2287" TargetMode="External"/><Relationship Id="rId191" Type="http://schemas.openxmlformats.org/officeDocument/2006/relationships/hyperlink" Target="https://youtu.be/Rs71mrRIc8Q?t=4324" TargetMode="External"/><Relationship Id="rId48" Type="http://schemas.openxmlformats.org/officeDocument/2006/relationships/hyperlink" Target="https://youtu.be/GwxgQEvBLRk?t=2397" TargetMode="External"/><Relationship Id="rId187" Type="http://schemas.openxmlformats.org/officeDocument/2006/relationships/hyperlink" Target="https://youtu.be/Rs71mrRIc8Q?t=2650" TargetMode="External"/><Relationship Id="rId47" Type="http://schemas.openxmlformats.org/officeDocument/2006/relationships/hyperlink" Target="https://youtu.be/r2VxcpVDpro?t=3104" TargetMode="External"/><Relationship Id="rId186" Type="http://schemas.openxmlformats.org/officeDocument/2006/relationships/hyperlink" Target="https://youtu.be/fJ5c5WHhQn0?t=1779" TargetMode="External"/><Relationship Id="rId185" Type="http://schemas.openxmlformats.org/officeDocument/2006/relationships/hyperlink" Target="https://youtu.be/Rs71mrRIc8Q?t=1777" TargetMode="External"/><Relationship Id="rId49" Type="http://schemas.openxmlformats.org/officeDocument/2006/relationships/hyperlink" Target="https://youtu.be/r2VxcpVDpro?t=3945" TargetMode="External"/><Relationship Id="rId184" Type="http://schemas.openxmlformats.org/officeDocument/2006/relationships/hyperlink" Target="https://youtu.be/fJ5c5WHhQn0?t=875" TargetMode="External"/><Relationship Id="rId189" Type="http://schemas.openxmlformats.org/officeDocument/2006/relationships/hyperlink" Target="https://youtu.be/Rs71mrRIc8Q?t=3459" TargetMode="External"/><Relationship Id="rId188" Type="http://schemas.openxmlformats.org/officeDocument/2006/relationships/hyperlink" Target="https://youtu.be/fJ5c5WHhQn0?t=2616" TargetMode="External"/><Relationship Id="rId31" Type="http://schemas.openxmlformats.org/officeDocument/2006/relationships/hyperlink" Target="https://youtu.be/1aTo1aXqnG4?t=4708" TargetMode="External"/><Relationship Id="rId30" Type="http://schemas.openxmlformats.org/officeDocument/2006/relationships/hyperlink" Target="https://youtu.be/OS0rMt8Swhw?t=3651" TargetMode="External"/><Relationship Id="rId33" Type="http://schemas.openxmlformats.org/officeDocument/2006/relationships/hyperlink" Target="https://youtu.be/1aTo1aXqnG4?t=5679" TargetMode="External"/><Relationship Id="rId183" Type="http://schemas.openxmlformats.org/officeDocument/2006/relationships/hyperlink" Target="https://youtu.be/Rs71mrRIc8Q?t=913" TargetMode="External"/><Relationship Id="rId32" Type="http://schemas.openxmlformats.org/officeDocument/2006/relationships/hyperlink" Target="https://youtu.be/OS0rMt8Swhw?t=4531" TargetMode="External"/><Relationship Id="rId182" Type="http://schemas.openxmlformats.org/officeDocument/2006/relationships/hyperlink" Target="https://youtu.be/fJ5c5WHhQn0" TargetMode="External"/><Relationship Id="rId35" Type="http://schemas.openxmlformats.org/officeDocument/2006/relationships/hyperlink" Target="https://youtu.be/1aTo1aXqnG4?t=6583" TargetMode="External"/><Relationship Id="rId181" Type="http://schemas.openxmlformats.org/officeDocument/2006/relationships/hyperlink" Target="https://youtu.be/Rs71mrRIc8Q" TargetMode="External"/><Relationship Id="rId34" Type="http://schemas.openxmlformats.org/officeDocument/2006/relationships/hyperlink" Target="https://youtu.be/OS0rMt8Swhw?t=5434" TargetMode="External"/><Relationship Id="rId180" Type="http://schemas.openxmlformats.org/officeDocument/2006/relationships/hyperlink" Target="https://youtu.be/oy6N2IHs81s?t=7868" TargetMode="External"/><Relationship Id="rId37" Type="http://schemas.openxmlformats.org/officeDocument/2006/relationships/hyperlink" Target="https://youtu.be/1aTo1aXqnG4?t=7552" TargetMode="External"/><Relationship Id="rId176" Type="http://schemas.openxmlformats.org/officeDocument/2006/relationships/hyperlink" Target="https://youtu.be/oy6N2IHs81s?t=6146" TargetMode="External"/><Relationship Id="rId297" Type="http://schemas.openxmlformats.org/officeDocument/2006/relationships/hyperlink" Target="https://youtu.be/q7wJ8AeCk8o?t=7694" TargetMode="External"/><Relationship Id="rId36" Type="http://schemas.openxmlformats.org/officeDocument/2006/relationships/hyperlink" Target="https://youtu.be/OS0rMt8Swhw?t=6349" TargetMode="External"/><Relationship Id="rId175" Type="http://schemas.openxmlformats.org/officeDocument/2006/relationships/hyperlink" Target="https://youtu.be/rnOrZLYyJxU?t=6102" TargetMode="External"/><Relationship Id="rId296" Type="http://schemas.openxmlformats.org/officeDocument/2006/relationships/hyperlink" Target="https://youtu.be/yU0E2OTxkGg?t=6817" TargetMode="External"/><Relationship Id="rId39" Type="http://schemas.openxmlformats.org/officeDocument/2006/relationships/hyperlink" Target="https://youtu.be/1aTo1aXqnG4?t=8484" TargetMode="External"/><Relationship Id="rId174" Type="http://schemas.openxmlformats.org/officeDocument/2006/relationships/hyperlink" Target="https://youtu.be/oy6N2IHs81s?t=5289" TargetMode="External"/><Relationship Id="rId295" Type="http://schemas.openxmlformats.org/officeDocument/2006/relationships/hyperlink" Target="https://youtu.be/q7wJ8AeCk8o?t=6746" TargetMode="External"/><Relationship Id="rId38" Type="http://schemas.openxmlformats.org/officeDocument/2006/relationships/hyperlink" Target="https://youtu.be/OS0rMt8Swhw?t=7291" TargetMode="External"/><Relationship Id="rId173" Type="http://schemas.openxmlformats.org/officeDocument/2006/relationships/hyperlink" Target="https://youtu.be/rnOrZLYyJxU?t=5246" TargetMode="External"/><Relationship Id="rId294" Type="http://schemas.openxmlformats.org/officeDocument/2006/relationships/hyperlink" Target="https://youtu.be/yU0E2OTxkGg?t=5851" TargetMode="External"/><Relationship Id="rId179" Type="http://schemas.openxmlformats.org/officeDocument/2006/relationships/hyperlink" Target="https://youtu.be/rnOrZLYyJxU?t=7798" TargetMode="External"/><Relationship Id="rId178" Type="http://schemas.openxmlformats.org/officeDocument/2006/relationships/hyperlink" Target="https://youtu.be/oy6N2IHs81s?t=6982" TargetMode="External"/><Relationship Id="rId299" Type="http://schemas.openxmlformats.org/officeDocument/2006/relationships/hyperlink" Target="https://youtu.be/q7wJ8AeCk8o?t=8658" TargetMode="External"/><Relationship Id="rId177" Type="http://schemas.openxmlformats.org/officeDocument/2006/relationships/hyperlink" Target="https://youtu.be/rnOrZLYyJxU?t=6920" TargetMode="External"/><Relationship Id="rId298" Type="http://schemas.openxmlformats.org/officeDocument/2006/relationships/hyperlink" Target="https://youtu.be/yU0E2OTxkGg?t=7779" TargetMode="External"/><Relationship Id="rId20" Type="http://schemas.openxmlformats.org/officeDocument/2006/relationships/hyperlink" Target="https://youtu.be/aQnODvbJfb0?t=7465" TargetMode="External"/><Relationship Id="rId22" Type="http://schemas.openxmlformats.org/officeDocument/2006/relationships/hyperlink" Target="https://youtu.be/OS0rMt8Swhw" TargetMode="External"/><Relationship Id="rId21" Type="http://schemas.openxmlformats.org/officeDocument/2006/relationships/hyperlink" Target="https://youtu.be/1aTo1aXqnG4" TargetMode="External"/><Relationship Id="rId24" Type="http://schemas.openxmlformats.org/officeDocument/2006/relationships/hyperlink" Target="https://youtu.be/OS0rMt8Swhw?t=935" TargetMode="External"/><Relationship Id="rId23" Type="http://schemas.openxmlformats.org/officeDocument/2006/relationships/hyperlink" Target="https://youtu.be/1aTo1aXqnG4?t=927" TargetMode="External"/><Relationship Id="rId26" Type="http://schemas.openxmlformats.org/officeDocument/2006/relationships/hyperlink" Target="https://youtu.be/OS0rMt8Swhw?t=1828" TargetMode="External"/><Relationship Id="rId25" Type="http://schemas.openxmlformats.org/officeDocument/2006/relationships/hyperlink" Target="https://youtu.be/1aTo1aXqnG4?t=1876" TargetMode="External"/><Relationship Id="rId28" Type="http://schemas.openxmlformats.org/officeDocument/2006/relationships/hyperlink" Target="https://youtu.be/OS0rMt8Swhw?t=2772" TargetMode="External"/><Relationship Id="rId27" Type="http://schemas.openxmlformats.org/officeDocument/2006/relationships/hyperlink" Target="https://youtu.be/1aTo1aXqnG4?t=2778" TargetMode="External"/><Relationship Id="rId29" Type="http://schemas.openxmlformats.org/officeDocument/2006/relationships/hyperlink" Target="https://youtu.be/1aTo1aXqnG4?t=3708" TargetMode="External"/><Relationship Id="rId11" Type="http://schemas.openxmlformats.org/officeDocument/2006/relationships/hyperlink" Target="https://youtu.be/jE4S3GnRbVc?t=4846" TargetMode="External"/><Relationship Id="rId10" Type="http://schemas.openxmlformats.org/officeDocument/2006/relationships/hyperlink" Target="https://youtu.be/aQnODvbJfb0?t=3396" TargetMode="External"/><Relationship Id="rId13" Type="http://schemas.openxmlformats.org/officeDocument/2006/relationships/hyperlink" Target="https://youtu.be/jE4S3GnRbVc?t=5657" TargetMode="External"/><Relationship Id="rId12" Type="http://schemas.openxmlformats.org/officeDocument/2006/relationships/hyperlink" Target="https://youtu.be/aQnODvbJfb0?t=4218" TargetMode="External"/><Relationship Id="rId15" Type="http://schemas.openxmlformats.org/officeDocument/2006/relationships/hyperlink" Target="https://youtu.be/jE4S3GnRbVc?t=6456" TargetMode="External"/><Relationship Id="rId198" Type="http://schemas.openxmlformats.org/officeDocument/2006/relationships/hyperlink" Target="https://youtu.be/fJ5c5WHhQn0?t=6851" TargetMode="External"/><Relationship Id="rId14" Type="http://schemas.openxmlformats.org/officeDocument/2006/relationships/hyperlink" Target="https://youtu.be/aQnODvbJfb0?t=5028" TargetMode="External"/><Relationship Id="rId197" Type="http://schemas.openxmlformats.org/officeDocument/2006/relationships/hyperlink" Target="https://youtu.be/Rs71mrRIc8Q?t=6848" TargetMode="External"/><Relationship Id="rId17" Type="http://schemas.openxmlformats.org/officeDocument/2006/relationships/hyperlink" Target="https://youtu.be/jE4S3GnRbVc?t=7264" TargetMode="External"/><Relationship Id="rId196" Type="http://schemas.openxmlformats.org/officeDocument/2006/relationships/hyperlink" Target="https://youtu.be/fJ5c5WHhQn0?t=6013" TargetMode="External"/><Relationship Id="rId16" Type="http://schemas.openxmlformats.org/officeDocument/2006/relationships/hyperlink" Target="https://youtu.be/aQnODvbJfb0?t=5853" TargetMode="External"/><Relationship Id="rId195" Type="http://schemas.openxmlformats.org/officeDocument/2006/relationships/hyperlink" Target="https://youtu.be/Rs71mrRIc8Q?t=6011" TargetMode="External"/><Relationship Id="rId19" Type="http://schemas.openxmlformats.org/officeDocument/2006/relationships/hyperlink" Target="https://youtu.be/jE4S3GnRbVc?t=8072" TargetMode="External"/><Relationship Id="rId18" Type="http://schemas.openxmlformats.org/officeDocument/2006/relationships/hyperlink" Target="https://youtu.be/aQnODvbJfb0?t=6674" TargetMode="External"/><Relationship Id="rId199" Type="http://schemas.openxmlformats.org/officeDocument/2006/relationships/hyperlink" Target="https://youtu.be/Rs71mrRIc8Q?t=7667" TargetMode="External"/><Relationship Id="rId84" Type="http://schemas.openxmlformats.org/officeDocument/2006/relationships/hyperlink" Target="https://youtu.be/LZrdKqyTPto?t=1133" TargetMode="External"/><Relationship Id="rId83" Type="http://schemas.openxmlformats.org/officeDocument/2006/relationships/hyperlink" Target="https://youtu.be/6JByUyhGNEQ?t=970" TargetMode="External"/><Relationship Id="rId86" Type="http://schemas.openxmlformats.org/officeDocument/2006/relationships/hyperlink" Target="https://youtu.be/LZrdKqyTPto?t=2011" TargetMode="External"/><Relationship Id="rId85" Type="http://schemas.openxmlformats.org/officeDocument/2006/relationships/hyperlink" Target="https://youtu.be/6JByUyhGNEQ?t=1889" TargetMode="External"/><Relationship Id="rId88" Type="http://schemas.openxmlformats.org/officeDocument/2006/relationships/hyperlink" Target="https://youtu.be/LZrdKqyTPto?t=2919" TargetMode="External"/><Relationship Id="rId150" Type="http://schemas.openxmlformats.org/officeDocument/2006/relationships/hyperlink" Target="https://youtu.be/sBy1cV7v_uA?t=3824" TargetMode="External"/><Relationship Id="rId271" Type="http://schemas.openxmlformats.org/officeDocument/2006/relationships/hyperlink" Target="https://youtu.be/L8rn_AhZqSM?t=4287" TargetMode="External"/><Relationship Id="rId87" Type="http://schemas.openxmlformats.org/officeDocument/2006/relationships/hyperlink" Target="https://youtu.be/6JByUyhGNEQ?t=2855" TargetMode="External"/><Relationship Id="rId270" Type="http://schemas.openxmlformats.org/officeDocument/2006/relationships/hyperlink" Target="https://youtu.be/RTPONkwFVLU?t=3397" TargetMode="External"/><Relationship Id="rId89" Type="http://schemas.openxmlformats.org/officeDocument/2006/relationships/hyperlink" Target="https://youtu.be/6JByUyhGNEQ?t=3875" TargetMode="External"/><Relationship Id="rId80" Type="http://schemas.openxmlformats.org/officeDocument/2006/relationships/hyperlink" Target="https://youtu.be/r2oGZ7XUWe0?t=8479" TargetMode="External"/><Relationship Id="rId82" Type="http://schemas.openxmlformats.org/officeDocument/2006/relationships/hyperlink" Target="https://youtu.be/LZrdKqyTPto" TargetMode="External"/><Relationship Id="rId81" Type="http://schemas.openxmlformats.org/officeDocument/2006/relationships/hyperlink" Target="https://youtu.be/6JByUyhGNEQ" TargetMode="External"/><Relationship Id="rId1" Type="http://schemas.openxmlformats.org/officeDocument/2006/relationships/hyperlink" Target="https://youtu.be/jE4S3GnRbVc?t=739" TargetMode="External"/><Relationship Id="rId2" Type="http://schemas.openxmlformats.org/officeDocument/2006/relationships/hyperlink" Target="https://youtu.be/aQnODvbJfb0" TargetMode="External"/><Relationship Id="rId3" Type="http://schemas.openxmlformats.org/officeDocument/2006/relationships/hyperlink" Target="https://youtu.be/jE4S3GnRbVc?t=1547" TargetMode="External"/><Relationship Id="rId149" Type="http://schemas.openxmlformats.org/officeDocument/2006/relationships/hyperlink" Target="https://youtu.be/hAnZux6O23E?t=3834" TargetMode="External"/><Relationship Id="rId4" Type="http://schemas.openxmlformats.org/officeDocument/2006/relationships/hyperlink" Target="https://youtu.be/aQnODvbJfb0?t=903" TargetMode="External"/><Relationship Id="rId148" Type="http://schemas.openxmlformats.org/officeDocument/2006/relationships/hyperlink" Target="https://youtu.be/sBy1cV7v_uA?t=2913" TargetMode="External"/><Relationship Id="rId269" Type="http://schemas.openxmlformats.org/officeDocument/2006/relationships/hyperlink" Target="https://youtu.be/L8rn_AhZqSM?t=3447" TargetMode="External"/><Relationship Id="rId9" Type="http://schemas.openxmlformats.org/officeDocument/2006/relationships/hyperlink" Target="https://youtu.be/jE4S3GnRbVc?t=4018" TargetMode="External"/><Relationship Id="rId143" Type="http://schemas.openxmlformats.org/officeDocument/2006/relationships/hyperlink" Target="https://youtu.be/hAnZux6O23E?t=978" TargetMode="External"/><Relationship Id="rId264" Type="http://schemas.openxmlformats.org/officeDocument/2006/relationships/hyperlink" Target="https://youtu.be/RTPONkwFVLU?t=891" TargetMode="External"/><Relationship Id="rId142" Type="http://schemas.openxmlformats.org/officeDocument/2006/relationships/hyperlink" Target="https://youtu.be/sBy1cV7v_uA" TargetMode="External"/><Relationship Id="rId263" Type="http://schemas.openxmlformats.org/officeDocument/2006/relationships/hyperlink" Target="https://youtu.be/L8rn_AhZqSM?t=907" TargetMode="External"/><Relationship Id="rId141" Type="http://schemas.openxmlformats.org/officeDocument/2006/relationships/hyperlink" Target="https://youtu.be/hAnZux6O23E" TargetMode="External"/><Relationship Id="rId262" Type="http://schemas.openxmlformats.org/officeDocument/2006/relationships/hyperlink" Target="https://youtu.be/RTPONkwFVLU" TargetMode="External"/><Relationship Id="rId140" Type="http://schemas.openxmlformats.org/officeDocument/2006/relationships/hyperlink" Target="https://youtu.be/ugsiKzUiJ-I?t=7684" TargetMode="External"/><Relationship Id="rId261" Type="http://schemas.openxmlformats.org/officeDocument/2006/relationships/hyperlink" Target="https://youtu.be/L8rn_AhZqSM" TargetMode="External"/><Relationship Id="rId5" Type="http://schemas.openxmlformats.org/officeDocument/2006/relationships/hyperlink" Target="https://youtu.be/jE4S3GnRbVc?t=2353" TargetMode="External"/><Relationship Id="rId147" Type="http://schemas.openxmlformats.org/officeDocument/2006/relationships/hyperlink" Target="https://youtu.be/hAnZux6O23E?t=2867" TargetMode="External"/><Relationship Id="rId268" Type="http://schemas.openxmlformats.org/officeDocument/2006/relationships/hyperlink" Target="https://youtu.be/RTPONkwFVLU?t=2557" TargetMode="External"/><Relationship Id="rId6" Type="http://schemas.openxmlformats.org/officeDocument/2006/relationships/hyperlink" Target="https://youtu.be/aQnODvbJfb0?t=1736" TargetMode="External"/><Relationship Id="rId146" Type="http://schemas.openxmlformats.org/officeDocument/2006/relationships/hyperlink" Target="https://youtu.be/sBy1cV7v_uA?t=1986" TargetMode="External"/><Relationship Id="rId267" Type="http://schemas.openxmlformats.org/officeDocument/2006/relationships/hyperlink" Target="https://youtu.be/L8rn_AhZqSM?t=2620" TargetMode="External"/><Relationship Id="rId7" Type="http://schemas.openxmlformats.org/officeDocument/2006/relationships/hyperlink" Target="https://youtu.be/jE4S3GnRbVc?t=3191" TargetMode="External"/><Relationship Id="rId145" Type="http://schemas.openxmlformats.org/officeDocument/2006/relationships/hyperlink" Target="https://youtu.be/hAnZux6O23E?t=1917" TargetMode="External"/><Relationship Id="rId266" Type="http://schemas.openxmlformats.org/officeDocument/2006/relationships/hyperlink" Target="https://youtu.be/RTPONkwFVLU?t=1743" TargetMode="External"/><Relationship Id="rId8" Type="http://schemas.openxmlformats.org/officeDocument/2006/relationships/hyperlink" Target="https://youtu.be/aQnODvbJfb0?t=2558" TargetMode="External"/><Relationship Id="rId144" Type="http://schemas.openxmlformats.org/officeDocument/2006/relationships/hyperlink" Target="https://youtu.be/sBy1cV7v_uA?t=1046" TargetMode="External"/><Relationship Id="rId265" Type="http://schemas.openxmlformats.org/officeDocument/2006/relationships/hyperlink" Target="https://youtu.be/L8rn_AhZqSM?t=1779" TargetMode="External"/><Relationship Id="rId73" Type="http://schemas.openxmlformats.org/officeDocument/2006/relationships/hyperlink" Target="https://youtu.be/SlEcbPB7O7k?t=5672" TargetMode="External"/><Relationship Id="rId72" Type="http://schemas.openxmlformats.org/officeDocument/2006/relationships/hyperlink" Target="https://youtu.be/r2oGZ7XUWe0?t=4712" TargetMode="External"/><Relationship Id="rId75" Type="http://schemas.openxmlformats.org/officeDocument/2006/relationships/hyperlink" Target="https://youtu.be/SlEcbPB7O7k?t=6681" TargetMode="External"/><Relationship Id="rId74" Type="http://schemas.openxmlformats.org/officeDocument/2006/relationships/hyperlink" Target="https://youtu.be/r2oGZ7XUWe0?t=5664" TargetMode="External"/><Relationship Id="rId77" Type="http://schemas.openxmlformats.org/officeDocument/2006/relationships/hyperlink" Target="https://youtu.be/SlEcbPB7O7k?t=7592" TargetMode="External"/><Relationship Id="rId260" Type="http://schemas.openxmlformats.org/officeDocument/2006/relationships/hyperlink" Target="https://youtu.be/X0vOwg3_l_I?t=7835" TargetMode="External"/><Relationship Id="rId76" Type="http://schemas.openxmlformats.org/officeDocument/2006/relationships/hyperlink" Target="https://youtu.be/r2oGZ7XUWe0?t=6626" TargetMode="External"/><Relationship Id="rId79" Type="http://schemas.openxmlformats.org/officeDocument/2006/relationships/hyperlink" Target="https://youtu.be/SlEcbPB7O7k?t=8609" TargetMode="External"/><Relationship Id="rId78" Type="http://schemas.openxmlformats.org/officeDocument/2006/relationships/hyperlink" Target="https://youtu.be/r2oGZ7XUWe0?t=7583" TargetMode="External"/><Relationship Id="rId71" Type="http://schemas.openxmlformats.org/officeDocument/2006/relationships/hyperlink" Target="https://youtu.be/SlEcbPB7O7k?t=4733" TargetMode="External"/><Relationship Id="rId70" Type="http://schemas.openxmlformats.org/officeDocument/2006/relationships/hyperlink" Target="https://youtu.be/r2oGZ7XUWe0?t=3838" TargetMode="External"/><Relationship Id="rId139" Type="http://schemas.openxmlformats.org/officeDocument/2006/relationships/hyperlink" Target="https://youtu.be/P96YczjgA9M?t=7735" TargetMode="External"/><Relationship Id="rId138" Type="http://schemas.openxmlformats.org/officeDocument/2006/relationships/hyperlink" Target="https://youtu.be/ugsiKzUiJ-I?t=6811" TargetMode="External"/><Relationship Id="rId259" Type="http://schemas.openxmlformats.org/officeDocument/2006/relationships/hyperlink" Target="https://youtu.be/JJHti3krvfQ?t=7790" TargetMode="External"/><Relationship Id="rId137" Type="http://schemas.openxmlformats.org/officeDocument/2006/relationships/hyperlink" Target="https://youtu.be/P96YczjgA9M?t=6871" TargetMode="External"/><Relationship Id="rId258" Type="http://schemas.openxmlformats.org/officeDocument/2006/relationships/hyperlink" Target="https://youtu.be/X0vOwg3_l_I?t=7001" TargetMode="External"/><Relationship Id="rId132" Type="http://schemas.openxmlformats.org/officeDocument/2006/relationships/hyperlink" Target="https://youtu.be/ugsiKzUiJ-I?t=4349" TargetMode="External"/><Relationship Id="rId253" Type="http://schemas.openxmlformats.org/officeDocument/2006/relationships/hyperlink" Target="https://youtu.be/JJHti3krvfQ?t=5263" TargetMode="External"/><Relationship Id="rId131" Type="http://schemas.openxmlformats.org/officeDocument/2006/relationships/hyperlink" Target="https://youtu.be/P96YczjgA9M?t=4407" TargetMode="External"/><Relationship Id="rId252" Type="http://schemas.openxmlformats.org/officeDocument/2006/relationships/hyperlink" Target="https://youtu.be/X0vOwg3_l_I?t=4364" TargetMode="External"/><Relationship Id="rId130" Type="http://schemas.openxmlformats.org/officeDocument/2006/relationships/hyperlink" Target="https://youtu.be/ugsiKzUiJ-I?t=3514" TargetMode="External"/><Relationship Id="rId251" Type="http://schemas.openxmlformats.org/officeDocument/2006/relationships/hyperlink" Target="https://youtu.be/JJHti3krvfQ?t=4431" TargetMode="External"/><Relationship Id="rId250" Type="http://schemas.openxmlformats.org/officeDocument/2006/relationships/hyperlink" Target="https://youtu.be/X0vOwg3_l_I?t=3478" TargetMode="External"/><Relationship Id="rId136" Type="http://schemas.openxmlformats.org/officeDocument/2006/relationships/hyperlink" Target="https://youtu.be/ugsiKzUiJ-I?t=5995" TargetMode="External"/><Relationship Id="rId257" Type="http://schemas.openxmlformats.org/officeDocument/2006/relationships/hyperlink" Target="https://youtu.be/JJHti3krvfQ?t=6940" TargetMode="External"/><Relationship Id="rId135" Type="http://schemas.openxmlformats.org/officeDocument/2006/relationships/hyperlink" Target="https://youtu.be/P96YczjgA9M?t=6057" TargetMode="External"/><Relationship Id="rId256" Type="http://schemas.openxmlformats.org/officeDocument/2006/relationships/hyperlink" Target="https://youtu.be/X0vOwg3_l_I?t=6087" TargetMode="External"/><Relationship Id="rId134" Type="http://schemas.openxmlformats.org/officeDocument/2006/relationships/hyperlink" Target="https://youtu.be/ugsiKzUiJ-I?t=5177" TargetMode="External"/><Relationship Id="rId255" Type="http://schemas.openxmlformats.org/officeDocument/2006/relationships/hyperlink" Target="https://youtu.be/JJHti3krvfQ?t=6090" TargetMode="External"/><Relationship Id="rId133" Type="http://schemas.openxmlformats.org/officeDocument/2006/relationships/hyperlink" Target="https://youtu.be/P96YczjgA9M?t=5245" TargetMode="External"/><Relationship Id="rId254" Type="http://schemas.openxmlformats.org/officeDocument/2006/relationships/hyperlink" Target="https://youtu.be/X0vOwg3_l_I?t=5233" TargetMode="External"/><Relationship Id="rId62" Type="http://schemas.openxmlformats.org/officeDocument/2006/relationships/hyperlink" Target="https://youtu.be/r2oGZ7XUWe0" TargetMode="External"/><Relationship Id="rId61" Type="http://schemas.openxmlformats.org/officeDocument/2006/relationships/hyperlink" Target="https://youtu.be/SlEcbPB7O7k" TargetMode="External"/><Relationship Id="rId64" Type="http://schemas.openxmlformats.org/officeDocument/2006/relationships/hyperlink" Target="https://youtu.be/r2oGZ7XUWe0?t=1010" TargetMode="External"/><Relationship Id="rId63" Type="http://schemas.openxmlformats.org/officeDocument/2006/relationships/hyperlink" Target="https://youtu.be/SlEcbPB7O7k?t=1018" TargetMode="External"/><Relationship Id="rId66" Type="http://schemas.openxmlformats.org/officeDocument/2006/relationships/hyperlink" Target="https://youtu.be/r2oGZ7XUWe0?t=2032" TargetMode="External"/><Relationship Id="rId172" Type="http://schemas.openxmlformats.org/officeDocument/2006/relationships/hyperlink" Target="https://youtu.be/oy6N2IHs81s?t=4421" TargetMode="External"/><Relationship Id="rId293" Type="http://schemas.openxmlformats.org/officeDocument/2006/relationships/hyperlink" Target="https://youtu.be/q7wJ8AeCk8o?t=5784" TargetMode="External"/><Relationship Id="rId65" Type="http://schemas.openxmlformats.org/officeDocument/2006/relationships/hyperlink" Target="https://youtu.be/SlEcbPB7O7k?t=1921" TargetMode="External"/><Relationship Id="rId171" Type="http://schemas.openxmlformats.org/officeDocument/2006/relationships/hyperlink" Target="https://youtu.be/rnOrZLYyJxU?t=4404" TargetMode="External"/><Relationship Id="rId292" Type="http://schemas.openxmlformats.org/officeDocument/2006/relationships/hyperlink" Target="https://youtu.be/yU0E2OTxkGg?t=4875" TargetMode="External"/><Relationship Id="rId68" Type="http://schemas.openxmlformats.org/officeDocument/2006/relationships/hyperlink" Target="https://youtu.be/r2oGZ7XUWe0?t=2938" TargetMode="External"/><Relationship Id="rId170" Type="http://schemas.openxmlformats.org/officeDocument/2006/relationships/hyperlink" Target="https://youtu.be/oy6N2IHs81s?t=3587" TargetMode="External"/><Relationship Id="rId291" Type="http://schemas.openxmlformats.org/officeDocument/2006/relationships/hyperlink" Target="https://youtu.be/q7wJ8AeCk8o?t=4802" TargetMode="External"/><Relationship Id="rId67" Type="http://schemas.openxmlformats.org/officeDocument/2006/relationships/hyperlink" Target="https://youtu.be/SlEcbPB7O7k?t=2843" TargetMode="External"/><Relationship Id="rId290" Type="http://schemas.openxmlformats.org/officeDocument/2006/relationships/hyperlink" Target="https://youtu.be/yU0E2OTxkGg?t=3881" TargetMode="External"/><Relationship Id="rId60" Type="http://schemas.openxmlformats.org/officeDocument/2006/relationships/hyperlink" Target="https://youtu.be/GwxgQEvBLRk?t=7204" TargetMode="External"/><Relationship Id="rId165" Type="http://schemas.openxmlformats.org/officeDocument/2006/relationships/hyperlink" Target="https://youtu.be/rnOrZLYyJxU?t=1843" TargetMode="External"/><Relationship Id="rId286" Type="http://schemas.openxmlformats.org/officeDocument/2006/relationships/hyperlink" Target="https://youtu.be/yU0E2OTxkGg?t=1984" TargetMode="External"/><Relationship Id="rId69" Type="http://schemas.openxmlformats.org/officeDocument/2006/relationships/hyperlink" Target="https://youtu.be/SlEcbPB7O7k?t=3779" TargetMode="External"/><Relationship Id="rId164" Type="http://schemas.openxmlformats.org/officeDocument/2006/relationships/hyperlink" Target="https://youtu.be/oy6N2IHs81s?t=1034" TargetMode="External"/><Relationship Id="rId285" Type="http://schemas.openxmlformats.org/officeDocument/2006/relationships/hyperlink" Target="https://youtu.be/q7wJ8AeCk8o?t=1922" TargetMode="External"/><Relationship Id="rId163" Type="http://schemas.openxmlformats.org/officeDocument/2006/relationships/hyperlink" Target="https://youtu.be/rnOrZLYyJxU?t=978" TargetMode="External"/><Relationship Id="rId284" Type="http://schemas.openxmlformats.org/officeDocument/2006/relationships/hyperlink" Target="https://youtu.be/yU0E2OTxkGg?t=1043" TargetMode="External"/><Relationship Id="rId162" Type="http://schemas.openxmlformats.org/officeDocument/2006/relationships/hyperlink" Target="https://youtu.be/oy6N2IHs81s" TargetMode="External"/><Relationship Id="rId283" Type="http://schemas.openxmlformats.org/officeDocument/2006/relationships/hyperlink" Target="https://youtu.be/q7wJ8AeCk8o?t=960" TargetMode="External"/><Relationship Id="rId169" Type="http://schemas.openxmlformats.org/officeDocument/2006/relationships/hyperlink" Target="https://youtu.be/rnOrZLYyJxU?t=3499" TargetMode="External"/><Relationship Id="rId168" Type="http://schemas.openxmlformats.org/officeDocument/2006/relationships/hyperlink" Target="https://youtu.be/oy6N2IHs81s?t=2732" TargetMode="External"/><Relationship Id="rId289" Type="http://schemas.openxmlformats.org/officeDocument/2006/relationships/hyperlink" Target="https://youtu.be/q7wJ8AeCk8o?t=3824" TargetMode="External"/><Relationship Id="rId167" Type="http://schemas.openxmlformats.org/officeDocument/2006/relationships/hyperlink" Target="https://youtu.be/rnOrZLYyJxU?t=2675" TargetMode="External"/><Relationship Id="rId288" Type="http://schemas.openxmlformats.org/officeDocument/2006/relationships/hyperlink" Target="https://youtu.be/yU0E2OTxkGg?t=2946" TargetMode="External"/><Relationship Id="rId166" Type="http://schemas.openxmlformats.org/officeDocument/2006/relationships/hyperlink" Target="https://youtu.be/oy6N2IHs81s?t=1910" TargetMode="External"/><Relationship Id="rId287" Type="http://schemas.openxmlformats.org/officeDocument/2006/relationships/hyperlink" Target="https://youtu.be/q7wJ8AeCk8o?t=2883" TargetMode="External"/><Relationship Id="rId51" Type="http://schemas.openxmlformats.org/officeDocument/2006/relationships/hyperlink" Target="https://youtu.be/r2VxcpVDpro?t=4726" TargetMode="External"/><Relationship Id="rId50" Type="http://schemas.openxmlformats.org/officeDocument/2006/relationships/hyperlink" Target="https://youtu.be/GwxgQEvBLRk?t=3222" TargetMode="External"/><Relationship Id="rId53" Type="http://schemas.openxmlformats.org/officeDocument/2006/relationships/hyperlink" Target="https://youtu.be/r2VxcpVDpro?t=5506" TargetMode="External"/><Relationship Id="rId52" Type="http://schemas.openxmlformats.org/officeDocument/2006/relationships/hyperlink" Target="https://youtu.be/GwxgQEvBLRk?t=4019" TargetMode="External"/><Relationship Id="rId55" Type="http://schemas.openxmlformats.org/officeDocument/2006/relationships/hyperlink" Target="https://youtu.be/r2VxcpVDpro?t=6283" TargetMode="External"/><Relationship Id="rId161" Type="http://schemas.openxmlformats.org/officeDocument/2006/relationships/hyperlink" Target="https://youtu.be/rnOrZLYyJxU" TargetMode="External"/><Relationship Id="rId282" Type="http://schemas.openxmlformats.org/officeDocument/2006/relationships/hyperlink" Target="https://youtu.be/yU0E2OTxkGg" TargetMode="External"/><Relationship Id="rId54" Type="http://schemas.openxmlformats.org/officeDocument/2006/relationships/hyperlink" Target="https://youtu.be/GwxgQEvBLRk?t=4805" TargetMode="External"/><Relationship Id="rId160" Type="http://schemas.openxmlformats.org/officeDocument/2006/relationships/hyperlink" Target="https://youtu.be/sBy1cV7v_uA?t=8698" TargetMode="External"/><Relationship Id="rId281" Type="http://schemas.openxmlformats.org/officeDocument/2006/relationships/hyperlink" Target="https://youtu.be/q7wJ8AeCk8o" TargetMode="External"/><Relationship Id="rId57" Type="http://schemas.openxmlformats.org/officeDocument/2006/relationships/hyperlink" Target="https://youtu.be/r2VxcpVDpro?t=7086" TargetMode="External"/><Relationship Id="rId280" Type="http://schemas.openxmlformats.org/officeDocument/2006/relationships/hyperlink" Target="https://youtu.be/RTPONkwFVLU?t=60" TargetMode="External"/><Relationship Id="rId56" Type="http://schemas.openxmlformats.org/officeDocument/2006/relationships/hyperlink" Target="https://youtu.be/GwxgQEvBLRk?t=5653" TargetMode="External"/><Relationship Id="rId159" Type="http://schemas.openxmlformats.org/officeDocument/2006/relationships/hyperlink" Target="https://youtu.be/hAnZux6O23E?t=8522" TargetMode="External"/><Relationship Id="rId59" Type="http://schemas.openxmlformats.org/officeDocument/2006/relationships/hyperlink" Target="https://youtu.be/r2VxcpVDpro?t=7871" TargetMode="External"/><Relationship Id="rId154" Type="http://schemas.openxmlformats.org/officeDocument/2006/relationships/hyperlink" Target="https://youtu.be/sBy1cV7v_uA?t=5741" TargetMode="External"/><Relationship Id="rId275" Type="http://schemas.openxmlformats.org/officeDocument/2006/relationships/hyperlink" Target="https://youtu.be/L8rn_AhZqSM?t=5985" TargetMode="External"/><Relationship Id="rId58" Type="http://schemas.openxmlformats.org/officeDocument/2006/relationships/hyperlink" Target="https://youtu.be/GwxgQEvBLRk?t=6436" TargetMode="External"/><Relationship Id="rId153" Type="http://schemas.openxmlformats.org/officeDocument/2006/relationships/hyperlink" Target="https://youtu.be/hAnZux6O23E?t=5723" TargetMode="External"/><Relationship Id="rId274" Type="http://schemas.openxmlformats.org/officeDocument/2006/relationships/hyperlink" Target="https://youtu.be/RTPONkwFVLU?t=5085" TargetMode="External"/><Relationship Id="rId152" Type="http://schemas.openxmlformats.org/officeDocument/2006/relationships/hyperlink" Target="https://youtu.be/sBy1cV7v_uA?t=4806" TargetMode="External"/><Relationship Id="rId273" Type="http://schemas.openxmlformats.org/officeDocument/2006/relationships/hyperlink" Target="https://youtu.be/L8rn_AhZqSM?t=5155" TargetMode="External"/><Relationship Id="rId151" Type="http://schemas.openxmlformats.org/officeDocument/2006/relationships/hyperlink" Target="https://youtu.be/hAnZux6O23E?t=4788" TargetMode="External"/><Relationship Id="rId272" Type="http://schemas.openxmlformats.org/officeDocument/2006/relationships/hyperlink" Target="https://youtu.be/RTPONkwFVLU?t=4237" TargetMode="External"/><Relationship Id="rId158" Type="http://schemas.openxmlformats.org/officeDocument/2006/relationships/hyperlink" Target="https://youtu.be/sBy1cV7v_uA?t=7820" TargetMode="External"/><Relationship Id="rId279" Type="http://schemas.openxmlformats.org/officeDocument/2006/relationships/hyperlink" Target="https://youtu.be/L8rn_AhZqSM?t=7673" TargetMode="External"/><Relationship Id="rId157" Type="http://schemas.openxmlformats.org/officeDocument/2006/relationships/hyperlink" Target="https://youtu.be/hAnZux6O23E?t=7621" TargetMode="External"/><Relationship Id="rId278" Type="http://schemas.openxmlformats.org/officeDocument/2006/relationships/hyperlink" Target="https://youtu.be/RTPONkwFVLU?t=6774" TargetMode="External"/><Relationship Id="rId156" Type="http://schemas.openxmlformats.org/officeDocument/2006/relationships/hyperlink" Target="https://youtu.be/sBy1cV7v_uA?t=6845" TargetMode="External"/><Relationship Id="rId277" Type="http://schemas.openxmlformats.org/officeDocument/2006/relationships/hyperlink" Target="https://youtu.be/L8rn_AhZqSM?t=6837" TargetMode="External"/><Relationship Id="rId155" Type="http://schemas.openxmlformats.org/officeDocument/2006/relationships/hyperlink" Target="https://youtu.be/hAnZux6O23E?t=6694" TargetMode="External"/><Relationship Id="rId276" Type="http://schemas.openxmlformats.org/officeDocument/2006/relationships/hyperlink" Target="https://youtu.be/RTPONkwFVLU?t=5947" TargetMode="External"/><Relationship Id="rId107" Type="http://schemas.openxmlformats.org/officeDocument/2006/relationships/hyperlink" Target="https://youtu.be/wwkIBk516mQ?t=2782" TargetMode="External"/><Relationship Id="rId228" Type="http://schemas.openxmlformats.org/officeDocument/2006/relationships/hyperlink" Target="https://youtu.be/WEHAXjE587Q?t=3010" TargetMode="External"/><Relationship Id="rId106" Type="http://schemas.openxmlformats.org/officeDocument/2006/relationships/hyperlink" Target="https://youtu.be/KddvYBhFF7k?t=1921" TargetMode="External"/><Relationship Id="rId227" Type="http://schemas.openxmlformats.org/officeDocument/2006/relationships/hyperlink" Target="https://youtu.be/XTsThIZJfW4?t=2920" TargetMode="External"/><Relationship Id="rId105" Type="http://schemas.openxmlformats.org/officeDocument/2006/relationships/hyperlink" Target="https://youtu.be/wwkIBk516mQ?t=1872" TargetMode="External"/><Relationship Id="rId226" Type="http://schemas.openxmlformats.org/officeDocument/2006/relationships/hyperlink" Target="https://youtu.be/WEHAXjE587Q?t=2103" TargetMode="External"/><Relationship Id="rId104" Type="http://schemas.openxmlformats.org/officeDocument/2006/relationships/hyperlink" Target="https://youtu.be/KddvYBhFF7k?t=1052" TargetMode="External"/><Relationship Id="rId225" Type="http://schemas.openxmlformats.org/officeDocument/2006/relationships/hyperlink" Target="https://youtu.be/XTsThIZJfW4?t=1939" TargetMode="External"/><Relationship Id="rId109" Type="http://schemas.openxmlformats.org/officeDocument/2006/relationships/hyperlink" Target="https://youtu.be/wwkIBk516mQ?t=3692" TargetMode="External"/><Relationship Id="rId108" Type="http://schemas.openxmlformats.org/officeDocument/2006/relationships/hyperlink" Target="https://youtu.be/KddvYBhFF7k?t=2813" TargetMode="External"/><Relationship Id="rId229" Type="http://schemas.openxmlformats.org/officeDocument/2006/relationships/hyperlink" Target="https://youtu.be/XTsThIZJfW4?t=3880" TargetMode="External"/><Relationship Id="rId220" Type="http://schemas.openxmlformats.org/officeDocument/2006/relationships/hyperlink" Target="https://youtu.be/1YKyMPtkY5Y?t=8618" TargetMode="External"/><Relationship Id="rId103" Type="http://schemas.openxmlformats.org/officeDocument/2006/relationships/hyperlink" Target="https://youtu.be/wwkIBk516mQ?t=950" TargetMode="External"/><Relationship Id="rId224" Type="http://schemas.openxmlformats.org/officeDocument/2006/relationships/hyperlink" Target="https://youtu.be/WEHAXjE587Q?t=1104" TargetMode="External"/><Relationship Id="rId102" Type="http://schemas.openxmlformats.org/officeDocument/2006/relationships/hyperlink" Target="https://youtu.be/KddvYBhFF7k" TargetMode="External"/><Relationship Id="rId223" Type="http://schemas.openxmlformats.org/officeDocument/2006/relationships/hyperlink" Target="https://youtu.be/XTsThIZJfW4?t=991" TargetMode="External"/><Relationship Id="rId101" Type="http://schemas.openxmlformats.org/officeDocument/2006/relationships/hyperlink" Target="https://youtu.be/wwkIBk516mQ" TargetMode="External"/><Relationship Id="rId222" Type="http://schemas.openxmlformats.org/officeDocument/2006/relationships/hyperlink" Target="https://youtu.be/WEHAXjE587Q" TargetMode="External"/><Relationship Id="rId100" Type="http://schemas.openxmlformats.org/officeDocument/2006/relationships/hyperlink" Target="https://youtu.be/LZrdKqyTPto?t=8677" TargetMode="External"/><Relationship Id="rId221" Type="http://schemas.openxmlformats.org/officeDocument/2006/relationships/hyperlink" Target="https://youtu.be/XTsThIZJfW4" TargetMode="External"/><Relationship Id="rId217" Type="http://schemas.openxmlformats.org/officeDocument/2006/relationships/hyperlink" Target="https://youtu.be/FmQjquzYYRc?t=7538" TargetMode="External"/><Relationship Id="rId216" Type="http://schemas.openxmlformats.org/officeDocument/2006/relationships/hyperlink" Target="https://youtu.be/1YKyMPtkY5Y?t=6862" TargetMode="External"/><Relationship Id="rId215" Type="http://schemas.openxmlformats.org/officeDocument/2006/relationships/hyperlink" Target="https://youtu.be/FmQjquzYYRc?t=6656" TargetMode="External"/><Relationship Id="rId214" Type="http://schemas.openxmlformats.org/officeDocument/2006/relationships/hyperlink" Target="https://youtu.be/1YKyMPtkY5Y?t=5836" TargetMode="External"/><Relationship Id="rId219" Type="http://schemas.openxmlformats.org/officeDocument/2006/relationships/hyperlink" Target="https://youtu.be/FmQjquzYYRc?t=8480" TargetMode="External"/><Relationship Id="rId218" Type="http://schemas.openxmlformats.org/officeDocument/2006/relationships/hyperlink" Target="https://youtu.be/1YKyMPtkY5Y?t=7750" TargetMode="External"/><Relationship Id="rId213" Type="http://schemas.openxmlformats.org/officeDocument/2006/relationships/hyperlink" Target="https://youtu.be/FmQjquzYYRc?t=5720" TargetMode="External"/><Relationship Id="rId212" Type="http://schemas.openxmlformats.org/officeDocument/2006/relationships/hyperlink" Target="https://youtu.be/1YKyMPtkY5Y?t=4865" TargetMode="External"/><Relationship Id="rId211" Type="http://schemas.openxmlformats.org/officeDocument/2006/relationships/hyperlink" Target="https://youtu.be/FmQjquzYYRc?t=4844" TargetMode="External"/><Relationship Id="rId210" Type="http://schemas.openxmlformats.org/officeDocument/2006/relationships/hyperlink" Target="https://youtu.be/1YKyMPtkY5Y?t=3910" TargetMode="External"/><Relationship Id="rId129" Type="http://schemas.openxmlformats.org/officeDocument/2006/relationships/hyperlink" Target="https://youtu.be/P96YczjgA9M?t=3563" TargetMode="External"/><Relationship Id="rId128" Type="http://schemas.openxmlformats.org/officeDocument/2006/relationships/hyperlink" Target="https://youtu.be/ugsiKzUiJ-I?t=2657" TargetMode="External"/><Relationship Id="rId249" Type="http://schemas.openxmlformats.org/officeDocument/2006/relationships/hyperlink" Target="https://youtu.be/JJHti3krvfQ?t=3554" TargetMode="External"/><Relationship Id="rId127" Type="http://schemas.openxmlformats.org/officeDocument/2006/relationships/hyperlink" Target="https://youtu.be/P96YczjgA9M?t=2726" TargetMode="External"/><Relationship Id="rId248" Type="http://schemas.openxmlformats.org/officeDocument/2006/relationships/hyperlink" Target="https://youtu.be/X0vOwg3_l_I?t=2636" TargetMode="External"/><Relationship Id="rId126" Type="http://schemas.openxmlformats.org/officeDocument/2006/relationships/hyperlink" Target="https://youtu.be/ugsiKzUiJ-I?t=1845" TargetMode="External"/><Relationship Id="rId247" Type="http://schemas.openxmlformats.org/officeDocument/2006/relationships/hyperlink" Target="https://youtu.be/JJHti3krvfQ?t=2691" TargetMode="External"/><Relationship Id="rId121" Type="http://schemas.openxmlformats.org/officeDocument/2006/relationships/hyperlink" Target="https://youtu.be/P96YczjgA9M" TargetMode="External"/><Relationship Id="rId242" Type="http://schemas.openxmlformats.org/officeDocument/2006/relationships/hyperlink" Target="https://youtu.be/X0vOwg3_l_I" TargetMode="External"/><Relationship Id="rId120" Type="http://schemas.openxmlformats.org/officeDocument/2006/relationships/hyperlink" Target="https://youtu.be/KddvYBhFF7k?t=8594" TargetMode="External"/><Relationship Id="rId241" Type="http://schemas.openxmlformats.org/officeDocument/2006/relationships/hyperlink" Target="https://youtu.be/JJHti3krvfQ" TargetMode="External"/><Relationship Id="rId240" Type="http://schemas.openxmlformats.org/officeDocument/2006/relationships/hyperlink" Target="https://youtu.be/WEHAXjE587Q?t=8681" TargetMode="External"/><Relationship Id="rId125" Type="http://schemas.openxmlformats.org/officeDocument/2006/relationships/hyperlink" Target="https://youtu.be/P96YczjgA9M?t=1885" TargetMode="External"/><Relationship Id="rId246" Type="http://schemas.openxmlformats.org/officeDocument/2006/relationships/hyperlink" Target="https://youtu.be/X0vOwg3_l_I?t=1783" TargetMode="External"/><Relationship Id="rId124" Type="http://schemas.openxmlformats.org/officeDocument/2006/relationships/hyperlink" Target="https://youtu.be/ugsiKzUiJ-I?t=936" TargetMode="External"/><Relationship Id="rId245" Type="http://schemas.openxmlformats.org/officeDocument/2006/relationships/hyperlink" Target="https://youtu.be/JJHti3krvfQ?t=1827" TargetMode="External"/><Relationship Id="rId123" Type="http://schemas.openxmlformats.org/officeDocument/2006/relationships/hyperlink" Target="https://youtu.be/P96YczjgA9M?t=1035" TargetMode="External"/><Relationship Id="rId244" Type="http://schemas.openxmlformats.org/officeDocument/2006/relationships/hyperlink" Target="https://youtu.be/X0vOwg3_l_I?t=887" TargetMode="External"/><Relationship Id="rId122" Type="http://schemas.openxmlformats.org/officeDocument/2006/relationships/hyperlink" Target="https://youtu.be/ugsiKzUiJ-I" TargetMode="External"/><Relationship Id="rId243" Type="http://schemas.openxmlformats.org/officeDocument/2006/relationships/hyperlink" Target="https://youtu.be/JJHti3krvfQ?t=996" TargetMode="External"/><Relationship Id="rId95" Type="http://schemas.openxmlformats.org/officeDocument/2006/relationships/hyperlink" Target="https://youtu.be/6JByUyhGNEQ?t=6724" TargetMode="External"/><Relationship Id="rId94" Type="http://schemas.openxmlformats.org/officeDocument/2006/relationships/hyperlink" Target="https://youtu.be/LZrdKqyTPto?t=5701" TargetMode="External"/><Relationship Id="rId97" Type="http://schemas.openxmlformats.org/officeDocument/2006/relationships/hyperlink" Target="https://youtu.be/6JByUyhGNEQ?t=7647" TargetMode="External"/><Relationship Id="rId96" Type="http://schemas.openxmlformats.org/officeDocument/2006/relationships/hyperlink" Target="https://youtu.be/LZrdKqyTPto?t=6750" TargetMode="External"/><Relationship Id="rId99" Type="http://schemas.openxmlformats.org/officeDocument/2006/relationships/hyperlink" Target="https://youtu.be/6JByUyhGNEQ?t=8527" TargetMode="External"/><Relationship Id="rId98" Type="http://schemas.openxmlformats.org/officeDocument/2006/relationships/hyperlink" Target="https://youtu.be/LZrdKqyTPto?t=7711" TargetMode="External"/><Relationship Id="rId91" Type="http://schemas.openxmlformats.org/officeDocument/2006/relationships/hyperlink" Target="https://youtu.be/6JByUyhGNEQ?t=4748" TargetMode="External"/><Relationship Id="rId90" Type="http://schemas.openxmlformats.org/officeDocument/2006/relationships/hyperlink" Target="https://youtu.be/LZrdKqyTPto?t=3911" TargetMode="External"/><Relationship Id="rId93" Type="http://schemas.openxmlformats.org/officeDocument/2006/relationships/hyperlink" Target="https://youtu.be/6JByUyhGNEQ?t=5703" TargetMode="External"/><Relationship Id="rId92" Type="http://schemas.openxmlformats.org/officeDocument/2006/relationships/hyperlink" Target="https://youtu.be/LZrdKqyTPto?t=4797" TargetMode="External"/><Relationship Id="rId118" Type="http://schemas.openxmlformats.org/officeDocument/2006/relationships/hyperlink" Target="https://youtu.be/KddvYBhFF7k?t=7642" TargetMode="External"/><Relationship Id="rId239" Type="http://schemas.openxmlformats.org/officeDocument/2006/relationships/hyperlink" Target="https://youtu.be/XTsThIZJfW4?t=8662" TargetMode="External"/><Relationship Id="rId117" Type="http://schemas.openxmlformats.org/officeDocument/2006/relationships/hyperlink" Target="https://youtu.be/wwkIBk516mQ?t=7544" TargetMode="External"/><Relationship Id="rId238" Type="http://schemas.openxmlformats.org/officeDocument/2006/relationships/hyperlink" Target="https://youtu.be/WEHAXjE587Q?t=7781" TargetMode="External"/><Relationship Id="rId116" Type="http://schemas.openxmlformats.org/officeDocument/2006/relationships/hyperlink" Target="https://youtu.be/KddvYBhFF7k?t=6698" TargetMode="External"/><Relationship Id="rId237" Type="http://schemas.openxmlformats.org/officeDocument/2006/relationships/hyperlink" Target="https://youtu.be/XTsThIZJfW4?t=7720" TargetMode="External"/><Relationship Id="rId115" Type="http://schemas.openxmlformats.org/officeDocument/2006/relationships/hyperlink" Target="https://youtu.be/wwkIBk516mQ?t=6600" TargetMode="External"/><Relationship Id="rId236" Type="http://schemas.openxmlformats.org/officeDocument/2006/relationships/hyperlink" Target="https://youtu.be/WEHAXjE587Q?t=6854" TargetMode="External"/><Relationship Id="rId119" Type="http://schemas.openxmlformats.org/officeDocument/2006/relationships/hyperlink" Target="https://youtu.be/wwkIBk516mQ?t=8505" TargetMode="External"/><Relationship Id="rId110" Type="http://schemas.openxmlformats.org/officeDocument/2006/relationships/hyperlink" Target="https://youtu.be/KddvYBhFF7k?t=3788" TargetMode="External"/><Relationship Id="rId231" Type="http://schemas.openxmlformats.org/officeDocument/2006/relationships/hyperlink" Target="https://youtu.be/XTsThIZJfW4?t=4866" TargetMode="External"/><Relationship Id="rId230" Type="http://schemas.openxmlformats.org/officeDocument/2006/relationships/hyperlink" Target="https://youtu.be/WEHAXjE587Q?t=3962" TargetMode="External"/><Relationship Id="rId114" Type="http://schemas.openxmlformats.org/officeDocument/2006/relationships/hyperlink" Target="https://youtu.be/KddvYBhFF7k?t=5726" TargetMode="External"/><Relationship Id="rId235" Type="http://schemas.openxmlformats.org/officeDocument/2006/relationships/hyperlink" Target="https://youtu.be/XTsThIZJfW4?t=6763" TargetMode="External"/><Relationship Id="rId113" Type="http://schemas.openxmlformats.org/officeDocument/2006/relationships/hyperlink" Target="https://youtu.be/wwkIBk516mQ?t=5579" TargetMode="External"/><Relationship Id="rId234" Type="http://schemas.openxmlformats.org/officeDocument/2006/relationships/hyperlink" Target="https://youtu.be/WEHAXjE587Q?t=5888" TargetMode="External"/><Relationship Id="rId112" Type="http://schemas.openxmlformats.org/officeDocument/2006/relationships/hyperlink" Target="https://youtu.be/KddvYBhFF7k?t=4737" TargetMode="External"/><Relationship Id="rId233" Type="http://schemas.openxmlformats.org/officeDocument/2006/relationships/hyperlink" Target="https://youtu.be/XTsThIZJfW4?t=5800" TargetMode="External"/><Relationship Id="rId111" Type="http://schemas.openxmlformats.org/officeDocument/2006/relationships/hyperlink" Target="https://youtu.be/wwkIBk516mQ?t=4642" TargetMode="External"/><Relationship Id="rId232" Type="http://schemas.openxmlformats.org/officeDocument/2006/relationships/hyperlink" Target="https://youtu.be/WEHAXjE587Q?t=4928" TargetMode="External"/><Relationship Id="rId305" Type="http://schemas.openxmlformats.org/officeDocument/2006/relationships/hyperlink" Target="https://youtu.be/M5dcLsVD_fM?t=1601" TargetMode="External"/><Relationship Id="rId304" Type="http://schemas.openxmlformats.org/officeDocument/2006/relationships/hyperlink" Target="https://youtu.be/FTDgqnE6ATE?t=914" TargetMode="External"/><Relationship Id="rId303" Type="http://schemas.openxmlformats.org/officeDocument/2006/relationships/hyperlink" Target="https://youtu.be/M5dcLsVD_fM?t=826" TargetMode="External"/><Relationship Id="rId302" Type="http://schemas.openxmlformats.org/officeDocument/2006/relationships/hyperlink" Target="https://youtu.be/FTDgqnE6ATE" TargetMode="External"/><Relationship Id="rId309" Type="http://schemas.openxmlformats.org/officeDocument/2006/relationships/hyperlink" Target="https://youtu.be/M5dcLsVD_fM?t=3351" TargetMode="External"/><Relationship Id="rId308" Type="http://schemas.openxmlformats.org/officeDocument/2006/relationships/hyperlink" Target="https://youtu.be/FTDgqnE6ATE?t=2597" TargetMode="External"/><Relationship Id="rId307" Type="http://schemas.openxmlformats.org/officeDocument/2006/relationships/hyperlink" Target="https://youtu.be/M5dcLsVD_fM?t=2432" TargetMode="External"/><Relationship Id="rId306" Type="http://schemas.openxmlformats.org/officeDocument/2006/relationships/hyperlink" Target="https://youtu.be/FTDgqnE6ATE?t=1777" TargetMode="External"/><Relationship Id="rId301" Type="http://schemas.openxmlformats.org/officeDocument/2006/relationships/hyperlink" Target="https://youtu.be/M5dcLsVD_fM" TargetMode="External"/><Relationship Id="rId300" Type="http://schemas.openxmlformats.org/officeDocument/2006/relationships/hyperlink" Target="https://youtu.be/yU0E2OTxkGg?t=8679" TargetMode="External"/><Relationship Id="rId206" Type="http://schemas.openxmlformats.org/officeDocument/2006/relationships/hyperlink" Target="https://youtu.be/1YKyMPtkY5Y?t=1976" TargetMode="External"/><Relationship Id="rId205" Type="http://schemas.openxmlformats.org/officeDocument/2006/relationships/hyperlink" Target="https://youtu.be/FmQjquzYYRc?t=1938" TargetMode="External"/><Relationship Id="rId204" Type="http://schemas.openxmlformats.org/officeDocument/2006/relationships/hyperlink" Target="https://youtu.be/1YKyMPtkY5Y?t=1025" TargetMode="External"/><Relationship Id="rId203" Type="http://schemas.openxmlformats.org/officeDocument/2006/relationships/hyperlink" Target="https://youtu.be/FmQjquzYYRc?t=1005" TargetMode="External"/><Relationship Id="rId209" Type="http://schemas.openxmlformats.org/officeDocument/2006/relationships/hyperlink" Target="https://youtu.be/FmQjquzYYRc?t=3793" TargetMode="External"/><Relationship Id="rId208" Type="http://schemas.openxmlformats.org/officeDocument/2006/relationships/hyperlink" Target="https://youtu.be/1YKyMPtkY5Y?t=2985" TargetMode="External"/><Relationship Id="rId207" Type="http://schemas.openxmlformats.org/officeDocument/2006/relationships/hyperlink" Target="https://youtu.be/FmQjquzYYRc?t=2852" TargetMode="External"/><Relationship Id="rId202" Type="http://schemas.openxmlformats.org/officeDocument/2006/relationships/hyperlink" Target="https://youtu.be/1YKyMPtkY5Y" TargetMode="External"/><Relationship Id="rId201" Type="http://schemas.openxmlformats.org/officeDocument/2006/relationships/hyperlink" Target="https://youtu.be/FmQjquzYYRc" TargetMode="External"/><Relationship Id="rId200" Type="http://schemas.openxmlformats.org/officeDocument/2006/relationships/hyperlink" Target="https://youtu.be/fJ5c5WHhQn0?t=7758" TargetMode="External"/><Relationship Id="rId321" Type="http://schemas.openxmlformats.org/officeDocument/2006/relationships/drawing" Target="../drawings/drawing21.xml"/><Relationship Id="rId320" Type="http://schemas.openxmlformats.org/officeDocument/2006/relationships/hyperlink" Target="https://youtu.be/FTDgqnE6ATE?t=7510" TargetMode="External"/><Relationship Id="rId316" Type="http://schemas.openxmlformats.org/officeDocument/2006/relationships/hyperlink" Target="https://youtu.be/FTDgqnE6ATE?t=5900" TargetMode="External"/><Relationship Id="rId315" Type="http://schemas.openxmlformats.org/officeDocument/2006/relationships/hyperlink" Target="https://youtu.be/M5dcLsVD_fM?t=5812" TargetMode="External"/><Relationship Id="rId314" Type="http://schemas.openxmlformats.org/officeDocument/2006/relationships/hyperlink" Target="https://youtu.be/FTDgqnE6ATE?t=5079" TargetMode="External"/><Relationship Id="rId313" Type="http://schemas.openxmlformats.org/officeDocument/2006/relationships/hyperlink" Target="https://youtu.be/M5dcLsVD_fM?t=5023" TargetMode="External"/><Relationship Id="rId319" Type="http://schemas.openxmlformats.org/officeDocument/2006/relationships/hyperlink" Target="https://youtu.be/M5dcLsVD_fM?t=7485" TargetMode="External"/><Relationship Id="rId318" Type="http://schemas.openxmlformats.org/officeDocument/2006/relationships/hyperlink" Target="https://youtu.be/FTDgqnE6ATE?t=6698" TargetMode="External"/><Relationship Id="rId317" Type="http://schemas.openxmlformats.org/officeDocument/2006/relationships/hyperlink" Target="https://youtu.be/M5dcLsVD_fM?t=6659" TargetMode="External"/><Relationship Id="rId312" Type="http://schemas.openxmlformats.org/officeDocument/2006/relationships/hyperlink" Target="https://youtu.be/FTDgqnE6ATE?t=4256" TargetMode="External"/><Relationship Id="rId311" Type="http://schemas.openxmlformats.org/officeDocument/2006/relationships/hyperlink" Target="https://youtu.be/M5dcLsVD_fM?t=4211" TargetMode="External"/><Relationship Id="rId310" Type="http://schemas.openxmlformats.org/officeDocument/2006/relationships/hyperlink" Target="https://youtu.be/FTDgqnE6ATE?t=3405" TargetMode="External"/></Relationships>
</file>

<file path=xl/worksheets/_rels/sheet2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lw6DpsicM9Y?t=7526" TargetMode="External"/><Relationship Id="rId190" Type="http://schemas.openxmlformats.org/officeDocument/2006/relationships/hyperlink" Target="https://youtu.be/zVDsJV1Yz5c?t=3697" TargetMode="External"/><Relationship Id="rId42" Type="http://schemas.openxmlformats.org/officeDocument/2006/relationships/hyperlink" Target="https://youtu.be/1TzPHPuz2pk" TargetMode="External"/><Relationship Id="rId41" Type="http://schemas.openxmlformats.org/officeDocument/2006/relationships/hyperlink" Target="https://youtu.be/igYLrTNkOII" TargetMode="External"/><Relationship Id="rId44" Type="http://schemas.openxmlformats.org/officeDocument/2006/relationships/hyperlink" Target="https://youtu.be/1TzPHPuz2pk?t=883" TargetMode="External"/><Relationship Id="rId194" Type="http://schemas.openxmlformats.org/officeDocument/2006/relationships/hyperlink" Target="https://youtu.be/zVDsJV1Yz5c?t=5394" TargetMode="External"/><Relationship Id="rId43" Type="http://schemas.openxmlformats.org/officeDocument/2006/relationships/hyperlink" Target="https://youtu.be/igYLrTNkOII?t=859" TargetMode="External"/><Relationship Id="rId193" Type="http://schemas.openxmlformats.org/officeDocument/2006/relationships/hyperlink" Target="https://youtu.be/qwMvZow9Zn0?t=5553" TargetMode="External"/><Relationship Id="rId46" Type="http://schemas.openxmlformats.org/officeDocument/2006/relationships/hyperlink" Target="https://youtu.be/1TzPHPuz2pk?t=1688" TargetMode="External"/><Relationship Id="rId192" Type="http://schemas.openxmlformats.org/officeDocument/2006/relationships/hyperlink" Target="https://youtu.be/zVDsJV1Yz5c?t=4546" TargetMode="External"/><Relationship Id="rId45" Type="http://schemas.openxmlformats.org/officeDocument/2006/relationships/hyperlink" Target="https://youtu.be/igYLrTNkOII?t=1663" TargetMode="External"/><Relationship Id="rId191" Type="http://schemas.openxmlformats.org/officeDocument/2006/relationships/hyperlink" Target="https://youtu.be/qwMvZow9Zn0?t=4687" TargetMode="External"/><Relationship Id="rId48" Type="http://schemas.openxmlformats.org/officeDocument/2006/relationships/hyperlink" Target="https://youtu.be/1TzPHPuz2pk?t=2538" TargetMode="External"/><Relationship Id="rId187" Type="http://schemas.openxmlformats.org/officeDocument/2006/relationships/hyperlink" Target="https://youtu.be/qwMvZow9Zn0?t=2853" TargetMode="External"/><Relationship Id="rId47" Type="http://schemas.openxmlformats.org/officeDocument/2006/relationships/hyperlink" Target="https://youtu.be/igYLrTNkOII?t=2508" TargetMode="External"/><Relationship Id="rId186" Type="http://schemas.openxmlformats.org/officeDocument/2006/relationships/hyperlink" Target="https://youtu.be/zVDsJV1Yz5c?t=1899" TargetMode="External"/><Relationship Id="rId185" Type="http://schemas.openxmlformats.org/officeDocument/2006/relationships/hyperlink" Target="https://youtu.be/qwMvZow9Zn0?t=2020" TargetMode="External"/><Relationship Id="rId49" Type="http://schemas.openxmlformats.org/officeDocument/2006/relationships/hyperlink" Target="https://youtu.be/igYLrTNkOII?t=3334" TargetMode="External"/><Relationship Id="rId184" Type="http://schemas.openxmlformats.org/officeDocument/2006/relationships/hyperlink" Target="https://youtu.be/zVDsJV1Yz5c?t=979" TargetMode="External"/><Relationship Id="rId189" Type="http://schemas.openxmlformats.org/officeDocument/2006/relationships/hyperlink" Target="https://youtu.be/qwMvZow9Zn0?t=3658" TargetMode="External"/><Relationship Id="rId188" Type="http://schemas.openxmlformats.org/officeDocument/2006/relationships/hyperlink" Target="https://youtu.be/zVDsJV1Yz5c?t=2758" TargetMode="External"/><Relationship Id="rId31" Type="http://schemas.openxmlformats.org/officeDocument/2006/relationships/hyperlink" Target="https://youtu.be/wqg5jG3w3H0?t=4836" TargetMode="External"/><Relationship Id="rId30" Type="http://schemas.openxmlformats.org/officeDocument/2006/relationships/hyperlink" Target="https://youtu.be/lw6DpsicM9Y?t=3696" TargetMode="External"/><Relationship Id="rId33" Type="http://schemas.openxmlformats.org/officeDocument/2006/relationships/hyperlink" Target="https://youtu.be/wqg5jG3w3H0?t=5773" TargetMode="External"/><Relationship Id="rId183" Type="http://schemas.openxmlformats.org/officeDocument/2006/relationships/hyperlink" Target="https://youtu.be/qwMvZow9Zn0?t=1141" TargetMode="External"/><Relationship Id="rId32" Type="http://schemas.openxmlformats.org/officeDocument/2006/relationships/hyperlink" Target="https://youtu.be/lw6DpsicM9Y?t=4632" TargetMode="External"/><Relationship Id="rId182" Type="http://schemas.openxmlformats.org/officeDocument/2006/relationships/hyperlink" Target="https://youtu.be/zVDsJV1Yz5c" TargetMode="External"/><Relationship Id="rId35" Type="http://schemas.openxmlformats.org/officeDocument/2006/relationships/hyperlink" Target="https://youtu.be/wqg5jG3w3H0?t=6740" TargetMode="External"/><Relationship Id="rId181" Type="http://schemas.openxmlformats.org/officeDocument/2006/relationships/hyperlink" Target="https://youtu.be/qwMvZow9Zn0" TargetMode="External"/><Relationship Id="rId34" Type="http://schemas.openxmlformats.org/officeDocument/2006/relationships/hyperlink" Target="https://youtu.be/lw6DpsicM9Y?t=5601" TargetMode="External"/><Relationship Id="rId180" Type="http://schemas.openxmlformats.org/officeDocument/2006/relationships/hyperlink" Target="https://youtu.be/LgKKII4pft0?t=8067" TargetMode="External"/><Relationship Id="rId37" Type="http://schemas.openxmlformats.org/officeDocument/2006/relationships/hyperlink" Target="https://youtu.be/wqg5jG3w3H0?t=7700" TargetMode="External"/><Relationship Id="rId176" Type="http://schemas.openxmlformats.org/officeDocument/2006/relationships/hyperlink" Target="https://youtu.be/LgKKII4pft0?t=6322" TargetMode="External"/><Relationship Id="rId297" Type="http://schemas.openxmlformats.org/officeDocument/2006/relationships/hyperlink" Target="https://youtu.be/DmgDmX0Doqc?t=7766" TargetMode="External"/><Relationship Id="rId36" Type="http://schemas.openxmlformats.org/officeDocument/2006/relationships/hyperlink" Target="https://youtu.be/lw6DpsicM9Y?t=6598" TargetMode="External"/><Relationship Id="rId175" Type="http://schemas.openxmlformats.org/officeDocument/2006/relationships/hyperlink" Target="https://youtu.be/1DndcSjv0Zk?t=6507" TargetMode="External"/><Relationship Id="rId296" Type="http://schemas.openxmlformats.org/officeDocument/2006/relationships/hyperlink" Target="https://youtu.be/xf5xVg2ZpaE?t=6721" TargetMode="External"/><Relationship Id="rId39" Type="http://schemas.openxmlformats.org/officeDocument/2006/relationships/hyperlink" Target="https://youtu.be/wqg5jG3w3H0?t=8692" TargetMode="External"/><Relationship Id="rId174" Type="http://schemas.openxmlformats.org/officeDocument/2006/relationships/hyperlink" Target="https://youtu.be/LgKKII4pft0?t=5458" TargetMode="External"/><Relationship Id="rId295" Type="http://schemas.openxmlformats.org/officeDocument/2006/relationships/hyperlink" Target="https://youtu.be/DmgDmX0Doqc?t=6833" TargetMode="External"/><Relationship Id="rId38" Type="http://schemas.openxmlformats.org/officeDocument/2006/relationships/hyperlink" Target="https://youtu.be/lw6DpsicM9Y?t=7526" TargetMode="External"/><Relationship Id="rId173" Type="http://schemas.openxmlformats.org/officeDocument/2006/relationships/hyperlink" Target="https://youtu.be/1DndcSjv0Zk?t=5684" TargetMode="External"/><Relationship Id="rId294" Type="http://schemas.openxmlformats.org/officeDocument/2006/relationships/hyperlink" Target="https://youtu.be/xf5xVg2ZpaE?t=5808" TargetMode="External"/><Relationship Id="rId179" Type="http://schemas.openxmlformats.org/officeDocument/2006/relationships/hyperlink" Target="https://youtu.be/1DndcSjv0Zk?t=8211" TargetMode="External"/><Relationship Id="rId178" Type="http://schemas.openxmlformats.org/officeDocument/2006/relationships/hyperlink" Target="https://youtu.be/LgKKII4pft0?t=7197" TargetMode="External"/><Relationship Id="rId299" Type="http://schemas.openxmlformats.org/officeDocument/2006/relationships/hyperlink" Target="https://youtu.be/DmgDmX0Doqc?t=8631" TargetMode="External"/><Relationship Id="rId177" Type="http://schemas.openxmlformats.org/officeDocument/2006/relationships/hyperlink" Target="https://youtu.be/1DndcSjv0Zk?t=7398" TargetMode="External"/><Relationship Id="rId298" Type="http://schemas.openxmlformats.org/officeDocument/2006/relationships/hyperlink" Target="https://youtu.be/xf5xVg2ZpaE?t=7719" TargetMode="External"/><Relationship Id="rId20" Type="http://schemas.openxmlformats.org/officeDocument/2006/relationships/hyperlink" Target="https://youtu.be/YVATPB1glZI?t=8068" TargetMode="External"/><Relationship Id="rId22" Type="http://schemas.openxmlformats.org/officeDocument/2006/relationships/hyperlink" Target="https://youtu.be/lw6DpsicM9Y" TargetMode="External"/><Relationship Id="rId21" Type="http://schemas.openxmlformats.org/officeDocument/2006/relationships/hyperlink" Target="https://youtu.be/wqg5jG3w3H0" TargetMode="External"/><Relationship Id="rId24" Type="http://schemas.openxmlformats.org/officeDocument/2006/relationships/hyperlink" Target="https://youtu.be/lw6DpsicM9Y?t=956" TargetMode="External"/><Relationship Id="rId23" Type="http://schemas.openxmlformats.org/officeDocument/2006/relationships/hyperlink" Target="https://youtu.be/wqg5jG3w3H0?t=968" TargetMode="External"/><Relationship Id="rId26" Type="http://schemas.openxmlformats.org/officeDocument/2006/relationships/hyperlink" Target="https://youtu.be/lw6DpsicM9Y?t=1902" TargetMode="External"/><Relationship Id="rId25" Type="http://schemas.openxmlformats.org/officeDocument/2006/relationships/hyperlink" Target="https://youtu.be/wqg5jG3w3H0?t=1931" TargetMode="External"/><Relationship Id="rId28" Type="http://schemas.openxmlformats.org/officeDocument/2006/relationships/hyperlink" Target="https://youtu.be/lw6DpsicM9Y?t=2780" TargetMode="External"/><Relationship Id="rId27" Type="http://schemas.openxmlformats.org/officeDocument/2006/relationships/hyperlink" Target="https://youtu.be/wqg5jG3w3H0?t=2869" TargetMode="External"/><Relationship Id="rId29" Type="http://schemas.openxmlformats.org/officeDocument/2006/relationships/hyperlink" Target="https://youtu.be/wqg5jG3w3H0?t=3847" TargetMode="External"/><Relationship Id="rId11" Type="http://schemas.openxmlformats.org/officeDocument/2006/relationships/hyperlink" Target="https://youtu.be/hgH27uQij9k?t=4098" TargetMode="External"/><Relationship Id="rId10" Type="http://schemas.openxmlformats.org/officeDocument/2006/relationships/hyperlink" Target="https://youtu.be/YVATPB1glZI?t=3915" TargetMode="External"/><Relationship Id="rId13" Type="http://schemas.openxmlformats.org/officeDocument/2006/relationships/hyperlink" Target="https://youtu.be/hgH27uQij9k?t=4938" TargetMode="External"/><Relationship Id="rId12" Type="http://schemas.openxmlformats.org/officeDocument/2006/relationships/hyperlink" Target="https://youtu.be/YVATPB1glZI?t=4697" TargetMode="External"/><Relationship Id="rId15" Type="http://schemas.openxmlformats.org/officeDocument/2006/relationships/hyperlink" Target="https://youtu.be/hgH27uQij9k?t=5716" TargetMode="External"/><Relationship Id="rId198" Type="http://schemas.openxmlformats.org/officeDocument/2006/relationships/hyperlink" Target="https://youtu.be/zVDsJV1Yz5c?t=7092" TargetMode="External"/><Relationship Id="rId14" Type="http://schemas.openxmlformats.org/officeDocument/2006/relationships/hyperlink" Target="https://youtu.be/YVATPB1glZI?t=5519" TargetMode="External"/><Relationship Id="rId197" Type="http://schemas.openxmlformats.org/officeDocument/2006/relationships/hyperlink" Target="https://youtu.be/qwMvZow9Zn0?t=7203" TargetMode="External"/><Relationship Id="rId17" Type="http://schemas.openxmlformats.org/officeDocument/2006/relationships/hyperlink" Target="https://youtu.be/hgH27uQij9k?t=6557" TargetMode="External"/><Relationship Id="rId196" Type="http://schemas.openxmlformats.org/officeDocument/2006/relationships/hyperlink" Target="https://youtu.be/zVDsJV1Yz5c?t=6212" TargetMode="External"/><Relationship Id="rId16" Type="http://schemas.openxmlformats.org/officeDocument/2006/relationships/hyperlink" Target="https://youtu.be/YVATPB1glZI?t=6347" TargetMode="External"/><Relationship Id="rId195" Type="http://schemas.openxmlformats.org/officeDocument/2006/relationships/hyperlink" Target="https://youtu.be/qwMvZow9Zn0?t=6376" TargetMode="External"/><Relationship Id="rId19" Type="http://schemas.openxmlformats.org/officeDocument/2006/relationships/hyperlink" Target="https://youtu.be/hgH27uQij9k?t=7408" TargetMode="External"/><Relationship Id="rId18" Type="http://schemas.openxmlformats.org/officeDocument/2006/relationships/hyperlink" Target="https://youtu.be/YVATPB1glZI?t=7189" TargetMode="External"/><Relationship Id="rId199" Type="http://schemas.openxmlformats.org/officeDocument/2006/relationships/hyperlink" Target="https://youtu.be/qwMvZow9Zn0?t=8018" TargetMode="External"/><Relationship Id="rId84" Type="http://schemas.openxmlformats.org/officeDocument/2006/relationships/hyperlink" Target="https://youtu.be/p-4w58jleQ8?t=1029" TargetMode="External"/><Relationship Id="rId83" Type="http://schemas.openxmlformats.org/officeDocument/2006/relationships/hyperlink" Target="https://youtu.be/WKKm38vYeYg?t=961" TargetMode="External"/><Relationship Id="rId86" Type="http://schemas.openxmlformats.org/officeDocument/2006/relationships/hyperlink" Target="https://youtu.be/p-4w58jleQ8?t=2017" TargetMode="External"/><Relationship Id="rId85" Type="http://schemas.openxmlformats.org/officeDocument/2006/relationships/hyperlink" Target="https://youtu.be/WKKm38vYeYg?t=1899" TargetMode="External"/><Relationship Id="rId88" Type="http://schemas.openxmlformats.org/officeDocument/2006/relationships/hyperlink" Target="https://youtu.be/p-4w58jleQ8?t=2989" TargetMode="External"/><Relationship Id="rId150" Type="http://schemas.openxmlformats.org/officeDocument/2006/relationships/hyperlink" Target="https://youtu.be/BSh0Hevut10?t=3866" TargetMode="External"/><Relationship Id="rId271" Type="http://schemas.openxmlformats.org/officeDocument/2006/relationships/hyperlink" Target="https://youtu.be/xSllpgGsHUg?t=4426" TargetMode="External"/><Relationship Id="rId87" Type="http://schemas.openxmlformats.org/officeDocument/2006/relationships/hyperlink" Target="https://youtu.be/WKKm38vYeYg?t=2808" TargetMode="External"/><Relationship Id="rId270" Type="http://schemas.openxmlformats.org/officeDocument/2006/relationships/hyperlink" Target="https://youtu.be/uu7HuEQVvvg?t=3498" TargetMode="External"/><Relationship Id="rId89" Type="http://schemas.openxmlformats.org/officeDocument/2006/relationships/hyperlink" Target="https://youtu.be/WKKm38vYeYg?t=3750" TargetMode="External"/><Relationship Id="rId80" Type="http://schemas.openxmlformats.org/officeDocument/2006/relationships/hyperlink" Target="https://youtu.be/XMbRgp-oewo?t=8511" TargetMode="External"/><Relationship Id="rId82" Type="http://schemas.openxmlformats.org/officeDocument/2006/relationships/hyperlink" Target="https://youtu.be/p-4w58jleQ8" TargetMode="External"/><Relationship Id="rId81" Type="http://schemas.openxmlformats.org/officeDocument/2006/relationships/hyperlink" Target="https://youtu.be/WKKm38vYeYg" TargetMode="External"/><Relationship Id="rId1" Type="http://schemas.openxmlformats.org/officeDocument/2006/relationships/hyperlink" Target="https://youtu.be/hgH27uQij9k" TargetMode="External"/><Relationship Id="rId2" Type="http://schemas.openxmlformats.org/officeDocument/2006/relationships/hyperlink" Target="https://youtu.be/YVATPB1glZI?t=689" TargetMode="External"/><Relationship Id="rId3" Type="http://schemas.openxmlformats.org/officeDocument/2006/relationships/hyperlink" Target="https://youtu.be/hgH27uQij9k?t=840" TargetMode="External"/><Relationship Id="rId149" Type="http://schemas.openxmlformats.org/officeDocument/2006/relationships/hyperlink" Target="https://youtu.be/AQmuP8XMk9M?t=3809" TargetMode="External"/><Relationship Id="rId4" Type="http://schemas.openxmlformats.org/officeDocument/2006/relationships/hyperlink" Target="https://youtu.be/YVATPB1glZI?t=1488" TargetMode="External"/><Relationship Id="rId148" Type="http://schemas.openxmlformats.org/officeDocument/2006/relationships/hyperlink" Target="https://youtu.be/BSh0Hevut10?t=2927" TargetMode="External"/><Relationship Id="rId269" Type="http://schemas.openxmlformats.org/officeDocument/2006/relationships/hyperlink" Target="https://youtu.be/xSllpgGsHUg?t=3563" TargetMode="External"/><Relationship Id="rId9" Type="http://schemas.openxmlformats.org/officeDocument/2006/relationships/hyperlink" Target="https://youtu.be/hgH27uQij9k?t=3264" TargetMode="External"/><Relationship Id="rId143" Type="http://schemas.openxmlformats.org/officeDocument/2006/relationships/hyperlink" Target="https://youtu.be/AQmuP8XMk9M?t=985" TargetMode="External"/><Relationship Id="rId264" Type="http://schemas.openxmlformats.org/officeDocument/2006/relationships/hyperlink" Target="https://youtu.be/uu7HuEQVvvg?t=862" TargetMode="External"/><Relationship Id="rId142" Type="http://schemas.openxmlformats.org/officeDocument/2006/relationships/hyperlink" Target="https://youtu.be/BSh0Hevut10" TargetMode="External"/><Relationship Id="rId263" Type="http://schemas.openxmlformats.org/officeDocument/2006/relationships/hyperlink" Target="https://youtu.be/xSllpgGsHUg?t=965" TargetMode="External"/><Relationship Id="rId141" Type="http://schemas.openxmlformats.org/officeDocument/2006/relationships/hyperlink" Target="https://youtu.be/AQmuP8XMk9M" TargetMode="External"/><Relationship Id="rId262" Type="http://schemas.openxmlformats.org/officeDocument/2006/relationships/hyperlink" Target="https://youtu.be/uu7HuEQVvvg" TargetMode="External"/><Relationship Id="rId140" Type="http://schemas.openxmlformats.org/officeDocument/2006/relationships/hyperlink" Target="https://youtu.be/DjaCHs40YFE?t=8278" TargetMode="External"/><Relationship Id="rId261" Type="http://schemas.openxmlformats.org/officeDocument/2006/relationships/hyperlink" Target="https://youtu.be/xSllpgGsHUg" TargetMode="External"/><Relationship Id="rId5" Type="http://schemas.openxmlformats.org/officeDocument/2006/relationships/hyperlink" Target="https://youtu.be/hgH27uQij9k?t=1636" TargetMode="External"/><Relationship Id="rId147" Type="http://schemas.openxmlformats.org/officeDocument/2006/relationships/hyperlink" Target="https://youtu.be/AQmuP8XMk9M?t=2830" TargetMode="External"/><Relationship Id="rId268" Type="http://schemas.openxmlformats.org/officeDocument/2006/relationships/hyperlink" Target="https://youtu.be/uu7HuEQVvvg?t=2608" TargetMode="External"/><Relationship Id="rId6" Type="http://schemas.openxmlformats.org/officeDocument/2006/relationships/hyperlink" Target="https://youtu.be/YVATPB1glZI?t=2250" TargetMode="External"/><Relationship Id="rId146" Type="http://schemas.openxmlformats.org/officeDocument/2006/relationships/hyperlink" Target="https://youtu.be/BSh0Hevut10?t=2024" TargetMode="External"/><Relationship Id="rId267" Type="http://schemas.openxmlformats.org/officeDocument/2006/relationships/hyperlink" Target="https://youtu.be/xSllpgGsHUg?t=2742" TargetMode="External"/><Relationship Id="rId7" Type="http://schemas.openxmlformats.org/officeDocument/2006/relationships/hyperlink" Target="https://youtu.be/hgH27uQij9k?t=2451" TargetMode="External"/><Relationship Id="rId145" Type="http://schemas.openxmlformats.org/officeDocument/2006/relationships/hyperlink" Target="https://youtu.be/AQmuP8XMk9M?t=1949" TargetMode="External"/><Relationship Id="rId266" Type="http://schemas.openxmlformats.org/officeDocument/2006/relationships/hyperlink" Target="https://youtu.be/uu7HuEQVvvg?t=1746" TargetMode="External"/><Relationship Id="rId8" Type="http://schemas.openxmlformats.org/officeDocument/2006/relationships/hyperlink" Target="https://youtu.be/YVATPB1glZI?t=3098" TargetMode="External"/><Relationship Id="rId144" Type="http://schemas.openxmlformats.org/officeDocument/2006/relationships/hyperlink" Target="https://youtu.be/BSh0Hevut10?t=1100" TargetMode="External"/><Relationship Id="rId265" Type="http://schemas.openxmlformats.org/officeDocument/2006/relationships/hyperlink" Target="https://youtu.be/xSllpgGsHUg?t=1865" TargetMode="External"/><Relationship Id="rId73" Type="http://schemas.openxmlformats.org/officeDocument/2006/relationships/hyperlink" Target="https://youtu.be/3KLczz8CM7Y?t=5791" TargetMode="External"/><Relationship Id="rId72" Type="http://schemas.openxmlformats.org/officeDocument/2006/relationships/hyperlink" Target="https://youtu.be/XMbRgp-oewo?t=4682" TargetMode="External"/><Relationship Id="rId75" Type="http://schemas.openxmlformats.org/officeDocument/2006/relationships/hyperlink" Target="https://youtu.be/3KLczz8CM7Y?t=6724" TargetMode="External"/><Relationship Id="rId74" Type="http://schemas.openxmlformats.org/officeDocument/2006/relationships/hyperlink" Target="https://youtu.be/XMbRgp-oewo?t=5690" TargetMode="External"/><Relationship Id="rId77" Type="http://schemas.openxmlformats.org/officeDocument/2006/relationships/hyperlink" Target="https://youtu.be/3KLczz8CM7Y?t=7717" TargetMode="External"/><Relationship Id="rId260" Type="http://schemas.openxmlformats.org/officeDocument/2006/relationships/hyperlink" Target="https://youtu.be/1WAIwwGz20w?t=7757" TargetMode="External"/><Relationship Id="rId76" Type="http://schemas.openxmlformats.org/officeDocument/2006/relationships/hyperlink" Target="https://youtu.be/XMbRgp-oewo?t=6649" TargetMode="External"/><Relationship Id="rId79" Type="http://schemas.openxmlformats.org/officeDocument/2006/relationships/hyperlink" Target="https://youtu.be/3KLczz8CM7Y?t=8681" TargetMode="External"/><Relationship Id="rId78" Type="http://schemas.openxmlformats.org/officeDocument/2006/relationships/hyperlink" Target="https://youtu.be/XMbRgp-oewo?t=7545" TargetMode="External"/><Relationship Id="rId71" Type="http://schemas.openxmlformats.org/officeDocument/2006/relationships/hyperlink" Target="https://youtu.be/3KLczz8CM7Y?t=4834" TargetMode="External"/><Relationship Id="rId70" Type="http://schemas.openxmlformats.org/officeDocument/2006/relationships/hyperlink" Target="https://youtu.be/XMbRgp-oewo?t=3715" TargetMode="External"/><Relationship Id="rId139" Type="http://schemas.openxmlformats.org/officeDocument/2006/relationships/hyperlink" Target="https://youtu.be/pd080W_PsyU?t=8161" TargetMode="External"/><Relationship Id="rId138" Type="http://schemas.openxmlformats.org/officeDocument/2006/relationships/hyperlink" Target="https://youtu.be/DjaCHs40YFE?t=7414" TargetMode="External"/><Relationship Id="rId259" Type="http://schemas.openxmlformats.org/officeDocument/2006/relationships/hyperlink" Target="https://youtu.be/g0uXxU4n0h0?t=7874" TargetMode="External"/><Relationship Id="rId137" Type="http://schemas.openxmlformats.org/officeDocument/2006/relationships/hyperlink" Target="https://youtu.be/pd080W_PsyU?t=7362" TargetMode="External"/><Relationship Id="rId258" Type="http://schemas.openxmlformats.org/officeDocument/2006/relationships/hyperlink" Target="https://youtu.be/1WAIwwGz20w?t=6900" TargetMode="External"/><Relationship Id="rId132" Type="http://schemas.openxmlformats.org/officeDocument/2006/relationships/hyperlink" Target="https://youtu.be/DjaCHs40YFE?t=4781" TargetMode="External"/><Relationship Id="rId253" Type="http://schemas.openxmlformats.org/officeDocument/2006/relationships/hyperlink" Target="https://youtu.be/g0uXxU4n0h0?t=5257" TargetMode="External"/><Relationship Id="rId131" Type="http://schemas.openxmlformats.org/officeDocument/2006/relationships/hyperlink" Target="https://youtu.be/pd080W_PsyU?t=4744" TargetMode="External"/><Relationship Id="rId252" Type="http://schemas.openxmlformats.org/officeDocument/2006/relationships/hyperlink" Target="https://youtu.be/1WAIwwGz20w?t=4250" TargetMode="External"/><Relationship Id="rId130" Type="http://schemas.openxmlformats.org/officeDocument/2006/relationships/hyperlink" Target="https://youtu.be/DjaCHs40YFE?t=3898" TargetMode="External"/><Relationship Id="rId251" Type="http://schemas.openxmlformats.org/officeDocument/2006/relationships/hyperlink" Target="https://youtu.be/g0uXxU4n0h0?t=4420" TargetMode="External"/><Relationship Id="rId250" Type="http://schemas.openxmlformats.org/officeDocument/2006/relationships/hyperlink" Target="https://youtu.be/1WAIwwGz20w?t=3415" TargetMode="External"/><Relationship Id="rId136" Type="http://schemas.openxmlformats.org/officeDocument/2006/relationships/hyperlink" Target="https://youtu.be/DjaCHs40YFE?t=6486" TargetMode="External"/><Relationship Id="rId257" Type="http://schemas.openxmlformats.org/officeDocument/2006/relationships/hyperlink" Target="https://youtu.be/g0uXxU4n0h0?t=7015" TargetMode="External"/><Relationship Id="rId135" Type="http://schemas.openxmlformats.org/officeDocument/2006/relationships/hyperlink" Target="https://youtu.be/pd080W_PsyU?t=6493" TargetMode="External"/><Relationship Id="rId256" Type="http://schemas.openxmlformats.org/officeDocument/2006/relationships/hyperlink" Target="https://youtu.be/1WAIwwGz20w?t=6053" TargetMode="External"/><Relationship Id="rId134" Type="http://schemas.openxmlformats.org/officeDocument/2006/relationships/hyperlink" Target="https://youtu.be/DjaCHs40YFE?t=5627" TargetMode="External"/><Relationship Id="rId255" Type="http://schemas.openxmlformats.org/officeDocument/2006/relationships/hyperlink" Target="https://youtu.be/g0uXxU4n0h0?t=6154" TargetMode="External"/><Relationship Id="rId133" Type="http://schemas.openxmlformats.org/officeDocument/2006/relationships/hyperlink" Target="https://youtu.be/pd080W_PsyU?t=5600" TargetMode="External"/><Relationship Id="rId254" Type="http://schemas.openxmlformats.org/officeDocument/2006/relationships/hyperlink" Target="https://youtu.be/1WAIwwGz20w?t=5173" TargetMode="External"/><Relationship Id="rId62" Type="http://schemas.openxmlformats.org/officeDocument/2006/relationships/hyperlink" Target="https://youtu.be/XMbRgp-oewo" TargetMode="External"/><Relationship Id="rId61" Type="http://schemas.openxmlformats.org/officeDocument/2006/relationships/hyperlink" Target="https://youtu.be/3KLczz8CM7Y" TargetMode="External"/><Relationship Id="rId64" Type="http://schemas.openxmlformats.org/officeDocument/2006/relationships/hyperlink" Target="https://youtu.be/XMbRgp-oewo?t=955" TargetMode="External"/><Relationship Id="rId63" Type="http://schemas.openxmlformats.org/officeDocument/2006/relationships/hyperlink" Target="https://youtu.be/3KLczz8CM7Y?t=942" TargetMode="External"/><Relationship Id="rId66" Type="http://schemas.openxmlformats.org/officeDocument/2006/relationships/hyperlink" Target="https://youtu.be/XMbRgp-oewo?t=1866" TargetMode="External"/><Relationship Id="rId172" Type="http://schemas.openxmlformats.org/officeDocument/2006/relationships/hyperlink" Target="https://youtu.be/LgKKII4pft0?t=4634" TargetMode="External"/><Relationship Id="rId293" Type="http://schemas.openxmlformats.org/officeDocument/2006/relationships/hyperlink" Target="https://youtu.be/DmgDmX0Doqc?t=5822" TargetMode="External"/><Relationship Id="rId65" Type="http://schemas.openxmlformats.org/officeDocument/2006/relationships/hyperlink" Target="https://youtu.be/3KLczz8CM7Y?t=1970" TargetMode="External"/><Relationship Id="rId171" Type="http://schemas.openxmlformats.org/officeDocument/2006/relationships/hyperlink" Target="https://youtu.be/1DndcSjv0Zk?t=4789" TargetMode="External"/><Relationship Id="rId292" Type="http://schemas.openxmlformats.org/officeDocument/2006/relationships/hyperlink" Target="https://youtu.be/xf5xVg2ZpaE?t=4887" TargetMode="External"/><Relationship Id="rId68" Type="http://schemas.openxmlformats.org/officeDocument/2006/relationships/hyperlink" Target="https://youtu.be/XMbRgp-oewo?t=2768" TargetMode="External"/><Relationship Id="rId170" Type="http://schemas.openxmlformats.org/officeDocument/2006/relationships/hyperlink" Target="https://youtu.be/LgKKII4pft0?t=3795" TargetMode="External"/><Relationship Id="rId291" Type="http://schemas.openxmlformats.org/officeDocument/2006/relationships/hyperlink" Target="https://youtu.be/DmgDmX0Doqc?t=4858" TargetMode="External"/><Relationship Id="rId67" Type="http://schemas.openxmlformats.org/officeDocument/2006/relationships/hyperlink" Target="https://youtu.be/3KLczz8CM7Y?t=2897" TargetMode="External"/><Relationship Id="rId290" Type="http://schemas.openxmlformats.org/officeDocument/2006/relationships/hyperlink" Target="https://youtu.be/xf5xVg2ZpaE?t=3797" TargetMode="External"/><Relationship Id="rId60" Type="http://schemas.openxmlformats.org/officeDocument/2006/relationships/hyperlink" Target="https://youtu.be/1TzPHPuz2pk?t=7520" TargetMode="External"/><Relationship Id="rId165" Type="http://schemas.openxmlformats.org/officeDocument/2006/relationships/hyperlink" Target="https://youtu.be/1DndcSjv0Zk?t=2056" TargetMode="External"/><Relationship Id="rId286" Type="http://schemas.openxmlformats.org/officeDocument/2006/relationships/hyperlink" Target="https://youtu.be/xf5xVg2ZpaE?t=1970" TargetMode="External"/><Relationship Id="rId69" Type="http://schemas.openxmlformats.org/officeDocument/2006/relationships/hyperlink" Target="https://youtu.be/3KLczz8CM7Y?t=3889" TargetMode="External"/><Relationship Id="rId164" Type="http://schemas.openxmlformats.org/officeDocument/2006/relationships/hyperlink" Target="https://youtu.be/LgKKII4pft0?t=854" TargetMode="External"/><Relationship Id="rId285" Type="http://schemas.openxmlformats.org/officeDocument/2006/relationships/hyperlink" Target="https://youtu.be/DmgDmX0Doqc?t=1979" TargetMode="External"/><Relationship Id="rId163" Type="http://schemas.openxmlformats.org/officeDocument/2006/relationships/hyperlink" Target="https://youtu.be/1DndcSjv0Zk?t=1118" TargetMode="External"/><Relationship Id="rId284" Type="http://schemas.openxmlformats.org/officeDocument/2006/relationships/hyperlink" Target="https://youtu.be/xf5xVg2ZpaE?t=1071" TargetMode="External"/><Relationship Id="rId162" Type="http://schemas.openxmlformats.org/officeDocument/2006/relationships/hyperlink" Target="https://youtu.be/LgKKII4pft0" TargetMode="External"/><Relationship Id="rId283" Type="http://schemas.openxmlformats.org/officeDocument/2006/relationships/hyperlink" Target="https://youtu.be/DmgDmX0Doqc?t=975" TargetMode="External"/><Relationship Id="rId169" Type="http://schemas.openxmlformats.org/officeDocument/2006/relationships/hyperlink" Target="https://youtu.be/1DndcSjv0Zk?t=3856" TargetMode="External"/><Relationship Id="rId168" Type="http://schemas.openxmlformats.org/officeDocument/2006/relationships/hyperlink" Target="https://youtu.be/LgKKII4pft0?t=2803" TargetMode="External"/><Relationship Id="rId289" Type="http://schemas.openxmlformats.org/officeDocument/2006/relationships/hyperlink" Target="https://youtu.be/DmgDmX0Doqc?t=3911" TargetMode="External"/><Relationship Id="rId167" Type="http://schemas.openxmlformats.org/officeDocument/2006/relationships/hyperlink" Target="https://youtu.be/1DndcSjv0Zk?t=3032" TargetMode="External"/><Relationship Id="rId288" Type="http://schemas.openxmlformats.org/officeDocument/2006/relationships/hyperlink" Target="https://youtu.be/xf5xVg2ZpaE?t=2917" TargetMode="External"/><Relationship Id="rId166" Type="http://schemas.openxmlformats.org/officeDocument/2006/relationships/hyperlink" Target="https://youtu.be/LgKKII4pft0?t=1790" TargetMode="External"/><Relationship Id="rId287" Type="http://schemas.openxmlformats.org/officeDocument/2006/relationships/hyperlink" Target="https://youtu.be/DmgDmX0Doqc?t=2910" TargetMode="External"/><Relationship Id="rId51" Type="http://schemas.openxmlformats.org/officeDocument/2006/relationships/hyperlink" Target="https://youtu.be/igYLrTNkOII?t=4147" TargetMode="External"/><Relationship Id="rId50" Type="http://schemas.openxmlformats.org/officeDocument/2006/relationships/hyperlink" Target="https://youtu.be/1TzPHPuz2pk?t=3336" TargetMode="External"/><Relationship Id="rId53" Type="http://schemas.openxmlformats.org/officeDocument/2006/relationships/hyperlink" Target="https://youtu.be/igYLrTNkOII?t=4945" TargetMode="External"/><Relationship Id="rId52" Type="http://schemas.openxmlformats.org/officeDocument/2006/relationships/hyperlink" Target="https://youtu.be/1TzPHPuz2pk?t=4141" TargetMode="External"/><Relationship Id="rId55" Type="http://schemas.openxmlformats.org/officeDocument/2006/relationships/hyperlink" Target="https://youtu.be/igYLrTNkOII?t=5781" TargetMode="External"/><Relationship Id="rId161" Type="http://schemas.openxmlformats.org/officeDocument/2006/relationships/hyperlink" Target="https://youtu.be/1DndcSjv0Zk" TargetMode="External"/><Relationship Id="rId282" Type="http://schemas.openxmlformats.org/officeDocument/2006/relationships/hyperlink" Target="https://youtu.be/xf5xVg2ZpaE" TargetMode="External"/><Relationship Id="rId54" Type="http://schemas.openxmlformats.org/officeDocument/2006/relationships/hyperlink" Target="https://youtu.be/1TzPHPuz2pk?t=5034" TargetMode="External"/><Relationship Id="rId160" Type="http://schemas.openxmlformats.org/officeDocument/2006/relationships/hyperlink" Target="https://youtu.be/BSh0Hevut10?t=8698" TargetMode="External"/><Relationship Id="rId281" Type="http://schemas.openxmlformats.org/officeDocument/2006/relationships/hyperlink" Target="https://youtu.be/DmgDmX0Doqc" TargetMode="External"/><Relationship Id="rId57" Type="http://schemas.openxmlformats.org/officeDocument/2006/relationships/hyperlink" Target="https://youtu.be/igYLrTNkOII?t=6660" TargetMode="External"/><Relationship Id="rId280" Type="http://schemas.openxmlformats.org/officeDocument/2006/relationships/hyperlink" Target="https://youtu.be/uu7HuEQVvvg?t=7950" TargetMode="External"/><Relationship Id="rId56" Type="http://schemas.openxmlformats.org/officeDocument/2006/relationships/hyperlink" Target="https://youtu.be/1TzPHPuz2pk?t=5835" TargetMode="External"/><Relationship Id="rId159" Type="http://schemas.openxmlformats.org/officeDocument/2006/relationships/hyperlink" Target="https://youtu.be/AQmuP8XMk9M?t=8646" TargetMode="External"/><Relationship Id="rId59" Type="http://schemas.openxmlformats.org/officeDocument/2006/relationships/hyperlink" Target="https://youtu.be/igYLrTNkOII?t=7443" TargetMode="External"/><Relationship Id="rId154" Type="http://schemas.openxmlformats.org/officeDocument/2006/relationships/hyperlink" Target="https://youtu.be/BSh0Hevut10?t=5741" TargetMode="External"/><Relationship Id="rId275" Type="http://schemas.openxmlformats.org/officeDocument/2006/relationships/hyperlink" Target="https://youtu.be/xSllpgGsHUg?t=6306" TargetMode="External"/><Relationship Id="rId58" Type="http://schemas.openxmlformats.org/officeDocument/2006/relationships/hyperlink" Target="https://youtu.be/1TzPHPuz2pk?t=6670" TargetMode="External"/><Relationship Id="rId153" Type="http://schemas.openxmlformats.org/officeDocument/2006/relationships/hyperlink" Target="https://youtu.be/AQmuP8XMk9M?t=5710" TargetMode="External"/><Relationship Id="rId274" Type="http://schemas.openxmlformats.org/officeDocument/2006/relationships/hyperlink" Target="https://youtu.be/uu7HuEQVvvg?t=5204" TargetMode="External"/><Relationship Id="rId152" Type="http://schemas.openxmlformats.org/officeDocument/2006/relationships/hyperlink" Target="https://youtu.be/BSh0Hevut10?t=4778" TargetMode="External"/><Relationship Id="rId273" Type="http://schemas.openxmlformats.org/officeDocument/2006/relationships/hyperlink" Target="https://youtu.be/xSllpgGsHUg?t=5443" TargetMode="External"/><Relationship Id="rId151" Type="http://schemas.openxmlformats.org/officeDocument/2006/relationships/hyperlink" Target="https://youtu.be/AQmuP8XMk9M?t=4731" TargetMode="External"/><Relationship Id="rId272" Type="http://schemas.openxmlformats.org/officeDocument/2006/relationships/hyperlink" Target="https://youtu.be/uu7HuEQVvvg?t=4323" TargetMode="External"/><Relationship Id="rId158" Type="http://schemas.openxmlformats.org/officeDocument/2006/relationships/hyperlink" Target="https://youtu.be/BSh0Hevut10?t=7708" TargetMode="External"/><Relationship Id="rId279" Type="http://schemas.openxmlformats.org/officeDocument/2006/relationships/hyperlink" Target="https://youtu.be/xSllpgGsHUg?t=8027" TargetMode="External"/><Relationship Id="rId157" Type="http://schemas.openxmlformats.org/officeDocument/2006/relationships/hyperlink" Target="https://youtu.be/AQmuP8XMk9M?t=7687" TargetMode="External"/><Relationship Id="rId278" Type="http://schemas.openxmlformats.org/officeDocument/2006/relationships/hyperlink" Target="https://youtu.be/uu7HuEQVvvg?t=7064" TargetMode="External"/><Relationship Id="rId156" Type="http://schemas.openxmlformats.org/officeDocument/2006/relationships/hyperlink" Target="https://youtu.be/BSh0Hevut10?t=6721" TargetMode="External"/><Relationship Id="rId277" Type="http://schemas.openxmlformats.org/officeDocument/2006/relationships/hyperlink" Target="https://youtu.be/xSllpgGsHUg?t=7211" TargetMode="External"/><Relationship Id="rId155" Type="http://schemas.openxmlformats.org/officeDocument/2006/relationships/hyperlink" Target="https://youtu.be/AQmuP8XMk9M?t=6684" TargetMode="External"/><Relationship Id="rId276" Type="http://schemas.openxmlformats.org/officeDocument/2006/relationships/hyperlink" Target="https://youtu.be/uu7HuEQVvvg?t=6216" TargetMode="External"/><Relationship Id="rId107" Type="http://schemas.openxmlformats.org/officeDocument/2006/relationships/hyperlink" Target="https://youtu.be/HLkZ4fPRnmc?t=2803" TargetMode="External"/><Relationship Id="rId228" Type="http://schemas.openxmlformats.org/officeDocument/2006/relationships/hyperlink" Target="https://youtu.be/_7iK3yMdwKg?t=2915" TargetMode="External"/><Relationship Id="rId106" Type="http://schemas.openxmlformats.org/officeDocument/2006/relationships/hyperlink" Target="https://youtu.be/vtQxtJrlOKo?t=1996" TargetMode="External"/><Relationship Id="rId227" Type="http://schemas.openxmlformats.org/officeDocument/2006/relationships/hyperlink" Target="https://youtu.be/DliTEoGEh0A?t=2933" TargetMode="External"/><Relationship Id="rId105" Type="http://schemas.openxmlformats.org/officeDocument/2006/relationships/hyperlink" Target="https://youtu.be/HLkZ4fPRnmc?t=1872" TargetMode="External"/><Relationship Id="rId226" Type="http://schemas.openxmlformats.org/officeDocument/2006/relationships/hyperlink" Target="https://youtu.be/_7iK3yMdwKg?t=1935" TargetMode="External"/><Relationship Id="rId104" Type="http://schemas.openxmlformats.org/officeDocument/2006/relationships/hyperlink" Target="https://youtu.be/vtQxtJrlOKo?t=1044" TargetMode="External"/><Relationship Id="rId225" Type="http://schemas.openxmlformats.org/officeDocument/2006/relationships/hyperlink" Target="https://youtu.be/DliTEoGEh0A?t=1952" TargetMode="External"/><Relationship Id="rId109" Type="http://schemas.openxmlformats.org/officeDocument/2006/relationships/hyperlink" Target="https://youtu.be/HLkZ4fPRnmc?t=3708" TargetMode="External"/><Relationship Id="rId108" Type="http://schemas.openxmlformats.org/officeDocument/2006/relationships/hyperlink" Target="https://youtu.be/vtQxtJrlOKo?t=2964" TargetMode="External"/><Relationship Id="rId229" Type="http://schemas.openxmlformats.org/officeDocument/2006/relationships/hyperlink" Target="https://youtu.be/DliTEoGEh0A?t=3892" TargetMode="External"/><Relationship Id="rId220" Type="http://schemas.openxmlformats.org/officeDocument/2006/relationships/hyperlink" Target="https://youtu.be/c57Bh1b_RvY?t=8605" TargetMode="External"/><Relationship Id="rId103" Type="http://schemas.openxmlformats.org/officeDocument/2006/relationships/hyperlink" Target="https://youtu.be/HLkZ4fPRnmc?t=899" TargetMode="External"/><Relationship Id="rId224" Type="http://schemas.openxmlformats.org/officeDocument/2006/relationships/hyperlink" Target="https://youtu.be/_7iK3yMdwKg?t=958" TargetMode="External"/><Relationship Id="rId102" Type="http://schemas.openxmlformats.org/officeDocument/2006/relationships/hyperlink" Target="https://youtu.be/vtQxtJrlOKo" TargetMode="External"/><Relationship Id="rId223" Type="http://schemas.openxmlformats.org/officeDocument/2006/relationships/hyperlink" Target="https://youtu.be/DliTEoGEh0A?t=944" TargetMode="External"/><Relationship Id="rId101" Type="http://schemas.openxmlformats.org/officeDocument/2006/relationships/hyperlink" Target="https://youtu.be/HLkZ4fPRnmc" TargetMode="External"/><Relationship Id="rId222" Type="http://schemas.openxmlformats.org/officeDocument/2006/relationships/hyperlink" Target="https://youtu.be/_7iK3yMdwKg" TargetMode="External"/><Relationship Id="rId100" Type="http://schemas.openxmlformats.org/officeDocument/2006/relationships/hyperlink" Target="https://youtu.be/p-4w58jleQ8?t=8629" TargetMode="External"/><Relationship Id="rId221" Type="http://schemas.openxmlformats.org/officeDocument/2006/relationships/hyperlink" Target="https://youtu.be/DliTEoGEh0A" TargetMode="External"/><Relationship Id="rId217" Type="http://schemas.openxmlformats.org/officeDocument/2006/relationships/hyperlink" Target="https://youtu.be/ntHWCPaP2JQ?t=7633" TargetMode="External"/><Relationship Id="rId216" Type="http://schemas.openxmlformats.org/officeDocument/2006/relationships/hyperlink" Target="https://youtu.be/c57Bh1b_RvY?t=6677" TargetMode="External"/><Relationship Id="rId215" Type="http://schemas.openxmlformats.org/officeDocument/2006/relationships/hyperlink" Target="https://youtu.be/ntHWCPaP2JQ?t=6715" TargetMode="External"/><Relationship Id="rId214" Type="http://schemas.openxmlformats.org/officeDocument/2006/relationships/hyperlink" Target="https://youtu.be/c57Bh1b_RvY?t=5759" TargetMode="External"/><Relationship Id="rId219" Type="http://schemas.openxmlformats.org/officeDocument/2006/relationships/hyperlink" Target="https://youtu.be/ntHWCPaP2JQ?t=8426" TargetMode="External"/><Relationship Id="rId218" Type="http://schemas.openxmlformats.org/officeDocument/2006/relationships/hyperlink" Target="https://youtu.be/c57Bh1b_RvY?t=7659" TargetMode="External"/><Relationship Id="rId213" Type="http://schemas.openxmlformats.org/officeDocument/2006/relationships/hyperlink" Target="https://youtu.be/ntHWCPaP2JQ?t=5722" TargetMode="External"/><Relationship Id="rId212" Type="http://schemas.openxmlformats.org/officeDocument/2006/relationships/hyperlink" Target="https://youtu.be/c57Bh1b_RvY?t=4834" TargetMode="External"/><Relationship Id="rId211" Type="http://schemas.openxmlformats.org/officeDocument/2006/relationships/hyperlink" Target="https://youtu.be/ntHWCPaP2JQ?t=4815" TargetMode="External"/><Relationship Id="rId210" Type="http://schemas.openxmlformats.org/officeDocument/2006/relationships/hyperlink" Target="https://youtu.be/c57Bh1b_RvY?t=3891" TargetMode="External"/><Relationship Id="rId129" Type="http://schemas.openxmlformats.org/officeDocument/2006/relationships/hyperlink" Target="https://youtu.be/pd080W_PsyU?t=3724" TargetMode="External"/><Relationship Id="rId128" Type="http://schemas.openxmlformats.org/officeDocument/2006/relationships/hyperlink" Target="https://youtu.be/DjaCHs40YFE?t=2918" TargetMode="External"/><Relationship Id="rId249" Type="http://schemas.openxmlformats.org/officeDocument/2006/relationships/hyperlink" Target="https://youtu.be/g0uXxU4n0h0?t=3570" TargetMode="External"/><Relationship Id="rId127" Type="http://schemas.openxmlformats.org/officeDocument/2006/relationships/hyperlink" Target="https://youtu.be/pd080W_PsyU?t=2901" TargetMode="External"/><Relationship Id="rId248" Type="http://schemas.openxmlformats.org/officeDocument/2006/relationships/hyperlink" Target="https://youtu.be/1WAIwwGz20w?t=2581" TargetMode="External"/><Relationship Id="rId126" Type="http://schemas.openxmlformats.org/officeDocument/2006/relationships/hyperlink" Target="https://youtu.be/DjaCHs40YFE?t=1980" TargetMode="External"/><Relationship Id="rId247" Type="http://schemas.openxmlformats.org/officeDocument/2006/relationships/hyperlink" Target="https://youtu.be/g0uXxU4n0h0?t=2742" TargetMode="External"/><Relationship Id="rId121" Type="http://schemas.openxmlformats.org/officeDocument/2006/relationships/hyperlink" Target="https://youtu.be/pd080W_PsyU" TargetMode="External"/><Relationship Id="rId242" Type="http://schemas.openxmlformats.org/officeDocument/2006/relationships/hyperlink" Target="https://youtu.be/1WAIwwGz20w" TargetMode="External"/><Relationship Id="rId120" Type="http://schemas.openxmlformats.org/officeDocument/2006/relationships/hyperlink" Target="https://youtu.be/vtQxtJrlOKo?t=8727" TargetMode="External"/><Relationship Id="rId241" Type="http://schemas.openxmlformats.org/officeDocument/2006/relationships/hyperlink" Target="https://youtu.be/g0uXxU4n0h0" TargetMode="External"/><Relationship Id="rId240" Type="http://schemas.openxmlformats.org/officeDocument/2006/relationships/hyperlink" Target="https://youtu.be/_7iK3yMdwKg?t=8581" TargetMode="External"/><Relationship Id="rId125" Type="http://schemas.openxmlformats.org/officeDocument/2006/relationships/hyperlink" Target="https://youtu.be/pd080W_PsyU?t=2088" TargetMode="External"/><Relationship Id="rId246" Type="http://schemas.openxmlformats.org/officeDocument/2006/relationships/hyperlink" Target="https://youtu.be/1WAIwwGz20w?t=1698" TargetMode="External"/><Relationship Id="rId124" Type="http://schemas.openxmlformats.org/officeDocument/2006/relationships/hyperlink" Target="https://youtu.be/DjaCHs40YFE?t=1008" TargetMode="External"/><Relationship Id="rId245" Type="http://schemas.openxmlformats.org/officeDocument/2006/relationships/hyperlink" Target="https://youtu.be/g0uXxU4n0h0?t=1878" TargetMode="External"/><Relationship Id="rId123" Type="http://schemas.openxmlformats.org/officeDocument/2006/relationships/hyperlink" Target="https://youtu.be/pd080W_PsyU?t=1143" TargetMode="External"/><Relationship Id="rId244" Type="http://schemas.openxmlformats.org/officeDocument/2006/relationships/hyperlink" Target="https://youtu.be/1WAIwwGz20w?t=855" TargetMode="External"/><Relationship Id="rId122" Type="http://schemas.openxmlformats.org/officeDocument/2006/relationships/hyperlink" Target="https://youtu.be/DjaCHs40YFE" TargetMode="External"/><Relationship Id="rId243" Type="http://schemas.openxmlformats.org/officeDocument/2006/relationships/hyperlink" Target="https://youtu.be/g0uXxU4n0h0?t=1022" TargetMode="External"/><Relationship Id="rId95" Type="http://schemas.openxmlformats.org/officeDocument/2006/relationships/hyperlink" Target="https://youtu.be/WKKm38vYeYg?t=6697" TargetMode="External"/><Relationship Id="rId94" Type="http://schemas.openxmlformats.org/officeDocument/2006/relationships/hyperlink" Target="https://youtu.be/p-4w58jleQ8?t=5882" TargetMode="External"/><Relationship Id="rId97" Type="http://schemas.openxmlformats.org/officeDocument/2006/relationships/hyperlink" Target="https://youtu.be/WKKm38vYeYg?t=7609" TargetMode="External"/><Relationship Id="rId96" Type="http://schemas.openxmlformats.org/officeDocument/2006/relationships/hyperlink" Target="https://youtu.be/p-4w58jleQ8?t=6798" TargetMode="External"/><Relationship Id="rId99" Type="http://schemas.openxmlformats.org/officeDocument/2006/relationships/hyperlink" Target="https://youtu.be/WKKm38vYeYg?t=8525" TargetMode="External"/><Relationship Id="rId98" Type="http://schemas.openxmlformats.org/officeDocument/2006/relationships/hyperlink" Target="https://youtu.be/p-4w58jleQ8?t=7677" TargetMode="External"/><Relationship Id="rId91" Type="http://schemas.openxmlformats.org/officeDocument/2006/relationships/hyperlink" Target="https://youtu.be/WKKm38vYeYg?t=4818" TargetMode="External"/><Relationship Id="rId90" Type="http://schemas.openxmlformats.org/officeDocument/2006/relationships/hyperlink" Target="https://youtu.be/p-4w58jleQ8?t=3968" TargetMode="External"/><Relationship Id="rId93" Type="http://schemas.openxmlformats.org/officeDocument/2006/relationships/hyperlink" Target="https://youtu.be/WKKm38vYeYg?t=5747" TargetMode="External"/><Relationship Id="rId92" Type="http://schemas.openxmlformats.org/officeDocument/2006/relationships/hyperlink" Target="https://youtu.be/p-4w58jleQ8?t=4920" TargetMode="External"/><Relationship Id="rId118" Type="http://schemas.openxmlformats.org/officeDocument/2006/relationships/hyperlink" Target="https://youtu.be/vtQxtJrlOKo?t=7746" TargetMode="External"/><Relationship Id="rId239" Type="http://schemas.openxmlformats.org/officeDocument/2006/relationships/hyperlink" Target="https://youtu.be/DliTEoGEh0A?t=8622" TargetMode="External"/><Relationship Id="rId117" Type="http://schemas.openxmlformats.org/officeDocument/2006/relationships/hyperlink" Target="https://youtu.be/HLkZ4fPRnmc?t=7601" TargetMode="External"/><Relationship Id="rId238" Type="http://schemas.openxmlformats.org/officeDocument/2006/relationships/hyperlink" Target="https://youtu.be/_7iK3yMdwKg?t=7631" TargetMode="External"/><Relationship Id="rId116" Type="http://schemas.openxmlformats.org/officeDocument/2006/relationships/hyperlink" Target="https://youtu.be/vtQxtJrlOKo?t=6804" TargetMode="External"/><Relationship Id="rId237" Type="http://schemas.openxmlformats.org/officeDocument/2006/relationships/hyperlink" Target="https://youtu.be/DliTEoGEh0A?t=7661" TargetMode="External"/><Relationship Id="rId115" Type="http://schemas.openxmlformats.org/officeDocument/2006/relationships/hyperlink" Target="https://youtu.be/HLkZ4fPRnmc?t=6697" TargetMode="External"/><Relationship Id="rId236" Type="http://schemas.openxmlformats.org/officeDocument/2006/relationships/hyperlink" Target="https://youtu.be/_7iK3yMdwKg?t=6697" TargetMode="External"/><Relationship Id="rId119" Type="http://schemas.openxmlformats.org/officeDocument/2006/relationships/hyperlink" Target="https://youtu.be/HLkZ4fPRnmc?t=8461" TargetMode="External"/><Relationship Id="rId110" Type="http://schemas.openxmlformats.org/officeDocument/2006/relationships/hyperlink" Target="https://youtu.be/vtQxtJrlOKo?t=3945" TargetMode="External"/><Relationship Id="rId231" Type="http://schemas.openxmlformats.org/officeDocument/2006/relationships/hyperlink" Target="https://youtu.be/DliTEoGEh0A?t=4869" TargetMode="External"/><Relationship Id="rId230" Type="http://schemas.openxmlformats.org/officeDocument/2006/relationships/hyperlink" Target="https://youtu.be/_7iK3yMdwKg?t=3932" TargetMode="External"/><Relationship Id="rId114" Type="http://schemas.openxmlformats.org/officeDocument/2006/relationships/hyperlink" Target="https://youtu.be/vtQxtJrlOKo?t=5795" TargetMode="External"/><Relationship Id="rId235" Type="http://schemas.openxmlformats.org/officeDocument/2006/relationships/hyperlink" Target="https://youtu.be/DliTEoGEh0A?t=6756" TargetMode="External"/><Relationship Id="rId113" Type="http://schemas.openxmlformats.org/officeDocument/2006/relationships/hyperlink" Target="https://youtu.be/HLkZ4fPRnmc?t=5744" TargetMode="External"/><Relationship Id="rId234" Type="http://schemas.openxmlformats.org/officeDocument/2006/relationships/hyperlink" Target="https://youtu.be/_7iK3yMdwKg?t=5760" TargetMode="External"/><Relationship Id="rId112" Type="http://schemas.openxmlformats.org/officeDocument/2006/relationships/hyperlink" Target="https://youtu.be/vtQxtJrlOKo?t=4894" TargetMode="External"/><Relationship Id="rId233" Type="http://schemas.openxmlformats.org/officeDocument/2006/relationships/hyperlink" Target="https://youtu.be/DliTEoGEh0A?t=5831" TargetMode="External"/><Relationship Id="rId111" Type="http://schemas.openxmlformats.org/officeDocument/2006/relationships/hyperlink" Target="https://youtu.be/HLkZ4fPRnmc?t=4775" TargetMode="External"/><Relationship Id="rId232" Type="http://schemas.openxmlformats.org/officeDocument/2006/relationships/hyperlink" Target="https://youtu.be/_7iK3yMdwKg?t=4846" TargetMode="External"/><Relationship Id="rId305" Type="http://schemas.openxmlformats.org/officeDocument/2006/relationships/hyperlink" Target="https://youtu.be/oJlxlEqEtSM?t=1835" TargetMode="External"/><Relationship Id="rId304" Type="http://schemas.openxmlformats.org/officeDocument/2006/relationships/hyperlink" Target="https://youtu.be/mCTHqPW20pY?t=930" TargetMode="External"/><Relationship Id="rId303" Type="http://schemas.openxmlformats.org/officeDocument/2006/relationships/hyperlink" Target="https://youtu.be/oJlxlEqEtSM?t=1002" TargetMode="External"/><Relationship Id="rId302" Type="http://schemas.openxmlformats.org/officeDocument/2006/relationships/hyperlink" Target="https://youtu.be/mCTHqPW20pY" TargetMode="External"/><Relationship Id="rId309" Type="http://schemas.openxmlformats.org/officeDocument/2006/relationships/hyperlink" Target="https://youtu.be/oJlxlEqEtSM?t=3492" TargetMode="External"/><Relationship Id="rId308" Type="http://schemas.openxmlformats.org/officeDocument/2006/relationships/hyperlink" Target="https://youtu.be/mCTHqPW20pY?t=2641" TargetMode="External"/><Relationship Id="rId307" Type="http://schemas.openxmlformats.org/officeDocument/2006/relationships/hyperlink" Target="https://youtu.be/oJlxlEqEtSM?t=2659" TargetMode="External"/><Relationship Id="rId306" Type="http://schemas.openxmlformats.org/officeDocument/2006/relationships/hyperlink" Target="https://youtu.be/mCTHqPW20pY?t=1775" TargetMode="External"/><Relationship Id="rId301" Type="http://schemas.openxmlformats.org/officeDocument/2006/relationships/hyperlink" Target="https://youtu.be/oJlxlEqEtSM" TargetMode="External"/><Relationship Id="rId300" Type="http://schemas.openxmlformats.org/officeDocument/2006/relationships/hyperlink" Target="https://youtu.be/xf5xVg2ZpaE?t=8643" TargetMode="External"/><Relationship Id="rId206" Type="http://schemas.openxmlformats.org/officeDocument/2006/relationships/hyperlink" Target="https://youtu.be/c57Bh1b_RvY?t=2034" TargetMode="External"/><Relationship Id="rId205" Type="http://schemas.openxmlformats.org/officeDocument/2006/relationships/hyperlink" Target="https://youtu.be/ntHWCPaP2JQ?t=2010" TargetMode="External"/><Relationship Id="rId204" Type="http://schemas.openxmlformats.org/officeDocument/2006/relationships/hyperlink" Target="https://youtu.be/c57Bh1b_RvY?t=1095" TargetMode="External"/><Relationship Id="rId203" Type="http://schemas.openxmlformats.org/officeDocument/2006/relationships/hyperlink" Target="https://youtu.be/ntHWCPaP2JQ?t=1051" TargetMode="External"/><Relationship Id="rId209" Type="http://schemas.openxmlformats.org/officeDocument/2006/relationships/hyperlink" Target="https://youtu.be/ntHWCPaP2JQ?t=3819" TargetMode="External"/><Relationship Id="rId208" Type="http://schemas.openxmlformats.org/officeDocument/2006/relationships/hyperlink" Target="https://youtu.be/c57Bh1b_RvY?t=2957" TargetMode="External"/><Relationship Id="rId207" Type="http://schemas.openxmlformats.org/officeDocument/2006/relationships/hyperlink" Target="https://youtu.be/ntHWCPaP2JQ?t=2920" TargetMode="External"/><Relationship Id="rId202" Type="http://schemas.openxmlformats.org/officeDocument/2006/relationships/hyperlink" Target="https://youtu.be/c57Bh1b_RvY" TargetMode="External"/><Relationship Id="rId201" Type="http://schemas.openxmlformats.org/officeDocument/2006/relationships/hyperlink" Target="https://youtu.be/ntHWCPaP2JQ" TargetMode="External"/><Relationship Id="rId200" Type="http://schemas.openxmlformats.org/officeDocument/2006/relationships/hyperlink" Target="https://youtu.be/zVDsJV1Yz5c?t=7955" TargetMode="External"/><Relationship Id="rId321" Type="http://schemas.openxmlformats.org/officeDocument/2006/relationships/drawing" Target="../drawings/drawing22.xml"/><Relationship Id="rId320" Type="http://schemas.openxmlformats.org/officeDocument/2006/relationships/hyperlink" Target="https://youtu.be/mCTHqPW20pY?t=7432" TargetMode="External"/><Relationship Id="rId316" Type="http://schemas.openxmlformats.org/officeDocument/2006/relationships/hyperlink" Target="https://youtu.be/mCTHqPW20pY?t=5794" TargetMode="External"/><Relationship Id="rId315" Type="http://schemas.openxmlformats.org/officeDocument/2006/relationships/hyperlink" Target="https://youtu.be/oJlxlEqEtSM?t=5879" TargetMode="External"/><Relationship Id="rId314" Type="http://schemas.openxmlformats.org/officeDocument/2006/relationships/hyperlink" Target="https://youtu.be/mCTHqPW20pY?t=4973" TargetMode="External"/><Relationship Id="rId313" Type="http://schemas.openxmlformats.org/officeDocument/2006/relationships/hyperlink" Target="https://youtu.be/oJlxlEqEtSM?t=5055" TargetMode="External"/><Relationship Id="rId319" Type="http://schemas.openxmlformats.org/officeDocument/2006/relationships/hyperlink" Target="https://youtu.be/oJlxlEqEtSM?t=7532" TargetMode="External"/><Relationship Id="rId318" Type="http://schemas.openxmlformats.org/officeDocument/2006/relationships/hyperlink" Target="https://youtu.be/mCTHqPW20pY?t=6635" TargetMode="External"/><Relationship Id="rId317" Type="http://schemas.openxmlformats.org/officeDocument/2006/relationships/hyperlink" Target="https://youtu.be/oJlxlEqEtSM?t=6695" TargetMode="External"/><Relationship Id="rId312" Type="http://schemas.openxmlformats.org/officeDocument/2006/relationships/hyperlink" Target="https://youtu.be/mCTHqPW20pY?t=4202" TargetMode="External"/><Relationship Id="rId311" Type="http://schemas.openxmlformats.org/officeDocument/2006/relationships/hyperlink" Target="https://youtu.be/oJlxlEqEtSM?t=4282" TargetMode="External"/><Relationship Id="rId310" Type="http://schemas.openxmlformats.org/officeDocument/2006/relationships/hyperlink" Target="https://youtu.be/mCTHqPW20pY?t=3450" TargetMode="External"/></Relationships>
</file>

<file path=xl/worksheets/_rels/sheet2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IYlrYG04Vs?t=8664" TargetMode="External"/><Relationship Id="rId190" Type="http://schemas.openxmlformats.org/officeDocument/2006/relationships/hyperlink" Target="https://youtu.be/10VpVHsuomo?t=3494" TargetMode="External"/><Relationship Id="rId42" Type="http://schemas.openxmlformats.org/officeDocument/2006/relationships/hyperlink" Target="https://youtu.be/izSlzZYUTCM" TargetMode="External"/><Relationship Id="rId41" Type="http://schemas.openxmlformats.org/officeDocument/2006/relationships/hyperlink" Target="https://youtu.be/iGxpX4TrhKE" TargetMode="External"/><Relationship Id="rId44" Type="http://schemas.openxmlformats.org/officeDocument/2006/relationships/hyperlink" Target="https://youtu.be/izSlzZYUTCM?t=864" TargetMode="External"/><Relationship Id="rId194" Type="http://schemas.openxmlformats.org/officeDocument/2006/relationships/hyperlink" Target="https://youtu.be/10VpVHsuomo?t=5444" TargetMode="External"/><Relationship Id="rId43" Type="http://schemas.openxmlformats.org/officeDocument/2006/relationships/hyperlink" Target="https://youtu.be/iGxpX4TrhKE?t=839" TargetMode="External"/><Relationship Id="rId193" Type="http://schemas.openxmlformats.org/officeDocument/2006/relationships/hyperlink" Target="https://youtu.be/vB9m7DNOW2A?t=5515" TargetMode="External"/><Relationship Id="rId46" Type="http://schemas.openxmlformats.org/officeDocument/2006/relationships/hyperlink" Target="https://youtu.be/izSlzZYUTCM?t=1677" TargetMode="External"/><Relationship Id="rId192" Type="http://schemas.openxmlformats.org/officeDocument/2006/relationships/hyperlink" Target="https://youtu.be/10VpVHsuomo?t=4334" TargetMode="External"/><Relationship Id="rId45" Type="http://schemas.openxmlformats.org/officeDocument/2006/relationships/hyperlink" Target="https://youtu.be/iGxpX4TrhKE?t=1626" TargetMode="External"/><Relationship Id="rId191" Type="http://schemas.openxmlformats.org/officeDocument/2006/relationships/hyperlink" Target="https://youtu.be/vB9m7DNOW2A?t=4702" TargetMode="External"/><Relationship Id="rId48" Type="http://schemas.openxmlformats.org/officeDocument/2006/relationships/hyperlink" Target="https://youtu.be/izSlzZYUTCM?t=2473" TargetMode="External"/><Relationship Id="rId187" Type="http://schemas.openxmlformats.org/officeDocument/2006/relationships/hyperlink" Target="https://youtu.be/vB9m7DNOW2A?t=2689" TargetMode="External"/><Relationship Id="rId47" Type="http://schemas.openxmlformats.org/officeDocument/2006/relationships/hyperlink" Target="https://youtu.be/iGxpX4TrhKE?t=2434" TargetMode="External"/><Relationship Id="rId186" Type="http://schemas.openxmlformats.org/officeDocument/2006/relationships/hyperlink" Target="https://youtu.be/10VpVHsuomo?t=1775" TargetMode="External"/><Relationship Id="rId185" Type="http://schemas.openxmlformats.org/officeDocument/2006/relationships/hyperlink" Target="https://youtu.be/vB9m7DNOW2A?t=1839" TargetMode="External"/><Relationship Id="rId49" Type="http://schemas.openxmlformats.org/officeDocument/2006/relationships/hyperlink" Target="https://youtu.be/iGxpX4TrhKE?t=3247" TargetMode="External"/><Relationship Id="rId184" Type="http://schemas.openxmlformats.org/officeDocument/2006/relationships/hyperlink" Target="https://youtu.be/10VpVHsuomo?t=973" TargetMode="External"/><Relationship Id="rId189" Type="http://schemas.openxmlformats.org/officeDocument/2006/relationships/hyperlink" Target="https://youtu.be/vB9m7DNOW2A?t=3519" TargetMode="External"/><Relationship Id="rId188" Type="http://schemas.openxmlformats.org/officeDocument/2006/relationships/hyperlink" Target="https://youtu.be/10VpVHsuomo?t=2630" TargetMode="External"/><Relationship Id="rId31" Type="http://schemas.openxmlformats.org/officeDocument/2006/relationships/hyperlink" Target="https://youtu.be/1ptPn65VOX8?t=4825" TargetMode="External"/><Relationship Id="rId30" Type="http://schemas.openxmlformats.org/officeDocument/2006/relationships/hyperlink" Target="https://youtu.be/iIYlrYG04Vs?t=3934" TargetMode="External"/><Relationship Id="rId33" Type="http://schemas.openxmlformats.org/officeDocument/2006/relationships/hyperlink" Target="https://youtu.be/1ptPn65VOX8?t=5761" TargetMode="External"/><Relationship Id="rId183" Type="http://schemas.openxmlformats.org/officeDocument/2006/relationships/hyperlink" Target="https://youtu.be/vB9m7DNOW2A?t=962" TargetMode="External"/><Relationship Id="rId32" Type="http://schemas.openxmlformats.org/officeDocument/2006/relationships/hyperlink" Target="https://youtu.be/iIYlrYG04Vs?t=4911" TargetMode="External"/><Relationship Id="rId182" Type="http://schemas.openxmlformats.org/officeDocument/2006/relationships/hyperlink" Target="https://youtu.be/10VpVHsuomo" TargetMode="External"/><Relationship Id="rId35" Type="http://schemas.openxmlformats.org/officeDocument/2006/relationships/hyperlink" Target="https://youtu.be/1ptPn65VOX8?t=6715" TargetMode="External"/><Relationship Id="rId181" Type="http://schemas.openxmlformats.org/officeDocument/2006/relationships/hyperlink" Target="https://youtu.be/vB9m7DNOW2A" TargetMode="External"/><Relationship Id="rId34" Type="http://schemas.openxmlformats.org/officeDocument/2006/relationships/hyperlink" Target="https://youtu.be/iIYlrYG04Vs?t=5849" TargetMode="External"/><Relationship Id="rId180" Type="http://schemas.openxmlformats.org/officeDocument/2006/relationships/hyperlink" Target="https://youtu.be/kqNtXo6hCpA?t=7746" TargetMode="External"/><Relationship Id="rId37" Type="http://schemas.openxmlformats.org/officeDocument/2006/relationships/hyperlink" Target="https://youtu.be/1ptPn65VOX8?t=7683" TargetMode="External"/><Relationship Id="rId176" Type="http://schemas.openxmlformats.org/officeDocument/2006/relationships/hyperlink" Target="https://youtu.be/kqNtXo6hCpA?t=6022" TargetMode="External"/><Relationship Id="rId297" Type="http://schemas.openxmlformats.org/officeDocument/2006/relationships/hyperlink" Target="https://youtu.be/KkaB1n5dxLk?t=7711" TargetMode="External"/><Relationship Id="rId36" Type="http://schemas.openxmlformats.org/officeDocument/2006/relationships/hyperlink" Target="https://youtu.be/iIYlrYG04Vs?t=6821" TargetMode="External"/><Relationship Id="rId175" Type="http://schemas.openxmlformats.org/officeDocument/2006/relationships/hyperlink" Target="https://youtu.be/NaFwSFLuskA?t=6056" TargetMode="External"/><Relationship Id="rId296" Type="http://schemas.openxmlformats.org/officeDocument/2006/relationships/hyperlink" Target="https://youtu.be/N-21ITa8jL8?t=6607" TargetMode="External"/><Relationship Id="rId39" Type="http://schemas.openxmlformats.org/officeDocument/2006/relationships/hyperlink" Target="https://youtu.be/1ptPn65VOX8?t=8641" TargetMode="External"/><Relationship Id="rId174" Type="http://schemas.openxmlformats.org/officeDocument/2006/relationships/hyperlink" Target="https://youtu.be/kqNtXo6hCpA?t=5098" TargetMode="External"/><Relationship Id="rId295" Type="http://schemas.openxmlformats.org/officeDocument/2006/relationships/hyperlink" Target="https://youtu.be/KkaB1n5dxLk?t=6733" TargetMode="External"/><Relationship Id="rId38" Type="http://schemas.openxmlformats.org/officeDocument/2006/relationships/hyperlink" Target="https://youtu.be/iIYlrYG04Vs?t=7775" TargetMode="External"/><Relationship Id="rId173" Type="http://schemas.openxmlformats.org/officeDocument/2006/relationships/hyperlink" Target="https://youtu.be/NaFwSFLuskA?t=5212" TargetMode="External"/><Relationship Id="rId294" Type="http://schemas.openxmlformats.org/officeDocument/2006/relationships/hyperlink" Target="https://youtu.be/N-21ITa8jL8?t=5725" TargetMode="External"/><Relationship Id="rId179" Type="http://schemas.openxmlformats.org/officeDocument/2006/relationships/hyperlink" Target="https://youtu.be/NaFwSFLuskA?t=7727" TargetMode="External"/><Relationship Id="rId178" Type="http://schemas.openxmlformats.org/officeDocument/2006/relationships/hyperlink" Target="https://youtu.be/kqNtXo6hCpA?t=6899" TargetMode="External"/><Relationship Id="rId299" Type="http://schemas.openxmlformats.org/officeDocument/2006/relationships/hyperlink" Target="https://youtu.be/KkaB1n5dxLk?t=8648" TargetMode="External"/><Relationship Id="rId177" Type="http://schemas.openxmlformats.org/officeDocument/2006/relationships/hyperlink" Target="https://youtu.be/NaFwSFLuskA?t=6873" TargetMode="External"/><Relationship Id="rId298" Type="http://schemas.openxmlformats.org/officeDocument/2006/relationships/hyperlink" Target="https://youtu.be/N-21ITa8jL8?t=7593" TargetMode="External"/><Relationship Id="rId20" Type="http://schemas.openxmlformats.org/officeDocument/2006/relationships/hyperlink" Target="https://youtu.be/r9sBkbUmBN8?t=7644" TargetMode="External"/><Relationship Id="rId22" Type="http://schemas.openxmlformats.org/officeDocument/2006/relationships/hyperlink" Target="https://youtu.be/iIYlrYG04Vs" TargetMode="External"/><Relationship Id="rId21" Type="http://schemas.openxmlformats.org/officeDocument/2006/relationships/hyperlink" Target="https://youtu.be/1ptPn65VOX8" TargetMode="External"/><Relationship Id="rId24" Type="http://schemas.openxmlformats.org/officeDocument/2006/relationships/hyperlink" Target="https://youtu.be/iIYlrYG04Vs?t=1088" TargetMode="External"/><Relationship Id="rId23" Type="http://schemas.openxmlformats.org/officeDocument/2006/relationships/hyperlink" Target="https://youtu.be/1ptPn65VOX8?t=959" TargetMode="External"/><Relationship Id="rId26" Type="http://schemas.openxmlformats.org/officeDocument/2006/relationships/hyperlink" Target="https://youtu.be/iIYlrYG04Vs?t=2050" TargetMode="External"/><Relationship Id="rId25" Type="http://schemas.openxmlformats.org/officeDocument/2006/relationships/hyperlink" Target="https://youtu.be/1ptPn65VOX8?t=1936" TargetMode="External"/><Relationship Id="rId28" Type="http://schemas.openxmlformats.org/officeDocument/2006/relationships/hyperlink" Target="https://youtu.be/iIYlrYG04Vs?t=2987" TargetMode="External"/><Relationship Id="rId27" Type="http://schemas.openxmlformats.org/officeDocument/2006/relationships/hyperlink" Target="https://youtu.be/1ptPn65VOX8?t=2887" TargetMode="External"/><Relationship Id="rId29" Type="http://schemas.openxmlformats.org/officeDocument/2006/relationships/hyperlink" Target="https://youtu.be/1ptPn65VOX8?t=3837" TargetMode="External"/><Relationship Id="rId11" Type="http://schemas.openxmlformats.org/officeDocument/2006/relationships/hyperlink" Target="https://youtu.be/d1ZcuQSBSgA?t=4272" TargetMode="External"/><Relationship Id="rId10" Type="http://schemas.openxmlformats.org/officeDocument/2006/relationships/hyperlink" Target="https://youtu.be/r9sBkbUmBN8?t=3503" TargetMode="External"/><Relationship Id="rId13" Type="http://schemas.openxmlformats.org/officeDocument/2006/relationships/hyperlink" Target="https://youtu.be/d1ZcuQSBSgA?t=5068" TargetMode="External"/><Relationship Id="rId12" Type="http://schemas.openxmlformats.org/officeDocument/2006/relationships/hyperlink" Target="https://youtu.be/r9sBkbUmBN8?t=4319" TargetMode="External"/><Relationship Id="rId15" Type="http://schemas.openxmlformats.org/officeDocument/2006/relationships/hyperlink" Target="https://youtu.be/d1ZcuQSBSgA?t=5846" TargetMode="External"/><Relationship Id="rId198" Type="http://schemas.openxmlformats.org/officeDocument/2006/relationships/hyperlink" Target="https://youtu.be/10VpVHsuomo?t=7189" TargetMode="External"/><Relationship Id="rId14" Type="http://schemas.openxmlformats.org/officeDocument/2006/relationships/hyperlink" Target="https://youtu.be/r9sBkbUmBN8?t=5179" TargetMode="External"/><Relationship Id="rId197" Type="http://schemas.openxmlformats.org/officeDocument/2006/relationships/hyperlink" Target="https://youtu.be/vB9m7DNOW2A?t=7213" TargetMode="External"/><Relationship Id="rId17" Type="http://schemas.openxmlformats.org/officeDocument/2006/relationships/hyperlink" Target="https://youtu.be/d1ZcuQSBSgA?t=6735" TargetMode="External"/><Relationship Id="rId196" Type="http://schemas.openxmlformats.org/officeDocument/2006/relationships/hyperlink" Target="https://youtu.be/10VpVHsuomo?t=6325" TargetMode="External"/><Relationship Id="rId16" Type="http://schemas.openxmlformats.org/officeDocument/2006/relationships/hyperlink" Target="https://youtu.be/r9sBkbUmBN8?t=6008" TargetMode="External"/><Relationship Id="rId195" Type="http://schemas.openxmlformats.org/officeDocument/2006/relationships/hyperlink" Target="https://youtu.be/vB9m7DNOW2A?t=6383" TargetMode="External"/><Relationship Id="rId19" Type="http://schemas.openxmlformats.org/officeDocument/2006/relationships/hyperlink" Target="https://youtu.be/d1ZcuQSBSgA?t=7571" TargetMode="External"/><Relationship Id="rId18" Type="http://schemas.openxmlformats.org/officeDocument/2006/relationships/hyperlink" Target="https://youtu.be/r9sBkbUmBN8?t=6810" TargetMode="External"/><Relationship Id="rId199" Type="http://schemas.openxmlformats.org/officeDocument/2006/relationships/hyperlink" Target="https://youtu.be/vB9m7DNOW2A?t=8077" TargetMode="External"/><Relationship Id="rId84" Type="http://schemas.openxmlformats.org/officeDocument/2006/relationships/hyperlink" Target="https://youtu.be/Wa0wmZf4BqM?t=1074" TargetMode="External"/><Relationship Id="rId83" Type="http://schemas.openxmlformats.org/officeDocument/2006/relationships/hyperlink" Target="https://youtu.be/ecmCGXd8C-E?t=1001" TargetMode="External"/><Relationship Id="rId86" Type="http://schemas.openxmlformats.org/officeDocument/2006/relationships/hyperlink" Target="https://youtu.be/Wa0wmZf4BqM?t=2060" TargetMode="External"/><Relationship Id="rId85" Type="http://schemas.openxmlformats.org/officeDocument/2006/relationships/hyperlink" Target="https://youtu.be/ecmCGXd8C-E?t=1952" TargetMode="External"/><Relationship Id="rId88" Type="http://schemas.openxmlformats.org/officeDocument/2006/relationships/hyperlink" Target="https://youtu.be/Wa0wmZf4BqM?t=3014" TargetMode="External"/><Relationship Id="rId150" Type="http://schemas.openxmlformats.org/officeDocument/2006/relationships/hyperlink" Target="https://youtu.be/BMp5oPrWMsw?t=3948" TargetMode="External"/><Relationship Id="rId271" Type="http://schemas.openxmlformats.org/officeDocument/2006/relationships/hyperlink" Target="https://youtu.be/WowHc7hnUs0?t=4412" TargetMode="External"/><Relationship Id="rId87" Type="http://schemas.openxmlformats.org/officeDocument/2006/relationships/hyperlink" Target="https://youtu.be/ecmCGXd8C-E?t=2898" TargetMode="External"/><Relationship Id="rId270" Type="http://schemas.openxmlformats.org/officeDocument/2006/relationships/hyperlink" Target="https://youtu.be/5fWxZrFzG5Q?t=3505" TargetMode="External"/><Relationship Id="rId89" Type="http://schemas.openxmlformats.org/officeDocument/2006/relationships/hyperlink" Target="https://youtu.be/ecmCGXd8C-E?t=3848" TargetMode="External"/><Relationship Id="rId80" Type="http://schemas.openxmlformats.org/officeDocument/2006/relationships/hyperlink" Target="https://youtu.be/8qiGUcu8NVU?t=8683" TargetMode="External"/><Relationship Id="rId82" Type="http://schemas.openxmlformats.org/officeDocument/2006/relationships/hyperlink" Target="https://youtu.be/Wa0wmZf4BqM" TargetMode="External"/><Relationship Id="rId81" Type="http://schemas.openxmlformats.org/officeDocument/2006/relationships/hyperlink" Target="https://youtu.be/ecmCGXd8C-E" TargetMode="External"/><Relationship Id="rId1" Type="http://schemas.openxmlformats.org/officeDocument/2006/relationships/hyperlink" Target="https://youtu.be/d1ZcuQSBSgA" TargetMode="External"/><Relationship Id="rId2" Type="http://schemas.openxmlformats.org/officeDocument/2006/relationships/hyperlink" Target="https://youtu.be/r9sBkbUmBN8" TargetMode="External"/><Relationship Id="rId3" Type="http://schemas.openxmlformats.org/officeDocument/2006/relationships/hyperlink" Target="https://youtu.be/d1ZcuQSBSgA?t=872" TargetMode="External"/><Relationship Id="rId149" Type="http://schemas.openxmlformats.org/officeDocument/2006/relationships/hyperlink" Target="https://youtu.be/T6W6pHvF6gY?t=5181" TargetMode="External"/><Relationship Id="rId4" Type="http://schemas.openxmlformats.org/officeDocument/2006/relationships/hyperlink" Target="https://youtu.be/r9sBkbUmBN8?t=1111" TargetMode="External"/><Relationship Id="rId148" Type="http://schemas.openxmlformats.org/officeDocument/2006/relationships/hyperlink" Target="https://youtu.be/BMp5oPrWMsw?t=2996" TargetMode="External"/><Relationship Id="rId269" Type="http://schemas.openxmlformats.org/officeDocument/2006/relationships/hyperlink" Target="https://youtu.be/WowHc7hnUs0?t=3503" TargetMode="External"/><Relationship Id="rId9" Type="http://schemas.openxmlformats.org/officeDocument/2006/relationships/hyperlink" Target="https://youtu.be/d1ZcuQSBSgA?t=3431" TargetMode="External"/><Relationship Id="rId143" Type="http://schemas.openxmlformats.org/officeDocument/2006/relationships/hyperlink" Target="https://youtu.be/T6W6pHvF6gY?t=2268" TargetMode="External"/><Relationship Id="rId264" Type="http://schemas.openxmlformats.org/officeDocument/2006/relationships/hyperlink" Target="https://youtu.be/5fWxZrFzG5Q?t=935" TargetMode="External"/><Relationship Id="rId142" Type="http://schemas.openxmlformats.org/officeDocument/2006/relationships/hyperlink" Target="https://youtu.be/BMp5oPrWMsw" TargetMode="External"/><Relationship Id="rId263" Type="http://schemas.openxmlformats.org/officeDocument/2006/relationships/hyperlink" Target="https://youtu.be/WowHc7hnUs0?t=879" TargetMode="External"/><Relationship Id="rId141" Type="http://schemas.openxmlformats.org/officeDocument/2006/relationships/hyperlink" Target="https://youtu.be/T6W6pHvF6gY" TargetMode="External"/><Relationship Id="rId262" Type="http://schemas.openxmlformats.org/officeDocument/2006/relationships/hyperlink" Target="https://youtu.be/5fWxZrFzG5Q" TargetMode="External"/><Relationship Id="rId140" Type="http://schemas.openxmlformats.org/officeDocument/2006/relationships/hyperlink" Target="https://youtu.be/igf5UQd9ows?t=7969" TargetMode="External"/><Relationship Id="rId261" Type="http://schemas.openxmlformats.org/officeDocument/2006/relationships/hyperlink" Target="https://youtu.be/WowHc7hnUs0" TargetMode="External"/><Relationship Id="rId5" Type="http://schemas.openxmlformats.org/officeDocument/2006/relationships/hyperlink" Target="https://youtu.be/d1ZcuQSBSgA?t=1704" TargetMode="External"/><Relationship Id="rId147" Type="http://schemas.openxmlformats.org/officeDocument/2006/relationships/hyperlink" Target="https://youtu.be/T6W6pHvF6gY?t=4198" TargetMode="External"/><Relationship Id="rId268" Type="http://schemas.openxmlformats.org/officeDocument/2006/relationships/hyperlink" Target="https://youtu.be/5fWxZrFzG5Q?t=2646" TargetMode="External"/><Relationship Id="rId6" Type="http://schemas.openxmlformats.org/officeDocument/2006/relationships/hyperlink" Target="https://youtu.be/r9sBkbUmBN8?t=1881" TargetMode="External"/><Relationship Id="rId146" Type="http://schemas.openxmlformats.org/officeDocument/2006/relationships/hyperlink" Target="https://youtu.be/BMp5oPrWMsw?t=2011" TargetMode="External"/><Relationship Id="rId267" Type="http://schemas.openxmlformats.org/officeDocument/2006/relationships/hyperlink" Target="https://youtu.be/WowHc7hnUs0?t=2679" TargetMode="External"/><Relationship Id="rId7" Type="http://schemas.openxmlformats.org/officeDocument/2006/relationships/hyperlink" Target="https://youtu.be/d1ZcuQSBSgA?t=2622" TargetMode="External"/><Relationship Id="rId145" Type="http://schemas.openxmlformats.org/officeDocument/2006/relationships/hyperlink" Target="https://youtu.be/T6W6pHvF6gY?t=3220" TargetMode="External"/><Relationship Id="rId266" Type="http://schemas.openxmlformats.org/officeDocument/2006/relationships/hyperlink" Target="https://youtu.be/5fWxZrFzG5Q?t=1803" TargetMode="External"/><Relationship Id="rId8" Type="http://schemas.openxmlformats.org/officeDocument/2006/relationships/hyperlink" Target="https://youtu.be/r9sBkbUmBN8?t=2706" TargetMode="External"/><Relationship Id="rId144" Type="http://schemas.openxmlformats.org/officeDocument/2006/relationships/hyperlink" Target="https://youtu.be/BMp5oPrWMsw?t=1050" TargetMode="External"/><Relationship Id="rId265" Type="http://schemas.openxmlformats.org/officeDocument/2006/relationships/hyperlink" Target="https://youtu.be/WowHc7hnUs0?t=1772" TargetMode="External"/><Relationship Id="rId73" Type="http://schemas.openxmlformats.org/officeDocument/2006/relationships/hyperlink" Target="https://youtu.be/SCTl0ZGazDY?t=5785" TargetMode="External"/><Relationship Id="rId72" Type="http://schemas.openxmlformats.org/officeDocument/2006/relationships/hyperlink" Target="https://youtu.be/8qiGUcu8NVU?t=4928" TargetMode="External"/><Relationship Id="rId75" Type="http://schemas.openxmlformats.org/officeDocument/2006/relationships/hyperlink" Target="https://youtu.be/SCTl0ZGazDY?t=6752" TargetMode="External"/><Relationship Id="rId74" Type="http://schemas.openxmlformats.org/officeDocument/2006/relationships/hyperlink" Target="https://youtu.be/8qiGUcu8NVU?t=5878" TargetMode="External"/><Relationship Id="rId77" Type="http://schemas.openxmlformats.org/officeDocument/2006/relationships/hyperlink" Target="https://youtu.be/SCTl0ZGazDY?t=7676" TargetMode="External"/><Relationship Id="rId260" Type="http://schemas.openxmlformats.org/officeDocument/2006/relationships/hyperlink" Target="https://youtu.be/DUdehFPa-8M?t=7924" TargetMode="External"/><Relationship Id="rId76" Type="http://schemas.openxmlformats.org/officeDocument/2006/relationships/hyperlink" Target="https://youtu.be/8qiGUcu8NVU?t=6851" TargetMode="External"/><Relationship Id="rId79" Type="http://schemas.openxmlformats.org/officeDocument/2006/relationships/hyperlink" Target="https://youtu.be/SCTl0ZGazDY?t=8620" TargetMode="External"/><Relationship Id="rId78" Type="http://schemas.openxmlformats.org/officeDocument/2006/relationships/hyperlink" Target="https://youtu.be/8qiGUcu8NVU?t=7789" TargetMode="External"/><Relationship Id="rId71" Type="http://schemas.openxmlformats.org/officeDocument/2006/relationships/hyperlink" Target="https://youtu.be/SCTl0ZGazDY?t=4813" TargetMode="External"/><Relationship Id="rId70" Type="http://schemas.openxmlformats.org/officeDocument/2006/relationships/hyperlink" Target="https://youtu.be/8qiGUcu8NVU?t=3957" TargetMode="External"/><Relationship Id="rId139" Type="http://schemas.openxmlformats.org/officeDocument/2006/relationships/hyperlink" Target="https://youtu.be/h6KNzW5maCU?t=7997" TargetMode="External"/><Relationship Id="rId138" Type="http://schemas.openxmlformats.org/officeDocument/2006/relationships/hyperlink" Target="https://youtu.be/igf5UQd9ows?t=7107" TargetMode="External"/><Relationship Id="rId259" Type="http://schemas.openxmlformats.org/officeDocument/2006/relationships/hyperlink" Target="https://youtu.be/X174av9TRwE?t=8009" TargetMode="External"/><Relationship Id="rId137" Type="http://schemas.openxmlformats.org/officeDocument/2006/relationships/hyperlink" Target="https://youtu.be/h6KNzW5maCU?t=7151" TargetMode="External"/><Relationship Id="rId258" Type="http://schemas.openxmlformats.org/officeDocument/2006/relationships/hyperlink" Target="https://youtu.be/DUdehFPa-8M?t=7046" TargetMode="External"/><Relationship Id="rId132" Type="http://schemas.openxmlformats.org/officeDocument/2006/relationships/hyperlink" Target="https://youtu.be/igf5UQd9ows?t=4475" TargetMode="External"/><Relationship Id="rId253" Type="http://schemas.openxmlformats.org/officeDocument/2006/relationships/hyperlink" Target="https://youtu.be/X174av9TRwE?t=5319" TargetMode="External"/><Relationship Id="rId131" Type="http://schemas.openxmlformats.org/officeDocument/2006/relationships/hyperlink" Target="https://youtu.be/h6KNzW5maCU?t=4521" TargetMode="External"/><Relationship Id="rId252" Type="http://schemas.openxmlformats.org/officeDocument/2006/relationships/hyperlink" Target="https://youtu.be/DUdehFPa-8M?t=4423" TargetMode="External"/><Relationship Id="rId130" Type="http://schemas.openxmlformats.org/officeDocument/2006/relationships/hyperlink" Target="https://youtu.be/igf5UQd9ows?t=3566" TargetMode="External"/><Relationship Id="rId251" Type="http://schemas.openxmlformats.org/officeDocument/2006/relationships/hyperlink" Target="https://youtu.be/X174av9TRwE?t=4482" TargetMode="External"/><Relationship Id="rId250" Type="http://schemas.openxmlformats.org/officeDocument/2006/relationships/hyperlink" Target="https://youtu.be/DUdehFPa-8M?t=3540" TargetMode="External"/><Relationship Id="rId136" Type="http://schemas.openxmlformats.org/officeDocument/2006/relationships/hyperlink" Target="https://youtu.be/igf5UQd9ows?t=6183" TargetMode="External"/><Relationship Id="rId257" Type="http://schemas.openxmlformats.org/officeDocument/2006/relationships/hyperlink" Target="https://youtu.be/X174av9TRwE?t=7107" TargetMode="External"/><Relationship Id="rId135" Type="http://schemas.openxmlformats.org/officeDocument/2006/relationships/hyperlink" Target="https://youtu.be/h6KNzW5maCU?t=6287" TargetMode="External"/><Relationship Id="rId256" Type="http://schemas.openxmlformats.org/officeDocument/2006/relationships/hyperlink" Target="https://youtu.be/DUdehFPa-8M?t=6138" TargetMode="External"/><Relationship Id="rId134" Type="http://schemas.openxmlformats.org/officeDocument/2006/relationships/hyperlink" Target="https://youtu.be/igf5UQd9ows?t=5304" TargetMode="External"/><Relationship Id="rId255" Type="http://schemas.openxmlformats.org/officeDocument/2006/relationships/hyperlink" Target="https://youtu.be/X174av9TRwE?t=6201" TargetMode="External"/><Relationship Id="rId133" Type="http://schemas.openxmlformats.org/officeDocument/2006/relationships/hyperlink" Target="https://youtu.be/h6KNzW5maCU?t=5344" TargetMode="External"/><Relationship Id="rId254" Type="http://schemas.openxmlformats.org/officeDocument/2006/relationships/hyperlink" Target="https://youtu.be/DUdehFPa-8M?t=5306" TargetMode="External"/><Relationship Id="rId62" Type="http://schemas.openxmlformats.org/officeDocument/2006/relationships/hyperlink" Target="https://youtu.be/8qiGUcu8NVU" TargetMode="External"/><Relationship Id="rId61" Type="http://schemas.openxmlformats.org/officeDocument/2006/relationships/hyperlink" Target="https://youtu.be/SCTl0ZGazDY" TargetMode="External"/><Relationship Id="rId64" Type="http://schemas.openxmlformats.org/officeDocument/2006/relationships/hyperlink" Target="https://youtu.be/8qiGUcu8NVU?t=1096" TargetMode="External"/><Relationship Id="rId63" Type="http://schemas.openxmlformats.org/officeDocument/2006/relationships/hyperlink" Target="https://youtu.be/SCTl0ZGazDY?t=1004" TargetMode="External"/><Relationship Id="rId66" Type="http://schemas.openxmlformats.org/officeDocument/2006/relationships/hyperlink" Target="https://youtu.be/8qiGUcu8NVU?t=2046" TargetMode="External"/><Relationship Id="rId172" Type="http://schemas.openxmlformats.org/officeDocument/2006/relationships/hyperlink" Target="https://youtu.be/kqNtXo6hCpA?t=4222" TargetMode="External"/><Relationship Id="rId293" Type="http://schemas.openxmlformats.org/officeDocument/2006/relationships/hyperlink" Target="https://youtu.be/KkaB1n5dxLk?t=5774" TargetMode="External"/><Relationship Id="rId65" Type="http://schemas.openxmlformats.org/officeDocument/2006/relationships/hyperlink" Target="https://youtu.be/SCTl0ZGazDY?t=1925" TargetMode="External"/><Relationship Id="rId171" Type="http://schemas.openxmlformats.org/officeDocument/2006/relationships/hyperlink" Target="https://youtu.be/NaFwSFLuskA?t=4373" TargetMode="External"/><Relationship Id="rId292" Type="http://schemas.openxmlformats.org/officeDocument/2006/relationships/hyperlink" Target="https://youtu.be/N-21ITa8jL8?t=4790" TargetMode="External"/><Relationship Id="rId68" Type="http://schemas.openxmlformats.org/officeDocument/2006/relationships/hyperlink" Target="https://youtu.be/8qiGUcu8NVU?t=3023" TargetMode="External"/><Relationship Id="rId170" Type="http://schemas.openxmlformats.org/officeDocument/2006/relationships/hyperlink" Target="https://youtu.be/kqNtXo6hCpA?t=3423" TargetMode="External"/><Relationship Id="rId291" Type="http://schemas.openxmlformats.org/officeDocument/2006/relationships/hyperlink" Target="https://youtu.be/KkaB1n5dxLk?t=4823" TargetMode="External"/><Relationship Id="rId67" Type="http://schemas.openxmlformats.org/officeDocument/2006/relationships/hyperlink" Target="https://youtu.be/SCTl0ZGazDY?t=2851" TargetMode="External"/><Relationship Id="rId290" Type="http://schemas.openxmlformats.org/officeDocument/2006/relationships/hyperlink" Target="https://youtu.be/N-21ITa8jL8?t=3837" TargetMode="External"/><Relationship Id="rId60" Type="http://schemas.openxmlformats.org/officeDocument/2006/relationships/hyperlink" Target="https://youtu.be/izSlzZYUTCM?t=7429" TargetMode="External"/><Relationship Id="rId165" Type="http://schemas.openxmlformats.org/officeDocument/2006/relationships/hyperlink" Target="https://youtu.be/NaFwSFLuskA?t=1755" TargetMode="External"/><Relationship Id="rId286" Type="http://schemas.openxmlformats.org/officeDocument/2006/relationships/hyperlink" Target="https://youtu.be/N-21ITa8jL8?t=1927" TargetMode="External"/><Relationship Id="rId69" Type="http://schemas.openxmlformats.org/officeDocument/2006/relationships/hyperlink" Target="https://youtu.be/SCTl0ZGazDY?t=3931" TargetMode="External"/><Relationship Id="rId164" Type="http://schemas.openxmlformats.org/officeDocument/2006/relationships/hyperlink" Target="https://youtu.be/kqNtXo6hCpA?t=794" TargetMode="External"/><Relationship Id="rId285" Type="http://schemas.openxmlformats.org/officeDocument/2006/relationships/hyperlink" Target="https://youtu.be/KkaB1n5dxLk?t=1959" TargetMode="External"/><Relationship Id="rId163" Type="http://schemas.openxmlformats.org/officeDocument/2006/relationships/hyperlink" Target="https://youtu.be/NaFwSFLuskA?t=902" TargetMode="External"/><Relationship Id="rId284" Type="http://schemas.openxmlformats.org/officeDocument/2006/relationships/hyperlink" Target="https://youtu.be/N-21ITa8jL8?t=967" TargetMode="External"/><Relationship Id="rId162" Type="http://schemas.openxmlformats.org/officeDocument/2006/relationships/hyperlink" Target="https://youtu.be/kqNtXo6hCpA" TargetMode="External"/><Relationship Id="rId283" Type="http://schemas.openxmlformats.org/officeDocument/2006/relationships/hyperlink" Target="https://youtu.be/KkaB1n5dxLk?t=1000" TargetMode="External"/><Relationship Id="rId169" Type="http://schemas.openxmlformats.org/officeDocument/2006/relationships/hyperlink" Target="https://youtu.be/NaFwSFLuskA?t=3520" TargetMode="External"/><Relationship Id="rId168" Type="http://schemas.openxmlformats.org/officeDocument/2006/relationships/hyperlink" Target="https://youtu.be/kqNtXo6hCpA?t=2533" TargetMode="External"/><Relationship Id="rId289" Type="http://schemas.openxmlformats.org/officeDocument/2006/relationships/hyperlink" Target="https://youtu.be/KkaB1n5dxLk?t=3843" TargetMode="External"/><Relationship Id="rId167" Type="http://schemas.openxmlformats.org/officeDocument/2006/relationships/hyperlink" Target="https://youtu.be/NaFwSFLuskA?t=2649" TargetMode="External"/><Relationship Id="rId288" Type="http://schemas.openxmlformats.org/officeDocument/2006/relationships/hyperlink" Target="https://youtu.be/N-21ITa8jL8?t=2904" TargetMode="External"/><Relationship Id="rId166" Type="http://schemas.openxmlformats.org/officeDocument/2006/relationships/hyperlink" Target="https://youtu.be/kqNtXo6hCpA?t=1656" TargetMode="External"/><Relationship Id="rId287" Type="http://schemas.openxmlformats.org/officeDocument/2006/relationships/hyperlink" Target="https://youtu.be/KkaB1n5dxLk?t=2911" TargetMode="External"/><Relationship Id="rId51" Type="http://schemas.openxmlformats.org/officeDocument/2006/relationships/hyperlink" Target="https://youtu.be/iGxpX4TrhKE?t=4053" TargetMode="External"/><Relationship Id="rId50" Type="http://schemas.openxmlformats.org/officeDocument/2006/relationships/hyperlink" Target="https://youtu.be/izSlzZYUTCM?t=3301" TargetMode="External"/><Relationship Id="rId53" Type="http://schemas.openxmlformats.org/officeDocument/2006/relationships/hyperlink" Target="https://youtu.be/iGxpX4TrhKE?t=4882" TargetMode="External"/><Relationship Id="rId52" Type="http://schemas.openxmlformats.org/officeDocument/2006/relationships/hyperlink" Target="https://youtu.be/izSlzZYUTCM?t=4118" TargetMode="External"/><Relationship Id="rId55" Type="http://schemas.openxmlformats.org/officeDocument/2006/relationships/hyperlink" Target="https://youtu.be/iGxpX4TrhKE?t=5678" TargetMode="External"/><Relationship Id="rId161" Type="http://schemas.openxmlformats.org/officeDocument/2006/relationships/hyperlink" Target="https://youtu.be/NaFwSFLuskA" TargetMode="External"/><Relationship Id="rId282" Type="http://schemas.openxmlformats.org/officeDocument/2006/relationships/hyperlink" Target="https://youtu.be/N-21ITa8jL8" TargetMode="External"/><Relationship Id="rId54" Type="http://schemas.openxmlformats.org/officeDocument/2006/relationships/hyperlink" Target="https://youtu.be/izSlzZYUTCM?t=4966" TargetMode="External"/><Relationship Id="rId160" Type="http://schemas.openxmlformats.org/officeDocument/2006/relationships/hyperlink" Target="https://youtu.be/BMp5oPrWMsw?t=8782" TargetMode="External"/><Relationship Id="rId281" Type="http://schemas.openxmlformats.org/officeDocument/2006/relationships/hyperlink" Target="https://youtu.be/KkaB1n5dxLk" TargetMode="External"/><Relationship Id="rId57" Type="http://schemas.openxmlformats.org/officeDocument/2006/relationships/hyperlink" Target="https://youtu.be/iGxpX4TrhKE?t=6527https://youtu.be/iGxpX4TrhKE?t=6527" TargetMode="External"/><Relationship Id="rId280" Type="http://schemas.openxmlformats.org/officeDocument/2006/relationships/hyperlink" Target="https://youtu.be/5fWxZrFzG5Q?t=8016" TargetMode="External"/><Relationship Id="rId56" Type="http://schemas.openxmlformats.org/officeDocument/2006/relationships/hyperlink" Target="https://youtu.be/izSlzZYUTCM?t=5776" TargetMode="External"/><Relationship Id="rId159" Type="http://schemas.openxmlformats.org/officeDocument/2006/relationships/hyperlink" Target="https://youtu.be/T6W6pHvF6gY?t=10003" TargetMode="External"/><Relationship Id="rId59" Type="http://schemas.openxmlformats.org/officeDocument/2006/relationships/hyperlink" Target="https://youtu.be/iGxpX4TrhKE?t=7381" TargetMode="External"/><Relationship Id="rId154" Type="http://schemas.openxmlformats.org/officeDocument/2006/relationships/hyperlink" Target="https://youtu.be/BMp5oPrWMsw?t=5889" TargetMode="External"/><Relationship Id="rId275" Type="http://schemas.openxmlformats.org/officeDocument/2006/relationships/hyperlink" Target="https://youtu.be/WowHc7hnUs0?t=6257" TargetMode="External"/><Relationship Id="rId58" Type="http://schemas.openxmlformats.org/officeDocument/2006/relationships/hyperlink" Target="https://youtu.be/izSlzZYUTCM?t=6583" TargetMode="External"/><Relationship Id="rId153" Type="http://schemas.openxmlformats.org/officeDocument/2006/relationships/hyperlink" Target="https://youtu.be/T6W6pHvF6gY?t=7097" TargetMode="External"/><Relationship Id="rId274" Type="http://schemas.openxmlformats.org/officeDocument/2006/relationships/hyperlink" Target="https://youtu.be/5fWxZrFzG5Q?t=5293" TargetMode="External"/><Relationship Id="rId152" Type="http://schemas.openxmlformats.org/officeDocument/2006/relationships/hyperlink" Target="https://youtu.be/BMp5oPrWMsw?t=4918" TargetMode="External"/><Relationship Id="rId273" Type="http://schemas.openxmlformats.org/officeDocument/2006/relationships/hyperlink" Target="https://youtu.be/WowHc7hnUs0?t=5306" TargetMode="External"/><Relationship Id="rId151" Type="http://schemas.openxmlformats.org/officeDocument/2006/relationships/hyperlink" Target="https://youtu.be/T6W6pHvF6gY?t=6106" TargetMode="External"/><Relationship Id="rId272" Type="http://schemas.openxmlformats.org/officeDocument/2006/relationships/hyperlink" Target="https://youtu.be/5fWxZrFzG5Q?t=4394" TargetMode="External"/><Relationship Id="rId158" Type="http://schemas.openxmlformats.org/officeDocument/2006/relationships/hyperlink" Target="https://youtu.be/BMp5oPrWMsw?t=7831" TargetMode="External"/><Relationship Id="rId279" Type="http://schemas.openxmlformats.org/officeDocument/2006/relationships/hyperlink" Target="https://youtu.be/WowHc7hnUs0?t=8076" TargetMode="External"/><Relationship Id="rId157" Type="http://schemas.openxmlformats.org/officeDocument/2006/relationships/hyperlink" Target="https://youtu.be/T6W6pHvF6gY?t=8964" TargetMode="External"/><Relationship Id="rId278" Type="http://schemas.openxmlformats.org/officeDocument/2006/relationships/hyperlink" Target="https://youtu.be/5fWxZrFzG5Q?t=7056" TargetMode="External"/><Relationship Id="rId156" Type="http://schemas.openxmlformats.org/officeDocument/2006/relationships/hyperlink" Target="https://youtu.be/BMp5oPrWMsw?t=6909" TargetMode="External"/><Relationship Id="rId277" Type="http://schemas.openxmlformats.org/officeDocument/2006/relationships/hyperlink" Target="https://youtu.be/WowHc7hnUs0?t=7127" TargetMode="External"/><Relationship Id="rId155" Type="http://schemas.openxmlformats.org/officeDocument/2006/relationships/hyperlink" Target="https://youtu.be/T6W6pHvF6gY?t=8086" TargetMode="External"/><Relationship Id="rId276" Type="http://schemas.openxmlformats.org/officeDocument/2006/relationships/hyperlink" Target="https://youtu.be/5fWxZrFzG5Q?t=6207" TargetMode="External"/><Relationship Id="rId107" Type="http://schemas.openxmlformats.org/officeDocument/2006/relationships/hyperlink" Target="https://youtu.be/SAOSrUO86DY?t=4245" TargetMode="External"/><Relationship Id="rId228" Type="http://schemas.openxmlformats.org/officeDocument/2006/relationships/hyperlink" Target="https://youtu.be/fTXMzZnKV6o?t=2946" TargetMode="External"/><Relationship Id="rId106" Type="http://schemas.openxmlformats.org/officeDocument/2006/relationships/hyperlink" Target="https://youtu.be/F3a-beN5ooM?t=1990" TargetMode="External"/><Relationship Id="rId227" Type="http://schemas.openxmlformats.org/officeDocument/2006/relationships/hyperlink" Target="https://youtu.be/vaOIIEpXSkc?t=2885" TargetMode="External"/><Relationship Id="rId105" Type="http://schemas.openxmlformats.org/officeDocument/2006/relationships/hyperlink" Target="https://youtu.be/SAOSrUO86DY?t=3295" TargetMode="External"/><Relationship Id="rId226" Type="http://schemas.openxmlformats.org/officeDocument/2006/relationships/hyperlink" Target="https://youtu.be/fTXMzZnKV6o?t=2033" TargetMode="External"/><Relationship Id="rId104" Type="http://schemas.openxmlformats.org/officeDocument/2006/relationships/hyperlink" Target="https://youtu.be/F3a-beN5ooM?t=1042" TargetMode="External"/><Relationship Id="rId225" Type="http://schemas.openxmlformats.org/officeDocument/2006/relationships/hyperlink" Target="https://youtu.be/vaOIIEpXSkc?t=1943" TargetMode="External"/><Relationship Id="rId109" Type="http://schemas.openxmlformats.org/officeDocument/2006/relationships/hyperlink" Target="https://youtu.be/SAOSrUO86DY?t=5229" TargetMode="External"/><Relationship Id="rId108" Type="http://schemas.openxmlformats.org/officeDocument/2006/relationships/hyperlink" Target="https://youtu.be/F3a-beN5ooM?t=3026" TargetMode="External"/><Relationship Id="rId229" Type="http://schemas.openxmlformats.org/officeDocument/2006/relationships/hyperlink" Target="https://youtu.be/vaOIIEpXSkc?t=3871" TargetMode="External"/><Relationship Id="rId220" Type="http://schemas.openxmlformats.org/officeDocument/2006/relationships/hyperlink" Target="https://youtu.be/NgJuP6oh_ik?t=8768" TargetMode="External"/><Relationship Id="rId103" Type="http://schemas.openxmlformats.org/officeDocument/2006/relationships/hyperlink" Target="https://youtu.be/SAOSrUO86DY?t=2350" TargetMode="External"/><Relationship Id="rId224" Type="http://schemas.openxmlformats.org/officeDocument/2006/relationships/hyperlink" Target="https://youtu.be/fTXMzZnKV6o?t=1060" TargetMode="External"/><Relationship Id="rId102" Type="http://schemas.openxmlformats.org/officeDocument/2006/relationships/hyperlink" Target="https://youtu.be/F3a-beN5ooM" TargetMode="External"/><Relationship Id="rId223" Type="http://schemas.openxmlformats.org/officeDocument/2006/relationships/hyperlink" Target="https://youtu.be/vaOIIEpXSkc?t=998" TargetMode="External"/><Relationship Id="rId101" Type="http://schemas.openxmlformats.org/officeDocument/2006/relationships/hyperlink" Target="https://youtu.be/SAOSrUO86DY" TargetMode="External"/><Relationship Id="rId222" Type="http://schemas.openxmlformats.org/officeDocument/2006/relationships/hyperlink" Target="https://youtu.be/fTXMzZnKV6o" TargetMode="External"/><Relationship Id="rId100" Type="http://schemas.openxmlformats.org/officeDocument/2006/relationships/hyperlink" Target="https://youtu.be/Wa0wmZf4BqM?t=8725" TargetMode="External"/><Relationship Id="rId221" Type="http://schemas.openxmlformats.org/officeDocument/2006/relationships/hyperlink" Target="https://youtu.be/vaOIIEpXSkc" TargetMode="External"/><Relationship Id="rId217" Type="http://schemas.openxmlformats.org/officeDocument/2006/relationships/hyperlink" Target="https://youtu.be/tCeREAHSFiE?t=8984" TargetMode="External"/><Relationship Id="rId216" Type="http://schemas.openxmlformats.org/officeDocument/2006/relationships/hyperlink" Target="https://youtu.be/NgJuP6oh_ik?t=6820" TargetMode="External"/><Relationship Id="rId215" Type="http://schemas.openxmlformats.org/officeDocument/2006/relationships/hyperlink" Target="https://youtu.be/tCeREAHSFiE?t=8144" TargetMode="External"/><Relationship Id="rId214" Type="http://schemas.openxmlformats.org/officeDocument/2006/relationships/hyperlink" Target="https://youtu.be/NgJuP6oh_ik?t=5845" TargetMode="External"/><Relationship Id="rId219" Type="http://schemas.openxmlformats.org/officeDocument/2006/relationships/hyperlink" Target="https://youtu.be/tCeREAHSFiE?t=9890" TargetMode="External"/><Relationship Id="rId218" Type="http://schemas.openxmlformats.org/officeDocument/2006/relationships/hyperlink" Target="https://youtu.be/NgJuP6oh_ik?t=7824" TargetMode="External"/><Relationship Id="rId213" Type="http://schemas.openxmlformats.org/officeDocument/2006/relationships/hyperlink" Target="https://youtu.be/tCeREAHSFiE?t=7064" TargetMode="External"/><Relationship Id="rId212" Type="http://schemas.openxmlformats.org/officeDocument/2006/relationships/hyperlink" Target="https://youtu.be/NgJuP6oh_ik?t=4817" TargetMode="External"/><Relationship Id="rId211" Type="http://schemas.openxmlformats.org/officeDocument/2006/relationships/hyperlink" Target="https://youtu.be/tCeREAHSFiE?t=6120" TargetMode="External"/><Relationship Id="rId210" Type="http://schemas.openxmlformats.org/officeDocument/2006/relationships/hyperlink" Target="https://youtu.be/NgJuP6oh_ik?t=3907" TargetMode="External"/><Relationship Id="rId129" Type="http://schemas.openxmlformats.org/officeDocument/2006/relationships/hyperlink" Target="https://youtu.be/h6KNzW5maCU?t=3583" TargetMode="External"/><Relationship Id="rId128" Type="http://schemas.openxmlformats.org/officeDocument/2006/relationships/hyperlink" Target="https://youtu.be/igf5UQd9ows?t=2656" TargetMode="External"/><Relationship Id="rId249" Type="http://schemas.openxmlformats.org/officeDocument/2006/relationships/hyperlink" Target="https://youtu.be/X174av9TRwE?t=3593" TargetMode="External"/><Relationship Id="rId127" Type="http://schemas.openxmlformats.org/officeDocument/2006/relationships/hyperlink" Target="https://youtu.be/h6KNzW5maCU?t=2700" TargetMode="External"/><Relationship Id="rId248" Type="http://schemas.openxmlformats.org/officeDocument/2006/relationships/hyperlink" Target="https://youtu.be/DUdehFPa-8M?t=2713" TargetMode="External"/><Relationship Id="rId126" Type="http://schemas.openxmlformats.org/officeDocument/2006/relationships/hyperlink" Target="https://youtu.be/igf5UQd9ows?t=1782" TargetMode="External"/><Relationship Id="rId247" Type="http://schemas.openxmlformats.org/officeDocument/2006/relationships/hyperlink" Target="https://youtu.be/X174av9TRwE?t=2764" TargetMode="External"/><Relationship Id="rId121" Type="http://schemas.openxmlformats.org/officeDocument/2006/relationships/hyperlink" Target="https://youtu.be/h6KNzW5maCU" TargetMode="External"/><Relationship Id="rId242" Type="http://schemas.openxmlformats.org/officeDocument/2006/relationships/hyperlink" Target="https://youtu.be/DUdehFPa-8M" TargetMode="External"/><Relationship Id="rId120" Type="http://schemas.openxmlformats.org/officeDocument/2006/relationships/hyperlink" Target="https://youtu.be/F3a-beN5ooM?t=8709" TargetMode="External"/><Relationship Id="rId241" Type="http://schemas.openxmlformats.org/officeDocument/2006/relationships/hyperlink" Target="https://youtu.be/X174av9TRwE" TargetMode="External"/><Relationship Id="rId240" Type="http://schemas.openxmlformats.org/officeDocument/2006/relationships/hyperlink" Target="https://youtu.be/fTXMzZnKV6o?t=8732" TargetMode="External"/><Relationship Id="rId125" Type="http://schemas.openxmlformats.org/officeDocument/2006/relationships/hyperlink" Target="https://youtu.be/h6KNzW5maCU?t=1849" TargetMode="External"/><Relationship Id="rId246" Type="http://schemas.openxmlformats.org/officeDocument/2006/relationships/hyperlink" Target="https://youtu.be/DUdehFPa-8M?t=1842" TargetMode="External"/><Relationship Id="rId124" Type="http://schemas.openxmlformats.org/officeDocument/2006/relationships/hyperlink" Target="https://youtu.be/igf5UQd9ows?t=852" TargetMode="External"/><Relationship Id="rId245" Type="http://schemas.openxmlformats.org/officeDocument/2006/relationships/hyperlink" Target="https://youtu.be/X174av9TRwE?t=1886" TargetMode="External"/><Relationship Id="rId123" Type="http://schemas.openxmlformats.org/officeDocument/2006/relationships/hyperlink" Target="https://youtu.be/h6KNzW5maCU?t=896" TargetMode="External"/><Relationship Id="rId244" Type="http://schemas.openxmlformats.org/officeDocument/2006/relationships/hyperlink" Target="https://youtu.be/DUdehFPa-8M?t=941" TargetMode="External"/><Relationship Id="rId122" Type="http://schemas.openxmlformats.org/officeDocument/2006/relationships/hyperlink" Target="https://youtu.be/igf5UQd9ows" TargetMode="External"/><Relationship Id="rId243" Type="http://schemas.openxmlformats.org/officeDocument/2006/relationships/hyperlink" Target="https://youtu.be/X174av9TRwE?t=1015" TargetMode="External"/><Relationship Id="rId95" Type="http://schemas.openxmlformats.org/officeDocument/2006/relationships/hyperlink" Target="https://youtu.be/ecmCGXd8C-E?t=6710" TargetMode="External"/><Relationship Id="rId94" Type="http://schemas.openxmlformats.org/officeDocument/2006/relationships/hyperlink" Target="https://youtu.be/Wa0wmZf4BqM?t=5826" TargetMode="External"/><Relationship Id="rId97" Type="http://schemas.openxmlformats.org/officeDocument/2006/relationships/hyperlink" Target="https://youtu.be/ecmCGXd8C-E?t=7686" TargetMode="External"/><Relationship Id="rId96" Type="http://schemas.openxmlformats.org/officeDocument/2006/relationships/hyperlink" Target="https://youtu.be/Wa0wmZf4BqM?t=6811" TargetMode="External"/><Relationship Id="rId99" Type="http://schemas.openxmlformats.org/officeDocument/2006/relationships/hyperlink" Target="https://youtu.be/ecmCGXd8C-E?t=8659" TargetMode="External"/><Relationship Id="rId98" Type="http://schemas.openxmlformats.org/officeDocument/2006/relationships/hyperlink" Target="https://youtu.be/Wa0wmZf4BqM?t=7791" TargetMode="External"/><Relationship Id="rId91" Type="http://schemas.openxmlformats.org/officeDocument/2006/relationships/hyperlink" Target="https://youtu.be/ecmCGXd8C-E?t=4799" TargetMode="External"/><Relationship Id="rId90" Type="http://schemas.openxmlformats.org/officeDocument/2006/relationships/hyperlink" Target="https://youtu.be/Wa0wmZf4BqM?t=3937" TargetMode="External"/><Relationship Id="rId93" Type="http://schemas.openxmlformats.org/officeDocument/2006/relationships/hyperlink" Target="https://youtu.be/ecmCGXd8C-E?t=5773" TargetMode="External"/><Relationship Id="rId92" Type="http://schemas.openxmlformats.org/officeDocument/2006/relationships/hyperlink" Target="https://youtu.be/Wa0wmZf4BqM?t=4866" TargetMode="External"/><Relationship Id="rId118" Type="http://schemas.openxmlformats.org/officeDocument/2006/relationships/hyperlink" Target="https://youtu.be/F3a-beN5ooM?t=7771" TargetMode="External"/><Relationship Id="rId239" Type="http://schemas.openxmlformats.org/officeDocument/2006/relationships/hyperlink" Target="https://youtu.be/vaOIIEpXSkc?t=8682" TargetMode="External"/><Relationship Id="rId117" Type="http://schemas.openxmlformats.org/officeDocument/2006/relationships/hyperlink" Target="https://youtu.be/SAOSrUO86DY?t=9044" TargetMode="External"/><Relationship Id="rId238" Type="http://schemas.openxmlformats.org/officeDocument/2006/relationships/hyperlink" Target="https://youtu.be/fTXMzZnKV6o?t=7743" TargetMode="External"/><Relationship Id="rId116" Type="http://schemas.openxmlformats.org/officeDocument/2006/relationships/hyperlink" Target="https://youtu.be/F3a-beN5ooM?t=6778" TargetMode="External"/><Relationship Id="rId237" Type="http://schemas.openxmlformats.org/officeDocument/2006/relationships/hyperlink" Target="https://youtu.be/vaOIIEpXSkc?t=7723" TargetMode="External"/><Relationship Id="rId115" Type="http://schemas.openxmlformats.org/officeDocument/2006/relationships/hyperlink" Target="https://youtu.be/SAOSrUO86DY?t=8054" TargetMode="External"/><Relationship Id="rId236" Type="http://schemas.openxmlformats.org/officeDocument/2006/relationships/hyperlink" Target="https://youtu.be/fTXMzZnKV6o?t=6827" TargetMode="External"/><Relationship Id="rId119" Type="http://schemas.openxmlformats.org/officeDocument/2006/relationships/hyperlink" Target="https://youtu.be/SAOSrUO86DY?t=10018" TargetMode="External"/><Relationship Id="rId110" Type="http://schemas.openxmlformats.org/officeDocument/2006/relationships/hyperlink" Target="https://youtu.be/F3a-beN5ooM?t=3969" TargetMode="External"/><Relationship Id="rId231" Type="http://schemas.openxmlformats.org/officeDocument/2006/relationships/hyperlink" Target="https://youtu.be/vaOIIEpXSkc?t=4826" TargetMode="External"/><Relationship Id="rId230" Type="http://schemas.openxmlformats.org/officeDocument/2006/relationships/hyperlink" Target="https://youtu.be/fTXMzZnKV6o?t=3874" TargetMode="External"/><Relationship Id="rId114" Type="http://schemas.openxmlformats.org/officeDocument/2006/relationships/hyperlink" Target="https://youtu.be/F3a-beN5ooM?t=5814" TargetMode="External"/><Relationship Id="rId235" Type="http://schemas.openxmlformats.org/officeDocument/2006/relationships/hyperlink" Target="https://youtu.be/vaOIIEpXSkc?t=6747" TargetMode="External"/><Relationship Id="rId113" Type="http://schemas.openxmlformats.org/officeDocument/2006/relationships/hyperlink" Target="https://youtu.be/SAOSrUO86DY?t=7144" TargetMode="External"/><Relationship Id="rId234" Type="http://schemas.openxmlformats.org/officeDocument/2006/relationships/hyperlink" Target="https://youtu.be/fTXMzZnKV6o?t=5887" TargetMode="External"/><Relationship Id="rId112" Type="http://schemas.openxmlformats.org/officeDocument/2006/relationships/hyperlink" Target="https://youtu.be/F3a-beN5ooM?t=4900" TargetMode="External"/><Relationship Id="rId233" Type="http://schemas.openxmlformats.org/officeDocument/2006/relationships/hyperlink" Target="https://youtu.be/vaOIIEpXSkc?t=5802" TargetMode="External"/><Relationship Id="rId111" Type="http://schemas.openxmlformats.org/officeDocument/2006/relationships/hyperlink" Target="https://youtu.be/SAOSrUO86DY?t=6181" TargetMode="External"/><Relationship Id="rId232" Type="http://schemas.openxmlformats.org/officeDocument/2006/relationships/hyperlink" Target="https://youtu.be/fTXMzZnKV6o?t=4825" TargetMode="External"/><Relationship Id="rId305" Type="http://schemas.openxmlformats.org/officeDocument/2006/relationships/hyperlink" Target="https://youtu.be/x86jebTDU98?t=1771" TargetMode="External"/><Relationship Id="rId304" Type="http://schemas.openxmlformats.org/officeDocument/2006/relationships/hyperlink" Target="https://youtu.be/gn4SU9wgUOI?t=877" TargetMode="External"/><Relationship Id="rId303" Type="http://schemas.openxmlformats.org/officeDocument/2006/relationships/hyperlink" Target="https://youtu.be/x86jebTDU98?t=886" TargetMode="External"/><Relationship Id="rId302" Type="http://schemas.openxmlformats.org/officeDocument/2006/relationships/hyperlink" Target="https://youtu.be/gn4SU9wgUOI" TargetMode="External"/><Relationship Id="rId309" Type="http://schemas.openxmlformats.org/officeDocument/2006/relationships/hyperlink" Target="https://youtu.be/x86jebTDU98?t=3399" TargetMode="External"/><Relationship Id="rId308" Type="http://schemas.openxmlformats.org/officeDocument/2006/relationships/hyperlink" Target="https://youtu.be/gn4SU9wgUOI?t=2554" TargetMode="External"/><Relationship Id="rId307" Type="http://schemas.openxmlformats.org/officeDocument/2006/relationships/hyperlink" Target="https://youtu.be/x86jebTDU98?t=2579" TargetMode="External"/><Relationship Id="rId306" Type="http://schemas.openxmlformats.org/officeDocument/2006/relationships/hyperlink" Target="https://youtu.be/gn4SU9wgUOI?t=1709" TargetMode="External"/><Relationship Id="rId301" Type="http://schemas.openxmlformats.org/officeDocument/2006/relationships/hyperlink" Target="https://youtu.be/x86jebTDU98" TargetMode="External"/><Relationship Id="rId300" Type="http://schemas.openxmlformats.org/officeDocument/2006/relationships/hyperlink" Target="https://youtu.be/N-21ITa8jL8?t=8573" TargetMode="External"/><Relationship Id="rId206" Type="http://schemas.openxmlformats.org/officeDocument/2006/relationships/hyperlink" Target="https://youtu.be/NgJuP6oh_ik?t=2009" TargetMode="External"/><Relationship Id="rId205" Type="http://schemas.openxmlformats.org/officeDocument/2006/relationships/hyperlink" Target="https://youtu.be/tCeREAHSFiE?t=3218" TargetMode="External"/><Relationship Id="rId204" Type="http://schemas.openxmlformats.org/officeDocument/2006/relationships/hyperlink" Target="https://youtu.be/NgJuP6oh_ik?t=1048" TargetMode="External"/><Relationship Id="rId203" Type="http://schemas.openxmlformats.org/officeDocument/2006/relationships/hyperlink" Target="https://youtu.be/tCeREAHSFiE?t=2301" TargetMode="External"/><Relationship Id="rId209" Type="http://schemas.openxmlformats.org/officeDocument/2006/relationships/hyperlink" Target="https://youtu.be/tCeREAHSFiE?t=5119" TargetMode="External"/><Relationship Id="rId208" Type="http://schemas.openxmlformats.org/officeDocument/2006/relationships/hyperlink" Target="https://youtu.be/NgJuP6oh_ik?t=2967" TargetMode="External"/><Relationship Id="rId207" Type="http://schemas.openxmlformats.org/officeDocument/2006/relationships/hyperlink" Target="https://youtu.be/tCeREAHSFiE?t=4181" TargetMode="External"/><Relationship Id="rId202" Type="http://schemas.openxmlformats.org/officeDocument/2006/relationships/hyperlink" Target="https://youtu.be/NgJuP6oh_ik" TargetMode="External"/><Relationship Id="rId201" Type="http://schemas.openxmlformats.org/officeDocument/2006/relationships/hyperlink" Target="https://youtu.be/tCeREAHSFiE" TargetMode="External"/><Relationship Id="rId200" Type="http://schemas.openxmlformats.org/officeDocument/2006/relationships/hyperlink" Target="https://youtu.be/10VpVHsuomo?t=8083" TargetMode="External"/><Relationship Id="rId321" Type="http://schemas.openxmlformats.org/officeDocument/2006/relationships/drawing" Target="../drawings/drawing23.xml"/><Relationship Id="rId320" Type="http://schemas.openxmlformats.org/officeDocument/2006/relationships/hyperlink" Target="https://youtu.be/gn4SU9wgUOI?t=7500" TargetMode="External"/><Relationship Id="rId316" Type="http://schemas.openxmlformats.org/officeDocument/2006/relationships/hyperlink" Target="https://youtu.be/gn4SU9wgUOI?t=5763" TargetMode="External"/><Relationship Id="rId315" Type="http://schemas.openxmlformats.org/officeDocument/2006/relationships/hyperlink" Target="https://youtu.be/x86jebTDU98?t=5828" TargetMode="External"/><Relationship Id="rId314" Type="http://schemas.openxmlformats.org/officeDocument/2006/relationships/hyperlink" Target="https://youtu.be/gn4SU9wgUOI?t=4974" TargetMode="External"/><Relationship Id="rId313" Type="http://schemas.openxmlformats.org/officeDocument/2006/relationships/hyperlink" Target="https://youtu.be/x86jebTDU98?t=4993" TargetMode="External"/><Relationship Id="rId319" Type="http://schemas.openxmlformats.org/officeDocument/2006/relationships/hyperlink" Target="https://youtu.be/x86jebTDU98?t=7549" TargetMode="External"/><Relationship Id="rId318" Type="http://schemas.openxmlformats.org/officeDocument/2006/relationships/hyperlink" Target="https://youtu.be/gn4SU9wgUOI?t=6617" TargetMode="External"/><Relationship Id="rId317" Type="http://schemas.openxmlformats.org/officeDocument/2006/relationships/hyperlink" Target="https://youtu.be/x86jebTDU98?t=6728" TargetMode="External"/><Relationship Id="rId312" Type="http://schemas.openxmlformats.org/officeDocument/2006/relationships/hyperlink" Target="https://youtu.be/gn4SU9wgUOI?t=4180" TargetMode="External"/><Relationship Id="rId311" Type="http://schemas.openxmlformats.org/officeDocument/2006/relationships/hyperlink" Target="https://youtu.be/x86jebTDU98?t=4230" TargetMode="External"/><Relationship Id="rId310" Type="http://schemas.openxmlformats.org/officeDocument/2006/relationships/hyperlink" Target="https://youtu.be/gn4SU9wgUOI?t=3395" TargetMode="External"/></Relationships>
</file>

<file path=xl/worksheets/_rels/sheet2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N4vNt0W-U3A?t=8630" TargetMode="External"/><Relationship Id="rId190" Type="http://schemas.openxmlformats.org/officeDocument/2006/relationships/hyperlink" Target="https://youtu.be/pjGxsYtonm8?t=7676" TargetMode="External"/><Relationship Id="rId42" Type="http://schemas.openxmlformats.org/officeDocument/2006/relationships/hyperlink" Target="https://youtu.be/HRFgztynTCA" TargetMode="External"/><Relationship Id="rId41" Type="http://schemas.openxmlformats.org/officeDocument/2006/relationships/hyperlink" Target="https://youtu.be/MijxsO3dSvg" TargetMode="External"/><Relationship Id="rId44" Type="http://schemas.openxmlformats.org/officeDocument/2006/relationships/hyperlink" Target="https://youtu.be/HRFgztynTCA?t=840" TargetMode="External"/><Relationship Id="rId194" Type="http://schemas.openxmlformats.org/officeDocument/2006/relationships/hyperlink" Target="https://youtu.be/-wFR5J33rd0?t=1229" TargetMode="External"/><Relationship Id="rId43" Type="http://schemas.openxmlformats.org/officeDocument/2006/relationships/hyperlink" Target="https://youtu.be/MijxsO3dSvg?t=856" TargetMode="External"/><Relationship Id="rId193" Type="http://schemas.openxmlformats.org/officeDocument/2006/relationships/hyperlink" Target="https://youtu.be/zv9LIK5Qsjk?t=997" TargetMode="External"/><Relationship Id="rId46" Type="http://schemas.openxmlformats.org/officeDocument/2006/relationships/hyperlink" Target="https://youtu.be/HRFgztynTCA?t=1715" TargetMode="External"/><Relationship Id="rId192" Type="http://schemas.openxmlformats.org/officeDocument/2006/relationships/hyperlink" Target="https://youtu.be/-wFR5J33rd0" TargetMode="External"/><Relationship Id="rId45" Type="http://schemas.openxmlformats.org/officeDocument/2006/relationships/hyperlink" Target="https://youtu.be/MijxsO3dSvg?t=1655" TargetMode="External"/><Relationship Id="rId191" Type="http://schemas.openxmlformats.org/officeDocument/2006/relationships/hyperlink" Target="https://youtu.be/zv9LIK5Qsjk" TargetMode="External"/><Relationship Id="rId48" Type="http://schemas.openxmlformats.org/officeDocument/2006/relationships/hyperlink" Target="https://youtu.be/HRFgztynTCA?t=2530" TargetMode="External"/><Relationship Id="rId187" Type="http://schemas.openxmlformats.org/officeDocument/2006/relationships/hyperlink" Target="https://youtu.be/0my_zfPgusI?t=6637" TargetMode="External"/><Relationship Id="rId47" Type="http://schemas.openxmlformats.org/officeDocument/2006/relationships/hyperlink" Target="https://youtu.be/MijxsO3dSvg?t=2515" TargetMode="External"/><Relationship Id="rId186" Type="http://schemas.openxmlformats.org/officeDocument/2006/relationships/hyperlink" Target="https://youtu.be/pjGxsYtonm8?t=5996" TargetMode="External"/><Relationship Id="rId185" Type="http://schemas.openxmlformats.org/officeDocument/2006/relationships/hyperlink" Target="https://youtu.be/0my_zfPgusI?t=5820" TargetMode="External"/><Relationship Id="rId49" Type="http://schemas.openxmlformats.org/officeDocument/2006/relationships/hyperlink" Target="https://youtu.be/MijxsO3dSvg?t=3323" TargetMode="External"/><Relationship Id="rId184" Type="http://schemas.openxmlformats.org/officeDocument/2006/relationships/hyperlink" Target="https://youtu.be/pjGxsYtonm8?t=5107" TargetMode="External"/><Relationship Id="rId189" Type="http://schemas.openxmlformats.org/officeDocument/2006/relationships/hyperlink" Target="https://youtu.be/0my_zfPgusI?t=7456" TargetMode="External"/><Relationship Id="rId188" Type="http://schemas.openxmlformats.org/officeDocument/2006/relationships/hyperlink" Target="https://youtu.be/pjGxsYtonm8?t=6836" TargetMode="External"/><Relationship Id="rId31" Type="http://schemas.openxmlformats.org/officeDocument/2006/relationships/hyperlink" Target="https://youtu.be/1cNsM8WZOKQ?t=4416" TargetMode="External"/><Relationship Id="rId30" Type="http://schemas.openxmlformats.org/officeDocument/2006/relationships/hyperlink" Target="https://youtu.be/N4vNt0W-U3A?t=4003" TargetMode="External"/><Relationship Id="rId33" Type="http://schemas.openxmlformats.org/officeDocument/2006/relationships/hyperlink" Target="https://youtu.be/1cNsM8WZOKQ?t=5357" TargetMode="External"/><Relationship Id="rId183" Type="http://schemas.openxmlformats.org/officeDocument/2006/relationships/hyperlink" Target="https://youtu.be/0my_zfPgusI?t=5022" TargetMode="External"/><Relationship Id="rId32" Type="http://schemas.openxmlformats.org/officeDocument/2006/relationships/hyperlink" Target="https://youtu.be/N4vNt0W-U3A?t=4949" TargetMode="External"/><Relationship Id="rId182" Type="http://schemas.openxmlformats.org/officeDocument/2006/relationships/hyperlink" Target="https://youtu.be/pjGxsYtonm8?t=4235" TargetMode="External"/><Relationship Id="rId35" Type="http://schemas.openxmlformats.org/officeDocument/2006/relationships/hyperlink" Target="https://youtu.be/1cNsM8WZOKQ?t=6348" TargetMode="External"/><Relationship Id="rId181" Type="http://schemas.openxmlformats.org/officeDocument/2006/relationships/hyperlink" Target="https://youtu.be/0my_zfPgusI?t=4222" TargetMode="External"/><Relationship Id="rId34" Type="http://schemas.openxmlformats.org/officeDocument/2006/relationships/hyperlink" Target="https://youtu.be/N4vNt0W-U3A?t=5863" TargetMode="External"/><Relationship Id="rId180" Type="http://schemas.openxmlformats.org/officeDocument/2006/relationships/hyperlink" Target="https://youtu.be/pjGxsYtonm8?t=3386" TargetMode="External"/><Relationship Id="rId37" Type="http://schemas.openxmlformats.org/officeDocument/2006/relationships/hyperlink" Target="https://youtu.be/1cNsM8WZOKQ?t=7266" TargetMode="External"/><Relationship Id="rId176" Type="http://schemas.openxmlformats.org/officeDocument/2006/relationships/hyperlink" Target="https://youtu.be/pjGxsYtonm8?t=1765" TargetMode="External"/><Relationship Id="rId297" Type="http://schemas.openxmlformats.org/officeDocument/2006/relationships/hyperlink" Target="https://youtu.be/Yg54R4Yq4c4?t=2498" TargetMode="External"/><Relationship Id="rId36" Type="http://schemas.openxmlformats.org/officeDocument/2006/relationships/hyperlink" Target="https://youtu.be/N4vNt0W-U3A?t=6838" TargetMode="External"/><Relationship Id="rId175" Type="http://schemas.openxmlformats.org/officeDocument/2006/relationships/hyperlink" Target="https://youtu.be/0my_zfPgusI?t=1691" TargetMode="External"/><Relationship Id="rId296" Type="http://schemas.openxmlformats.org/officeDocument/2006/relationships/hyperlink" Target="https://youtu.be/iyOI1sVN6_8?t=1687" TargetMode="External"/><Relationship Id="rId39" Type="http://schemas.openxmlformats.org/officeDocument/2006/relationships/hyperlink" Target="https://youtu.be/1cNsM8WZOKQ?t=8246" TargetMode="External"/><Relationship Id="rId174" Type="http://schemas.openxmlformats.org/officeDocument/2006/relationships/hyperlink" Target="https://youtu.be/pjGxsYtonm8?t=935" TargetMode="External"/><Relationship Id="rId295" Type="http://schemas.openxmlformats.org/officeDocument/2006/relationships/hyperlink" Target="https://youtu.be/Yg54R4Yq4c4?t=1669" TargetMode="External"/><Relationship Id="rId38" Type="http://schemas.openxmlformats.org/officeDocument/2006/relationships/hyperlink" Target="https://youtu.be/N4vNt0W-U3A?t=7747" TargetMode="External"/><Relationship Id="rId173" Type="http://schemas.openxmlformats.org/officeDocument/2006/relationships/hyperlink" Target="https://youtu.be/0my_zfPgusI?t=841" TargetMode="External"/><Relationship Id="rId294" Type="http://schemas.openxmlformats.org/officeDocument/2006/relationships/hyperlink" Target="https://youtu.be/iyOI1sVN6_8?t=850" TargetMode="External"/><Relationship Id="rId179" Type="http://schemas.openxmlformats.org/officeDocument/2006/relationships/hyperlink" Target="https://youtu.be/0my_zfPgusI?t=3395" TargetMode="External"/><Relationship Id="rId178" Type="http://schemas.openxmlformats.org/officeDocument/2006/relationships/hyperlink" Target="https://youtu.be/pjGxsYtonm8?t=2596" TargetMode="External"/><Relationship Id="rId299" Type="http://schemas.openxmlformats.org/officeDocument/2006/relationships/hyperlink" Target="https://youtu.be/Yg54R4Yq4c4?t=3303" TargetMode="External"/><Relationship Id="rId177" Type="http://schemas.openxmlformats.org/officeDocument/2006/relationships/hyperlink" Target="https://youtu.be/0my_zfPgusI?t=2520" TargetMode="External"/><Relationship Id="rId298" Type="http://schemas.openxmlformats.org/officeDocument/2006/relationships/hyperlink" Target="https://youtu.be/iyOI1sVN6_8?t=2493" TargetMode="External"/><Relationship Id="rId20" Type="http://schemas.openxmlformats.org/officeDocument/2006/relationships/hyperlink" Target="https://youtu.be/Z1LAuKo-kMQ?t=7632" TargetMode="External"/><Relationship Id="rId22" Type="http://schemas.openxmlformats.org/officeDocument/2006/relationships/hyperlink" Target="https://youtu.be/N4vNt0W-U3A" TargetMode="External"/><Relationship Id="rId21" Type="http://schemas.openxmlformats.org/officeDocument/2006/relationships/hyperlink" Target="https://youtu.be/1cNsM8WZOKQ" TargetMode="External"/><Relationship Id="rId24" Type="http://schemas.openxmlformats.org/officeDocument/2006/relationships/hyperlink" Target="https://youtu.be/N4vNt0W-U3A?t=1364" TargetMode="External"/><Relationship Id="rId23" Type="http://schemas.openxmlformats.org/officeDocument/2006/relationships/hyperlink" Target="https://youtu.be/1cNsM8WZOKQ?t=858" TargetMode="External"/><Relationship Id="rId26" Type="http://schemas.openxmlformats.org/officeDocument/2006/relationships/hyperlink" Target="https://youtu.be/N4vNt0W-U3A?t=2177" TargetMode="External"/><Relationship Id="rId25" Type="http://schemas.openxmlformats.org/officeDocument/2006/relationships/hyperlink" Target="https://youtu.be/1cNsM8WZOKQ?t=1737" TargetMode="External"/><Relationship Id="rId28" Type="http://schemas.openxmlformats.org/officeDocument/2006/relationships/hyperlink" Target="https://youtu.be/N4vNt0W-U3A?t=3094" TargetMode="External"/><Relationship Id="rId27" Type="http://schemas.openxmlformats.org/officeDocument/2006/relationships/hyperlink" Target="https://youtu.be/1cNsM8WZOKQ?t=2593" TargetMode="External"/><Relationship Id="rId29" Type="http://schemas.openxmlformats.org/officeDocument/2006/relationships/hyperlink" Target="https://youtu.be/1cNsM8WZOKQ?t=3441" TargetMode="External"/><Relationship Id="rId11" Type="http://schemas.openxmlformats.org/officeDocument/2006/relationships/hyperlink" Target="https://youtu.be/ESgkYbdGFro?t=4137" TargetMode="External"/><Relationship Id="rId10" Type="http://schemas.openxmlformats.org/officeDocument/2006/relationships/hyperlink" Target="https://youtu.be/Z1LAuKo-kMQ?t=3436" TargetMode="External"/><Relationship Id="rId13" Type="http://schemas.openxmlformats.org/officeDocument/2006/relationships/hyperlink" Target="https://youtu.be/ESgkYbdGFro?t=4933" TargetMode="External"/><Relationship Id="rId12" Type="http://schemas.openxmlformats.org/officeDocument/2006/relationships/hyperlink" Target="https://youtu.be/Z1LAuKo-kMQ?t=4245" TargetMode="External"/><Relationship Id="rId15" Type="http://schemas.openxmlformats.org/officeDocument/2006/relationships/hyperlink" Target="https://youtu.be/ESgkYbdGFro?t=5795" TargetMode="External"/><Relationship Id="rId198" Type="http://schemas.openxmlformats.org/officeDocument/2006/relationships/hyperlink" Target="https://youtu.be/-wFR5J33rd0?t=3114" TargetMode="External"/><Relationship Id="rId14" Type="http://schemas.openxmlformats.org/officeDocument/2006/relationships/hyperlink" Target="https://youtu.be/Z1LAuKo-kMQ?t=5068" TargetMode="External"/><Relationship Id="rId197" Type="http://schemas.openxmlformats.org/officeDocument/2006/relationships/hyperlink" Target="https://youtu.be/zv9LIK5Qsjk?t=2802" TargetMode="External"/><Relationship Id="rId17" Type="http://schemas.openxmlformats.org/officeDocument/2006/relationships/hyperlink" Target="https://youtu.be/ESgkYbdGFro?t=6622" TargetMode="External"/><Relationship Id="rId196" Type="http://schemas.openxmlformats.org/officeDocument/2006/relationships/hyperlink" Target="https://youtu.be/-wFR5J33rd0?t=2168" TargetMode="External"/><Relationship Id="rId16" Type="http://schemas.openxmlformats.org/officeDocument/2006/relationships/hyperlink" Target="https://youtu.be/Z1LAuKo-kMQ?t=5910" TargetMode="External"/><Relationship Id="rId195" Type="http://schemas.openxmlformats.org/officeDocument/2006/relationships/hyperlink" Target="https://youtu.be/zv9LIK5Qsjk?t=1907" TargetMode="External"/><Relationship Id="rId19" Type="http://schemas.openxmlformats.org/officeDocument/2006/relationships/hyperlink" Target="https://youtu.be/ESgkYbdGFro?t=7428" TargetMode="External"/><Relationship Id="rId18" Type="http://schemas.openxmlformats.org/officeDocument/2006/relationships/hyperlink" Target="https://youtu.be/Z1LAuKo-kMQ?t=6774" TargetMode="External"/><Relationship Id="rId199" Type="http://schemas.openxmlformats.org/officeDocument/2006/relationships/hyperlink" Target="https://youtu.be/zv9LIK5Qsjk?t=3725" TargetMode="External"/><Relationship Id="rId84" Type="http://schemas.openxmlformats.org/officeDocument/2006/relationships/hyperlink" Target="https://youtu.be/4yrjHb7DTH8?t=900" TargetMode="External"/><Relationship Id="rId83" Type="http://schemas.openxmlformats.org/officeDocument/2006/relationships/hyperlink" Target="https://youtu.be/r6QFJGGWY-E?t=942" TargetMode="External"/><Relationship Id="rId86" Type="http://schemas.openxmlformats.org/officeDocument/2006/relationships/hyperlink" Target="https://youtu.be/4yrjHb7DTH8?t=1822" TargetMode="External"/><Relationship Id="rId85" Type="http://schemas.openxmlformats.org/officeDocument/2006/relationships/hyperlink" Target="https://youtu.be/r6QFJGGWY-E?t=1910" TargetMode="External"/><Relationship Id="rId88" Type="http://schemas.openxmlformats.org/officeDocument/2006/relationships/hyperlink" Target="https://youtu.be/4yrjHb7DTH8?t=2696" TargetMode="External"/><Relationship Id="rId150" Type="http://schemas.openxmlformats.org/officeDocument/2006/relationships/hyperlink" Target="https://youtu.be/uCx0bqs2J2M?t=8680" TargetMode="External"/><Relationship Id="rId271" Type="http://schemas.openxmlformats.org/officeDocument/2006/relationships/hyperlink" Target="https://youtu.be/ALff5TUFAk8" TargetMode="External"/><Relationship Id="rId87" Type="http://schemas.openxmlformats.org/officeDocument/2006/relationships/hyperlink" Target="https://youtu.be/r6QFJGGWY-E?t=2860" TargetMode="External"/><Relationship Id="rId270" Type="http://schemas.openxmlformats.org/officeDocument/2006/relationships/hyperlink" Target="https://youtu.be/NkNBr5hNlSM?t=7825" TargetMode="External"/><Relationship Id="rId89" Type="http://schemas.openxmlformats.org/officeDocument/2006/relationships/hyperlink" Target="https://youtu.be/r6QFJGGWY-E?t=3774" TargetMode="External"/><Relationship Id="rId80" Type="http://schemas.openxmlformats.org/officeDocument/2006/relationships/hyperlink" Target="https://youtu.be/nGZ5SYJHaYw?t=8627" TargetMode="External"/><Relationship Id="rId82" Type="http://schemas.openxmlformats.org/officeDocument/2006/relationships/hyperlink" Target="https://youtu.be/4yrjHb7DTH8" TargetMode="External"/><Relationship Id="rId81" Type="http://schemas.openxmlformats.org/officeDocument/2006/relationships/hyperlink" Target="https://youtu.be/r6QFJGGWY-E" TargetMode="External"/><Relationship Id="rId1" Type="http://schemas.openxmlformats.org/officeDocument/2006/relationships/hyperlink" Target="https://youtu.be/ESgkYbdGFro" TargetMode="External"/><Relationship Id="rId2" Type="http://schemas.openxmlformats.org/officeDocument/2006/relationships/hyperlink" Target="https://youtu.be/Z1LAuKo-kMQ" TargetMode="External"/><Relationship Id="rId3" Type="http://schemas.openxmlformats.org/officeDocument/2006/relationships/hyperlink" Target="https://youtu.be/ESgkYbdGFro?t=813" TargetMode="External"/><Relationship Id="rId149" Type="http://schemas.openxmlformats.org/officeDocument/2006/relationships/hyperlink" Target="https://youtu.be/IA64hRwbNag?t=8471" TargetMode="External"/><Relationship Id="rId4" Type="http://schemas.openxmlformats.org/officeDocument/2006/relationships/hyperlink" Target="https://youtu.be/Z1LAuKo-kMQ?t=909" TargetMode="External"/><Relationship Id="rId148" Type="http://schemas.openxmlformats.org/officeDocument/2006/relationships/hyperlink" Target="https://youtu.be/uCx0bqs2J2M?t=7793" TargetMode="External"/><Relationship Id="rId269" Type="http://schemas.openxmlformats.org/officeDocument/2006/relationships/hyperlink" Target="https://youtu.be/nfQ5Z6E-vTE?t=7777" TargetMode="External"/><Relationship Id="rId9" Type="http://schemas.openxmlformats.org/officeDocument/2006/relationships/hyperlink" Target="https://youtu.be/ESgkYbdGFro?t=3274" TargetMode="External"/><Relationship Id="rId143" Type="http://schemas.openxmlformats.org/officeDocument/2006/relationships/hyperlink" Target="https://youtu.be/IA64hRwbNag?t=5773" TargetMode="External"/><Relationship Id="rId264" Type="http://schemas.openxmlformats.org/officeDocument/2006/relationships/hyperlink" Target="https://youtu.be/NkNBr5hNlSM?t=5284" TargetMode="External"/><Relationship Id="rId142" Type="http://schemas.openxmlformats.org/officeDocument/2006/relationships/hyperlink" Target="https://youtu.be/uCx0bqs2J2M?t=4968" TargetMode="External"/><Relationship Id="rId263" Type="http://schemas.openxmlformats.org/officeDocument/2006/relationships/hyperlink" Target="https://youtu.be/nfQ5Z6E-vTE?t=5187" TargetMode="External"/><Relationship Id="rId141" Type="http://schemas.openxmlformats.org/officeDocument/2006/relationships/hyperlink" Target="https://youtu.be/IA64hRwbNag?t=4789" TargetMode="External"/><Relationship Id="rId262" Type="http://schemas.openxmlformats.org/officeDocument/2006/relationships/hyperlink" Target="https://youtu.be/NkNBr5hNlSM?t=4393" TargetMode="External"/><Relationship Id="rId140" Type="http://schemas.openxmlformats.org/officeDocument/2006/relationships/hyperlink" Target="https://youtu.be/uCx0bqs2J2M?t=4032" TargetMode="External"/><Relationship Id="rId261" Type="http://schemas.openxmlformats.org/officeDocument/2006/relationships/hyperlink" Target="https://youtu.be/nfQ5Z6E-vTE?t=4354" TargetMode="External"/><Relationship Id="rId5" Type="http://schemas.openxmlformats.org/officeDocument/2006/relationships/hyperlink" Target="https://youtu.be/ESgkYbdGFro?t=1641" TargetMode="External"/><Relationship Id="rId147" Type="http://schemas.openxmlformats.org/officeDocument/2006/relationships/hyperlink" Target="https://youtu.be/IA64hRwbNag?t=7637" TargetMode="External"/><Relationship Id="rId268" Type="http://schemas.openxmlformats.org/officeDocument/2006/relationships/hyperlink" Target="https://youtu.be/NkNBr5hNlSM?t=6980" TargetMode="External"/><Relationship Id="rId6" Type="http://schemas.openxmlformats.org/officeDocument/2006/relationships/hyperlink" Target="https://youtu.be/Z1LAuKo-kMQ?t=1809" TargetMode="External"/><Relationship Id="rId146" Type="http://schemas.openxmlformats.org/officeDocument/2006/relationships/hyperlink" Target="https://youtu.be/uCx0bqs2J2M?t=6813" TargetMode="External"/><Relationship Id="rId267" Type="http://schemas.openxmlformats.org/officeDocument/2006/relationships/hyperlink" Target="https://youtu.be/nfQ5Z6E-vTE?t=6934" TargetMode="External"/><Relationship Id="rId7" Type="http://schemas.openxmlformats.org/officeDocument/2006/relationships/hyperlink" Target="https://youtu.be/ESgkYbdGFro?t=2460" TargetMode="External"/><Relationship Id="rId145" Type="http://schemas.openxmlformats.org/officeDocument/2006/relationships/hyperlink" Target="https://youtu.be/IA64hRwbNag?t=6694" TargetMode="External"/><Relationship Id="rId266" Type="http://schemas.openxmlformats.org/officeDocument/2006/relationships/hyperlink" Target="https://youtu.be/NkNBr5hNlSM?t=6130" TargetMode="External"/><Relationship Id="rId8" Type="http://schemas.openxmlformats.org/officeDocument/2006/relationships/hyperlink" Target="https://youtu.be/Z1LAuKo-kMQ?t=2620" TargetMode="External"/><Relationship Id="rId144" Type="http://schemas.openxmlformats.org/officeDocument/2006/relationships/hyperlink" Target="https://youtu.be/uCx0bqs2J2M?t=5899" TargetMode="External"/><Relationship Id="rId265" Type="http://schemas.openxmlformats.org/officeDocument/2006/relationships/hyperlink" Target="https://youtu.be/nfQ5Z6E-vTE?t=6070" TargetMode="External"/><Relationship Id="rId73" Type="http://schemas.openxmlformats.org/officeDocument/2006/relationships/hyperlink" Target="https://youtu.be/XxJ15KX_J9E?t=5785" TargetMode="External"/><Relationship Id="rId72" Type="http://schemas.openxmlformats.org/officeDocument/2006/relationships/hyperlink" Target="https://youtu.be/nGZ5SYJHaYw?t=4874" TargetMode="External"/><Relationship Id="rId75" Type="http://schemas.openxmlformats.org/officeDocument/2006/relationships/hyperlink" Target="https://youtu.be/XxJ15KX_J9E?t=6722" TargetMode="External"/><Relationship Id="rId74" Type="http://schemas.openxmlformats.org/officeDocument/2006/relationships/hyperlink" Target="https://youtu.be/nGZ5SYJHaYw?t=5820" TargetMode="External"/><Relationship Id="rId77" Type="http://schemas.openxmlformats.org/officeDocument/2006/relationships/hyperlink" Target="https://youtu.be/XxJ15KX_J9E?t=7635" TargetMode="External"/><Relationship Id="rId260" Type="http://schemas.openxmlformats.org/officeDocument/2006/relationships/hyperlink" Target="https://youtu.be/NkNBr5hNlSM?t=3496" TargetMode="External"/><Relationship Id="rId76" Type="http://schemas.openxmlformats.org/officeDocument/2006/relationships/hyperlink" Target="https://youtu.be/nGZ5SYJHaYw?t=6754" TargetMode="External"/><Relationship Id="rId79" Type="http://schemas.openxmlformats.org/officeDocument/2006/relationships/hyperlink" Target="https://youtu.be/XxJ15KX_J9E?t=8691" TargetMode="External"/><Relationship Id="rId78" Type="http://schemas.openxmlformats.org/officeDocument/2006/relationships/hyperlink" Target="https://youtu.be/nGZ5SYJHaYw?t=7743" TargetMode="External"/><Relationship Id="rId71" Type="http://schemas.openxmlformats.org/officeDocument/2006/relationships/hyperlink" Target="https://youtu.be/XxJ15KX_J9E?t=4845" TargetMode="External"/><Relationship Id="rId70" Type="http://schemas.openxmlformats.org/officeDocument/2006/relationships/hyperlink" Target="https://youtu.be/nGZ5SYJHaYw?t=3915" TargetMode="External"/><Relationship Id="rId139" Type="http://schemas.openxmlformats.org/officeDocument/2006/relationships/hyperlink" Target="https://youtu.be/IA64hRwbNag?t=3836" TargetMode="External"/><Relationship Id="rId138" Type="http://schemas.openxmlformats.org/officeDocument/2006/relationships/hyperlink" Target="https://youtu.be/uCx0bqs2J2M?t=3096" TargetMode="External"/><Relationship Id="rId259" Type="http://schemas.openxmlformats.org/officeDocument/2006/relationships/hyperlink" Target="https://youtu.be/nfQ5Z6E-vTE?t=3466" TargetMode="External"/><Relationship Id="rId137" Type="http://schemas.openxmlformats.org/officeDocument/2006/relationships/hyperlink" Target="https://youtu.be/IA64hRwbNag?t=2894" TargetMode="External"/><Relationship Id="rId258" Type="http://schemas.openxmlformats.org/officeDocument/2006/relationships/hyperlink" Target="https://youtu.be/NkNBr5hNlSM?t=2642" TargetMode="External"/><Relationship Id="rId132" Type="http://schemas.openxmlformats.org/officeDocument/2006/relationships/hyperlink" Target="https://youtu.be/uCx0bqs2J2M" TargetMode="External"/><Relationship Id="rId253" Type="http://schemas.openxmlformats.org/officeDocument/2006/relationships/hyperlink" Target="https://youtu.be/nfQ5Z6E-vTE?t=861" TargetMode="External"/><Relationship Id="rId131" Type="http://schemas.openxmlformats.org/officeDocument/2006/relationships/hyperlink" Target="https://youtu.be/IA64hRwbNag" TargetMode="External"/><Relationship Id="rId252" Type="http://schemas.openxmlformats.org/officeDocument/2006/relationships/hyperlink" Target="https://youtu.be/NkNBr5hNlSM" TargetMode="External"/><Relationship Id="rId130" Type="http://schemas.openxmlformats.org/officeDocument/2006/relationships/hyperlink" Target="https://youtu.be/LZVjF5_6vIE?t=7420" TargetMode="External"/><Relationship Id="rId251" Type="http://schemas.openxmlformats.org/officeDocument/2006/relationships/hyperlink" Target="https://youtu.be/nfQ5Z6E-vTE" TargetMode="External"/><Relationship Id="rId250" Type="http://schemas.openxmlformats.org/officeDocument/2006/relationships/hyperlink" Target="https://youtu.be/G_dBJhFZR1g?t=7812" TargetMode="External"/><Relationship Id="rId136" Type="http://schemas.openxmlformats.org/officeDocument/2006/relationships/hyperlink" Target="https://youtu.be/uCx0bqs2J2M?t=2149" TargetMode="External"/><Relationship Id="rId257" Type="http://schemas.openxmlformats.org/officeDocument/2006/relationships/hyperlink" Target="https://youtu.be/nfQ5Z6E-vTE?t=2588" TargetMode="External"/><Relationship Id="rId135" Type="http://schemas.openxmlformats.org/officeDocument/2006/relationships/hyperlink" Target="https://youtu.be/IA64hRwbNag?t=2038" TargetMode="External"/><Relationship Id="rId256" Type="http://schemas.openxmlformats.org/officeDocument/2006/relationships/hyperlink" Target="https://youtu.be/NkNBr5hNlSM?t=1769" TargetMode="External"/><Relationship Id="rId134" Type="http://schemas.openxmlformats.org/officeDocument/2006/relationships/hyperlink" Target="https://youtu.be/uCx0bqs2J2M?t=1146" TargetMode="External"/><Relationship Id="rId255" Type="http://schemas.openxmlformats.org/officeDocument/2006/relationships/hyperlink" Target="https://youtu.be/nfQ5Z6E-vTE?t=1707" TargetMode="External"/><Relationship Id="rId133" Type="http://schemas.openxmlformats.org/officeDocument/2006/relationships/hyperlink" Target="https://youtu.be/IA64hRwbNag?t=1139" TargetMode="External"/><Relationship Id="rId254" Type="http://schemas.openxmlformats.org/officeDocument/2006/relationships/hyperlink" Target="https://youtu.be/NkNBr5hNlSM?t=905" TargetMode="External"/><Relationship Id="rId62" Type="http://schemas.openxmlformats.org/officeDocument/2006/relationships/hyperlink" Target="https://youtu.be/nGZ5SYJHaYw" TargetMode="External"/><Relationship Id="rId61" Type="http://schemas.openxmlformats.org/officeDocument/2006/relationships/hyperlink" Target="https://youtu.be/XxJ15KX_J9E" TargetMode="External"/><Relationship Id="rId64" Type="http://schemas.openxmlformats.org/officeDocument/2006/relationships/hyperlink" Target="https://youtu.be/nGZ5SYJHaYw?t=1087" TargetMode="External"/><Relationship Id="rId63" Type="http://schemas.openxmlformats.org/officeDocument/2006/relationships/hyperlink" Target="https://youtu.be/XxJ15KX_J9E?t=1012" TargetMode="External"/><Relationship Id="rId66" Type="http://schemas.openxmlformats.org/officeDocument/2006/relationships/hyperlink" Target="https://youtu.be/nGZ5SYJHaYw?t=2058" TargetMode="External"/><Relationship Id="rId172" Type="http://schemas.openxmlformats.org/officeDocument/2006/relationships/hyperlink" Target="https://youtu.be/pjGxsYtonm8" TargetMode="External"/><Relationship Id="rId293" Type="http://schemas.openxmlformats.org/officeDocument/2006/relationships/hyperlink" Target="https://youtu.be/Yg54R4Yq4c4?t=889" TargetMode="External"/><Relationship Id="rId65" Type="http://schemas.openxmlformats.org/officeDocument/2006/relationships/hyperlink" Target="https://youtu.be/XxJ15KX_J9E?t=1950" TargetMode="External"/><Relationship Id="rId171" Type="http://schemas.openxmlformats.org/officeDocument/2006/relationships/hyperlink" Target="https://youtu.be/0my_zfPgusI" TargetMode="External"/><Relationship Id="rId292" Type="http://schemas.openxmlformats.org/officeDocument/2006/relationships/hyperlink" Target="https://youtu.be/iyOI1sVN6_8" TargetMode="External"/><Relationship Id="rId68" Type="http://schemas.openxmlformats.org/officeDocument/2006/relationships/hyperlink" Target="https://youtu.be/nGZ5SYJHaYw?t=3025" TargetMode="External"/><Relationship Id="rId170" Type="http://schemas.openxmlformats.org/officeDocument/2006/relationships/hyperlink" Target="https://youtu.be/pQ73LbZlUEk?t=7673" TargetMode="External"/><Relationship Id="rId291" Type="http://schemas.openxmlformats.org/officeDocument/2006/relationships/hyperlink" Target="https://youtu.be/Yg54R4Yq4c4" TargetMode="External"/><Relationship Id="rId67" Type="http://schemas.openxmlformats.org/officeDocument/2006/relationships/hyperlink" Target="https://youtu.be/XxJ15KX_J9E?t=2943" TargetMode="External"/><Relationship Id="rId290" Type="http://schemas.openxmlformats.org/officeDocument/2006/relationships/hyperlink" Target="https://youtu.be/S9XgwdOMn6s?t=8741" TargetMode="External"/><Relationship Id="rId60" Type="http://schemas.openxmlformats.org/officeDocument/2006/relationships/hyperlink" Target="https://youtu.be/HRFgztynTCA?t=7564" TargetMode="External"/><Relationship Id="rId165" Type="http://schemas.openxmlformats.org/officeDocument/2006/relationships/hyperlink" Target="https://youtu.be/sgU7yUQXOvk?t=6035" TargetMode="External"/><Relationship Id="rId286" Type="http://schemas.openxmlformats.org/officeDocument/2006/relationships/hyperlink" Target="https://youtu.be/S9XgwdOMn6s?t=6855" TargetMode="External"/><Relationship Id="rId69" Type="http://schemas.openxmlformats.org/officeDocument/2006/relationships/hyperlink" Target="https://youtu.be/XxJ15KX_J9E?t=3856" TargetMode="External"/><Relationship Id="rId164" Type="http://schemas.openxmlformats.org/officeDocument/2006/relationships/hyperlink" Target="https://youtu.be/pQ73LbZlUEk?t=5168" TargetMode="External"/><Relationship Id="rId285" Type="http://schemas.openxmlformats.org/officeDocument/2006/relationships/hyperlink" Target="https://youtu.be/ALff5TUFAk8?t=6829" TargetMode="External"/><Relationship Id="rId163" Type="http://schemas.openxmlformats.org/officeDocument/2006/relationships/hyperlink" Target="https://youtu.be/sgU7yUQXOvk?t=5173" TargetMode="External"/><Relationship Id="rId284" Type="http://schemas.openxmlformats.org/officeDocument/2006/relationships/hyperlink" Target="https://youtu.be/S9XgwdOMn6s?t=5906" TargetMode="External"/><Relationship Id="rId162" Type="http://schemas.openxmlformats.org/officeDocument/2006/relationships/hyperlink" Target="https://youtu.be/pQ73LbZlUEk?t=4253" TargetMode="External"/><Relationship Id="rId283" Type="http://schemas.openxmlformats.org/officeDocument/2006/relationships/hyperlink" Target="https://youtu.be/ALff5TUFAk8?t=5801" TargetMode="External"/><Relationship Id="rId169" Type="http://schemas.openxmlformats.org/officeDocument/2006/relationships/hyperlink" Target="https://youtu.be/sgU7yUQXOvk?t=7635" TargetMode="External"/><Relationship Id="rId168" Type="http://schemas.openxmlformats.org/officeDocument/2006/relationships/hyperlink" Target="https://youtu.be/pQ73LbZlUEk?t=6859" TargetMode="External"/><Relationship Id="rId289" Type="http://schemas.openxmlformats.org/officeDocument/2006/relationships/hyperlink" Target="https://youtu.be/ALff5TUFAk8?t=8708" TargetMode="External"/><Relationship Id="rId167" Type="http://schemas.openxmlformats.org/officeDocument/2006/relationships/hyperlink" Target="https://youtu.be/sgU7yUQXOvk?t=6839" TargetMode="External"/><Relationship Id="rId288" Type="http://schemas.openxmlformats.org/officeDocument/2006/relationships/hyperlink" Target="https://youtu.be/S9XgwdOMn6s?t=7809" TargetMode="External"/><Relationship Id="rId166" Type="http://schemas.openxmlformats.org/officeDocument/2006/relationships/hyperlink" Target="https://youtu.be/pQ73LbZlUEk?t=5986" TargetMode="External"/><Relationship Id="rId287" Type="http://schemas.openxmlformats.org/officeDocument/2006/relationships/hyperlink" Target="https://youtu.be/ALff5TUFAk8?t=7763" TargetMode="External"/><Relationship Id="rId51" Type="http://schemas.openxmlformats.org/officeDocument/2006/relationships/hyperlink" Target="https://youtu.be/MijxsO3dSvg?t=4184" TargetMode="External"/><Relationship Id="rId50" Type="http://schemas.openxmlformats.org/officeDocument/2006/relationships/hyperlink" Target="https://youtu.be/HRFgztynTCA?t=3365" TargetMode="External"/><Relationship Id="rId53" Type="http://schemas.openxmlformats.org/officeDocument/2006/relationships/hyperlink" Target="https://youtu.be/MijxsO3dSvg?t=5022" TargetMode="External"/><Relationship Id="rId52" Type="http://schemas.openxmlformats.org/officeDocument/2006/relationships/hyperlink" Target="https://youtu.be/HRFgztynTCA?t=4200" TargetMode="External"/><Relationship Id="rId55" Type="http://schemas.openxmlformats.org/officeDocument/2006/relationships/hyperlink" Target="https://youtu.be/MijxsO3dSvg?t=5843" TargetMode="External"/><Relationship Id="rId161" Type="http://schemas.openxmlformats.org/officeDocument/2006/relationships/hyperlink" Target="https://youtu.be/sgU7yUQXOvk?t=4326" TargetMode="External"/><Relationship Id="rId282" Type="http://schemas.openxmlformats.org/officeDocument/2006/relationships/hyperlink" Target="https://youtu.be/S9XgwdOMn6s?t=4944" TargetMode="External"/><Relationship Id="rId54" Type="http://schemas.openxmlformats.org/officeDocument/2006/relationships/hyperlink" Target="https://youtu.be/HRFgztynTCA?t=5046" TargetMode="External"/><Relationship Id="rId160" Type="http://schemas.openxmlformats.org/officeDocument/2006/relationships/hyperlink" Target="https://youtu.be/pQ73LbZlUEk?t=3356" TargetMode="External"/><Relationship Id="rId281" Type="http://schemas.openxmlformats.org/officeDocument/2006/relationships/hyperlink" Target="https://youtu.be/ALff5TUFAk8?t=4873" TargetMode="External"/><Relationship Id="rId57" Type="http://schemas.openxmlformats.org/officeDocument/2006/relationships/hyperlink" Target="https://youtu.be/MijxsO3dSvg?t=6673" TargetMode="External"/><Relationship Id="rId280" Type="http://schemas.openxmlformats.org/officeDocument/2006/relationships/hyperlink" Target="https://youtu.be/S9XgwdOMn6s?t=3978" TargetMode="External"/><Relationship Id="rId56" Type="http://schemas.openxmlformats.org/officeDocument/2006/relationships/hyperlink" Target="https://youtu.be/HRFgztynTCA?t=5919" TargetMode="External"/><Relationship Id="rId159" Type="http://schemas.openxmlformats.org/officeDocument/2006/relationships/hyperlink" Target="https://youtu.be/sgU7yUQXOvk?t=3424" TargetMode="External"/><Relationship Id="rId59" Type="http://schemas.openxmlformats.org/officeDocument/2006/relationships/hyperlink" Target="https://youtu.be/MijxsO3dSvg?t=7494" TargetMode="External"/><Relationship Id="rId154" Type="http://schemas.openxmlformats.org/officeDocument/2006/relationships/hyperlink" Target="https://youtu.be/pQ73LbZlUEk?t=828" TargetMode="External"/><Relationship Id="rId275" Type="http://schemas.openxmlformats.org/officeDocument/2006/relationships/hyperlink" Target="https://youtu.be/ALff5TUFAk8?t=1954" TargetMode="External"/><Relationship Id="rId58" Type="http://schemas.openxmlformats.org/officeDocument/2006/relationships/hyperlink" Target="https://youtu.be/HRFgztynTCA?t=6722" TargetMode="External"/><Relationship Id="rId153" Type="http://schemas.openxmlformats.org/officeDocument/2006/relationships/hyperlink" Target="https://youtu.be/sgU7yUQXOvk?t=880" TargetMode="External"/><Relationship Id="rId274" Type="http://schemas.openxmlformats.org/officeDocument/2006/relationships/hyperlink" Target="https://youtu.be/S9XgwdOMn6s?t=1112" TargetMode="External"/><Relationship Id="rId152" Type="http://schemas.openxmlformats.org/officeDocument/2006/relationships/hyperlink" Target="https://youtu.be/pQ73LbZlUEk" TargetMode="External"/><Relationship Id="rId273" Type="http://schemas.openxmlformats.org/officeDocument/2006/relationships/hyperlink" Target="https://youtu.be/ALff5TUFAk8?t=1034" TargetMode="External"/><Relationship Id="rId151" Type="http://schemas.openxmlformats.org/officeDocument/2006/relationships/hyperlink" Target="https://youtu.be/sgU7yUQXOvk" TargetMode="External"/><Relationship Id="rId272" Type="http://schemas.openxmlformats.org/officeDocument/2006/relationships/hyperlink" Target="https://youtu.be/S9XgwdOMn6s" TargetMode="External"/><Relationship Id="rId158" Type="http://schemas.openxmlformats.org/officeDocument/2006/relationships/hyperlink" Target="https://youtu.be/pQ73LbZlUEk?t=2514" TargetMode="External"/><Relationship Id="rId279" Type="http://schemas.openxmlformats.org/officeDocument/2006/relationships/hyperlink" Target="https://youtu.be/ALff5TUFAk8?t=3900" TargetMode="External"/><Relationship Id="rId157" Type="http://schemas.openxmlformats.org/officeDocument/2006/relationships/hyperlink" Target="https://youtu.be/sgU7yUQXOvk?t=2579" TargetMode="External"/><Relationship Id="rId278" Type="http://schemas.openxmlformats.org/officeDocument/2006/relationships/hyperlink" Target="https://youtu.be/S9XgwdOMn6s?t=3007" TargetMode="External"/><Relationship Id="rId156" Type="http://schemas.openxmlformats.org/officeDocument/2006/relationships/hyperlink" Target="https://youtu.be/pQ73LbZlUEk?t=1670" TargetMode="External"/><Relationship Id="rId277" Type="http://schemas.openxmlformats.org/officeDocument/2006/relationships/hyperlink" Target="https://youtu.be/ALff5TUFAk8?t=2924" TargetMode="External"/><Relationship Id="rId155" Type="http://schemas.openxmlformats.org/officeDocument/2006/relationships/hyperlink" Target="https://youtu.be/sgU7yUQXOvk?t=1721" TargetMode="External"/><Relationship Id="rId276" Type="http://schemas.openxmlformats.org/officeDocument/2006/relationships/hyperlink" Target="https://youtu.be/S9XgwdOMn6s?t=2051" TargetMode="External"/><Relationship Id="rId107" Type="http://schemas.openxmlformats.org/officeDocument/2006/relationships/hyperlink" Target="https://youtu.be/ULjADjX7MMY?t=4619" TargetMode="External"/><Relationship Id="rId228" Type="http://schemas.openxmlformats.org/officeDocument/2006/relationships/hyperlink" Target="https://youtu.be/UzFM148yXXk?t=7824" TargetMode="External"/><Relationship Id="rId106" Type="http://schemas.openxmlformats.org/officeDocument/2006/relationships/hyperlink" Target="https://youtu.be/ULjADjX7MMY?t=3645" TargetMode="External"/><Relationship Id="rId227" Type="http://schemas.openxmlformats.org/officeDocument/2006/relationships/hyperlink" Target="https://youtu.be/tfCQr_46sKE?t=7677" TargetMode="External"/><Relationship Id="rId105" Type="http://schemas.openxmlformats.org/officeDocument/2006/relationships/hyperlink" Target="https://youtu.be/ULjADjX7MMY?t=2681" TargetMode="External"/><Relationship Id="rId226" Type="http://schemas.openxmlformats.org/officeDocument/2006/relationships/hyperlink" Target="https://youtu.be/UzFM148yXXk?t=6834" TargetMode="External"/><Relationship Id="rId104" Type="http://schemas.openxmlformats.org/officeDocument/2006/relationships/hyperlink" Target="https://youtu.be/ULjADjX7MMY?t=1772" TargetMode="External"/><Relationship Id="rId225" Type="http://schemas.openxmlformats.org/officeDocument/2006/relationships/hyperlink" Target="https://youtu.be/tfCQr_46sKE?t=6764" TargetMode="External"/><Relationship Id="rId109" Type="http://schemas.openxmlformats.org/officeDocument/2006/relationships/hyperlink" Target="https://youtu.be/ULjADjX7MMY?t=6559" TargetMode="External"/><Relationship Id="rId108" Type="http://schemas.openxmlformats.org/officeDocument/2006/relationships/hyperlink" Target="https://youtu.be/ULjADjX7MMY?t=5555" TargetMode="External"/><Relationship Id="rId229" Type="http://schemas.openxmlformats.org/officeDocument/2006/relationships/hyperlink" Target="https://youtu.be/tfCQr_46sKE?t=8658" TargetMode="External"/><Relationship Id="rId220" Type="http://schemas.openxmlformats.org/officeDocument/2006/relationships/hyperlink" Target="https://youtu.be/UzFM148yXXk?t=3972" TargetMode="External"/><Relationship Id="rId103" Type="http://schemas.openxmlformats.org/officeDocument/2006/relationships/hyperlink" Target="https://youtu.be/ULjADjX7MMY?t=874" TargetMode="External"/><Relationship Id="rId224" Type="http://schemas.openxmlformats.org/officeDocument/2006/relationships/hyperlink" Target="https://youtu.be/UzFM148yXXk?t=5892" TargetMode="External"/><Relationship Id="rId102" Type="http://schemas.openxmlformats.org/officeDocument/2006/relationships/hyperlink" Target="https://youtu.be/BxXMT4YRFfc" TargetMode="External"/><Relationship Id="rId223" Type="http://schemas.openxmlformats.org/officeDocument/2006/relationships/hyperlink" Target="https://youtu.be/tfCQr_46sKE?t=5796" TargetMode="External"/><Relationship Id="rId101" Type="http://schemas.openxmlformats.org/officeDocument/2006/relationships/hyperlink" Target="https://youtu.be/ULjADjX7MMY" TargetMode="External"/><Relationship Id="rId222" Type="http://schemas.openxmlformats.org/officeDocument/2006/relationships/hyperlink" Target="https://youtu.be/UzFM148yXXk?t=4923" TargetMode="External"/><Relationship Id="rId100" Type="http://schemas.openxmlformats.org/officeDocument/2006/relationships/hyperlink" Target="https://youtu.be/4yrjHb7DTH8?t=8472" TargetMode="External"/><Relationship Id="rId221" Type="http://schemas.openxmlformats.org/officeDocument/2006/relationships/hyperlink" Target="https://youtu.be/tfCQr_46sKE?t=4842" TargetMode="External"/><Relationship Id="rId217" Type="http://schemas.openxmlformats.org/officeDocument/2006/relationships/hyperlink" Target="https://youtu.be/tfCQr_46sKE?t=2910" TargetMode="External"/><Relationship Id="rId216" Type="http://schemas.openxmlformats.org/officeDocument/2006/relationships/hyperlink" Target="https://youtu.be/UzFM148yXXk?t=2074" TargetMode="External"/><Relationship Id="rId215" Type="http://schemas.openxmlformats.org/officeDocument/2006/relationships/hyperlink" Target="https://youtu.be/tfCQr_46sKE?t=1932" TargetMode="External"/><Relationship Id="rId214" Type="http://schemas.openxmlformats.org/officeDocument/2006/relationships/hyperlink" Target="https://youtu.be/UzFM148yXXk?t=1098" TargetMode="External"/><Relationship Id="rId219" Type="http://schemas.openxmlformats.org/officeDocument/2006/relationships/hyperlink" Target="https://youtu.be/tfCQr_46sKE?t=3867" TargetMode="External"/><Relationship Id="rId218" Type="http://schemas.openxmlformats.org/officeDocument/2006/relationships/hyperlink" Target="https://youtu.be/UzFM148yXXk?t=3006" TargetMode="External"/><Relationship Id="rId213" Type="http://schemas.openxmlformats.org/officeDocument/2006/relationships/hyperlink" Target="https://youtu.be/tfCQr_46sKE?t=986" TargetMode="External"/><Relationship Id="rId212" Type="http://schemas.openxmlformats.org/officeDocument/2006/relationships/hyperlink" Target="https://youtu.be/UzFM148yXXk" TargetMode="External"/><Relationship Id="rId211" Type="http://schemas.openxmlformats.org/officeDocument/2006/relationships/hyperlink" Target="https://youtu.be/tfCQr_46sKE" TargetMode="External"/><Relationship Id="rId210" Type="http://schemas.openxmlformats.org/officeDocument/2006/relationships/hyperlink" Target="https://youtu.be/-wFR5J33rd0?t=8478" TargetMode="External"/><Relationship Id="rId129" Type="http://schemas.openxmlformats.org/officeDocument/2006/relationships/hyperlink" Target="https://youtu.be/G3hz68HOdC4?t=7680" TargetMode="External"/><Relationship Id="rId128" Type="http://schemas.openxmlformats.org/officeDocument/2006/relationships/hyperlink" Target="https://youtu.be/LZVjF5_6vIE?t=6566" TargetMode="External"/><Relationship Id="rId249" Type="http://schemas.openxmlformats.org/officeDocument/2006/relationships/hyperlink" Target="https://youtu.be/B8Dv2D7SFeM?t=7768" TargetMode="External"/><Relationship Id="rId127" Type="http://schemas.openxmlformats.org/officeDocument/2006/relationships/hyperlink" Target="https://youtu.be/G3hz68HOdC4?t=6853" TargetMode="External"/><Relationship Id="rId248" Type="http://schemas.openxmlformats.org/officeDocument/2006/relationships/hyperlink" Target="https://youtu.be/G_dBJhFZR1g?t=6966" TargetMode="External"/><Relationship Id="rId126" Type="http://schemas.openxmlformats.org/officeDocument/2006/relationships/hyperlink" Target="https://youtu.be/LZVjF5_6vIE?t=5716" TargetMode="External"/><Relationship Id="rId247" Type="http://schemas.openxmlformats.org/officeDocument/2006/relationships/hyperlink" Target="https://youtu.be/B8Dv2D7SFeM?t=6919" TargetMode="External"/><Relationship Id="rId121" Type="http://schemas.openxmlformats.org/officeDocument/2006/relationships/hyperlink" Target="https://youtu.be/G3hz68HOdC4?t=4336" TargetMode="External"/><Relationship Id="rId242" Type="http://schemas.openxmlformats.org/officeDocument/2006/relationships/hyperlink" Target="https://youtu.be/G_dBJhFZR1g?t=4318" TargetMode="External"/><Relationship Id="rId120" Type="http://schemas.openxmlformats.org/officeDocument/2006/relationships/hyperlink" Target="https://youtu.be/LZVjF5_6vIE?t=3256" TargetMode="External"/><Relationship Id="rId241" Type="http://schemas.openxmlformats.org/officeDocument/2006/relationships/hyperlink" Target="https://youtu.be/B8Dv2D7SFeM?t=4400" TargetMode="External"/><Relationship Id="rId240" Type="http://schemas.openxmlformats.org/officeDocument/2006/relationships/hyperlink" Target="https://youtu.be/G_dBJhFZR1g?t=3485" TargetMode="External"/><Relationship Id="rId125" Type="http://schemas.openxmlformats.org/officeDocument/2006/relationships/hyperlink" Target="https://youtu.be/G3hz68HOdC4?t=6007" TargetMode="External"/><Relationship Id="rId246" Type="http://schemas.openxmlformats.org/officeDocument/2006/relationships/hyperlink" Target="https://youtu.be/G_dBJhFZR1g?t=6084" TargetMode="External"/><Relationship Id="rId124" Type="http://schemas.openxmlformats.org/officeDocument/2006/relationships/hyperlink" Target="https://youtu.be/LZVjF5_6vIE?t=4889" TargetMode="External"/><Relationship Id="rId245" Type="http://schemas.openxmlformats.org/officeDocument/2006/relationships/hyperlink" Target="https://youtu.be/B8Dv2D7SFeM?t=6038" TargetMode="External"/><Relationship Id="rId123" Type="http://schemas.openxmlformats.org/officeDocument/2006/relationships/hyperlink" Target="https://youtu.be/G3hz68HOdC4?t=5153" TargetMode="External"/><Relationship Id="rId244" Type="http://schemas.openxmlformats.org/officeDocument/2006/relationships/hyperlink" Target="https://youtu.be/G_dBJhFZR1g?t=5188" TargetMode="External"/><Relationship Id="rId122" Type="http://schemas.openxmlformats.org/officeDocument/2006/relationships/hyperlink" Target="https://youtu.be/LZVjF5_6vIE?t=4043" TargetMode="External"/><Relationship Id="rId243" Type="http://schemas.openxmlformats.org/officeDocument/2006/relationships/hyperlink" Target="https://youtu.be/B8Dv2D7SFeM?t=5224" TargetMode="External"/><Relationship Id="rId95" Type="http://schemas.openxmlformats.org/officeDocument/2006/relationships/hyperlink" Target="https://youtu.be/r6QFJGGWY-E?t=6736" TargetMode="External"/><Relationship Id="rId94" Type="http://schemas.openxmlformats.org/officeDocument/2006/relationships/hyperlink" Target="https://youtu.be/4yrjHb7DTH8?t=5559" TargetMode="External"/><Relationship Id="rId97" Type="http://schemas.openxmlformats.org/officeDocument/2006/relationships/hyperlink" Target="https://youtu.be/r6QFJGGWY-E?t=7691" TargetMode="External"/><Relationship Id="rId96" Type="http://schemas.openxmlformats.org/officeDocument/2006/relationships/hyperlink" Target="https://youtu.be/4yrjHb7DTH8?t=6487" TargetMode="External"/><Relationship Id="rId99" Type="http://schemas.openxmlformats.org/officeDocument/2006/relationships/hyperlink" Target="https://youtu.be/r6QFJGGWY-E?t=8564" TargetMode="External"/><Relationship Id="rId98" Type="http://schemas.openxmlformats.org/officeDocument/2006/relationships/hyperlink" Target="https://youtu.be/4yrjHb7DTH8?t=7512" TargetMode="External"/><Relationship Id="rId91" Type="http://schemas.openxmlformats.org/officeDocument/2006/relationships/hyperlink" Target="https://youtu.be/r6QFJGGWY-E?t=4789" TargetMode="External"/><Relationship Id="rId90" Type="http://schemas.openxmlformats.org/officeDocument/2006/relationships/hyperlink" Target="https://youtu.be/4yrjHb7DTH8?t=3677" TargetMode="External"/><Relationship Id="rId93" Type="http://schemas.openxmlformats.org/officeDocument/2006/relationships/hyperlink" Target="https://youtu.be/r6QFJGGWY-E?t=5735" TargetMode="External"/><Relationship Id="rId92" Type="http://schemas.openxmlformats.org/officeDocument/2006/relationships/hyperlink" Target="https://youtu.be/4yrjHb7DTH8?t=4589" TargetMode="External"/><Relationship Id="rId118" Type="http://schemas.openxmlformats.org/officeDocument/2006/relationships/hyperlink" Target="https://youtu.be/LZVjF5_6vIE?t=2454" TargetMode="External"/><Relationship Id="rId239" Type="http://schemas.openxmlformats.org/officeDocument/2006/relationships/hyperlink" Target="https://youtu.be/B8Dv2D7SFeM?t=3506" TargetMode="External"/><Relationship Id="rId117" Type="http://schemas.openxmlformats.org/officeDocument/2006/relationships/hyperlink" Target="https://youtu.be/LZVjF5_6vIE?t=1657" TargetMode="External"/><Relationship Id="rId238" Type="http://schemas.openxmlformats.org/officeDocument/2006/relationships/hyperlink" Target="https://youtu.be/G_dBJhFZR1g?t=2598" TargetMode="External"/><Relationship Id="rId116" Type="http://schemas.openxmlformats.org/officeDocument/2006/relationships/hyperlink" Target="https://youtu.be/G3hz68HOdC4?t=1726" TargetMode="External"/><Relationship Id="rId237" Type="http://schemas.openxmlformats.org/officeDocument/2006/relationships/hyperlink" Target="https://youtu.be/B8Dv2D7SFeM?t=2583" TargetMode="External"/><Relationship Id="rId115" Type="http://schemas.openxmlformats.org/officeDocument/2006/relationships/hyperlink" Target="https://youtu.be/LZVjF5_6vIE?t=882" TargetMode="External"/><Relationship Id="rId236" Type="http://schemas.openxmlformats.org/officeDocument/2006/relationships/hyperlink" Target="https://youtu.be/G_dBJhFZR1g?t=1715" TargetMode="External"/><Relationship Id="rId119" Type="http://schemas.openxmlformats.org/officeDocument/2006/relationships/hyperlink" Target="https://youtu.be/G3hz68HOdC4?t=3449" TargetMode="External"/><Relationship Id="rId110" Type="http://schemas.openxmlformats.org/officeDocument/2006/relationships/hyperlink" Target="https://youtu.be/ULjADjX7MMY?t=7553" TargetMode="External"/><Relationship Id="rId231" Type="http://schemas.openxmlformats.org/officeDocument/2006/relationships/hyperlink" Target="https://youtu.be/B8Dv2D7SFeM" TargetMode="External"/><Relationship Id="rId230" Type="http://schemas.openxmlformats.org/officeDocument/2006/relationships/hyperlink" Target="https://youtu.be/UzFM148yXXk?t=8721" TargetMode="External"/><Relationship Id="rId114" Type="http://schemas.openxmlformats.org/officeDocument/2006/relationships/hyperlink" Target="https://youtu.be/G3hz68HOdC4?t=854" TargetMode="External"/><Relationship Id="rId235" Type="http://schemas.openxmlformats.org/officeDocument/2006/relationships/hyperlink" Target="https://youtu.be/B8Dv2D7SFeM?t=1692" TargetMode="External"/><Relationship Id="rId113" Type="http://schemas.openxmlformats.org/officeDocument/2006/relationships/hyperlink" Target="https://youtu.be/LZVjF5_6vIE" TargetMode="External"/><Relationship Id="rId234" Type="http://schemas.openxmlformats.org/officeDocument/2006/relationships/hyperlink" Target="https://youtu.be/G_dBJhFZR1g?t=901" TargetMode="External"/><Relationship Id="rId112" Type="http://schemas.openxmlformats.org/officeDocument/2006/relationships/hyperlink" Target="https://youtu.be/G3hz68HOdC4" TargetMode="External"/><Relationship Id="rId233" Type="http://schemas.openxmlformats.org/officeDocument/2006/relationships/hyperlink" Target="https://youtu.be/B8Dv2D7SFeM?t=866" TargetMode="External"/><Relationship Id="rId111" Type="http://schemas.openxmlformats.org/officeDocument/2006/relationships/hyperlink" Target="https://youtu.be/ULjADjX7MMY?t=8400" TargetMode="External"/><Relationship Id="rId232" Type="http://schemas.openxmlformats.org/officeDocument/2006/relationships/hyperlink" Target="https://youtu.be/G_dBJhFZR1g" TargetMode="External"/><Relationship Id="rId305" Type="http://schemas.openxmlformats.org/officeDocument/2006/relationships/hyperlink" Target="https://youtu.be/Yg54R4Yq4c4?t=5707" TargetMode="External"/><Relationship Id="rId304" Type="http://schemas.openxmlformats.org/officeDocument/2006/relationships/hyperlink" Target="https://youtu.be/iyOI1sVN6_8?t=4912" TargetMode="External"/><Relationship Id="rId303" Type="http://schemas.openxmlformats.org/officeDocument/2006/relationships/hyperlink" Target="https://youtu.be/Yg54R4Yq4c4?t=4924" TargetMode="External"/><Relationship Id="rId302" Type="http://schemas.openxmlformats.org/officeDocument/2006/relationships/hyperlink" Target="https://youtu.be/iyOI1sVN6_8?t=4106" TargetMode="External"/><Relationship Id="rId309" Type="http://schemas.openxmlformats.org/officeDocument/2006/relationships/hyperlink" Target="https://youtu.be/Yg54R4Yq4c4?t=7368" TargetMode="External"/><Relationship Id="rId308" Type="http://schemas.openxmlformats.org/officeDocument/2006/relationships/hyperlink" Target="https://youtu.be/iyOI1sVN6_8?t=6586" TargetMode="External"/><Relationship Id="rId307" Type="http://schemas.openxmlformats.org/officeDocument/2006/relationships/hyperlink" Target="https://youtu.be/Yg54R4Yq4c4?t=6518" TargetMode="External"/><Relationship Id="rId306" Type="http://schemas.openxmlformats.org/officeDocument/2006/relationships/hyperlink" Target="https://youtu.be/iyOI1sVN6_8?t=5776" TargetMode="External"/><Relationship Id="rId301" Type="http://schemas.openxmlformats.org/officeDocument/2006/relationships/hyperlink" Target="https://youtu.be/Yg54R4Yq4c4?t=4137" TargetMode="External"/><Relationship Id="rId300" Type="http://schemas.openxmlformats.org/officeDocument/2006/relationships/hyperlink" Target="https://youtu.be/iyOI1sVN6_8?t=3304" TargetMode="External"/><Relationship Id="rId206" Type="http://schemas.openxmlformats.org/officeDocument/2006/relationships/hyperlink" Target="https://youtu.be/-wFR5J33rd0?t=6588" TargetMode="External"/><Relationship Id="rId205" Type="http://schemas.openxmlformats.org/officeDocument/2006/relationships/hyperlink" Target="https://youtu.be/zv9LIK5Qsjk?t=6616" TargetMode="External"/><Relationship Id="rId204" Type="http://schemas.openxmlformats.org/officeDocument/2006/relationships/hyperlink" Target="https://youtu.be/-wFR5J33rd0?t=5708" TargetMode="External"/><Relationship Id="rId203" Type="http://schemas.openxmlformats.org/officeDocument/2006/relationships/hyperlink" Target="https://youtu.be/zv9LIK5Qsjk?t=5714" TargetMode="External"/><Relationship Id="rId209" Type="http://schemas.openxmlformats.org/officeDocument/2006/relationships/hyperlink" Target="https://youtu.be/zv9LIK5Qsjk?t=8373" TargetMode="External"/><Relationship Id="rId208" Type="http://schemas.openxmlformats.org/officeDocument/2006/relationships/hyperlink" Target="https://youtu.be/-wFR5J33rd0?t=7582" TargetMode="External"/><Relationship Id="rId207" Type="http://schemas.openxmlformats.org/officeDocument/2006/relationships/hyperlink" Target="https://youtu.be/zv9LIK5Qsjk?t=7553" TargetMode="External"/><Relationship Id="rId202" Type="http://schemas.openxmlformats.org/officeDocument/2006/relationships/hyperlink" Target="https://youtu.be/-wFR5J33rd0?t=4867" TargetMode="External"/><Relationship Id="rId201" Type="http://schemas.openxmlformats.org/officeDocument/2006/relationships/hyperlink" Target="https://youtu.be/zv9LIK5Qsjk?t=4739" TargetMode="External"/><Relationship Id="rId200" Type="http://schemas.openxmlformats.org/officeDocument/2006/relationships/hyperlink" Target="https://youtu.be/-wFR5J33rd0?t=4037" TargetMode="External"/><Relationship Id="rId311" Type="http://schemas.openxmlformats.org/officeDocument/2006/relationships/drawing" Target="../drawings/drawing24.xml"/><Relationship Id="rId310" Type="http://schemas.openxmlformats.org/officeDocument/2006/relationships/hyperlink" Target="https://youtu.be/iyOI1sVN6_8?t=7481" TargetMode="External"/></Relationships>
</file>

<file path=xl/worksheets/_rels/sheet2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tRzP8EsObQQ?t=8652" TargetMode="External"/><Relationship Id="rId190" Type="http://schemas.openxmlformats.org/officeDocument/2006/relationships/hyperlink" Target="https://youtu.be/qxk67DfHVBQ?t=3306" TargetMode="External"/><Relationship Id="rId42" Type="http://schemas.openxmlformats.org/officeDocument/2006/relationships/hyperlink" Target="https://youtu.be/dyL7U_ohMuw" TargetMode="External"/><Relationship Id="rId41" Type="http://schemas.openxmlformats.org/officeDocument/2006/relationships/hyperlink" Target="https://youtu.be/E-vtKf8nxGc" TargetMode="External"/><Relationship Id="rId44" Type="http://schemas.openxmlformats.org/officeDocument/2006/relationships/hyperlink" Target="https://youtu.be/dyL7U_ohMuw?t=891" TargetMode="External"/><Relationship Id="rId194" Type="http://schemas.openxmlformats.org/officeDocument/2006/relationships/hyperlink" Target="https://youtu.be/qxk67DfHVBQ?t=5044" TargetMode="External"/><Relationship Id="rId43" Type="http://schemas.openxmlformats.org/officeDocument/2006/relationships/hyperlink" Target="https://youtu.be/E-vtKf8nxGc?t=836" TargetMode="External"/><Relationship Id="rId193" Type="http://schemas.openxmlformats.org/officeDocument/2006/relationships/hyperlink" Target="https://youtu.be/FwLC5UGxaQs?t=5117" TargetMode="External"/><Relationship Id="rId46" Type="http://schemas.openxmlformats.org/officeDocument/2006/relationships/hyperlink" Target="https://youtu.be/dyL7U_ohMuw?t=1706" TargetMode="External"/><Relationship Id="rId192" Type="http://schemas.openxmlformats.org/officeDocument/2006/relationships/hyperlink" Target="https://youtu.be/qxk67DfHVBQ?t=4162" TargetMode="External"/><Relationship Id="rId45" Type="http://schemas.openxmlformats.org/officeDocument/2006/relationships/hyperlink" Target="https://youtu.be/E-vtKf8nxGc?t=1687" TargetMode="External"/><Relationship Id="rId191" Type="http://schemas.openxmlformats.org/officeDocument/2006/relationships/hyperlink" Target="https://youtu.be/FwLC5UGxaQs?t=4209" TargetMode="External"/><Relationship Id="rId48" Type="http://schemas.openxmlformats.org/officeDocument/2006/relationships/hyperlink" Target="https://youtu.be/dyL7U_ohMuw?t=2584" TargetMode="External"/><Relationship Id="rId187" Type="http://schemas.openxmlformats.org/officeDocument/2006/relationships/hyperlink" Target="https://youtu.be/FwLC5UGxaQs?t=2567" TargetMode="External"/><Relationship Id="rId47" Type="http://schemas.openxmlformats.org/officeDocument/2006/relationships/hyperlink" Target="https://youtu.be/E-vtKf8nxGc?t=2524" TargetMode="External"/><Relationship Id="rId186" Type="http://schemas.openxmlformats.org/officeDocument/2006/relationships/hyperlink" Target="https://youtu.be/qxk67DfHVBQ?t=1648" TargetMode="External"/><Relationship Id="rId185" Type="http://schemas.openxmlformats.org/officeDocument/2006/relationships/hyperlink" Target="https://youtu.be/FwLC5UGxaQs?t=1708" TargetMode="External"/><Relationship Id="rId49" Type="http://schemas.openxmlformats.org/officeDocument/2006/relationships/hyperlink" Target="https://youtu.be/E-vtKf8nxGc?t=3347" TargetMode="External"/><Relationship Id="rId184" Type="http://schemas.openxmlformats.org/officeDocument/2006/relationships/hyperlink" Target="https://youtu.be/qxk67DfHVBQ?t=809" TargetMode="External"/><Relationship Id="rId189" Type="http://schemas.openxmlformats.org/officeDocument/2006/relationships/hyperlink" Target="https://youtu.be/FwLC5UGxaQs?t=3399" TargetMode="External"/><Relationship Id="rId188" Type="http://schemas.openxmlformats.org/officeDocument/2006/relationships/hyperlink" Target="https://youtu.be/qxk67DfHVBQ?t=2467" TargetMode="External"/><Relationship Id="rId31" Type="http://schemas.openxmlformats.org/officeDocument/2006/relationships/hyperlink" Target="https://youtu.be/ZnjojAJ_4sE?t=4722" TargetMode="External"/><Relationship Id="rId30" Type="http://schemas.openxmlformats.org/officeDocument/2006/relationships/hyperlink" Target="https://youtu.be/tRzP8EsObQQ?t=3922" TargetMode="External"/><Relationship Id="rId33" Type="http://schemas.openxmlformats.org/officeDocument/2006/relationships/hyperlink" Target="https://youtu.be/ZnjojAJ_4sE?t=5694" TargetMode="External"/><Relationship Id="rId183" Type="http://schemas.openxmlformats.org/officeDocument/2006/relationships/hyperlink" Target="https://youtu.be/FwLC5UGxaQs?t=872" TargetMode="External"/><Relationship Id="rId32" Type="http://schemas.openxmlformats.org/officeDocument/2006/relationships/hyperlink" Target="https://youtu.be/tRzP8EsObQQ?t=4863" TargetMode="External"/><Relationship Id="rId182" Type="http://schemas.openxmlformats.org/officeDocument/2006/relationships/hyperlink" Target="https://youtu.be/qxk67DfHVBQ" TargetMode="External"/><Relationship Id="rId35" Type="http://schemas.openxmlformats.org/officeDocument/2006/relationships/hyperlink" Target="https://youtu.be/ZnjojAJ_4sE?t=6594" TargetMode="External"/><Relationship Id="rId181" Type="http://schemas.openxmlformats.org/officeDocument/2006/relationships/hyperlink" Target="https://youtu.be/FwLC5UGxaQs" TargetMode="External"/><Relationship Id="rId34" Type="http://schemas.openxmlformats.org/officeDocument/2006/relationships/hyperlink" Target="https://youtu.be/tRzP8EsObQQ?t=5802" TargetMode="External"/><Relationship Id="rId180" Type="http://schemas.openxmlformats.org/officeDocument/2006/relationships/hyperlink" Target="https://youtu.be/9Z1TaplXmEw?t=7792" TargetMode="External"/><Relationship Id="rId37" Type="http://schemas.openxmlformats.org/officeDocument/2006/relationships/hyperlink" Target="https://youtu.be/ZnjojAJ_4sE?t=7513" TargetMode="External"/><Relationship Id="rId176" Type="http://schemas.openxmlformats.org/officeDocument/2006/relationships/hyperlink" Target="https://youtu.be/9Z1TaplXmEw?t=6093" TargetMode="External"/><Relationship Id="rId297" Type="http://schemas.openxmlformats.org/officeDocument/2006/relationships/hyperlink" Target="https://youtu.be/TzeiOftjhvM?t=7694" TargetMode="External"/><Relationship Id="rId36" Type="http://schemas.openxmlformats.org/officeDocument/2006/relationships/hyperlink" Target="https://youtu.be/tRzP8EsObQQ?t=6784" TargetMode="External"/><Relationship Id="rId175" Type="http://schemas.openxmlformats.org/officeDocument/2006/relationships/hyperlink" Target="https://youtu.be/KSO-4RQXDhY?t=6033" TargetMode="External"/><Relationship Id="rId296" Type="http://schemas.openxmlformats.org/officeDocument/2006/relationships/hyperlink" Target="https://youtu.be/u796nJmZXGw?t=6776" TargetMode="External"/><Relationship Id="rId39" Type="http://schemas.openxmlformats.org/officeDocument/2006/relationships/hyperlink" Target="https://youtu.be/ZnjojAJ_4sE?t=8390" TargetMode="External"/><Relationship Id="rId174" Type="http://schemas.openxmlformats.org/officeDocument/2006/relationships/hyperlink" Target="https://youtu.be/9Z1TaplXmEw?t=5245" TargetMode="External"/><Relationship Id="rId295" Type="http://schemas.openxmlformats.org/officeDocument/2006/relationships/hyperlink" Target="https://youtu.be/TzeiOftjhvM?t=6736" TargetMode="External"/><Relationship Id="rId38" Type="http://schemas.openxmlformats.org/officeDocument/2006/relationships/hyperlink" Target="https://youtu.be/tRzP8EsObQQ?t=7762" TargetMode="External"/><Relationship Id="rId173" Type="http://schemas.openxmlformats.org/officeDocument/2006/relationships/hyperlink" Target="https://youtu.be/KSO-4RQXDhY?t=5243" TargetMode="External"/><Relationship Id="rId294" Type="http://schemas.openxmlformats.org/officeDocument/2006/relationships/hyperlink" Target="https://youtu.be/u796nJmZXGw?t=5840" TargetMode="External"/><Relationship Id="rId179" Type="http://schemas.openxmlformats.org/officeDocument/2006/relationships/hyperlink" Target="https://youtu.be/KSO-4RQXDhY?t=7777" TargetMode="External"/><Relationship Id="rId178" Type="http://schemas.openxmlformats.org/officeDocument/2006/relationships/hyperlink" Target="https://youtu.be/9Z1TaplXmEw?t=6987" TargetMode="External"/><Relationship Id="rId299" Type="http://schemas.openxmlformats.org/officeDocument/2006/relationships/hyperlink" Target="https://youtu.be/TzeiOftjhvM?t=8704" TargetMode="External"/><Relationship Id="rId177" Type="http://schemas.openxmlformats.org/officeDocument/2006/relationships/hyperlink" Target="https://youtu.be/KSO-4RQXDhY?t=6928" TargetMode="External"/><Relationship Id="rId298" Type="http://schemas.openxmlformats.org/officeDocument/2006/relationships/hyperlink" Target="https://youtu.be/u796nJmZXGw?t=7740" TargetMode="External"/><Relationship Id="rId20" Type="http://schemas.openxmlformats.org/officeDocument/2006/relationships/hyperlink" Target="https://youtu.be/kP0m6Z_x1xI?t=7652" TargetMode="External"/><Relationship Id="rId22" Type="http://schemas.openxmlformats.org/officeDocument/2006/relationships/hyperlink" Target="https://youtu.be/tRzP8EsObQQ" TargetMode="External"/><Relationship Id="rId21" Type="http://schemas.openxmlformats.org/officeDocument/2006/relationships/hyperlink" Target="https://youtu.be/ZnjojAJ_4sE" TargetMode="External"/><Relationship Id="rId24" Type="http://schemas.openxmlformats.org/officeDocument/2006/relationships/hyperlink" Target="https://youtu.be/tRzP8EsObQQ?t=1187" TargetMode="External"/><Relationship Id="rId23" Type="http://schemas.openxmlformats.org/officeDocument/2006/relationships/hyperlink" Target="https://youtu.be/ZnjojAJ_4sE?t=1046" TargetMode="External"/><Relationship Id="rId26" Type="http://schemas.openxmlformats.org/officeDocument/2006/relationships/hyperlink" Target="https://youtu.be/tRzP8EsObQQ?t=2083" TargetMode="External"/><Relationship Id="rId25" Type="http://schemas.openxmlformats.org/officeDocument/2006/relationships/hyperlink" Target="https://youtu.be/ZnjojAJ_4sE?t=1985" TargetMode="External"/><Relationship Id="rId28" Type="http://schemas.openxmlformats.org/officeDocument/2006/relationships/hyperlink" Target="https://youtu.be/tRzP8EsObQQ?t=2997" TargetMode="External"/><Relationship Id="rId27" Type="http://schemas.openxmlformats.org/officeDocument/2006/relationships/hyperlink" Target="https://youtu.be/ZnjojAJ_4sE?t=2813" TargetMode="External"/><Relationship Id="rId29" Type="http://schemas.openxmlformats.org/officeDocument/2006/relationships/hyperlink" Target="https://youtu.be/ZnjojAJ_4sE?t=3689" TargetMode="External"/><Relationship Id="rId11" Type="http://schemas.openxmlformats.org/officeDocument/2006/relationships/hyperlink" Target="https://youtu.be/Mt8BiPl1RNA?t=4251" TargetMode="External"/><Relationship Id="rId10" Type="http://schemas.openxmlformats.org/officeDocument/2006/relationships/hyperlink" Target="https://youtu.be/kP0m6Z_x1xI?t=3397" TargetMode="External"/><Relationship Id="rId13" Type="http://schemas.openxmlformats.org/officeDocument/2006/relationships/hyperlink" Target="https://youtu.be/Mt8BiPl1RNA?t=5098" TargetMode="External"/><Relationship Id="rId12" Type="http://schemas.openxmlformats.org/officeDocument/2006/relationships/hyperlink" Target="https://youtu.be/kP0m6Z_x1xI?t=4226" TargetMode="External"/><Relationship Id="rId15" Type="http://schemas.openxmlformats.org/officeDocument/2006/relationships/hyperlink" Target="https://youtu.be/Mt8BiPl1RNA?t=5922" TargetMode="External"/><Relationship Id="rId198" Type="http://schemas.openxmlformats.org/officeDocument/2006/relationships/hyperlink" Target="https://youtu.be/qxk67DfHVBQ?t=6759" TargetMode="External"/><Relationship Id="rId14" Type="http://schemas.openxmlformats.org/officeDocument/2006/relationships/hyperlink" Target="https://youtu.be/kP0m6Z_x1xI?t=5097" TargetMode="External"/><Relationship Id="rId197" Type="http://schemas.openxmlformats.org/officeDocument/2006/relationships/hyperlink" Target="https://youtu.be/FwLC5UGxaQs?t=6781" TargetMode="External"/><Relationship Id="rId17" Type="http://schemas.openxmlformats.org/officeDocument/2006/relationships/hyperlink" Target="https://youtu.be/Mt8BiPl1RNA?t=6769" TargetMode="External"/><Relationship Id="rId196" Type="http://schemas.openxmlformats.org/officeDocument/2006/relationships/hyperlink" Target="https://youtu.be/qxk67DfHVBQ?t=5904" TargetMode="External"/><Relationship Id="rId16" Type="http://schemas.openxmlformats.org/officeDocument/2006/relationships/hyperlink" Target="https://youtu.be/kP0m6Z_x1xI?t=5933" TargetMode="External"/><Relationship Id="rId195" Type="http://schemas.openxmlformats.org/officeDocument/2006/relationships/hyperlink" Target="https://youtu.be/FwLC5UGxaQs?t=5967" TargetMode="External"/><Relationship Id="rId19" Type="http://schemas.openxmlformats.org/officeDocument/2006/relationships/hyperlink" Target="https://youtu.be/Mt8BiPl1RNA?t=7602" TargetMode="External"/><Relationship Id="rId18" Type="http://schemas.openxmlformats.org/officeDocument/2006/relationships/hyperlink" Target="https://youtu.be/kP0m6Z_x1xI?t=6799" TargetMode="External"/><Relationship Id="rId199" Type="http://schemas.openxmlformats.org/officeDocument/2006/relationships/hyperlink" Target="https://youtu.be/FwLC5UGxaQs?t=7667" TargetMode="External"/><Relationship Id="rId84" Type="http://schemas.openxmlformats.org/officeDocument/2006/relationships/hyperlink" Target="https://youtu.be/SSqVMrjmGKU?t=1040" TargetMode="External"/><Relationship Id="rId83" Type="http://schemas.openxmlformats.org/officeDocument/2006/relationships/hyperlink" Target="https://youtu.be/lmvMN4YKgpg?t=1049" TargetMode="External"/><Relationship Id="rId86" Type="http://schemas.openxmlformats.org/officeDocument/2006/relationships/hyperlink" Target="https://youtu.be/SSqVMrjmGKU?t=1962" TargetMode="External"/><Relationship Id="rId85" Type="http://schemas.openxmlformats.org/officeDocument/2006/relationships/hyperlink" Target="https://youtu.be/lmvMN4YKgpg?t=2010" TargetMode="External"/><Relationship Id="rId88" Type="http://schemas.openxmlformats.org/officeDocument/2006/relationships/hyperlink" Target="https://youtu.be/SSqVMrjmGKU?t=2898" TargetMode="External"/><Relationship Id="rId150" Type="http://schemas.openxmlformats.org/officeDocument/2006/relationships/hyperlink" Target="https://youtu.be/9sOwRuj1TSk?t=3910" TargetMode="External"/><Relationship Id="rId271" Type="http://schemas.openxmlformats.org/officeDocument/2006/relationships/hyperlink" Target="https://youtu.be/PTWzz57QwXc?t=4293" TargetMode="External"/><Relationship Id="rId87" Type="http://schemas.openxmlformats.org/officeDocument/2006/relationships/hyperlink" Target="https://youtu.be/lmvMN4YKgpg?t=2950" TargetMode="External"/><Relationship Id="rId270" Type="http://schemas.openxmlformats.org/officeDocument/2006/relationships/hyperlink" Target="https://youtu.be/tyDu0BhkbpY?t=3456" TargetMode="External"/><Relationship Id="rId89" Type="http://schemas.openxmlformats.org/officeDocument/2006/relationships/hyperlink" Target="https://youtu.be/lmvMN4YKgpg?t=3873" TargetMode="External"/><Relationship Id="rId80" Type="http://schemas.openxmlformats.org/officeDocument/2006/relationships/hyperlink" Target="https://youtu.be/jd5VYoD6AaY?t=8583" TargetMode="External"/><Relationship Id="rId82" Type="http://schemas.openxmlformats.org/officeDocument/2006/relationships/hyperlink" Target="https://youtu.be/SSqVMrjmGKU" TargetMode="External"/><Relationship Id="rId81" Type="http://schemas.openxmlformats.org/officeDocument/2006/relationships/hyperlink" Target="https://youtu.be/lmvMN4YKgpg" TargetMode="External"/><Relationship Id="rId1" Type="http://schemas.openxmlformats.org/officeDocument/2006/relationships/hyperlink" Target="https://youtu.be/Mt8BiPl1RNA" TargetMode="External"/><Relationship Id="rId2" Type="http://schemas.openxmlformats.org/officeDocument/2006/relationships/hyperlink" Target="https://youtu.be/kP0m6Z_x1xI" TargetMode="External"/><Relationship Id="rId3" Type="http://schemas.openxmlformats.org/officeDocument/2006/relationships/hyperlink" Target="https://youtu.be/Mt8BiPl1RNA?t=909" TargetMode="External"/><Relationship Id="rId149" Type="http://schemas.openxmlformats.org/officeDocument/2006/relationships/hyperlink" Target="https://youtu.be/QAAkxgSw2z0?t=1067" TargetMode="External"/><Relationship Id="rId4" Type="http://schemas.openxmlformats.org/officeDocument/2006/relationships/hyperlink" Target="https://youtu.be/kP0m6Z_x1xI?t=848" TargetMode="External"/><Relationship Id="rId148" Type="http://schemas.openxmlformats.org/officeDocument/2006/relationships/hyperlink" Target="https://youtu.be/9sOwRuj1TSk?t=2977" TargetMode="External"/><Relationship Id="rId269" Type="http://schemas.openxmlformats.org/officeDocument/2006/relationships/hyperlink" Target="https://youtu.be/PTWzz57QwXc?t=3455" TargetMode="External"/><Relationship Id="rId9" Type="http://schemas.openxmlformats.org/officeDocument/2006/relationships/hyperlink" Target="https://youtu.be/Mt8BiPl1RNA?t=3369" TargetMode="External"/><Relationship Id="rId143" Type="http://schemas.openxmlformats.org/officeDocument/2006/relationships/hyperlink" Target="https://youtu.be/FQtzM5NHF-Y?t=1110" TargetMode="External"/><Relationship Id="rId264" Type="http://schemas.openxmlformats.org/officeDocument/2006/relationships/hyperlink" Target="https://youtu.be/tyDu0BhkbpY?t=884" TargetMode="External"/><Relationship Id="rId142" Type="http://schemas.openxmlformats.org/officeDocument/2006/relationships/hyperlink" Target="https://youtu.be/9sOwRuj1TSk" TargetMode="External"/><Relationship Id="rId263" Type="http://schemas.openxmlformats.org/officeDocument/2006/relationships/hyperlink" Target="https://youtu.be/PTWzz57QwXc?t=942" TargetMode="External"/><Relationship Id="rId141" Type="http://schemas.openxmlformats.org/officeDocument/2006/relationships/hyperlink" Target="https://youtu.be/FQtzM5NHF-Y" TargetMode="External"/><Relationship Id="rId262" Type="http://schemas.openxmlformats.org/officeDocument/2006/relationships/hyperlink" Target="https://youtu.be/tyDu0BhkbpY" TargetMode="External"/><Relationship Id="rId140" Type="http://schemas.openxmlformats.org/officeDocument/2006/relationships/hyperlink" Target="https://youtu.be/upZgNN1ucE0?t=6963" TargetMode="External"/><Relationship Id="rId261" Type="http://schemas.openxmlformats.org/officeDocument/2006/relationships/hyperlink" Target="https://youtu.be/PTWzz57QwXc" TargetMode="External"/><Relationship Id="rId5" Type="http://schemas.openxmlformats.org/officeDocument/2006/relationships/hyperlink" Target="https://youtu.be/Mt8BiPl1RNA?t=1720" TargetMode="External"/><Relationship Id="rId147" Type="http://schemas.openxmlformats.org/officeDocument/2006/relationships/hyperlink" Target="https://youtu.be/QAAkxgSw2z0" TargetMode="External"/><Relationship Id="rId268" Type="http://schemas.openxmlformats.org/officeDocument/2006/relationships/hyperlink" Target="https://youtu.be/tyDu0BhkbpY?t=2586" TargetMode="External"/><Relationship Id="rId6" Type="http://schemas.openxmlformats.org/officeDocument/2006/relationships/hyperlink" Target="https://youtu.be/kP0m6Z_x1xI?t=1681" TargetMode="External"/><Relationship Id="rId146" Type="http://schemas.openxmlformats.org/officeDocument/2006/relationships/hyperlink" Target="https://youtu.be/9sOwRuj1TSk?t=2043" TargetMode="External"/><Relationship Id="rId267" Type="http://schemas.openxmlformats.org/officeDocument/2006/relationships/hyperlink" Target="https://youtu.be/PTWzz57QwXc?t=2622" TargetMode="External"/><Relationship Id="rId7" Type="http://schemas.openxmlformats.org/officeDocument/2006/relationships/hyperlink" Target="https://youtu.be/Mt8BiPl1RNA?t=2566" TargetMode="External"/><Relationship Id="rId145" Type="http://schemas.openxmlformats.org/officeDocument/2006/relationships/hyperlink" Target="https://youtu.be/FQtzM5NHF-Y?t=2089" TargetMode="External"/><Relationship Id="rId266" Type="http://schemas.openxmlformats.org/officeDocument/2006/relationships/hyperlink" Target="https://youtu.be/tyDu0BhkbpY?t=1739" TargetMode="External"/><Relationship Id="rId8" Type="http://schemas.openxmlformats.org/officeDocument/2006/relationships/hyperlink" Target="https://youtu.be/kP0m6Z_x1xI?t=2539" TargetMode="External"/><Relationship Id="rId144" Type="http://schemas.openxmlformats.org/officeDocument/2006/relationships/hyperlink" Target="https://youtu.be/9sOwRuj1TSk?t=1104" TargetMode="External"/><Relationship Id="rId265" Type="http://schemas.openxmlformats.org/officeDocument/2006/relationships/hyperlink" Target="https://youtu.be/PTWzz57QwXc?t=1748" TargetMode="External"/><Relationship Id="rId73" Type="http://schemas.openxmlformats.org/officeDocument/2006/relationships/hyperlink" Target="https://youtu.be/irN_iIwmc-8?t=5620" TargetMode="External"/><Relationship Id="rId72" Type="http://schemas.openxmlformats.org/officeDocument/2006/relationships/hyperlink" Target="https://youtu.be/jd5VYoD6AaY?t=4881" TargetMode="External"/><Relationship Id="rId75" Type="http://schemas.openxmlformats.org/officeDocument/2006/relationships/hyperlink" Target="https://youtu.be/irN_iIwmc-8?t=6680" TargetMode="External"/><Relationship Id="rId74" Type="http://schemas.openxmlformats.org/officeDocument/2006/relationships/hyperlink" Target="https://youtu.be/jd5VYoD6AaY?t=5811" TargetMode="External"/><Relationship Id="rId77" Type="http://schemas.openxmlformats.org/officeDocument/2006/relationships/hyperlink" Target="https://youtu.be/irN_iIwmc-8?t=7593" TargetMode="External"/><Relationship Id="rId260" Type="http://schemas.openxmlformats.org/officeDocument/2006/relationships/hyperlink" Target="https://youtu.be/11Ju6pCgJS0?t=7692" TargetMode="External"/><Relationship Id="rId76" Type="http://schemas.openxmlformats.org/officeDocument/2006/relationships/hyperlink" Target="https://youtu.be/jd5VYoD6AaY?t=6763" TargetMode="External"/><Relationship Id="rId79" Type="http://schemas.openxmlformats.org/officeDocument/2006/relationships/hyperlink" Target="https://youtu.be/irN_iIwmc-8?t=8547" TargetMode="External"/><Relationship Id="rId78" Type="http://schemas.openxmlformats.org/officeDocument/2006/relationships/hyperlink" Target="https://youtu.be/jd5VYoD6AaY?t=7657" TargetMode="External"/><Relationship Id="rId71" Type="http://schemas.openxmlformats.org/officeDocument/2006/relationships/hyperlink" Target="https://youtu.be/irN_iIwmc-8?t=4695" TargetMode="External"/><Relationship Id="rId70" Type="http://schemas.openxmlformats.org/officeDocument/2006/relationships/hyperlink" Target="https://youtu.be/jd5VYoD6AaY?t=3922" TargetMode="External"/><Relationship Id="rId139" Type="http://schemas.openxmlformats.org/officeDocument/2006/relationships/hyperlink" Target="https://youtu.be/s_ef0joVsBw?t=6899" TargetMode="External"/><Relationship Id="rId138" Type="http://schemas.openxmlformats.org/officeDocument/2006/relationships/hyperlink" Target="https://youtu.be/upZgNN1ucE0?t=6174" TargetMode="External"/><Relationship Id="rId259" Type="http://schemas.openxmlformats.org/officeDocument/2006/relationships/hyperlink" Target="https://youtu.be/p81VSwj1wh4?t=7649" TargetMode="External"/><Relationship Id="rId137" Type="http://schemas.openxmlformats.org/officeDocument/2006/relationships/hyperlink" Target="https://youtu.be/s_ef0joVsBw?t=6077" TargetMode="External"/><Relationship Id="rId258" Type="http://schemas.openxmlformats.org/officeDocument/2006/relationships/hyperlink" Target="https://youtu.be/11Ju6pCgJS0?t=6867" TargetMode="External"/><Relationship Id="rId132" Type="http://schemas.openxmlformats.org/officeDocument/2006/relationships/hyperlink" Target="https://youtu.be/upZgNN1ucE0?t=3618" TargetMode="External"/><Relationship Id="rId253" Type="http://schemas.openxmlformats.org/officeDocument/2006/relationships/hyperlink" Target="https://youtu.be/p81VSwj1wh4?t=5184" TargetMode="External"/><Relationship Id="rId131" Type="http://schemas.openxmlformats.org/officeDocument/2006/relationships/hyperlink" Target="https://youtu.be/s_ef0joVsBw?t=3652" TargetMode="External"/><Relationship Id="rId252" Type="http://schemas.openxmlformats.org/officeDocument/2006/relationships/hyperlink" Target="https://youtu.be/11Ju6pCgJS0?t=4325" TargetMode="External"/><Relationship Id="rId130" Type="http://schemas.openxmlformats.org/officeDocument/2006/relationships/hyperlink" Target="https://youtu.be/upZgNN1ucE0?t=2773" TargetMode="External"/><Relationship Id="rId251" Type="http://schemas.openxmlformats.org/officeDocument/2006/relationships/hyperlink" Target="https://youtu.be/p81VSwj1wh4?t=4333" TargetMode="External"/><Relationship Id="rId250" Type="http://schemas.openxmlformats.org/officeDocument/2006/relationships/hyperlink" Target="https://youtu.be/11Ju6pCgJS0?t=3492" TargetMode="External"/><Relationship Id="rId136" Type="http://schemas.openxmlformats.org/officeDocument/2006/relationships/hyperlink" Target="https://youtu.be/upZgNN1ucE0?t=5296" TargetMode="External"/><Relationship Id="rId257" Type="http://schemas.openxmlformats.org/officeDocument/2006/relationships/hyperlink" Target="https://youtu.be/p81VSwj1wh4?t=6814" TargetMode="External"/><Relationship Id="rId135" Type="http://schemas.openxmlformats.org/officeDocument/2006/relationships/hyperlink" Target="https://youtu.be/s_ef0joVsBw?t=5286" TargetMode="External"/><Relationship Id="rId256" Type="http://schemas.openxmlformats.org/officeDocument/2006/relationships/hyperlink" Target="https://youtu.be/11Ju6pCgJS0?t=5984" TargetMode="External"/><Relationship Id="rId134" Type="http://schemas.openxmlformats.org/officeDocument/2006/relationships/hyperlink" Target="https://youtu.be/upZgNN1ucE0?t=4449" TargetMode="External"/><Relationship Id="rId255" Type="http://schemas.openxmlformats.org/officeDocument/2006/relationships/hyperlink" Target="https://youtu.be/p81VSwj1wh4?t=5979" TargetMode="External"/><Relationship Id="rId133" Type="http://schemas.openxmlformats.org/officeDocument/2006/relationships/hyperlink" Target="https://youtu.be/s_ef0joVsBw?t=4470" TargetMode="External"/><Relationship Id="rId254" Type="http://schemas.openxmlformats.org/officeDocument/2006/relationships/hyperlink" Target="https://youtu.be/11Ju6pCgJS0?t=5157" TargetMode="External"/><Relationship Id="rId62" Type="http://schemas.openxmlformats.org/officeDocument/2006/relationships/hyperlink" Target="https://youtu.be/jd5VYoD6AaY" TargetMode="External"/><Relationship Id="rId61" Type="http://schemas.openxmlformats.org/officeDocument/2006/relationships/hyperlink" Target="https://youtu.be/irN_iIwmc-8" TargetMode="External"/><Relationship Id="rId64" Type="http://schemas.openxmlformats.org/officeDocument/2006/relationships/hyperlink" Target="https://youtu.be/jd5VYoD6AaY?t=1046" TargetMode="External"/><Relationship Id="rId63" Type="http://schemas.openxmlformats.org/officeDocument/2006/relationships/hyperlink" Target="https://youtu.be/irN_iIwmc-8?t=947" TargetMode="External"/><Relationship Id="rId66" Type="http://schemas.openxmlformats.org/officeDocument/2006/relationships/hyperlink" Target="https://youtu.be/jd5VYoD6AaY?t=1981" TargetMode="External"/><Relationship Id="rId172" Type="http://schemas.openxmlformats.org/officeDocument/2006/relationships/hyperlink" Target="https://youtu.be/9Z1TaplXmEw?t=4317" TargetMode="External"/><Relationship Id="rId293" Type="http://schemas.openxmlformats.org/officeDocument/2006/relationships/hyperlink" Target="https://youtu.be/TzeiOftjhvM?t=5816" TargetMode="External"/><Relationship Id="rId65" Type="http://schemas.openxmlformats.org/officeDocument/2006/relationships/hyperlink" Target="https://youtu.be/irN_iIwmc-8?t=1921" TargetMode="External"/><Relationship Id="rId171" Type="http://schemas.openxmlformats.org/officeDocument/2006/relationships/hyperlink" Target="https://youtu.be/KSO-4RQXDhY?t=4401" TargetMode="External"/><Relationship Id="rId292" Type="http://schemas.openxmlformats.org/officeDocument/2006/relationships/hyperlink" Target="https://youtu.be/u796nJmZXGw?t=4864" TargetMode="External"/><Relationship Id="rId68" Type="http://schemas.openxmlformats.org/officeDocument/2006/relationships/hyperlink" Target="https://youtu.be/jd5VYoD6AaY?t=2970" TargetMode="External"/><Relationship Id="rId170" Type="http://schemas.openxmlformats.org/officeDocument/2006/relationships/hyperlink" Target="https://youtu.be/9Z1TaplXmEw?t=3451" TargetMode="External"/><Relationship Id="rId291" Type="http://schemas.openxmlformats.org/officeDocument/2006/relationships/hyperlink" Target="https://youtu.be/TzeiOftjhvM?t=4880" TargetMode="External"/><Relationship Id="rId67" Type="http://schemas.openxmlformats.org/officeDocument/2006/relationships/hyperlink" Target="https://youtu.be/irN_iIwmc-8?t=2912" TargetMode="External"/><Relationship Id="rId290" Type="http://schemas.openxmlformats.org/officeDocument/2006/relationships/hyperlink" Target="https://youtu.be/u796nJmZXGw?t=3904" TargetMode="External"/><Relationship Id="rId60" Type="http://schemas.openxmlformats.org/officeDocument/2006/relationships/hyperlink" Target="https://youtu.be/dyL7U_ohMuw?t=7684" TargetMode="External"/><Relationship Id="rId165" Type="http://schemas.openxmlformats.org/officeDocument/2006/relationships/hyperlink" Target="https://youtu.be/KSO-4RQXDhY?t=1690" TargetMode="External"/><Relationship Id="rId286" Type="http://schemas.openxmlformats.org/officeDocument/2006/relationships/hyperlink" Target="https://youtu.be/u796nJmZXGw?t=2022" TargetMode="External"/><Relationship Id="rId69" Type="http://schemas.openxmlformats.org/officeDocument/2006/relationships/hyperlink" Target="https://youtu.be/irN_iIwmc-8?t=3787" TargetMode="External"/><Relationship Id="rId164" Type="http://schemas.openxmlformats.org/officeDocument/2006/relationships/hyperlink" Target="https://youtu.be/9Z1TaplXmEw?t=884" TargetMode="External"/><Relationship Id="rId285" Type="http://schemas.openxmlformats.org/officeDocument/2006/relationships/hyperlink" Target="https://youtu.be/TzeiOftjhvM?t=1977" TargetMode="External"/><Relationship Id="rId163" Type="http://schemas.openxmlformats.org/officeDocument/2006/relationships/hyperlink" Target="https://youtu.be/KSO-4RQXDhY?t=876" TargetMode="External"/><Relationship Id="rId284" Type="http://schemas.openxmlformats.org/officeDocument/2006/relationships/hyperlink" Target="https://youtu.be/u796nJmZXGw?t=1047" TargetMode="External"/><Relationship Id="rId162" Type="http://schemas.openxmlformats.org/officeDocument/2006/relationships/hyperlink" Target="https://youtu.be/9Z1TaplXmEw" TargetMode="External"/><Relationship Id="rId283" Type="http://schemas.openxmlformats.org/officeDocument/2006/relationships/hyperlink" Target="https://youtu.be/TzeiOftjhvM?t=1054" TargetMode="External"/><Relationship Id="rId169" Type="http://schemas.openxmlformats.org/officeDocument/2006/relationships/hyperlink" Target="https://youtu.be/KSO-4RQXDhY?t=3421" TargetMode="External"/><Relationship Id="rId168" Type="http://schemas.openxmlformats.org/officeDocument/2006/relationships/hyperlink" Target="https://youtu.be/9Z1TaplXmEw?t=2630" TargetMode="External"/><Relationship Id="rId289" Type="http://schemas.openxmlformats.org/officeDocument/2006/relationships/hyperlink" Target="https://youtu.be/TzeiOftjhvM?t=3936" TargetMode="External"/><Relationship Id="rId167" Type="http://schemas.openxmlformats.org/officeDocument/2006/relationships/hyperlink" Target="https://youtu.be/KSO-4RQXDhY?t=2548" TargetMode="External"/><Relationship Id="rId288" Type="http://schemas.openxmlformats.org/officeDocument/2006/relationships/hyperlink" Target="https://youtu.be/u796nJmZXGw?t=2995" TargetMode="External"/><Relationship Id="rId166" Type="http://schemas.openxmlformats.org/officeDocument/2006/relationships/hyperlink" Target="https://youtu.be/9Z1TaplXmEw?t=1780" TargetMode="External"/><Relationship Id="rId287" Type="http://schemas.openxmlformats.org/officeDocument/2006/relationships/hyperlink" Target="https://youtu.be/TzeiOftjhvM?t=2915" TargetMode="External"/><Relationship Id="rId51" Type="http://schemas.openxmlformats.org/officeDocument/2006/relationships/hyperlink" Target="https://youtu.be/E-vtKf8nxGc?t=4288" TargetMode="External"/><Relationship Id="rId50" Type="http://schemas.openxmlformats.org/officeDocument/2006/relationships/hyperlink" Target="https://youtu.be/dyL7U_ohMuw?t=3425" TargetMode="External"/><Relationship Id="rId53" Type="http://schemas.openxmlformats.org/officeDocument/2006/relationships/hyperlink" Target="https://youtu.be/E-vtKf8nxGc?t=5097" TargetMode="External"/><Relationship Id="rId52" Type="http://schemas.openxmlformats.org/officeDocument/2006/relationships/hyperlink" Target="https://youtu.be/dyL7U_ohMuw?t=4267" TargetMode="External"/><Relationship Id="rId55" Type="http://schemas.openxmlformats.org/officeDocument/2006/relationships/hyperlink" Target="https://youtu.be/E-vtKf8nxGc?t=5988" TargetMode="External"/><Relationship Id="rId161" Type="http://schemas.openxmlformats.org/officeDocument/2006/relationships/hyperlink" Target="https://youtu.be/KSO-4RQXDhY" TargetMode="External"/><Relationship Id="rId282" Type="http://schemas.openxmlformats.org/officeDocument/2006/relationships/hyperlink" Target="https://youtu.be/u796nJmZXGw" TargetMode="External"/><Relationship Id="rId54" Type="http://schemas.openxmlformats.org/officeDocument/2006/relationships/hyperlink" Target="https://youtu.be/dyL7U_ohMuw?t=5091" TargetMode="External"/><Relationship Id="rId160" Type="http://schemas.openxmlformats.org/officeDocument/2006/relationships/hyperlink" Target="https://youtu.be/9sOwRuj1TSk?t=8707" TargetMode="External"/><Relationship Id="rId281" Type="http://schemas.openxmlformats.org/officeDocument/2006/relationships/hyperlink" Target="https://youtu.be/TzeiOftjhvM" TargetMode="External"/><Relationship Id="rId57" Type="http://schemas.openxmlformats.org/officeDocument/2006/relationships/hyperlink" Target="https://youtu.be/E-vtKf8nxGc?t=6803" TargetMode="External"/><Relationship Id="rId280" Type="http://schemas.openxmlformats.org/officeDocument/2006/relationships/hyperlink" Target="https://youtu.be/tyDu0BhkbpY?t=7678" TargetMode="External"/><Relationship Id="rId56" Type="http://schemas.openxmlformats.org/officeDocument/2006/relationships/hyperlink" Target="https://youtu.be/dyL7U_ohMuw?t=5960" TargetMode="External"/><Relationship Id="rId159" Type="http://schemas.openxmlformats.org/officeDocument/2006/relationships/hyperlink" Target="https://youtu.be/QAAkxgSw2z0?t=5887" TargetMode="External"/><Relationship Id="rId59" Type="http://schemas.openxmlformats.org/officeDocument/2006/relationships/hyperlink" Target="https://youtu.be/E-vtKf8nxGc?t=7681" TargetMode="External"/><Relationship Id="rId154" Type="http://schemas.openxmlformats.org/officeDocument/2006/relationships/hyperlink" Target="https://youtu.be/9sOwRuj1TSk?t=5879" TargetMode="External"/><Relationship Id="rId275" Type="http://schemas.openxmlformats.org/officeDocument/2006/relationships/hyperlink" Target="https://youtu.be/PTWzz57QwXc?t=6005" TargetMode="External"/><Relationship Id="rId58" Type="http://schemas.openxmlformats.org/officeDocument/2006/relationships/hyperlink" Target="https://youtu.be/dyL7U_ohMuw?t=6823" TargetMode="External"/><Relationship Id="rId153" Type="http://schemas.openxmlformats.org/officeDocument/2006/relationships/hyperlink" Target="https://youtu.be/QAAkxgSw2z0?t=2998" TargetMode="External"/><Relationship Id="rId274" Type="http://schemas.openxmlformats.org/officeDocument/2006/relationships/hyperlink" Target="https://youtu.be/tyDu0BhkbpY?t=5093" TargetMode="External"/><Relationship Id="rId152" Type="http://schemas.openxmlformats.org/officeDocument/2006/relationships/hyperlink" Target="https://youtu.be/9sOwRuj1TSk?t=4874" TargetMode="External"/><Relationship Id="rId273" Type="http://schemas.openxmlformats.org/officeDocument/2006/relationships/hyperlink" Target="https://youtu.be/PTWzz57QwXc?t=5144" TargetMode="External"/><Relationship Id="rId151" Type="http://schemas.openxmlformats.org/officeDocument/2006/relationships/hyperlink" Target="https://youtu.be/QAAkxgSw2z0?t=1955" TargetMode="External"/><Relationship Id="rId272" Type="http://schemas.openxmlformats.org/officeDocument/2006/relationships/hyperlink" Target="https://youtu.be/tyDu0BhkbpY?t=4268" TargetMode="External"/><Relationship Id="rId158" Type="http://schemas.openxmlformats.org/officeDocument/2006/relationships/hyperlink" Target="https://youtu.be/9sOwRuj1TSk?t=7776" TargetMode="External"/><Relationship Id="rId279" Type="http://schemas.openxmlformats.org/officeDocument/2006/relationships/hyperlink" Target="https://youtu.be/PTWzz57QwXc?t=7703" TargetMode="External"/><Relationship Id="rId157" Type="http://schemas.openxmlformats.org/officeDocument/2006/relationships/hyperlink" Target="https://youtu.be/QAAkxgSw2z0?t=4929" TargetMode="External"/><Relationship Id="rId278" Type="http://schemas.openxmlformats.org/officeDocument/2006/relationships/hyperlink" Target="https://youtu.be/tyDu0BhkbpY?t=6841" TargetMode="External"/><Relationship Id="rId156" Type="http://schemas.openxmlformats.org/officeDocument/2006/relationships/hyperlink" Target="https://youtu.be/9sOwRuj1TSk?t=6826" TargetMode="External"/><Relationship Id="rId277" Type="http://schemas.openxmlformats.org/officeDocument/2006/relationships/hyperlink" Target="https://youtu.be/PTWzz57QwXc?t=6847" TargetMode="External"/><Relationship Id="rId155" Type="http://schemas.openxmlformats.org/officeDocument/2006/relationships/hyperlink" Target="https://youtu.be/QAAkxgSw2z0?t=3979" TargetMode="External"/><Relationship Id="rId276" Type="http://schemas.openxmlformats.org/officeDocument/2006/relationships/hyperlink" Target="https://youtu.be/tyDu0BhkbpY?t=5972" TargetMode="External"/><Relationship Id="rId107" Type="http://schemas.openxmlformats.org/officeDocument/2006/relationships/hyperlink" Target="https://youtu.be/SM7CmBH5bAQ?t=2927" TargetMode="External"/><Relationship Id="rId228" Type="http://schemas.openxmlformats.org/officeDocument/2006/relationships/hyperlink" Target="https://youtu.be/zXMpvT579wA?t=2946" TargetMode="External"/><Relationship Id="rId106" Type="http://schemas.openxmlformats.org/officeDocument/2006/relationships/hyperlink" Target="https://youtu.be/Mdr1M6doHP0?t=2014" TargetMode="External"/><Relationship Id="rId227" Type="http://schemas.openxmlformats.org/officeDocument/2006/relationships/hyperlink" Target="https://youtu.be/9_Z8R6nim5E?t=2856" TargetMode="External"/><Relationship Id="rId105" Type="http://schemas.openxmlformats.org/officeDocument/2006/relationships/hyperlink" Target="https://youtu.be/SM7CmBH5bAQ?t=1977" TargetMode="External"/><Relationship Id="rId226" Type="http://schemas.openxmlformats.org/officeDocument/2006/relationships/hyperlink" Target="https://youtu.be/zXMpvT579wA?t=1919" TargetMode="External"/><Relationship Id="rId104" Type="http://schemas.openxmlformats.org/officeDocument/2006/relationships/hyperlink" Target="https://youtu.be/Mdr1M6doHP0?t=1060" TargetMode="External"/><Relationship Id="rId225" Type="http://schemas.openxmlformats.org/officeDocument/2006/relationships/hyperlink" Target="https://youtu.be/9_Z8R6nim5E?t=1920" TargetMode="External"/><Relationship Id="rId109" Type="http://schemas.openxmlformats.org/officeDocument/2006/relationships/hyperlink" Target="https://youtu.be/SM7CmBH5bAQ?t=3845" TargetMode="External"/><Relationship Id="rId108" Type="http://schemas.openxmlformats.org/officeDocument/2006/relationships/hyperlink" Target="https://youtu.be/Mdr1M6doHP0?t=2972" TargetMode="External"/><Relationship Id="rId229" Type="http://schemas.openxmlformats.org/officeDocument/2006/relationships/hyperlink" Target="https://youtu.be/9_Z8R6nim5E?t=3807" TargetMode="External"/><Relationship Id="rId220" Type="http://schemas.openxmlformats.org/officeDocument/2006/relationships/hyperlink" Target="https://youtu.be/5Ttm8Ii4WkQ?t=8626" TargetMode="External"/><Relationship Id="rId103" Type="http://schemas.openxmlformats.org/officeDocument/2006/relationships/hyperlink" Target="https://youtu.be/SM7CmBH5bAQ?t=1037" TargetMode="External"/><Relationship Id="rId224" Type="http://schemas.openxmlformats.org/officeDocument/2006/relationships/hyperlink" Target="https://youtu.be/zXMpvT579wA?t=998" TargetMode="External"/><Relationship Id="rId102" Type="http://schemas.openxmlformats.org/officeDocument/2006/relationships/hyperlink" Target="https://youtu.be/Mdr1M6doHP0?t=126" TargetMode="External"/><Relationship Id="rId223" Type="http://schemas.openxmlformats.org/officeDocument/2006/relationships/hyperlink" Target="https://youtu.be/9_Z8R6nim5E?t=951" TargetMode="External"/><Relationship Id="rId101" Type="http://schemas.openxmlformats.org/officeDocument/2006/relationships/hyperlink" Target="https://youtu.be/SM7CmBH5bAQ" TargetMode="External"/><Relationship Id="rId222" Type="http://schemas.openxmlformats.org/officeDocument/2006/relationships/hyperlink" Target="https://youtu.be/zXMpvT579wA" TargetMode="External"/><Relationship Id="rId100" Type="http://schemas.openxmlformats.org/officeDocument/2006/relationships/hyperlink" Target="https://youtu.be/SSqVMrjmGKU?t=8684" TargetMode="External"/><Relationship Id="rId221" Type="http://schemas.openxmlformats.org/officeDocument/2006/relationships/hyperlink" Target="https://youtu.be/9_Z8R6nim5E" TargetMode="External"/><Relationship Id="rId217" Type="http://schemas.openxmlformats.org/officeDocument/2006/relationships/hyperlink" Target="https://youtu.be/7-vv65aOxNY?t=7519" TargetMode="External"/><Relationship Id="rId216" Type="http://schemas.openxmlformats.org/officeDocument/2006/relationships/hyperlink" Target="https://youtu.be/5Ttm8Ii4WkQ?t=6774" TargetMode="External"/><Relationship Id="rId215" Type="http://schemas.openxmlformats.org/officeDocument/2006/relationships/hyperlink" Target="https://youtu.be/7-vv65aOxNY?t=6591" TargetMode="External"/><Relationship Id="rId214" Type="http://schemas.openxmlformats.org/officeDocument/2006/relationships/hyperlink" Target="https://youtu.be/5Ttm8Ii4WkQ?t=5808" TargetMode="External"/><Relationship Id="rId219" Type="http://schemas.openxmlformats.org/officeDocument/2006/relationships/hyperlink" Target="https://youtu.be/7-vv65aOxNY?t=8423" TargetMode="External"/><Relationship Id="rId218" Type="http://schemas.openxmlformats.org/officeDocument/2006/relationships/hyperlink" Target="https://youtu.be/5Ttm8Ii4WkQ?t=7744" TargetMode="External"/><Relationship Id="rId213" Type="http://schemas.openxmlformats.org/officeDocument/2006/relationships/hyperlink" Target="https://youtu.be/7-vv65aOxNY?t=5693" TargetMode="External"/><Relationship Id="rId212" Type="http://schemas.openxmlformats.org/officeDocument/2006/relationships/hyperlink" Target="https://youtu.be/5Ttm8Ii4WkQ?t=4853" TargetMode="External"/><Relationship Id="rId211" Type="http://schemas.openxmlformats.org/officeDocument/2006/relationships/hyperlink" Target="https://youtu.be/7-vv65aOxNY?t=4814" TargetMode="External"/><Relationship Id="rId210" Type="http://schemas.openxmlformats.org/officeDocument/2006/relationships/hyperlink" Target="https://youtu.be/5Ttm8Ii4WkQ?t=3889" TargetMode="External"/><Relationship Id="rId129" Type="http://schemas.openxmlformats.org/officeDocument/2006/relationships/hyperlink" Target="https://youtu.be/s_ef0joVsBw?t=2823" TargetMode="External"/><Relationship Id="rId128" Type="http://schemas.openxmlformats.org/officeDocument/2006/relationships/hyperlink" Target="https://youtu.be/upZgNN1ucE0?t=1944" TargetMode="External"/><Relationship Id="rId249" Type="http://schemas.openxmlformats.org/officeDocument/2006/relationships/hyperlink" Target="https://youtu.be/p81VSwj1wh4?t=3472" TargetMode="External"/><Relationship Id="rId127" Type="http://schemas.openxmlformats.org/officeDocument/2006/relationships/hyperlink" Target="https://youtu.be/s_ef0joVsBw?t=1988" TargetMode="External"/><Relationship Id="rId248" Type="http://schemas.openxmlformats.org/officeDocument/2006/relationships/hyperlink" Target="https://youtu.be/11Ju6pCgJS0?t=2623" TargetMode="External"/><Relationship Id="rId126" Type="http://schemas.openxmlformats.org/officeDocument/2006/relationships/hyperlink" Target="https://youtu.be/upZgNN1ucE0?t=885" TargetMode="External"/><Relationship Id="rId247" Type="http://schemas.openxmlformats.org/officeDocument/2006/relationships/hyperlink" Target="https://youtu.be/p81VSwj1wh4?t=2620" TargetMode="External"/><Relationship Id="rId121" Type="http://schemas.openxmlformats.org/officeDocument/2006/relationships/hyperlink" Target="https://youtu.be/s_ef0joVsBw" TargetMode="External"/><Relationship Id="rId242" Type="http://schemas.openxmlformats.org/officeDocument/2006/relationships/hyperlink" Target="https://youtu.be/11Ju6pCgJS0" TargetMode="External"/><Relationship Id="rId120" Type="http://schemas.openxmlformats.org/officeDocument/2006/relationships/hyperlink" Target="https://youtu.be/Mdr1M6doHP0?t=8712" TargetMode="External"/><Relationship Id="rId241" Type="http://schemas.openxmlformats.org/officeDocument/2006/relationships/hyperlink" Target="https://youtu.be/p81VSwj1wh4" TargetMode="External"/><Relationship Id="rId240" Type="http://schemas.openxmlformats.org/officeDocument/2006/relationships/hyperlink" Target="https://youtu.be/zXMpvT579wA?t=8716" TargetMode="External"/><Relationship Id="rId125" Type="http://schemas.openxmlformats.org/officeDocument/2006/relationships/hyperlink" Target="https://youtu.be/s_ef0joVsBw?t=1169" TargetMode="External"/><Relationship Id="rId246" Type="http://schemas.openxmlformats.org/officeDocument/2006/relationships/hyperlink" Target="https://youtu.be/11Ju6pCgJS0?t=1756" TargetMode="External"/><Relationship Id="rId124" Type="http://schemas.openxmlformats.org/officeDocument/2006/relationships/hyperlink" Target="https://youtu.be/upZgNN1ucE0?t=3" TargetMode="External"/><Relationship Id="rId245" Type="http://schemas.openxmlformats.org/officeDocument/2006/relationships/hyperlink" Target="https://youtu.be/p81VSwj1wh4?t=1776" TargetMode="External"/><Relationship Id="rId123" Type="http://schemas.openxmlformats.org/officeDocument/2006/relationships/hyperlink" Target="https://youtu.be/s_ef0joVsBw" TargetMode="External"/><Relationship Id="rId244" Type="http://schemas.openxmlformats.org/officeDocument/2006/relationships/hyperlink" Target="https://youtu.be/11Ju6pCgJS0?t=899" TargetMode="External"/><Relationship Id="rId122" Type="http://schemas.openxmlformats.org/officeDocument/2006/relationships/hyperlink" Target="https://youtu.be/upZgNN1ucE0" TargetMode="External"/><Relationship Id="rId243" Type="http://schemas.openxmlformats.org/officeDocument/2006/relationships/hyperlink" Target="https://youtu.be/p81VSwj1wh4?t=893" TargetMode="External"/><Relationship Id="rId95" Type="http://schemas.openxmlformats.org/officeDocument/2006/relationships/hyperlink" Target="https://youtu.be/lmvMN4YKgpg?t=6836" TargetMode="External"/><Relationship Id="rId94" Type="http://schemas.openxmlformats.org/officeDocument/2006/relationships/hyperlink" Target="https://youtu.be/SSqVMrjmGKU?t=5862" TargetMode="External"/><Relationship Id="rId97" Type="http://schemas.openxmlformats.org/officeDocument/2006/relationships/hyperlink" Target="https://youtu.be/lmvMN4YKgpg?t=7781" TargetMode="External"/><Relationship Id="rId96" Type="http://schemas.openxmlformats.org/officeDocument/2006/relationships/hyperlink" Target="https://youtu.be/SSqVMrjmGKU?t=6827" TargetMode="External"/><Relationship Id="rId99" Type="http://schemas.openxmlformats.org/officeDocument/2006/relationships/hyperlink" Target="https://youtu.be/lmvMN4YKgpg?t=8740" TargetMode="External"/><Relationship Id="rId98" Type="http://schemas.openxmlformats.org/officeDocument/2006/relationships/hyperlink" Target="https://youtu.be/SSqVMrjmGKU?t=7755" TargetMode="External"/><Relationship Id="rId91" Type="http://schemas.openxmlformats.org/officeDocument/2006/relationships/hyperlink" Target="https://youtu.be/lmvMN4YKgpg?t=4857" TargetMode="External"/><Relationship Id="rId90" Type="http://schemas.openxmlformats.org/officeDocument/2006/relationships/hyperlink" Target="https://youtu.be/SSqVMrjmGKU?t=3913" TargetMode="External"/><Relationship Id="rId93" Type="http://schemas.openxmlformats.org/officeDocument/2006/relationships/hyperlink" Target="https://youtu.be/lmvMN4YKgpg?t=5841" TargetMode="External"/><Relationship Id="rId92" Type="http://schemas.openxmlformats.org/officeDocument/2006/relationships/hyperlink" Target="https://youtu.be/SSqVMrjmGKU?t=4829" TargetMode="External"/><Relationship Id="rId118" Type="http://schemas.openxmlformats.org/officeDocument/2006/relationships/hyperlink" Target="https://youtu.be/Mdr1M6doHP0?t=7766" TargetMode="External"/><Relationship Id="rId239" Type="http://schemas.openxmlformats.org/officeDocument/2006/relationships/hyperlink" Target="https://youtu.be/9_Z8R6nim5E?t=8614" TargetMode="External"/><Relationship Id="rId117" Type="http://schemas.openxmlformats.org/officeDocument/2006/relationships/hyperlink" Target="https://youtu.be/SM7CmBH5bAQ?t=7707" TargetMode="External"/><Relationship Id="rId238" Type="http://schemas.openxmlformats.org/officeDocument/2006/relationships/hyperlink" Target="https://youtu.be/zXMpvT579wA?t=7755" TargetMode="External"/><Relationship Id="rId116" Type="http://schemas.openxmlformats.org/officeDocument/2006/relationships/hyperlink" Target="https://youtu.be/Mdr1M6doHP0?t=6831" TargetMode="External"/><Relationship Id="rId237" Type="http://schemas.openxmlformats.org/officeDocument/2006/relationships/hyperlink" Target="https://youtu.be/9_Z8R6nim5E?t=7655" TargetMode="External"/><Relationship Id="rId115" Type="http://schemas.openxmlformats.org/officeDocument/2006/relationships/hyperlink" Target="https://youtu.be/SM7CmBH5bAQ?t=6688" TargetMode="External"/><Relationship Id="rId236" Type="http://schemas.openxmlformats.org/officeDocument/2006/relationships/hyperlink" Target="https://youtu.be/zXMpvT579wA?t=6768" TargetMode="External"/><Relationship Id="rId119" Type="http://schemas.openxmlformats.org/officeDocument/2006/relationships/hyperlink" Target="https://youtu.be/SM7CmBH5bAQ?t=8678" TargetMode="External"/><Relationship Id="rId110" Type="http://schemas.openxmlformats.org/officeDocument/2006/relationships/hyperlink" Target="https://youtu.be/Mdr1M6doHP0?t=3932" TargetMode="External"/><Relationship Id="rId231" Type="http://schemas.openxmlformats.org/officeDocument/2006/relationships/hyperlink" Target="https://youtu.be/9_Z8R6nim5E?t=4789" TargetMode="External"/><Relationship Id="rId230" Type="http://schemas.openxmlformats.org/officeDocument/2006/relationships/hyperlink" Target="https://youtu.be/zXMpvT579wA?t=3868" TargetMode="External"/><Relationship Id="rId114" Type="http://schemas.openxmlformats.org/officeDocument/2006/relationships/hyperlink" Target="https://youtu.be/Mdr1M6doHP0?t=5812" TargetMode="External"/><Relationship Id="rId235" Type="http://schemas.openxmlformats.org/officeDocument/2006/relationships/hyperlink" Target="https://youtu.be/9_Z8R6nim5E?t=6677" TargetMode="External"/><Relationship Id="rId113" Type="http://schemas.openxmlformats.org/officeDocument/2006/relationships/hyperlink" Target="https://youtu.be/SM7CmBH5bAQ?t=5768" TargetMode="External"/><Relationship Id="rId234" Type="http://schemas.openxmlformats.org/officeDocument/2006/relationships/hyperlink" Target="https://youtu.be/zXMpvT579wA?t=5833" TargetMode="External"/><Relationship Id="rId112" Type="http://schemas.openxmlformats.org/officeDocument/2006/relationships/hyperlink" Target="https://youtu.be/Mdr1M6doHP0?t=4888" TargetMode="External"/><Relationship Id="rId233" Type="http://schemas.openxmlformats.org/officeDocument/2006/relationships/hyperlink" Target="https://youtu.be/9_Z8R6nim5E?t=5721" TargetMode="External"/><Relationship Id="rId111" Type="http://schemas.openxmlformats.org/officeDocument/2006/relationships/hyperlink" Target="https://youtu.be/SM7CmBH5bAQ?t=4827" TargetMode="External"/><Relationship Id="rId232" Type="http://schemas.openxmlformats.org/officeDocument/2006/relationships/hyperlink" Target="https://youtu.be/zXMpvT579wA?t=4813" TargetMode="External"/><Relationship Id="rId305" Type="http://schemas.openxmlformats.org/officeDocument/2006/relationships/hyperlink" Target="https://youtu.be/zssaEiZfjwk?t=1723" TargetMode="External"/><Relationship Id="rId304" Type="http://schemas.openxmlformats.org/officeDocument/2006/relationships/hyperlink" Target="https://youtu.be/dKW7V7IalYQ?t=892" TargetMode="External"/><Relationship Id="rId303" Type="http://schemas.openxmlformats.org/officeDocument/2006/relationships/hyperlink" Target="https://youtu.be/zssaEiZfjwk?t=896" TargetMode="External"/><Relationship Id="rId302" Type="http://schemas.openxmlformats.org/officeDocument/2006/relationships/hyperlink" Target="https://youtu.be/dKW7V7IalYQ" TargetMode="External"/><Relationship Id="rId309" Type="http://schemas.openxmlformats.org/officeDocument/2006/relationships/hyperlink" Target="https://youtu.be/zssaEiZfjwk?t=3340" TargetMode="External"/><Relationship Id="rId308" Type="http://schemas.openxmlformats.org/officeDocument/2006/relationships/hyperlink" Target="https://youtu.be/dKW7V7IalYQ?t=2532" TargetMode="External"/><Relationship Id="rId307" Type="http://schemas.openxmlformats.org/officeDocument/2006/relationships/hyperlink" Target="https://youtu.be/zssaEiZfjwk?t=2549" TargetMode="External"/><Relationship Id="rId306" Type="http://schemas.openxmlformats.org/officeDocument/2006/relationships/hyperlink" Target="https://youtu.be/dKW7V7IalYQ?t=1707" TargetMode="External"/><Relationship Id="rId301" Type="http://schemas.openxmlformats.org/officeDocument/2006/relationships/hyperlink" Target="https://youtu.be/zssaEiZfjwk" TargetMode="External"/><Relationship Id="rId300" Type="http://schemas.openxmlformats.org/officeDocument/2006/relationships/hyperlink" Target="https://youtu.be/u796nJmZXGw?t=8652" TargetMode="External"/><Relationship Id="rId206" Type="http://schemas.openxmlformats.org/officeDocument/2006/relationships/hyperlink" Target="https://youtu.be/5Ttm8Ii4WkQ?t=1985" TargetMode="External"/><Relationship Id="rId205" Type="http://schemas.openxmlformats.org/officeDocument/2006/relationships/hyperlink" Target="https://youtu.be/7-vv65aOxNY?t=2025" TargetMode="External"/><Relationship Id="rId204" Type="http://schemas.openxmlformats.org/officeDocument/2006/relationships/hyperlink" Target="https://youtu.be/5Ttm8Ii4WkQ?t=1029" TargetMode="External"/><Relationship Id="rId203" Type="http://schemas.openxmlformats.org/officeDocument/2006/relationships/hyperlink" Target="https://youtu.be/7-vv65aOxNY?t=1063" TargetMode="External"/><Relationship Id="rId209" Type="http://schemas.openxmlformats.org/officeDocument/2006/relationships/hyperlink" Target="https://youtu.be/7-vv65aOxNY?t=3804" TargetMode="External"/><Relationship Id="rId208" Type="http://schemas.openxmlformats.org/officeDocument/2006/relationships/hyperlink" Target="https://youtu.be/5Ttm8Ii4WkQ?t=2918" TargetMode="External"/><Relationship Id="rId207" Type="http://schemas.openxmlformats.org/officeDocument/2006/relationships/hyperlink" Target="https://youtu.be/7-vv65aOxNY?t=2918" TargetMode="External"/><Relationship Id="rId202" Type="http://schemas.openxmlformats.org/officeDocument/2006/relationships/hyperlink" Target="https://youtu.be/5Ttm8Ii4WkQ" TargetMode="External"/><Relationship Id="rId201" Type="http://schemas.openxmlformats.org/officeDocument/2006/relationships/hyperlink" Target="https://youtu.be/7-vv65aOxNY" TargetMode="External"/><Relationship Id="rId200" Type="http://schemas.openxmlformats.org/officeDocument/2006/relationships/hyperlink" Target="https://youtu.be/qxk67DfHVBQ?t=7592" TargetMode="External"/><Relationship Id="rId321" Type="http://schemas.openxmlformats.org/officeDocument/2006/relationships/drawing" Target="../drawings/drawing25.xml"/><Relationship Id="rId320" Type="http://schemas.openxmlformats.org/officeDocument/2006/relationships/hyperlink" Target="https://youtu.be/dKW7V7IalYQ?t=7616" TargetMode="External"/><Relationship Id="rId316" Type="http://schemas.openxmlformats.org/officeDocument/2006/relationships/hyperlink" Target="https://youtu.be/dKW7V7IalYQ?t=5915" TargetMode="External"/><Relationship Id="rId315" Type="http://schemas.openxmlformats.org/officeDocument/2006/relationships/hyperlink" Target="https://youtu.be/zssaEiZfjwk?t=5846" TargetMode="External"/><Relationship Id="rId314" Type="http://schemas.openxmlformats.org/officeDocument/2006/relationships/hyperlink" Target="https://youtu.be/dKW7V7IalYQ?t=5058" TargetMode="External"/><Relationship Id="rId313" Type="http://schemas.openxmlformats.org/officeDocument/2006/relationships/hyperlink" Target="https://youtu.be/zssaEiZfjwk?t=4963" TargetMode="External"/><Relationship Id="rId319" Type="http://schemas.openxmlformats.org/officeDocument/2006/relationships/hyperlink" Target="https://youtu.be/zssaEiZfjwk?t=7498" TargetMode="External"/><Relationship Id="rId318" Type="http://schemas.openxmlformats.org/officeDocument/2006/relationships/hyperlink" Target="https://youtu.be/dKW7V7IalYQ?t=6778" TargetMode="External"/><Relationship Id="rId317" Type="http://schemas.openxmlformats.org/officeDocument/2006/relationships/hyperlink" Target="https://youtu.be/zssaEiZfjwk?t=6672" TargetMode="External"/><Relationship Id="rId312" Type="http://schemas.openxmlformats.org/officeDocument/2006/relationships/hyperlink" Target="https://youtu.be/dKW7V7IalYQ?t=4203" TargetMode="External"/><Relationship Id="rId311" Type="http://schemas.openxmlformats.org/officeDocument/2006/relationships/hyperlink" Target="https://youtu.be/zssaEiZfjwk?t=4162" TargetMode="External"/><Relationship Id="rId310" Type="http://schemas.openxmlformats.org/officeDocument/2006/relationships/hyperlink" Target="https://youtu.be/dKW7V7IalYQ?t=3350" TargetMode="External"/></Relationships>
</file>

<file path=xl/worksheets/_rels/sheet2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BhQdgNH-ekM?t=8732" TargetMode="External"/><Relationship Id="rId190" Type="http://schemas.openxmlformats.org/officeDocument/2006/relationships/hyperlink" Target="https://youtu.be/0YisjQX0Uw4?t=3483" TargetMode="External"/><Relationship Id="rId42" Type="http://schemas.openxmlformats.org/officeDocument/2006/relationships/hyperlink" Target="https://youtu.be/R_RKv9OW8_E" TargetMode="External"/><Relationship Id="rId41" Type="http://schemas.openxmlformats.org/officeDocument/2006/relationships/hyperlink" Target="https://youtu.be/-E-7T6UrUkI" TargetMode="External"/><Relationship Id="rId44" Type="http://schemas.openxmlformats.org/officeDocument/2006/relationships/hyperlink" Target="https://youtu.be/R_RKv9OW8_E?t=921" TargetMode="External"/><Relationship Id="rId194" Type="http://schemas.openxmlformats.org/officeDocument/2006/relationships/hyperlink" Target="https://youtu.be/0YisjQX0Uw4?t=5210" TargetMode="External"/><Relationship Id="rId43" Type="http://schemas.openxmlformats.org/officeDocument/2006/relationships/hyperlink" Target="https://youtu.be/-E-7T6UrUkI?t=874" TargetMode="External"/><Relationship Id="rId193" Type="http://schemas.openxmlformats.org/officeDocument/2006/relationships/hyperlink" Target="https://youtu.be/wr5By-2d4o4?t=5153" TargetMode="External"/><Relationship Id="rId46" Type="http://schemas.openxmlformats.org/officeDocument/2006/relationships/hyperlink" Target="https://youtu.be/R_RKv9OW8_E?t=1784" TargetMode="External"/><Relationship Id="rId192" Type="http://schemas.openxmlformats.org/officeDocument/2006/relationships/hyperlink" Target="https://youtu.be/0YisjQX0Uw4?t=4344" TargetMode="External"/><Relationship Id="rId45" Type="http://schemas.openxmlformats.org/officeDocument/2006/relationships/hyperlink" Target="https://youtu.be/-E-7T6UrUkI?t=1696" TargetMode="External"/><Relationship Id="rId191" Type="http://schemas.openxmlformats.org/officeDocument/2006/relationships/hyperlink" Target="https://youtu.be/wr5By-2d4o4?t=4332" TargetMode="External"/><Relationship Id="rId48" Type="http://schemas.openxmlformats.org/officeDocument/2006/relationships/hyperlink" Target="https://youtu.be/R_RKv9OW8_E?t=2655" TargetMode="External"/><Relationship Id="rId187" Type="http://schemas.openxmlformats.org/officeDocument/2006/relationships/hyperlink" Target="https://youtu.be/wr5By-2d4o4?t=2591" TargetMode="External"/><Relationship Id="rId47" Type="http://schemas.openxmlformats.org/officeDocument/2006/relationships/hyperlink" Target="https://youtu.be/-E-7T6UrUkI?t=2544" TargetMode="External"/><Relationship Id="rId186" Type="http://schemas.openxmlformats.org/officeDocument/2006/relationships/hyperlink" Target="https://youtu.be/0YisjQX0Uw4?t=1768" TargetMode="External"/><Relationship Id="rId185" Type="http://schemas.openxmlformats.org/officeDocument/2006/relationships/hyperlink" Target="https://youtu.be/wr5By-2d4o4?t=1718" TargetMode="External"/><Relationship Id="rId49" Type="http://schemas.openxmlformats.org/officeDocument/2006/relationships/hyperlink" Target="https://youtu.be/-E-7T6UrUkI?t=3490" TargetMode="External"/><Relationship Id="rId184" Type="http://schemas.openxmlformats.org/officeDocument/2006/relationships/hyperlink" Target="https://youtu.be/0YisjQX0Uw4?t=896" TargetMode="External"/><Relationship Id="rId189" Type="http://schemas.openxmlformats.org/officeDocument/2006/relationships/hyperlink" Target="https://youtu.be/wr5By-2d4o4?t=3450" TargetMode="External"/><Relationship Id="rId188" Type="http://schemas.openxmlformats.org/officeDocument/2006/relationships/hyperlink" Target="https://youtu.be/0YisjQX0Uw4?t=2618" TargetMode="External"/><Relationship Id="rId31" Type="http://schemas.openxmlformats.org/officeDocument/2006/relationships/hyperlink" Target="https://youtu.be/pW2maKybgEw?t=4835" TargetMode="External"/><Relationship Id="rId30" Type="http://schemas.openxmlformats.org/officeDocument/2006/relationships/hyperlink" Target="https://youtu.be/BhQdgNH-ekM?t=3964" TargetMode="External"/><Relationship Id="rId33" Type="http://schemas.openxmlformats.org/officeDocument/2006/relationships/hyperlink" Target="https://youtu.be/pW2maKybgEw?t=5814" TargetMode="External"/><Relationship Id="rId183" Type="http://schemas.openxmlformats.org/officeDocument/2006/relationships/hyperlink" Target="https://youtu.be/wr5By-2d4o4?t=898" TargetMode="External"/><Relationship Id="rId32" Type="http://schemas.openxmlformats.org/officeDocument/2006/relationships/hyperlink" Target="https://youtu.be/BhQdgNH-ekM?t=4920" TargetMode="External"/><Relationship Id="rId182" Type="http://schemas.openxmlformats.org/officeDocument/2006/relationships/hyperlink" Target="https://youtu.be/0YisjQX0Uw4" TargetMode="External"/><Relationship Id="rId35" Type="http://schemas.openxmlformats.org/officeDocument/2006/relationships/hyperlink" Target="https://youtu.be/pW2maKybgEw?t=6750" TargetMode="External"/><Relationship Id="rId181" Type="http://schemas.openxmlformats.org/officeDocument/2006/relationships/hyperlink" Target="https://youtu.be/wr5By-2d4o4" TargetMode="External"/><Relationship Id="rId34" Type="http://schemas.openxmlformats.org/officeDocument/2006/relationships/hyperlink" Target="https://youtu.be/BhQdgNH-ekM?t=5854" TargetMode="External"/><Relationship Id="rId180" Type="http://schemas.openxmlformats.org/officeDocument/2006/relationships/hyperlink" Target="https://youtu.be/5B3GA3E7Www?t=7708" TargetMode="External"/><Relationship Id="rId37" Type="http://schemas.openxmlformats.org/officeDocument/2006/relationships/hyperlink" Target="https://youtu.be/pW2maKybgEw?t=7671" TargetMode="External"/><Relationship Id="rId176" Type="http://schemas.openxmlformats.org/officeDocument/2006/relationships/hyperlink" Target="https://youtu.be/5B3GA3E7Www?t=6015" TargetMode="External"/><Relationship Id="rId297" Type="http://schemas.openxmlformats.org/officeDocument/2006/relationships/hyperlink" Target="https://youtu.be/Y-6gjyEBJrg?t=7643" TargetMode="External"/><Relationship Id="rId36" Type="http://schemas.openxmlformats.org/officeDocument/2006/relationships/hyperlink" Target="https://youtu.be/BhQdgNH-ekM?t=6801" TargetMode="External"/><Relationship Id="rId175" Type="http://schemas.openxmlformats.org/officeDocument/2006/relationships/hyperlink" Target="https://youtu.be/0uitnzoRBq0?t=5999" TargetMode="External"/><Relationship Id="rId296" Type="http://schemas.openxmlformats.org/officeDocument/2006/relationships/hyperlink" Target="https://youtu.be/tfbQjHLNIOA?t=6845" TargetMode="External"/><Relationship Id="rId39" Type="http://schemas.openxmlformats.org/officeDocument/2006/relationships/hyperlink" Target="https://youtu.be/pW2maKybgEw?t=8675" TargetMode="External"/><Relationship Id="rId174" Type="http://schemas.openxmlformats.org/officeDocument/2006/relationships/hyperlink" Target="https://youtu.be/5B3GA3E7Www?t=5171" TargetMode="External"/><Relationship Id="rId295" Type="http://schemas.openxmlformats.org/officeDocument/2006/relationships/hyperlink" Target="https://youtu.be/Y-6gjyEBJrg?t=6776" TargetMode="External"/><Relationship Id="rId38" Type="http://schemas.openxmlformats.org/officeDocument/2006/relationships/hyperlink" Target="https://youtu.be/BhQdgNH-ekM?t=7793" TargetMode="External"/><Relationship Id="rId173" Type="http://schemas.openxmlformats.org/officeDocument/2006/relationships/hyperlink" Target="https://youtu.be/0uitnzoRBq0?t=5185" TargetMode="External"/><Relationship Id="rId294" Type="http://schemas.openxmlformats.org/officeDocument/2006/relationships/hyperlink" Target="https://youtu.be/tfbQjHLNIOA?t=5877" TargetMode="External"/><Relationship Id="rId179" Type="http://schemas.openxmlformats.org/officeDocument/2006/relationships/hyperlink" Target="https://youtu.be/0uitnzoRBq0?t=7654" TargetMode="External"/><Relationship Id="rId178" Type="http://schemas.openxmlformats.org/officeDocument/2006/relationships/hyperlink" Target="https://youtu.be/5B3GA3E7Www?t=6847" TargetMode="External"/><Relationship Id="rId299" Type="http://schemas.openxmlformats.org/officeDocument/2006/relationships/hyperlink" Target="https://youtu.be/Y-6gjyEBJrg?t=8532" TargetMode="External"/><Relationship Id="rId177" Type="http://schemas.openxmlformats.org/officeDocument/2006/relationships/hyperlink" Target="https://youtu.be/0uitnzoRBq0?t=6825" TargetMode="External"/><Relationship Id="rId298" Type="http://schemas.openxmlformats.org/officeDocument/2006/relationships/hyperlink" Target="https://youtu.be/tfbQjHLNIOA?t=7822" TargetMode="External"/><Relationship Id="rId20" Type="http://schemas.openxmlformats.org/officeDocument/2006/relationships/hyperlink" Target="https://youtu.be/s_Unzy_WODs?t=7877" TargetMode="External"/><Relationship Id="rId22" Type="http://schemas.openxmlformats.org/officeDocument/2006/relationships/hyperlink" Target="https://youtu.be/BhQdgNH-ekM" TargetMode="External"/><Relationship Id="rId21" Type="http://schemas.openxmlformats.org/officeDocument/2006/relationships/hyperlink" Target="https://youtu.be/pW2maKybgEw" TargetMode="External"/><Relationship Id="rId24" Type="http://schemas.openxmlformats.org/officeDocument/2006/relationships/hyperlink" Target="https://youtu.be/BhQdgNH-ekM?t=1109" TargetMode="External"/><Relationship Id="rId23" Type="http://schemas.openxmlformats.org/officeDocument/2006/relationships/hyperlink" Target="https://youtu.be/pW2maKybgEw?t=1006" TargetMode="External"/><Relationship Id="rId26" Type="http://schemas.openxmlformats.org/officeDocument/2006/relationships/hyperlink" Target="https://youtu.be/BhQdgNH-ekM?t=2053" TargetMode="External"/><Relationship Id="rId25" Type="http://schemas.openxmlformats.org/officeDocument/2006/relationships/hyperlink" Target="https://youtu.be/pW2maKybgEw?t=1925" TargetMode="External"/><Relationship Id="rId28" Type="http://schemas.openxmlformats.org/officeDocument/2006/relationships/hyperlink" Target="https://youtu.be/BhQdgNH-ekM?t=3000" TargetMode="External"/><Relationship Id="rId27" Type="http://schemas.openxmlformats.org/officeDocument/2006/relationships/hyperlink" Target="https://youtu.be/pW2maKybgEw?t=2866" TargetMode="External"/><Relationship Id="rId29" Type="http://schemas.openxmlformats.org/officeDocument/2006/relationships/hyperlink" Target="https://youtu.be/pW2maKybgEw?t=3854" TargetMode="External"/><Relationship Id="rId11" Type="http://schemas.openxmlformats.org/officeDocument/2006/relationships/hyperlink" Target="https://youtu.be/uwWfFF354Jg?t=4420" TargetMode="External"/><Relationship Id="rId10" Type="http://schemas.openxmlformats.org/officeDocument/2006/relationships/hyperlink" Target="https://youtu.be/s_Unzy_WODs?t=3586" TargetMode="External"/><Relationship Id="rId13" Type="http://schemas.openxmlformats.org/officeDocument/2006/relationships/hyperlink" Target="https://youtu.be/uwWfFF354Jg?t=5272" TargetMode="External"/><Relationship Id="rId12" Type="http://schemas.openxmlformats.org/officeDocument/2006/relationships/hyperlink" Target="https://youtu.be/s_Unzy_WODs?t=4449" TargetMode="External"/><Relationship Id="rId15" Type="http://schemas.openxmlformats.org/officeDocument/2006/relationships/hyperlink" Target="https://youtu.be/uwWfFF354Jg?t=6191" TargetMode="External"/><Relationship Id="rId198" Type="http://schemas.openxmlformats.org/officeDocument/2006/relationships/hyperlink" Target="https://youtu.be/0YisjQX0Uw4?t=6846" TargetMode="External"/><Relationship Id="rId14" Type="http://schemas.openxmlformats.org/officeDocument/2006/relationships/hyperlink" Target="https://youtu.be/s_Unzy_WODs?t=5260" TargetMode="External"/><Relationship Id="rId197" Type="http://schemas.openxmlformats.org/officeDocument/2006/relationships/hyperlink" Target="https://youtu.be/wr5By-2d4o4?t=6802" TargetMode="External"/><Relationship Id="rId17" Type="http://schemas.openxmlformats.org/officeDocument/2006/relationships/hyperlink" Target="https://youtu.be/uwWfFF354Jg?t=7063" TargetMode="External"/><Relationship Id="rId196" Type="http://schemas.openxmlformats.org/officeDocument/2006/relationships/hyperlink" Target="https://youtu.be/0YisjQX0Uw4?t=6027" TargetMode="External"/><Relationship Id="rId16" Type="http://schemas.openxmlformats.org/officeDocument/2006/relationships/hyperlink" Target="https://youtu.be/s_Unzy_WODs?t=6128" TargetMode="External"/><Relationship Id="rId195" Type="http://schemas.openxmlformats.org/officeDocument/2006/relationships/hyperlink" Target="https://youtu.be/wr5By-2d4o4?t=5970" TargetMode="External"/><Relationship Id="rId19" Type="http://schemas.openxmlformats.org/officeDocument/2006/relationships/hyperlink" Target="https://youtu.be/uwWfFF354Jg?t=7863" TargetMode="External"/><Relationship Id="rId18" Type="http://schemas.openxmlformats.org/officeDocument/2006/relationships/hyperlink" Target="https://youtu.be/s_Unzy_WODs?t=7025" TargetMode="External"/><Relationship Id="rId199" Type="http://schemas.openxmlformats.org/officeDocument/2006/relationships/hyperlink" Target="https://youtu.be/wr5By-2d4o4?t=7738" TargetMode="External"/><Relationship Id="rId84" Type="http://schemas.openxmlformats.org/officeDocument/2006/relationships/hyperlink" Target="https://youtu.be/8z6NGuOkEVc?t=1087" TargetMode="External"/><Relationship Id="rId83" Type="http://schemas.openxmlformats.org/officeDocument/2006/relationships/hyperlink" Target="https://youtu.be/DLKRkuvbc5g?t=963" TargetMode="External"/><Relationship Id="rId86" Type="http://schemas.openxmlformats.org/officeDocument/2006/relationships/hyperlink" Target="https://youtu.be/8z6NGuOkEVc?t=2076" TargetMode="External"/><Relationship Id="rId85" Type="http://schemas.openxmlformats.org/officeDocument/2006/relationships/hyperlink" Target="https://youtu.be/DLKRkuvbc5g?t=1943" TargetMode="External"/><Relationship Id="rId88" Type="http://schemas.openxmlformats.org/officeDocument/2006/relationships/hyperlink" Target="https://youtu.be/8z6NGuOkEVc?t=2932" TargetMode="External"/><Relationship Id="rId150" Type="http://schemas.openxmlformats.org/officeDocument/2006/relationships/hyperlink" Target="https://youtu.be/Y1QfgRkqcvo?t=3791" TargetMode="External"/><Relationship Id="rId271" Type="http://schemas.openxmlformats.org/officeDocument/2006/relationships/hyperlink" Target="https://youtu.be/9OXp_0iqt8w?t=4294" TargetMode="External"/><Relationship Id="rId87" Type="http://schemas.openxmlformats.org/officeDocument/2006/relationships/hyperlink" Target="https://youtu.be/DLKRkuvbc5g?t=2891" TargetMode="External"/><Relationship Id="rId270" Type="http://schemas.openxmlformats.org/officeDocument/2006/relationships/hyperlink" Target="https://youtu.be/D93s4CoyszI?t=3401" TargetMode="External"/><Relationship Id="rId89" Type="http://schemas.openxmlformats.org/officeDocument/2006/relationships/hyperlink" Target="https://youtu.be/DLKRkuvbc5g?t=3846" TargetMode="External"/><Relationship Id="rId80" Type="http://schemas.openxmlformats.org/officeDocument/2006/relationships/hyperlink" Target="https://youtu.be/IEZuGV0KrjA?t=8711" TargetMode="External"/><Relationship Id="rId82" Type="http://schemas.openxmlformats.org/officeDocument/2006/relationships/hyperlink" Target="https://youtu.be/8z6NGuOkEVc" TargetMode="External"/><Relationship Id="rId81" Type="http://schemas.openxmlformats.org/officeDocument/2006/relationships/hyperlink" Target="https://youtu.be/DLKRkuvbc5g" TargetMode="External"/><Relationship Id="rId1" Type="http://schemas.openxmlformats.org/officeDocument/2006/relationships/hyperlink" Target="https://youtu.be/uwWfFF354Jg" TargetMode="External"/><Relationship Id="rId2" Type="http://schemas.openxmlformats.org/officeDocument/2006/relationships/hyperlink" Target="https://youtu.be/s_Unzy_WODs" TargetMode="External"/><Relationship Id="rId3" Type="http://schemas.openxmlformats.org/officeDocument/2006/relationships/hyperlink" Target="https://youtu.be/uwWfFF354Jg?t=935" TargetMode="External"/><Relationship Id="rId149" Type="http://schemas.openxmlformats.org/officeDocument/2006/relationships/hyperlink" Target="https://youtu.be/KydhEhy4aSI?t=3219" TargetMode="External"/><Relationship Id="rId4" Type="http://schemas.openxmlformats.org/officeDocument/2006/relationships/hyperlink" Target="https://youtu.be/s_Unzy_WODs?t=907" TargetMode="External"/><Relationship Id="rId148" Type="http://schemas.openxmlformats.org/officeDocument/2006/relationships/hyperlink" Target="https://youtu.be/Y1QfgRkqcvo?t=2866" TargetMode="External"/><Relationship Id="rId269" Type="http://schemas.openxmlformats.org/officeDocument/2006/relationships/hyperlink" Target="https://youtu.be/9OXp_0iqt8w?t=3338" TargetMode="External"/><Relationship Id="rId9" Type="http://schemas.openxmlformats.org/officeDocument/2006/relationships/hyperlink" Target="https://youtu.be/uwWfFF354Jg?t=3530" TargetMode="External"/><Relationship Id="rId143" Type="http://schemas.openxmlformats.org/officeDocument/2006/relationships/hyperlink" Target="https://youtu.be/KydhEhy4aSI?t=389" TargetMode="External"/><Relationship Id="rId264" Type="http://schemas.openxmlformats.org/officeDocument/2006/relationships/hyperlink" Target="https://youtu.be/D93s4CoyszI?t=858" TargetMode="External"/><Relationship Id="rId142" Type="http://schemas.openxmlformats.org/officeDocument/2006/relationships/hyperlink" Target="https://youtu.be/Y1QfgRkqcvo" TargetMode="External"/><Relationship Id="rId263" Type="http://schemas.openxmlformats.org/officeDocument/2006/relationships/hyperlink" Target="https://youtu.be/9OXp_0iqt8w?t=898" TargetMode="External"/><Relationship Id="rId141" Type="http://schemas.openxmlformats.org/officeDocument/2006/relationships/hyperlink" Target="https://youtu.be/KydhEhy4aSI" TargetMode="External"/><Relationship Id="rId262" Type="http://schemas.openxmlformats.org/officeDocument/2006/relationships/hyperlink" Target="https://youtu.be/D93s4CoyszI" TargetMode="External"/><Relationship Id="rId140" Type="http://schemas.openxmlformats.org/officeDocument/2006/relationships/hyperlink" Target="https://youtu.be/fw9WLjH3Ug8?t=7683" TargetMode="External"/><Relationship Id="rId261" Type="http://schemas.openxmlformats.org/officeDocument/2006/relationships/hyperlink" Target="https://youtu.be/9OXp_0iqt8w" TargetMode="External"/><Relationship Id="rId5" Type="http://schemas.openxmlformats.org/officeDocument/2006/relationships/hyperlink" Target="https://youtu.be/uwWfFF354Jg?t=1830" TargetMode="External"/><Relationship Id="rId147" Type="http://schemas.openxmlformats.org/officeDocument/2006/relationships/hyperlink" Target="https://youtu.be/KydhEhy4aSI?t=2247" TargetMode="External"/><Relationship Id="rId268" Type="http://schemas.openxmlformats.org/officeDocument/2006/relationships/hyperlink" Target="https://youtu.be/D93s4CoyszI?t=2597" TargetMode="External"/><Relationship Id="rId6" Type="http://schemas.openxmlformats.org/officeDocument/2006/relationships/hyperlink" Target="https://youtu.be/s_Unzy_WODs?t=1827" TargetMode="External"/><Relationship Id="rId146" Type="http://schemas.openxmlformats.org/officeDocument/2006/relationships/hyperlink" Target="https://youtu.be/Y1QfgRkqcvo?t=1932" TargetMode="External"/><Relationship Id="rId267" Type="http://schemas.openxmlformats.org/officeDocument/2006/relationships/hyperlink" Target="https://youtu.be/9OXp_0iqt8w?t=2518" TargetMode="External"/><Relationship Id="rId7" Type="http://schemas.openxmlformats.org/officeDocument/2006/relationships/hyperlink" Target="https://youtu.be/uwWfFF354Jg?t=2682" TargetMode="External"/><Relationship Id="rId145" Type="http://schemas.openxmlformats.org/officeDocument/2006/relationships/hyperlink" Target="https://youtu.be/KydhEhy4aSI?t=1274" TargetMode="External"/><Relationship Id="rId266" Type="http://schemas.openxmlformats.org/officeDocument/2006/relationships/hyperlink" Target="https://youtu.be/D93s4CoyszI?t=1694" TargetMode="External"/><Relationship Id="rId8" Type="http://schemas.openxmlformats.org/officeDocument/2006/relationships/hyperlink" Target="https://youtu.be/s_Unzy_WODs?t=2678" TargetMode="External"/><Relationship Id="rId144" Type="http://schemas.openxmlformats.org/officeDocument/2006/relationships/hyperlink" Target="https://youtu.be/Y1QfgRkqcvo?t=937" TargetMode="External"/><Relationship Id="rId265" Type="http://schemas.openxmlformats.org/officeDocument/2006/relationships/hyperlink" Target="https://youtu.be/9OXp_0iqt8w?t=1705" TargetMode="External"/><Relationship Id="rId73" Type="http://schemas.openxmlformats.org/officeDocument/2006/relationships/hyperlink" Target="https://youtu.be/ucI9v7bNfFQ?t=5868" TargetMode="External"/><Relationship Id="rId72" Type="http://schemas.openxmlformats.org/officeDocument/2006/relationships/hyperlink" Target="https://youtu.be/IEZuGV0KrjA?t=4909" TargetMode="External"/><Relationship Id="rId75" Type="http://schemas.openxmlformats.org/officeDocument/2006/relationships/hyperlink" Target="https://youtu.be/ucI9v7bNfFQ?t=6748" TargetMode="External"/><Relationship Id="rId74" Type="http://schemas.openxmlformats.org/officeDocument/2006/relationships/hyperlink" Target="https://youtu.be/IEZuGV0KrjA?t=5836" TargetMode="External"/><Relationship Id="rId77" Type="http://schemas.openxmlformats.org/officeDocument/2006/relationships/hyperlink" Target="https://youtu.be/ucI9v7bNfFQ?t=7711" TargetMode="External"/><Relationship Id="rId260" Type="http://schemas.openxmlformats.org/officeDocument/2006/relationships/hyperlink" Target="https://youtu.be/m9WUYw3rDLc?t=7746" TargetMode="External"/><Relationship Id="rId76" Type="http://schemas.openxmlformats.org/officeDocument/2006/relationships/hyperlink" Target="https://youtu.be/IEZuGV0KrjA?t=6777" TargetMode="External"/><Relationship Id="rId79" Type="http://schemas.openxmlformats.org/officeDocument/2006/relationships/hyperlink" Target="https://youtu.be/ucI9v7bNfFQ?t=8687" TargetMode="External"/><Relationship Id="rId78" Type="http://schemas.openxmlformats.org/officeDocument/2006/relationships/hyperlink" Target="https://youtu.be/IEZuGV0KrjA?t=7756" TargetMode="External"/><Relationship Id="rId71" Type="http://schemas.openxmlformats.org/officeDocument/2006/relationships/hyperlink" Target="https://youtu.be/ucI9v7bNfFQ?t=4867" TargetMode="External"/><Relationship Id="rId70" Type="http://schemas.openxmlformats.org/officeDocument/2006/relationships/hyperlink" Target="https://youtu.be/IEZuGV0KrjA?t=3938" TargetMode="External"/><Relationship Id="rId139" Type="http://schemas.openxmlformats.org/officeDocument/2006/relationships/hyperlink" Target="https://youtu.be/ACvI3-dovzE?t=7618" TargetMode="External"/><Relationship Id="rId138" Type="http://schemas.openxmlformats.org/officeDocument/2006/relationships/hyperlink" Target="https://youtu.be/fw9WLjH3Ug8?t=6871" TargetMode="External"/><Relationship Id="rId259" Type="http://schemas.openxmlformats.org/officeDocument/2006/relationships/hyperlink" Target="https://youtu.be/yH6iVRjF4es?t=7824" TargetMode="External"/><Relationship Id="rId137" Type="http://schemas.openxmlformats.org/officeDocument/2006/relationships/hyperlink" Target="https://youtu.be/ACvI3-dovzE?t=6788" TargetMode="External"/><Relationship Id="rId258" Type="http://schemas.openxmlformats.org/officeDocument/2006/relationships/hyperlink" Target="https://youtu.be/m9WUYw3rDLc?t=6880" TargetMode="External"/><Relationship Id="rId132" Type="http://schemas.openxmlformats.org/officeDocument/2006/relationships/hyperlink" Target="https://youtu.be/fw9WLjH3Ug8?t=4354" TargetMode="External"/><Relationship Id="rId253" Type="http://schemas.openxmlformats.org/officeDocument/2006/relationships/hyperlink" Target="https://youtu.be/yH6iVRjF4es?t=5186" TargetMode="External"/><Relationship Id="rId131" Type="http://schemas.openxmlformats.org/officeDocument/2006/relationships/hyperlink" Target="https://youtu.be/ACvI3-dovzE?t=4244" TargetMode="External"/><Relationship Id="rId252" Type="http://schemas.openxmlformats.org/officeDocument/2006/relationships/hyperlink" Target="https://youtu.be/m9WUYw3rDLc?t=4293" TargetMode="External"/><Relationship Id="rId130" Type="http://schemas.openxmlformats.org/officeDocument/2006/relationships/hyperlink" Target="https://youtu.be/fw9WLjH3Ug8?t=3490" TargetMode="External"/><Relationship Id="rId251" Type="http://schemas.openxmlformats.org/officeDocument/2006/relationships/hyperlink" Target="https://youtu.be/yH6iVRjF4es?t=4317" TargetMode="External"/><Relationship Id="rId250" Type="http://schemas.openxmlformats.org/officeDocument/2006/relationships/hyperlink" Target="https://youtu.be/m9WUYw3rDLc?t=3437" TargetMode="External"/><Relationship Id="rId136" Type="http://schemas.openxmlformats.org/officeDocument/2006/relationships/hyperlink" Target="https://youtu.be/fw9WLjH3Ug8?t=5987" TargetMode="External"/><Relationship Id="rId257" Type="http://schemas.openxmlformats.org/officeDocument/2006/relationships/hyperlink" Target="https://youtu.be/yH6iVRjF4es?t=6944" TargetMode="External"/><Relationship Id="rId135" Type="http://schemas.openxmlformats.org/officeDocument/2006/relationships/hyperlink" Target="https://youtu.be/ACvI3-dovzE?t=5955" TargetMode="External"/><Relationship Id="rId256" Type="http://schemas.openxmlformats.org/officeDocument/2006/relationships/hyperlink" Target="https://youtu.be/m9WUYw3rDLc?t=6006" TargetMode="External"/><Relationship Id="rId134" Type="http://schemas.openxmlformats.org/officeDocument/2006/relationships/hyperlink" Target="https://youtu.be/fw9WLjH3Ug8?t=5178" TargetMode="External"/><Relationship Id="rId255" Type="http://schemas.openxmlformats.org/officeDocument/2006/relationships/hyperlink" Target="https://youtu.be/yH6iVRjF4es?t=6016" TargetMode="External"/><Relationship Id="rId133" Type="http://schemas.openxmlformats.org/officeDocument/2006/relationships/hyperlink" Target="https://youtu.be/ACvI3-dovzE?t=5121" TargetMode="External"/><Relationship Id="rId254" Type="http://schemas.openxmlformats.org/officeDocument/2006/relationships/hyperlink" Target="https://youtu.be/m9WUYw3rDLc?t=5130" TargetMode="External"/><Relationship Id="rId62" Type="http://schemas.openxmlformats.org/officeDocument/2006/relationships/hyperlink" Target="https://youtu.be/IEZuGV0KrjA" TargetMode="External"/><Relationship Id="rId61" Type="http://schemas.openxmlformats.org/officeDocument/2006/relationships/hyperlink" Target="https://youtu.be/ucI9v7bNfFQ" TargetMode="External"/><Relationship Id="rId64" Type="http://schemas.openxmlformats.org/officeDocument/2006/relationships/hyperlink" Target="https://youtu.be/IEZuGV0KrjA?t=1081" TargetMode="External"/><Relationship Id="rId63" Type="http://schemas.openxmlformats.org/officeDocument/2006/relationships/hyperlink" Target="https://youtu.be/ucI9v7bNfFQ?t=1022" TargetMode="External"/><Relationship Id="rId66" Type="http://schemas.openxmlformats.org/officeDocument/2006/relationships/hyperlink" Target="https://youtu.be/IEZuGV0KrjA?t=2010" TargetMode="External"/><Relationship Id="rId172" Type="http://schemas.openxmlformats.org/officeDocument/2006/relationships/hyperlink" Target="https://youtu.be/5B3GA3E7Www?t=4338" TargetMode="External"/><Relationship Id="rId293" Type="http://schemas.openxmlformats.org/officeDocument/2006/relationships/hyperlink" Target="https://youtu.be/Y-6gjyEBJrg?t=5860" TargetMode="External"/><Relationship Id="rId65" Type="http://schemas.openxmlformats.org/officeDocument/2006/relationships/hyperlink" Target="https://youtu.be/ucI9v7bNfFQ?t=1952" TargetMode="External"/><Relationship Id="rId171" Type="http://schemas.openxmlformats.org/officeDocument/2006/relationships/hyperlink" Target="https://youtu.be/0uitnzoRBq0?t=4319" TargetMode="External"/><Relationship Id="rId292" Type="http://schemas.openxmlformats.org/officeDocument/2006/relationships/hyperlink" Target="https://youtu.be/tfbQjHLNIOA?t=4910" TargetMode="External"/><Relationship Id="rId68" Type="http://schemas.openxmlformats.org/officeDocument/2006/relationships/hyperlink" Target="https://youtu.be/IEZuGV0KrjA?t=2979" TargetMode="External"/><Relationship Id="rId170" Type="http://schemas.openxmlformats.org/officeDocument/2006/relationships/hyperlink" Target="https://youtu.be/5B3GA3E7Www?t=3478" TargetMode="External"/><Relationship Id="rId291" Type="http://schemas.openxmlformats.org/officeDocument/2006/relationships/hyperlink" Target="https://youtu.be/Y-6gjyEBJrg?t=4760" TargetMode="External"/><Relationship Id="rId67" Type="http://schemas.openxmlformats.org/officeDocument/2006/relationships/hyperlink" Target="https://youtu.be/ucI9v7bNfFQ?t=2896" TargetMode="External"/><Relationship Id="rId290" Type="http://schemas.openxmlformats.org/officeDocument/2006/relationships/hyperlink" Target="https://youtu.be/tfbQjHLNIOA?t=3967" TargetMode="External"/><Relationship Id="rId60" Type="http://schemas.openxmlformats.org/officeDocument/2006/relationships/hyperlink" Target="https://youtu.be/R_RKv9OW8_E?t=7858" TargetMode="External"/><Relationship Id="rId165" Type="http://schemas.openxmlformats.org/officeDocument/2006/relationships/hyperlink" Target="https://youtu.be/0uitnzoRBq0?t=1735" TargetMode="External"/><Relationship Id="rId286" Type="http://schemas.openxmlformats.org/officeDocument/2006/relationships/hyperlink" Target="https://youtu.be/tfbQjHLNIOA?t=2039" TargetMode="External"/><Relationship Id="rId69" Type="http://schemas.openxmlformats.org/officeDocument/2006/relationships/hyperlink" Target="https://youtu.be/ucI9v7bNfFQ?t=3858" TargetMode="External"/><Relationship Id="rId164" Type="http://schemas.openxmlformats.org/officeDocument/2006/relationships/hyperlink" Target="https://youtu.be/5B3GA3E7Www?t=916" TargetMode="External"/><Relationship Id="rId285" Type="http://schemas.openxmlformats.org/officeDocument/2006/relationships/hyperlink" Target="https://youtu.be/Y-6gjyEBJrg?t=1921" TargetMode="External"/><Relationship Id="rId163" Type="http://schemas.openxmlformats.org/officeDocument/2006/relationships/hyperlink" Target="https://youtu.be/0uitnzoRBq0?t=908" TargetMode="External"/><Relationship Id="rId284" Type="http://schemas.openxmlformats.org/officeDocument/2006/relationships/hyperlink" Target="https://youtu.be/tfbQjHLNIOA?t=1103" TargetMode="External"/><Relationship Id="rId162" Type="http://schemas.openxmlformats.org/officeDocument/2006/relationships/hyperlink" Target="https://youtu.be/5B3GA3E7Www?t=58" TargetMode="External"/><Relationship Id="rId283" Type="http://schemas.openxmlformats.org/officeDocument/2006/relationships/hyperlink" Target="https://youtu.be/Y-6gjyEBJrg?t=959" TargetMode="External"/><Relationship Id="rId169" Type="http://schemas.openxmlformats.org/officeDocument/2006/relationships/hyperlink" Target="https://youtu.be/0uitnzoRBq0?t=3469" TargetMode="External"/><Relationship Id="rId168" Type="http://schemas.openxmlformats.org/officeDocument/2006/relationships/hyperlink" Target="https://youtu.be/5B3GA3E7Www?t=2590" TargetMode="External"/><Relationship Id="rId289" Type="http://schemas.openxmlformats.org/officeDocument/2006/relationships/hyperlink" Target="https://youtu.be/Y-6gjyEBJrg?t=3755" TargetMode="External"/><Relationship Id="rId167" Type="http://schemas.openxmlformats.org/officeDocument/2006/relationships/hyperlink" Target="https://youtu.be/0uitnzoRBq0?t=2555" TargetMode="External"/><Relationship Id="rId288" Type="http://schemas.openxmlformats.org/officeDocument/2006/relationships/hyperlink" Target="https://youtu.be/tfbQjHLNIOA?t=3008" TargetMode="External"/><Relationship Id="rId166" Type="http://schemas.openxmlformats.org/officeDocument/2006/relationships/hyperlink" Target="https://youtu.be/5B3GA3E7Www?t=1738" TargetMode="External"/><Relationship Id="rId287" Type="http://schemas.openxmlformats.org/officeDocument/2006/relationships/hyperlink" Target="https://youtu.be/Y-6gjyEBJrg?t=2827" TargetMode="External"/><Relationship Id="rId51" Type="http://schemas.openxmlformats.org/officeDocument/2006/relationships/hyperlink" Target="https://youtu.be/-E-7T6UrUkI?t=4383" TargetMode="External"/><Relationship Id="rId50" Type="http://schemas.openxmlformats.org/officeDocument/2006/relationships/hyperlink" Target="https://youtu.be/R_RKv9OW8_E?t=3497" TargetMode="External"/><Relationship Id="rId53" Type="http://schemas.openxmlformats.org/officeDocument/2006/relationships/hyperlink" Target="https://youtu.be/-E-7T6UrUkI?t=5246" TargetMode="External"/><Relationship Id="rId52" Type="http://schemas.openxmlformats.org/officeDocument/2006/relationships/hyperlink" Target="https://youtu.be/R_RKv9OW8_E?t=4394" TargetMode="External"/><Relationship Id="rId55" Type="http://schemas.openxmlformats.org/officeDocument/2006/relationships/hyperlink" Target="https://youtu.be/-E-7T6UrUkI?t=6055" TargetMode="External"/><Relationship Id="rId161" Type="http://schemas.openxmlformats.org/officeDocument/2006/relationships/hyperlink" Target="https://youtu.be/0uitnzoRBq0" TargetMode="External"/><Relationship Id="rId282" Type="http://schemas.openxmlformats.org/officeDocument/2006/relationships/hyperlink" Target="https://youtu.be/tfbQjHLNIOA" TargetMode="External"/><Relationship Id="rId54" Type="http://schemas.openxmlformats.org/officeDocument/2006/relationships/hyperlink" Target="https://youtu.be/R_RKv9OW8_E?t=5236" TargetMode="External"/><Relationship Id="rId160" Type="http://schemas.openxmlformats.org/officeDocument/2006/relationships/hyperlink" Target="https://youtu.be/Y1QfgRkqcvo?t=8630" TargetMode="External"/><Relationship Id="rId281" Type="http://schemas.openxmlformats.org/officeDocument/2006/relationships/hyperlink" Target="https://youtu.be/Y-6gjyEBJrg" TargetMode="External"/><Relationship Id="rId57" Type="http://schemas.openxmlformats.org/officeDocument/2006/relationships/hyperlink" Target="https://youtu.be/-E-7T6UrUkI?t=6963" TargetMode="External"/><Relationship Id="rId280" Type="http://schemas.openxmlformats.org/officeDocument/2006/relationships/hyperlink" Target="https://youtu.be/D93s4CoyszI?t=7696" TargetMode="External"/><Relationship Id="rId56" Type="http://schemas.openxmlformats.org/officeDocument/2006/relationships/hyperlink" Target="https://youtu.be/R_RKv9OW8_E?t=6093" TargetMode="External"/><Relationship Id="rId159" Type="http://schemas.openxmlformats.org/officeDocument/2006/relationships/hyperlink" Target="https://youtu.be/KydhEhy4aSI?t=7826" TargetMode="External"/><Relationship Id="rId59" Type="http://schemas.openxmlformats.org/officeDocument/2006/relationships/hyperlink" Target="https://youtu.be/-E-7T6UrUkI?t=7808" TargetMode="External"/><Relationship Id="rId154" Type="http://schemas.openxmlformats.org/officeDocument/2006/relationships/hyperlink" Target="https://youtu.be/Y1QfgRkqcvo?t=5730" TargetMode="External"/><Relationship Id="rId275" Type="http://schemas.openxmlformats.org/officeDocument/2006/relationships/hyperlink" Target="https://youtu.be/9OXp_0iqt8w?t=6031" TargetMode="External"/><Relationship Id="rId58" Type="http://schemas.openxmlformats.org/officeDocument/2006/relationships/hyperlink" Target="https://youtu.be/R_RKv9OW8_E?t=6997" TargetMode="External"/><Relationship Id="rId153" Type="http://schemas.openxmlformats.org/officeDocument/2006/relationships/hyperlink" Target="https://youtu.be/KydhEhy4aSI?t=5093" TargetMode="External"/><Relationship Id="rId274" Type="http://schemas.openxmlformats.org/officeDocument/2006/relationships/hyperlink" Target="https://youtu.be/D93s4CoyszI?t=5132" TargetMode="External"/><Relationship Id="rId152" Type="http://schemas.openxmlformats.org/officeDocument/2006/relationships/hyperlink" Target="https://youtu.be/Y1QfgRkqcvo?t=4749" TargetMode="External"/><Relationship Id="rId273" Type="http://schemas.openxmlformats.org/officeDocument/2006/relationships/hyperlink" Target="https://youtu.be/9OXp_0iqt8w?t=5139" TargetMode="External"/><Relationship Id="rId151" Type="http://schemas.openxmlformats.org/officeDocument/2006/relationships/hyperlink" Target="https://youtu.be/KydhEhy4aSI?t=4197" TargetMode="External"/><Relationship Id="rId272" Type="http://schemas.openxmlformats.org/officeDocument/2006/relationships/hyperlink" Target="https://youtu.be/D93s4CoyszI?t=4260" TargetMode="External"/><Relationship Id="rId158" Type="http://schemas.openxmlformats.org/officeDocument/2006/relationships/hyperlink" Target="https://youtu.be/Y1QfgRkqcvo?t=7653" TargetMode="External"/><Relationship Id="rId279" Type="http://schemas.openxmlformats.org/officeDocument/2006/relationships/hyperlink" Target="https://youtu.be/9OXp_0iqt8w?t=7682" TargetMode="External"/><Relationship Id="rId157" Type="http://schemas.openxmlformats.org/officeDocument/2006/relationships/hyperlink" Target="https://youtu.be/KydhEhy4aSI?t=6900" TargetMode="External"/><Relationship Id="rId278" Type="http://schemas.openxmlformats.org/officeDocument/2006/relationships/hyperlink" Target="https://youtu.be/D93s4CoyszI?t=6855" TargetMode="External"/><Relationship Id="rId156" Type="http://schemas.openxmlformats.org/officeDocument/2006/relationships/hyperlink" Target="https://youtu.be/Y1QfgRkqcvo?t=6677" TargetMode="External"/><Relationship Id="rId277" Type="http://schemas.openxmlformats.org/officeDocument/2006/relationships/hyperlink" Target="https://youtu.be/9OXp_0iqt8w?t=6870" TargetMode="External"/><Relationship Id="rId155" Type="http://schemas.openxmlformats.org/officeDocument/2006/relationships/hyperlink" Target="https://youtu.be/KydhEhy4aSI?t=6004" TargetMode="External"/><Relationship Id="rId276" Type="http://schemas.openxmlformats.org/officeDocument/2006/relationships/hyperlink" Target="https://youtu.be/D93s4CoyszI?t=5990" TargetMode="External"/><Relationship Id="rId107" Type="http://schemas.openxmlformats.org/officeDocument/2006/relationships/hyperlink" Target="https://youtu.be/z-Biqlm0j_U?t=2905" TargetMode="External"/><Relationship Id="rId228" Type="http://schemas.openxmlformats.org/officeDocument/2006/relationships/hyperlink" Target="https://youtu.be/shy47nP_uq0?t=2968" TargetMode="External"/><Relationship Id="rId106" Type="http://schemas.openxmlformats.org/officeDocument/2006/relationships/hyperlink" Target="https://youtu.be/jOu2-tCSIxs?t=2014" TargetMode="External"/><Relationship Id="rId227" Type="http://schemas.openxmlformats.org/officeDocument/2006/relationships/hyperlink" Target="https://youtu.be/282Nd_RkzEU?t=2881" TargetMode="External"/><Relationship Id="rId105" Type="http://schemas.openxmlformats.org/officeDocument/2006/relationships/hyperlink" Target="https://youtu.be/z-Biqlm0j_U?t=1944" TargetMode="External"/><Relationship Id="rId226" Type="http://schemas.openxmlformats.org/officeDocument/2006/relationships/hyperlink" Target="https://youtu.be/shy47nP_uq0?t=2026" TargetMode="External"/><Relationship Id="rId104" Type="http://schemas.openxmlformats.org/officeDocument/2006/relationships/hyperlink" Target="https://youtu.be/jOu2-tCSIxs?t=1073" TargetMode="External"/><Relationship Id="rId225" Type="http://schemas.openxmlformats.org/officeDocument/2006/relationships/hyperlink" Target="https://youtu.be/282Nd_RkzEU?t=1973" TargetMode="External"/><Relationship Id="rId109" Type="http://schemas.openxmlformats.org/officeDocument/2006/relationships/hyperlink" Target="https://youtu.be/z-Biqlm0j_U?t=3875" TargetMode="External"/><Relationship Id="rId108" Type="http://schemas.openxmlformats.org/officeDocument/2006/relationships/hyperlink" Target="https://youtu.be/jOu2-tCSIxs?t=2919" TargetMode="External"/><Relationship Id="rId229" Type="http://schemas.openxmlformats.org/officeDocument/2006/relationships/hyperlink" Target="https://youtu.be/282Nd_RkzEU?t=3783" TargetMode="External"/><Relationship Id="rId220" Type="http://schemas.openxmlformats.org/officeDocument/2006/relationships/hyperlink" Target="https://youtu.be/kXCgtdY0iK4?t=8665" TargetMode="External"/><Relationship Id="rId103" Type="http://schemas.openxmlformats.org/officeDocument/2006/relationships/hyperlink" Target="https://youtu.be/z-Biqlm0j_U?t=968" TargetMode="External"/><Relationship Id="rId224" Type="http://schemas.openxmlformats.org/officeDocument/2006/relationships/hyperlink" Target="https://youtu.be/shy47nP_uq0?t=1050" TargetMode="External"/><Relationship Id="rId102" Type="http://schemas.openxmlformats.org/officeDocument/2006/relationships/hyperlink" Target="https://youtu.be/jOu2-tCSIxs" TargetMode="External"/><Relationship Id="rId223" Type="http://schemas.openxmlformats.org/officeDocument/2006/relationships/hyperlink" Target="https://youtu.be/282Nd_RkzEU?t=1003" TargetMode="External"/><Relationship Id="rId101" Type="http://schemas.openxmlformats.org/officeDocument/2006/relationships/hyperlink" Target="https://youtu.be/z-Biqlm0j_U" TargetMode="External"/><Relationship Id="rId222" Type="http://schemas.openxmlformats.org/officeDocument/2006/relationships/hyperlink" Target="https://youtu.be/shy47nP_uq0" TargetMode="External"/><Relationship Id="rId100" Type="http://schemas.openxmlformats.org/officeDocument/2006/relationships/hyperlink" Target="https://youtu.be/8z6NGuOkEVc?t=8812" TargetMode="External"/><Relationship Id="rId221" Type="http://schemas.openxmlformats.org/officeDocument/2006/relationships/hyperlink" Target="https://youtu.be/282Nd_RkzEU" TargetMode="External"/><Relationship Id="rId217" Type="http://schemas.openxmlformats.org/officeDocument/2006/relationships/hyperlink" Target="https://youtu.be/S2bktRHZC2M?t=7240" TargetMode="External"/><Relationship Id="rId216" Type="http://schemas.openxmlformats.org/officeDocument/2006/relationships/hyperlink" Target="https://youtu.be/kXCgtdY0iK4?t=6822" TargetMode="External"/><Relationship Id="rId215" Type="http://schemas.openxmlformats.org/officeDocument/2006/relationships/hyperlink" Target="https://youtu.be/S2bktRHZC2M?t=6249" TargetMode="External"/><Relationship Id="rId214" Type="http://schemas.openxmlformats.org/officeDocument/2006/relationships/hyperlink" Target="https://youtu.be/kXCgtdY0iK4?t=5772" TargetMode="External"/><Relationship Id="rId219" Type="http://schemas.openxmlformats.org/officeDocument/2006/relationships/hyperlink" Target="https://youtu.be/S2bktRHZC2M?t=8234" TargetMode="External"/><Relationship Id="rId218" Type="http://schemas.openxmlformats.org/officeDocument/2006/relationships/hyperlink" Target="https://youtu.be/kXCgtdY0iK4?t=7744" TargetMode="External"/><Relationship Id="rId213" Type="http://schemas.openxmlformats.org/officeDocument/2006/relationships/hyperlink" Target="https://youtu.be/S2bktRHZC2M?t=5347" TargetMode="External"/><Relationship Id="rId212" Type="http://schemas.openxmlformats.org/officeDocument/2006/relationships/hyperlink" Target="https://youtu.be/kXCgtdY0iK4?t=4834" TargetMode="External"/><Relationship Id="rId211" Type="http://schemas.openxmlformats.org/officeDocument/2006/relationships/hyperlink" Target="https://youtu.be/S2bktRHZC2M?t=4463" TargetMode="External"/><Relationship Id="rId210" Type="http://schemas.openxmlformats.org/officeDocument/2006/relationships/hyperlink" Target="https://youtu.be/kXCgtdY0iK4?t=3932" TargetMode="External"/><Relationship Id="rId129" Type="http://schemas.openxmlformats.org/officeDocument/2006/relationships/hyperlink" Target="https://youtu.be/ACvI3-dovzE?t=3430" TargetMode="External"/><Relationship Id="rId128" Type="http://schemas.openxmlformats.org/officeDocument/2006/relationships/hyperlink" Target="https://youtu.be/fw9WLjH3Ug8?t=2679" TargetMode="External"/><Relationship Id="rId249" Type="http://schemas.openxmlformats.org/officeDocument/2006/relationships/hyperlink" Target="https://youtu.be/yH6iVRjF4es?t=3449" TargetMode="External"/><Relationship Id="rId127" Type="http://schemas.openxmlformats.org/officeDocument/2006/relationships/hyperlink" Target="https://youtu.be/ACvI3-dovzE?t=2601" TargetMode="External"/><Relationship Id="rId248" Type="http://schemas.openxmlformats.org/officeDocument/2006/relationships/hyperlink" Target="https://youtu.be/m9WUYw3rDLc?t=2595" TargetMode="External"/><Relationship Id="rId126" Type="http://schemas.openxmlformats.org/officeDocument/2006/relationships/hyperlink" Target="https://youtu.be/fw9WLjH3Ug8?t=1868" TargetMode="External"/><Relationship Id="rId247" Type="http://schemas.openxmlformats.org/officeDocument/2006/relationships/hyperlink" Target="https://youtu.be/yH6iVRjF4es?t=2646" TargetMode="External"/><Relationship Id="rId121" Type="http://schemas.openxmlformats.org/officeDocument/2006/relationships/hyperlink" Target="https://youtu.be/ACvI3-dovzE" TargetMode="External"/><Relationship Id="rId242" Type="http://schemas.openxmlformats.org/officeDocument/2006/relationships/hyperlink" Target="https://youtu.be/m9WUYw3rDLc" TargetMode="External"/><Relationship Id="rId120" Type="http://schemas.openxmlformats.org/officeDocument/2006/relationships/hyperlink" Target="https://youtu.be/jOu2-tCSIxs?t=8773" TargetMode="External"/><Relationship Id="rId241" Type="http://schemas.openxmlformats.org/officeDocument/2006/relationships/hyperlink" Target="https://youtu.be/yH6iVRjF4es" TargetMode="External"/><Relationship Id="rId240" Type="http://schemas.openxmlformats.org/officeDocument/2006/relationships/hyperlink" Target="https://youtu.be/shy47nP_uq0?t=8689" TargetMode="External"/><Relationship Id="rId125" Type="http://schemas.openxmlformats.org/officeDocument/2006/relationships/hyperlink" Target="https://youtu.be/ACvI3-dovzE?t=1727" TargetMode="External"/><Relationship Id="rId246" Type="http://schemas.openxmlformats.org/officeDocument/2006/relationships/hyperlink" Target="https://youtu.be/m9WUYw3rDLc?t=1727" TargetMode="External"/><Relationship Id="rId124" Type="http://schemas.openxmlformats.org/officeDocument/2006/relationships/hyperlink" Target="https://youtu.be/fw9WLjH3Ug8?t=1055" TargetMode="External"/><Relationship Id="rId245" Type="http://schemas.openxmlformats.org/officeDocument/2006/relationships/hyperlink" Target="https://youtu.be/yH6iVRjF4es?t=1741" TargetMode="External"/><Relationship Id="rId123" Type="http://schemas.openxmlformats.org/officeDocument/2006/relationships/hyperlink" Target="https://youtu.be/ACvI3-dovzE?t=884" TargetMode="External"/><Relationship Id="rId244" Type="http://schemas.openxmlformats.org/officeDocument/2006/relationships/hyperlink" Target="https://youtu.be/m9WUYw3rDLc?t=843" TargetMode="External"/><Relationship Id="rId122" Type="http://schemas.openxmlformats.org/officeDocument/2006/relationships/hyperlink" Target="https://youtu.be/fw9WLjH3Ug8" TargetMode="External"/><Relationship Id="rId243" Type="http://schemas.openxmlformats.org/officeDocument/2006/relationships/hyperlink" Target="https://youtu.be/yH6iVRjF4es?t=873" TargetMode="External"/><Relationship Id="rId95" Type="http://schemas.openxmlformats.org/officeDocument/2006/relationships/hyperlink" Target="https://youtu.be/DLKRkuvbc5g?t=6735" TargetMode="External"/><Relationship Id="rId94" Type="http://schemas.openxmlformats.org/officeDocument/2006/relationships/hyperlink" Target="https://youtu.be/8z6NGuOkEVc?t=5928" TargetMode="External"/><Relationship Id="rId97" Type="http://schemas.openxmlformats.org/officeDocument/2006/relationships/hyperlink" Target="https://youtu.be/DLKRkuvbc5g?t=7688" TargetMode="External"/><Relationship Id="rId96" Type="http://schemas.openxmlformats.org/officeDocument/2006/relationships/hyperlink" Target="https://youtu.be/8z6NGuOkEVc?t=6887" TargetMode="External"/><Relationship Id="rId99" Type="http://schemas.openxmlformats.org/officeDocument/2006/relationships/hyperlink" Target="https://youtu.be/DLKRkuvbc5g?t=8661" TargetMode="External"/><Relationship Id="rId98" Type="http://schemas.openxmlformats.org/officeDocument/2006/relationships/hyperlink" Target="https://youtu.be/8z6NGuOkEVc?t=7815" TargetMode="External"/><Relationship Id="rId91" Type="http://schemas.openxmlformats.org/officeDocument/2006/relationships/hyperlink" Target="https://youtu.be/DLKRkuvbc5g?t=4822" TargetMode="External"/><Relationship Id="rId90" Type="http://schemas.openxmlformats.org/officeDocument/2006/relationships/hyperlink" Target="https://youtu.be/8z6NGuOkEVc?t=3967" TargetMode="External"/><Relationship Id="rId93" Type="http://schemas.openxmlformats.org/officeDocument/2006/relationships/hyperlink" Target="https://youtu.be/DLKRkuvbc5g?t=5778" TargetMode="External"/><Relationship Id="rId92" Type="http://schemas.openxmlformats.org/officeDocument/2006/relationships/hyperlink" Target="https://youtu.be/8z6NGuOkEVc?t=4946" TargetMode="External"/><Relationship Id="rId118" Type="http://schemas.openxmlformats.org/officeDocument/2006/relationships/hyperlink" Target="https://youtu.be/jOu2-tCSIxs?t=7780" TargetMode="External"/><Relationship Id="rId239" Type="http://schemas.openxmlformats.org/officeDocument/2006/relationships/hyperlink" Target="https://youtu.be/282Nd_RkzEU?t=8576" TargetMode="External"/><Relationship Id="rId117" Type="http://schemas.openxmlformats.org/officeDocument/2006/relationships/hyperlink" Target="https://youtu.be/z-Biqlm0j_U?t=7698" TargetMode="External"/><Relationship Id="rId238" Type="http://schemas.openxmlformats.org/officeDocument/2006/relationships/hyperlink" Target="https://youtu.be/shy47nP_uq0?t=7788" TargetMode="External"/><Relationship Id="rId116" Type="http://schemas.openxmlformats.org/officeDocument/2006/relationships/hyperlink" Target="https://youtu.be/jOu2-tCSIxs?t=6835" TargetMode="External"/><Relationship Id="rId237" Type="http://schemas.openxmlformats.org/officeDocument/2006/relationships/hyperlink" Target="https://youtu.be/282Nd_RkzEU?t=7618" TargetMode="External"/><Relationship Id="rId115" Type="http://schemas.openxmlformats.org/officeDocument/2006/relationships/hyperlink" Target="https://youtu.be/z-Biqlm0j_U?t=6739" TargetMode="External"/><Relationship Id="rId236" Type="http://schemas.openxmlformats.org/officeDocument/2006/relationships/hyperlink" Target="https://youtu.be/shy47nP_uq0?t=6814" TargetMode="External"/><Relationship Id="rId119" Type="http://schemas.openxmlformats.org/officeDocument/2006/relationships/hyperlink" Target="https://youtu.be/z-Biqlm0j_U?t=8589" TargetMode="External"/><Relationship Id="rId110" Type="http://schemas.openxmlformats.org/officeDocument/2006/relationships/hyperlink" Target="https://youtu.be/jOu2-tCSIxs?t=3928" TargetMode="External"/><Relationship Id="rId231" Type="http://schemas.openxmlformats.org/officeDocument/2006/relationships/hyperlink" Target="https://youtu.be/282Nd_RkzEU?t=4772" TargetMode="External"/><Relationship Id="rId230" Type="http://schemas.openxmlformats.org/officeDocument/2006/relationships/hyperlink" Target="https://youtu.be/shy47nP_uq0?t=3933" TargetMode="External"/><Relationship Id="rId114" Type="http://schemas.openxmlformats.org/officeDocument/2006/relationships/hyperlink" Target="https://youtu.be/jOu2-tCSIxs?t=5789" TargetMode="External"/><Relationship Id="rId235" Type="http://schemas.openxmlformats.org/officeDocument/2006/relationships/hyperlink" Target="https://youtu.be/282Nd_RkzEU?t=6682" TargetMode="External"/><Relationship Id="rId113" Type="http://schemas.openxmlformats.org/officeDocument/2006/relationships/hyperlink" Target="https://youtu.be/z-Biqlm0j_U?t=5733" TargetMode="External"/><Relationship Id="rId234" Type="http://schemas.openxmlformats.org/officeDocument/2006/relationships/hyperlink" Target="https://youtu.be/shy47nP_uq0?t=5893" TargetMode="External"/><Relationship Id="rId112" Type="http://schemas.openxmlformats.org/officeDocument/2006/relationships/hyperlink" Target="https://youtu.be/jOu2-tCSIxs?t=4741" TargetMode="External"/><Relationship Id="rId233" Type="http://schemas.openxmlformats.org/officeDocument/2006/relationships/hyperlink" Target="https://youtu.be/282Nd_RkzEU?t=5700" TargetMode="External"/><Relationship Id="rId111" Type="http://schemas.openxmlformats.org/officeDocument/2006/relationships/hyperlink" Target="https://youtu.be/z-Biqlm0j_U?t=4822" TargetMode="External"/><Relationship Id="rId232" Type="http://schemas.openxmlformats.org/officeDocument/2006/relationships/hyperlink" Target="https://youtu.be/shy47nP_uq0?t=4924" TargetMode="External"/><Relationship Id="rId305" Type="http://schemas.openxmlformats.org/officeDocument/2006/relationships/hyperlink" Target="https://youtu.be/hlTvwyYPp70?t=1787" TargetMode="External"/><Relationship Id="rId304" Type="http://schemas.openxmlformats.org/officeDocument/2006/relationships/hyperlink" Target="https://youtu.be/u6SKVC2ZWmk?t=882" TargetMode="External"/><Relationship Id="rId303" Type="http://schemas.openxmlformats.org/officeDocument/2006/relationships/hyperlink" Target="https://youtu.be/hlTvwyYPp70?t=994" TargetMode="External"/><Relationship Id="rId302" Type="http://schemas.openxmlformats.org/officeDocument/2006/relationships/hyperlink" Target="https://youtu.be/u6SKVC2ZWmk" TargetMode="External"/><Relationship Id="rId309" Type="http://schemas.openxmlformats.org/officeDocument/2006/relationships/hyperlink" Target="https://youtu.be/hlTvwyYPp70?t=3493" TargetMode="External"/><Relationship Id="rId308" Type="http://schemas.openxmlformats.org/officeDocument/2006/relationships/hyperlink" Target="https://youtu.be/u6SKVC2ZWmk?t=2657" TargetMode="External"/><Relationship Id="rId307" Type="http://schemas.openxmlformats.org/officeDocument/2006/relationships/hyperlink" Target="https://youtu.be/hlTvwyYPp70?t=2677" TargetMode="External"/><Relationship Id="rId306" Type="http://schemas.openxmlformats.org/officeDocument/2006/relationships/hyperlink" Target="https://youtu.be/u6SKVC2ZWmk?t=1826" TargetMode="External"/><Relationship Id="rId301" Type="http://schemas.openxmlformats.org/officeDocument/2006/relationships/hyperlink" Target="https://youtu.be/hlTvwyYPp70" TargetMode="External"/><Relationship Id="rId300" Type="http://schemas.openxmlformats.org/officeDocument/2006/relationships/hyperlink" Target="https://youtu.be/tfbQjHLNIOA?t=8702" TargetMode="External"/><Relationship Id="rId206" Type="http://schemas.openxmlformats.org/officeDocument/2006/relationships/hyperlink" Target="https://youtu.be/kXCgtdY0iK4?t=2026" TargetMode="External"/><Relationship Id="rId205" Type="http://schemas.openxmlformats.org/officeDocument/2006/relationships/hyperlink" Target="https://youtu.be/S2bktRHZC2M?t=1739" TargetMode="External"/><Relationship Id="rId204" Type="http://schemas.openxmlformats.org/officeDocument/2006/relationships/hyperlink" Target="https://youtu.be/kXCgtdY0iK4?t=1148" TargetMode="External"/><Relationship Id="rId203" Type="http://schemas.openxmlformats.org/officeDocument/2006/relationships/hyperlink" Target="https://youtu.be/S2bktRHZC2M?t=845" TargetMode="External"/><Relationship Id="rId209" Type="http://schemas.openxmlformats.org/officeDocument/2006/relationships/hyperlink" Target="https://youtu.be/S2bktRHZC2M?t=3511" TargetMode="External"/><Relationship Id="rId208" Type="http://schemas.openxmlformats.org/officeDocument/2006/relationships/hyperlink" Target="https://youtu.be/kXCgtdY0iK4?t=2990" TargetMode="External"/><Relationship Id="rId207" Type="http://schemas.openxmlformats.org/officeDocument/2006/relationships/hyperlink" Target="https://youtu.be/S2bktRHZC2M?t=2588" TargetMode="External"/><Relationship Id="rId202" Type="http://schemas.openxmlformats.org/officeDocument/2006/relationships/hyperlink" Target="https://youtu.be/kXCgtdY0iK4" TargetMode="External"/><Relationship Id="rId201" Type="http://schemas.openxmlformats.org/officeDocument/2006/relationships/hyperlink" Target="https://youtu.be/S2bktRHZC2M" TargetMode="External"/><Relationship Id="rId200" Type="http://schemas.openxmlformats.org/officeDocument/2006/relationships/hyperlink" Target="https://youtu.be/0YisjQX0Uw4?t=7726" TargetMode="External"/><Relationship Id="rId321" Type="http://schemas.openxmlformats.org/officeDocument/2006/relationships/drawing" Target="../drawings/drawing26.xml"/><Relationship Id="rId320" Type="http://schemas.openxmlformats.org/officeDocument/2006/relationships/hyperlink" Target="https://youtu.be/u6SKVC2ZWmk?t=7767" TargetMode="External"/><Relationship Id="rId316" Type="http://schemas.openxmlformats.org/officeDocument/2006/relationships/hyperlink" Target="https://youtu.be/u6SKVC2ZWmk?t=6018" TargetMode="External"/><Relationship Id="rId315" Type="http://schemas.openxmlformats.org/officeDocument/2006/relationships/hyperlink" Target="https://youtu.be/hlTvwyYPp70?t=6043" TargetMode="External"/><Relationship Id="rId314" Type="http://schemas.openxmlformats.org/officeDocument/2006/relationships/hyperlink" Target="https://youtu.be/u6SKVC2ZWmk?t=5127" TargetMode="External"/><Relationship Id="rId313" Type="http://schemas.openxmlformats.org/officeDocument/2006/relationships/hyperlink" Target="https://youtu.be/hlTvwyYPp70?t=5222" TargetMode="External"/><Relationship Id="rId319" Type="http://schemas.openxmlformats.org/officeDocument/2006/relationships/hyperlink" Target="https://youtu.be/hlTvwyYPp70?t=7780" TargetMode="External"/><Relationship Id="rId318" Type="http://schemas.openxmlformats.org/officeDocument/2006/relationships/hyperlink" Target="https://youtu.be/u6SKVC2ZWmk?t=6898" TargetMode="External"/><Relationship Id="rId317" Type="http://schemas.openxmlformats.org/officeDocument/2006/relationships/hyperlink" Target="https://youtu.be/hlTvwyYPp70?t=6896" TargetMode="External"/><Relationship Id="rId312" Type="http://schemas.openxmlformats.org/officeDocument/2006/relationships/hyperlink" Target="https://youtu.be/u6SKVC2ZWmk?t=4290" TargetMode="External"/><Relationship Id="rId311" Type="http://schemas.openxmlformats.org/officeDocument/2006/relationships/hyperlink" Target="https://youtu.be/hlTvwyYPp70?t=4400" TargetMode="External"/><Relationship Id="rId310" Type="http://schemas.openxmlformats.org/officeDocument/2006/relationships/hyperlink" Target="https://youtu.be/u6SKVC2ZWmk?t=3490" TargetMode="External"/></Relationships>
</file>

<file path=xl/worksheets/_rels/sheet2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uypaT_WLdb0?t=8643" TargetMode="External"/><Relationship Id="rId190" Type="http://schemas.openxmlformats.org/officeDocument/2006/relationships/hyperlink" Target="https://youtu.be/KtRWjry-xQY?t=3492" TargetMode="External"/><Relationship Id="rId42" Type="http://schemas.openxmlformats.org/officeDocument/2006/relationships/hyperlink" Target="https://youtu.be/Ypquq0tw1KI" TargetMode="External"/><Relationship Id="rId41" Type="http://schemas.openxmlformats.org/officeDocument/2006/relationships/hyperlink" Target="https://youtu.be/hjL51MOUgJg" TargetMode="External"/><Relationship Id="rId44" Type="http://schemas.openxmlformats.org/officeDocument/2006/relationships/hyperlink" Target="https://youtu.be/Ypquq0tw1KI?t=868" TargetMode="External"/><Relationship Id="rId194" Type="http://schemas.openxmlformats.org/officeDocument/2006/relationships/hyperlink" Target="https://youtu.be/KtRWjry-xQY?t=5198" TargetMode="External"/><Relationship Id="rId43" Type="http://schemas.openxmlformats.org/officeDocument/2006/relationships/hyperlink" Target="https://youtu.be/hjL51MOUgJg?t=808" TargetMode="External"/><Relationship Id="rId193" Type="http://schemas.openxmlformats.org/officeDocument/2006/relationships/hyperlink" Target="https://youtu.be/FAnZJ7ng_PE?t=5257" TargetMode="External"/><Relationship Id="rId46" Type="http://schemas.openxmlformats.org/officeDocument/2006/relationships/hyperlink" Target="https://youtu.be/Ypquq0tw1KI?t=1710" TargetMode="External"/><Relationship Id="rId192" Type="http://schemas.openxmlformats.org/officeDocument/2006/relationships/hyperlink" Target="https://youtu.be/KtRWjry-xQY?t=4368" TargetMode="External"/><Relationship Id="rId45" Type="http://schemas.openxmlformats.org/officeDocument/2006/relationships/hyperlink" Target="https://youtu.be/hjL51MOUgJg?t=1630" TargetMode="External"/><Relationship Id="rId191" Type="http://schemas.openxmlformats.org/officeDocument/2006/relationships/hyperlink" Target="https://youtu.be/FAnZJ7ng_PE?t=4381" TargetMode="External"/><Relationship Id="rId48" Type="http://schemas.openxmlformats.org/officeDocument/2006/relationships/hyperlink" Target="https://youtu.be/Ypquq0tw1KI?t=2573" TargetMode="External"/><Relationship Id="rId187" Type="http://schemas.openxmlformats.org/officeDocument/2006/relationships/hyperlink" Target="https://youtu.be/FAnZJ7ng_PE?t=2682" TargetMode="External"/><Relationship Id="rId47" Type="http://schemas.openxmlformats.org/officeDocument/2006/relationships/hyperlink" Target="https://youtu.be/hjL51MOUgJg?t=2526" TargetMode="External"/><Relationship Id="rId186" Type="http://schemas.openxmlformats.org/officeDocument/2006/relationships/hyperlink" Target="https://youtu.be/KtRWjry-xQY?t=1843" TargetMode="External"/><Relationship Id="rId185" Type="http://schemas.openxmlformats.org/officeDocument/2006/relationships/hyperlink" Target="https://youtu.be/FAnZJ7ng_PE?t=1852" TargetMode="External"/><Relationship Id="rId49" Type="http://schemas.openxmlformats.org/officeDocument/2006/relationships/hyperlink" Target="https://youtu.be/hjL51MOUgJg?t=3325" TargetMode="External"/><Relationship Id="rId184" Type="http://schemas.openxmlformats.org/officeDocument/2006/relationships/hyperlink" Target="https://youtu.be/KtRWjry-xQY?t=901" TargetMode="External"/><Relationship Id="rId189" Type="http://schemas.openxmlformats.org/officeDocument/2006/relationships/hyperlink" Target="https://youtu.be/FAnZJ7ng_PE?t=3483" TargetMode="External"/><Relationship Id="rId188" Type="http://schemas.openxmlformats.org/officeDocument/2006/relationships/hyperlink" Target="https://youtu.be/KtRWjry-xQY?t=2678" TargetMode="External"/><Relationship Id="rId31" Type="http://schemas.openxmlformats.org/officeDocument/2006/relationships/hyperlink" Target="https://youtu.be/xlqyiirrmR4?t=4674" TargetMode="External"/><Relationship Id="rId30" Type="http://schemas.openxmlformats.org/officeDocument/2006/relationships/hyperlink" Target="https://youtu.be/uypaT_WLdb0?t=3843" TargetMode="External"/><Relationship Id="rId33" Type="http://schemas.openxmlformats.org/officeDocument/2006/relationships/hyperlink" Target="https://youtu.be/xlqyiirrmR4?t=5598" TargetMode="External"/><Relationship Id="rId183" Type="http://schemas.openxmlformats.org/officeDocument/2006/relationships/hyperlink" Target="https://youtu.be/FAnZJ7ng_PE?t=914" TargetMode="External"/><Relationship Id="rId32" Type="http://schemas.openxmlformats.org/officeDocument/2006/relationships/hyperlink" Target="https://youtu.be/uypaT_WLdb0?t=4753" TargetMode="External"/><Relationship Id="rId182" Type="http://schemas.openxmlformats.org/officeDocument/2006/relationships/hyperlink" Target="https://youtu.be/KtRWjry-xQY" TargetMode="External"/><Relationship Id="rId35" Type="http://schemas.openxmlformats.org/officeDocument/2006/relationships/hyperlink" Target="https://youtu.be/xlqyiirrmR4?t=6614" TargetMode="External"/><Relationship Id="rId181" Type="http://schemas.openxmlformats.org/officeDocument/2006/relationships/hyperlink" Target="https://youtu.be/FAnZJ7ng_PE" TargetMode="External"/><Relationship Id="rId34" Type="http://schemas.openxmlformats.org/officeDocument/2006/relationships/hyperlink" Target="https://youtu.be/uypaT_WLdb0?t=5755" TargetMode="External"/><Relationship Id="rId180" Type="http://schemas.openxmlformats.org/officeDocument/2006/relationships/hyperlink" Target="https://youtu.be/YhNNmbxuIFU?t=7803" TargetMode="External"/><Relationship Id="rId37" Type="http://schemas.openxmlformats.org/officeDocument/2006/relationships/hyperlink" Target="https://youtu.be/xlqyiirrmR4?t=7556" TargetMode="External"/><Relationship Id="rId176" Type="http://schemas.openxmlformats.org/officeDocument/2006/relationships/hyperlink" Target="https://youtu.be/YhNNmbxuIFU?t=6104" TargetMode="External"/><Relationship Id="rId297" Type="http://schemas.openxmlformats.org/officeDocument/2006/relationships/hyperlink" Target="https://youtu.be/lKA6Gq2IWXY?t=7738" TargetMode="External"/><Relationship Id="rId36" Type="http://schemas.openxmlformats.org/officeDocument/2006/relationships/hyperlink" Target="https://youtu.be/uypaT_WLdb0?t=6791" TargetMode="External"/><Relationship Id="rId175" Type="http://schemas.openxmlformats.org/officeDocument/2006/relationships/hyperlink" Target="https://youtu.be/lfl4H9LVqQw?t=6180" TargetMode="External"/><Relationship Id="rId296" Type="http://schemas.openxmlformats.org/officeDocument/2006/relationships/hyperlink" Target="https://youtu.be/le1yf6XVyes?t=6801" TargetMode="External"/><Relationship Id="rId39" Type="http://schemas.openxmlformats.org/officeDocument/2006/relationships/hyperlink" Target="https://youtu.be/xlqyiirrmR4?t=8490" TargetMode="External"/><Relationship Id="rId174" Type="http://schemas.openxmlformats.org/officeDocument/2006/relationships/hyperlink" Target="https://youtu.be/YhNNmbxuIFU?t=5186" TargetMode="External"/><Relationship Id="rId295" Type="http://schemas.openxmlformats.org/officeDocument/2006/relationships/hyperlink" Target="https://youtu.be/lKA6Gq2IWXY?t=6747" TargetMode="External"/><Relationship Id="rId38" Type="http://schemas.openxmlformats.org/officeDocument/2006/relationships/hyperlink" Target="https://youtu.be/uypaT_WLdb0?t=7715" TargetMode="External"/><Relationship Id="rId173" Type="http://schemas.openxmlformats.org/officeDocument/2006/relationships/hyperlink" Target="https://youtu.be/lfl4H9LVqQw?t=5257" TargetMode="External"/><Relationship Id="rId294" Type="http://schemas.openxmlformats.org/officeDocument/2006/relationships/hyperlink" Target="https://youtu.be/le1yf6XVyes?t=5795" TargetMode="External"/><Relationship Id="rId179" Type="http://schemas.openxmlformats.org/officeDocument/2006/relationships/hyperlink" Target="https://youtu.be/lfl4H9LVqQw?t=7881" TargetMode="External"/><Relationship Id="rId178" Type="http://schemas.openxmlformats.org/officeDocument/2006/relationships/hyperlink" Target="https://youtu.be/YhNNmbxuIFU?t=6964" TargetMode="External"/><Relationship Id="rId299" Type="http://schemas.openxmlformats.org/officeDocument/2006/relationships/hyperlink" Target="https://youtu.be/lKA6Gq2IWXY?t=8652" TargetMode="External"/><Relationship Id="rId177" Type="http://schemas.openxmlformats.org/officeDocument/2006/relationships/hyperlink" Target="https://youtu.be/lfl4H9LVqQw?t=7000" TargetMode="External"/><Relationship Id="rId298" Type="http://schemas.openxmlformats.org/officeDocument/2006/relationships/hyperlink" Target="https://youtu.be/le1yf6XVyes?t=7791" TargetMode="External"/><Relationship Id="rId20" Type="http://schemas.openxmlformats.org/officeDocument/2006/relationships/hyperlink" Target="https://youtu.be/cPL91Wyirzo?t=7742" TargetMode="External"/><Relationship Id="rId22" Type="http://schemas.openxmlformats.org/officeDocument/2006/relationships/hyperlink" Target="https://youtu.be/uypaT_WLdb0" TargetMode="External"/><Relationship Id="rId21" Type="http://schemas.openxmlformats.org/officeDocument/2006/relationships/hyperlink" Target="https://youtu.be/xlqyiirrmR4" TargetMode="External"/><Relationship Id="rId24" Type="http://schemas.openxmlformats.org/officeDocument/2006/relationships/hyperlink" Target="https://youtu.be/uypaT_WLdb0?t=1048" TargetMode="External"/><Relationship Id="rId23" Type="http://schemas.openxmlformats.org/officeDocument/2006/relationships/hyperlink" Target="https://youtu.be/xlqyiirrmR4?t=957" TargetMode="External"/><Relationship Id="rId26" Type="http://schemas.openxmlformats.org/officeDocument/2006/relationships/hyperlink" Target="https://youtu.be/uypaT_WLdb0?t=1961" TargetMode="External"/><Relationship Id="rId25" Type="http://schemas.openxmlformats.org/officeDocument/2006/relationships/hyperlink" Target="https://youtu.be/xlqyiirrmR4?t=1866" TargetMode="External"/><Relationship Id="rId28" Type="http://schemas.openxmlformats.org/officeDocument/2006/relationships/hyperlink" Target="https://youtu.be/uypaT_WLdb0?t=2910" TargetMode="External"/><Relationship Id="rId27" Type="http://schemas.openxmlformats.org/officeDocument/2006/relationships/hyperlink" Target="https://youtu.be/xlqyiirrmR4?t=2808" TargetMode="External"/><Relationship Id="rId29" Type="http://schemas.openxmlformats.org/officeDocument/2006/relationships/hyperlink" Target="https://youtu.be/xlqyiirrmR4?t=3747" TargetMode="External"/><Relationship Id="rId11" Type="http://schemas.openxmlformats.org/officeDocument/2006/relationships/hyperlink" Target="https://youtu.be/yWy_Kt4AuMc?t=4312" TargetMode="External"/><Relationship Id="rId10" Type="http://schemas.openxmlformats.org/officeDocument/2006/relationships/hyperlink" Target="https://youtu.be/cPL91Wyirzo?t=3430" TargetMode="External"/><Relationship Id="rId13" Type="http://schemas.openxmlformats.org/officeDocument/2006/relationships/hyperlink" Target="https://youtu.be/yWy_Kt4AuMc?t=5130" TargetMode="External"/><Relationship Id="rId12" Type="http://schemas.openxmlformats.org/officeDocument/2006/relationships/hyperlink" Target="https://youtu.be/cPL91Wyirzo?t=4302" TargetMode="External"/><Relationship Id="rId15" Type="http://schemas.openxmlformats.org/officeDocument/2006/relationships/hyperlink" Target="https://youtu.be/yWy_Kt4AuMc?t=5969" TargetMode="External"/><Relationship Id="rId198" Type="http://schemas.openxmlformats.org/officeDocument/2006/relationships/hyperlink" Target="https://youtu.be/KtRWjry-xQY?t=7004" TargetMode="External"/><Relationship Id="rId14" Type="http://schemas.openxmlformats.org/officeDocument/2006/relationships/hyperlink" Target="https://youtu.be/cPL91Wyirzo?t=5094" TargetMode="External"/><Relationship Id="rId197" Type="http://schemas.openxmlformats.org/officeDocument/2006/relationships/hyperlink" Target="https://youtu.be/FAnZJ7ng_PE?t=7016" TargetMode="External"/><Relationship Id="rId17" Type="http://schemas.openxmlformats.org/officeDocument/2006/relationships/hyperlink" Target="https://youtu.be/yWy_Kt4AuMc?t=6795" TargetMode="External"/><Relationship Id="rId196" Type="http://schemas.openxmlformats.org/officeDocument/2006/relationships/hyperlink" Target="https://youtu.be/KtRWjry-xQY?t=6114" TargetMode="External"/><Relationship Id="rId16" Type="http://schemas.openxmlformats.org/officeDocument/2006/relationships/hyperlink" Target="https://youtu.be/cPL91Wyirzo?t=6007" TargetMode="External"/><Relationship Id="rId195" Type="http://schemas.openxmlformats.org/officeDocument/2006/relationships/hyperlink" Target="https://youtu.be/FAnZJ7ng_PE?t=6137" TargetMode="External"/><Relationship Id="rId19" Type="http://schemas.openxmlformats.org/officeDocument/2006/relationships/hyperlink" Target="https://youtu.be/yWy_Kt4AuMc?t=7636" TargetMode="External"/><Relationship Id="rId18" Type="http://schemas.openxmlformats.org/officeDocument/2006/relationships/hyperlink" Target="https://youtu.be/cPL91Wyirzo?t=6915" TargetMode="External"/><Relationship Id="rId199" Type="http://schemas.openxmlformats.org/officeDocument/2006/relationships/hyperlink" Target="https://youtu.be/FAnZJ7ng_PE?t=7843" TargetMode="External"/><Relationship Id="rId84" Type="http://schemas.openxmlformats.org/officeDocument/2006/relationships/hyperlink" Target="https://youtu.be/Ct7a-Cj7CKw?t=1009" TargetMode="External"/><Relationship Id="rId83" Type="http://schemas.openxmlformats.org/officeDocument/2006/relationships/hyperlink" Target="https://youtu.be/iSkx-z9Yl_4?t=949" TargetMode="External"/><Relationship Id="rId86" Type="http://schemas.openxmlformats.org/officeDocument/2006/relationships/hyperlink" Target="https://youtu.be/Ct7a-Cj7CKw?t=1982" TargetMode="External"/><Relationship Id="rId85" Type="http://schemas.openxmlformats.org/officeDocument/2006/relationships/hyperlink" Target="https://youtu.be/iSkx-z9Yl_4?t=1867" TargetMode="External"/><Relationship Id="rId88" Type="http://schemas.openxmlformats.org/officeDocument/2006/relationships/hyperlink" Target="https://youtu.be/Ct7a-Cj7CKw?t=2870" TargetMode="External"/><Relationship Id="rId150" Type="http://schemas.openxmlformats.org/officeDocument/2006/relationships/hyperlink" Target="https://youtu.be/n0FTbBvCdH8?t=3921" TargetMode="External"/><Relationship Id="rId271" Type="http://schemas.openxmlformats.org/officeDocument/2006/relationships/hyperlink" Target="https://youtu.be/FYJSv8mpO_U?t=4280" TargetMode="External"/><Relationship Id="rId87" Type="http://schemas.openxmlformats.org/officeDocument/2006/relationships/hyperlink" Target="https://youtu.be/iSkx-z9Yl_4?t=2802" TargetMode="External"/><Relationship Id="rId270" Type="http://schemas.openxmlformats.org/officeDocument/2006/relationships/hyperlink" Target="https://youtu.be/hnFUocSqJ0s?t=3419" TargetMode="External"/><Relationship Id="rId89" Type="http://schemas.openxmlformats.org/officeDocument/2006/relationships/hyperlink" Target="https://youtu.be/iSkx-z9Yl_4?t=3739" TargetMode="External"/><Relationship Id="rId80" Type="http://schemas.openxmlformats.org/officeDocument/2006/relationships/hyperlink" Target="https://youtu.be/lAVcKEH8KMU?t=8580" TargetMode="External"/><Relationship Id="rId82" Type="http://schemas.openxmlformats.org/officeDocument/2006/relationships/hyperlink" Target="https://youtu.be/Ct7a-Cj7CKw" TargetMode="External"/><Relationship Id="rId81" Type="http://schemas.openxmlformats.org/officeDocument/2006/relationships/hyperlink" Target="https://youtu.be/iSkx-z9Yl_4" TargetMode="External"/><Relationship Id="rId1" Type="http://schemas.openxmlformats.org/officeDocument/2006/relationships/hyperlink" Target="https://youtu.be/yWy_Kt4AuMc" TargetMode="External"/><Relationship Id="rId2" Type="http://schemas.openxmlformats.org/officeDocument/2006/relationships/hyperlink" Target="https://youtu.be/cPL91Wyirzo" TargetMode="External"/><Relationship Id="rId3" Type="http://schemas.openxmlformats.org/officeDocument/2006/relationships/hyperlink" Target="https://youtu.be/yWy_Kt4AuMc?t=914" TargetMode="External"/><Relationship Id="rId149" Type="http://schemas.openxmlformats.org/officeDocument/2006/relationships/hyperlink" Target="https://youtu.be/dpLMw-6gqr4?t=3821" TargetMode="External"/><Relationship Id="rId4" Type="http://schemas.openxmlformats.org/officeDocument/2006/relationships/hyperlink" Target="https://youtu.be/cPL91Wyirzo?t=882" TargetMode="External"/><Relationship Id="rId148" Type="http://schemas.openxmlformats.org/officeDocument/2006/relationships/hyperlink" Target="https://youtu.be/n0FTbBvCdH8?t=2932" TargetMode="External"/><Relationship Id="rId269" Type="http://schemas.openxmlformats.org/officeDocument/2006/relationships/hyperlink" Target="https://youtu.be/FYJSv8mpO_U?t=3356" TargetMode="External"/><Relationship Id="rId9" Type="http://schemas.openxmlformats.org/officeDocument/2006/relationships/hyperlink" Target="https://youtu.be/yWy_Kt4AuMc?t=3424" TargetMode="External"/><Relationship Id="rId143" Type="http://schemas.openxmlformats.org/officeDocument/2006/relationships/hyperlink" Target="https://youtu.be/dpLMw-6gqr4?t=952" TargetMode="External"/><Relationship Id="rId264" Type="http://schemas.openxmlformats.org/officeDocument/2006/relationships/hyperlink" Target="https://youtu.be/hnFUocSqJ0s?t=907" TargetMode="External"/><Relationship Id="rId142" Type="http://schemas.openxmlformats.org/officeDocument/2006/relationships/hyperlink" Target="https://youtu.be/n0FTbBvCdH8?t=109" TargetMode="External"/><Relationship Id="rId263" Type="http://schemas.openxmlformats.org/officeDocument/2006/relationships/hyperlink" Target="https://youtu.be/FYJSv8mpO_U?t=876" TargetMode="External"/><Relationship Id="rId141" Type="http://schemas.openxmlformats.org/officeDocument/2006/relationships/hyperlink" Target="https://youtu.be/dpLMw-6gqr4" TargetMode="External"/><Relationship Id="rId262" Type="http://schemas.openxmlformats.org/officeDocument/2006/relationships/hyperlink" Target="https://youtu.be/hnFUocSqJ0s" TargetMode="External"/><Relationship Id="rId140" Type="http://schemas.openxmlformats.org/officeDocument/2006/relationships/hyperlink" Target="https://youtu.be/nI8zp1jpcxw?t=7664" TargetMode="External"/><Relationship Id="rId261" Type="http://schemas.openxmlformats.org/officeDocument/2006/relationships/hyperlink" Target="https://youtu.be/FYJSv8mpO_U" TargetMode="External"/><Relationship Id="rId5" Type="http://schemas.openxmlformats.org/officeDocument/2006/relationships/hyperlink" Target="https://youtu.be/yWy_Kt4AuMc?t=1752" TargetMode="External"/><Relationship Id="rId147" Type="http://schemas.openxmlformats.org/officeDocument/2006/relationships/hyperlink" Target="https://youtu.be/dpLMw-6gqr4?t=1911" TargetMode="External"/><Relationship Id="rId268" Type="http://schemas.openxmlformats.org/officeDocument/2006/relationships/hyperlink" Target="https://youtu.be/hnFUocSqJ0s?t=2606" TargetMode="External"/><Relationship Id="rId6" Type="http://schemas.openxmlformats.org/officeDocument/2006/relationships/hyperlink" Target="https://youtu.be/cPL91Wyirzo?t=1715" TargetMode="External"/><Relationship Id="rId146" Type="http://schemas.openxmlformats.org/officeDocument/2006/relationships/hyperlink" Target="https://youtu.be/n0FTbBvCdH8?t=2015" TargetMode="External"/><Relationship Id="rId267" Type="http://schemas.openxmlformats.org/officeDocument/2006/relationships/hyperlink" Target="https://youtu.be/FYJSv8mpO_U?t=2547" TargetMode="External"/><Relationship Id="rId7" Type="http://schemas.openxmlformats.org/officeDocument/2006/relationships/hyperlink" Target="https://youtu.be/yWy_Kt4AuMc?t=2580" TargetMode="External"/><Relationship Id="rId145" Type="http://schemas.openxmlformats.org/officeDocument/2006/relationships/hyperlink" Target="https://youtu.be/dpLMw-6gqr4?t=1911" TargetMode="External"/><Relationship Id="rId266" Type="http://schemas.openxmlformats.org/officeDocument/2006/relationships/hyperlink" Target="https://youtu.be/hnFUocSqJ0s?t=1739" TargetMode="External"/><Relationship Id="rId8" Type="http://schemas.openxmlformats.org/officeDocument/2006/relationships/hyperlink" Target="https://youtu.be/cPL91Wyirzo?t=2602" TargetMode="External"/><Relationship Id="rId144" Type="http://schemas.openxmlformats.org/officeDocument/2006/relationships/hyperlink" Target="https://youtu.be/n0FTbBvCdH8?t=1068" TargetMode="External"/><Relationship Id="rId265" Type="http://schemas.openxmlformats.org/officeDocument/2006/relationships/hyperlink" Target="https://youtu.be/FYJSv8mpO_U?t=1712" TargetMode="External"/><Relationship Id="rId73" Type="http://schemas.openxmlformats.org/officeDocument/2006/relationships/hyperlink" Target="https://youtu.be/hpeZuoOD8LM?t=5770" TargetMode="External"/><Relationship Id="rId72" Type="http://schemas.openxmlformats.org/officeDocument/2006/relationships/hyperlink" Target="https://youtu.be/lAVcKEH8KMU?t=4778" TargetMode="External"/><Relationship Id="rId75" Type="http://schemas.openxmlformats.org/officeDocument/2006/relationships/hyperlink" Target="https://youtu.be/hpeZuoOD8LM?t=6672" TargetMode="External"/><Relationship Id="rId74" Type="http://schemas.openxmlformats.org/officeDocument/2006/relationships/hyperlink" Target="https://youtu.be/lAVcKEH8KMU?t=5685" TargetMode="External"/><Relationship Id="rId77" Type="http://schemas.openxmlformats.org/officeDocument/2006/relationships/hyperlink" Target="https://youtu.be/hpeZuoOD8LM?t=7606" TargetMode="External"/><Relationship Id="rId260" Type="http://schemas.openxmlformats.org/officeDocument/2006/relationships/hyperlink" Target="https://youtu.be/J-MENEBo2wM?t=7815" TargetMode="External"/><Relationship Id="rId76" Type="http://schemas.openxmlformats.org/officeDocument/2006/relationships/hyperlink" Target="https://youtu.be/lAVcKEH8KMU?t=6712" TargetMode="External"/><Relationship Id="rId79" Type="http://schemas.openxmlformats.org/officeDocument/2006/relationships/hyperlink" Target="https://youtu.be/hpeZuoOD8LM?t=8511" TargetMode="External"/><Relationship Id="rId78" Type="http://schemas.openxmlformats.org/officeDocument/2006/relationships/hyperlink" Target="https://youtu.be/lAVcKEH8KMU?t=7672" TargetMode="External"/><Relationship Id="rId71" Type="http://schemas.openxmlformats.org/officeDocument/2006/relationships/hyperlink" Target="https://youtu.be/hpeZuoOD8LM?t=4780" TargetMode="External"/><Relationship Id="rId70" Type="http://schemas.openxmlformats.org/officeDocument/2006/relationships/hyperlink" Target="https://youtu.be/lAVcKEH8KMU?t=3878" TargetMode="External"/><Relationship Id="rId139" Type="http://schemas.openxmlformats.org/officeDocument/2006/relationships/hyperlink" Target="https://youtu.be/BQAN_L-vgeI?t=7698" TargetMode="External"/><Relationship Id="rId138" Type="http://schemas.openxmlformats.org/officeDocument/2006/relationships/hyperlink" Target="https://youtu.be/nI8zp1jpcxw?t=6803" TargetMode="External"/><Relationship Id="rId259" Type="http://schemas.openxmlformats.org/officeDocument/2006/relationships/hyperlink" Target="https://youtu.be/uUrEcSocamk?t=7809" TargetMode="External"/><Relationship Id="rId137" Type="http://schemas.openxmlformats.org/officeDocument/2006/relationships/hyperlink" Target="https://youtu.be/BQAN_L-vgeI?t=6856" TargetMode="External"/><Relationship Id="rId258" Type="http://schemas.openxmlformats.org/officeDocument/2006/relationships/hyperlink" Target="https://youtu.be/J-MENEBo2wM?t=6952" TargetMode="External"/><Relationship Id="rId132" Type="http://schemas.openxmlformats.org/officeDocument/2006/relationships/hyperlink" Target="https://youtu.be/nI8zp1jpcxw?t=4308" TargetMode="External"/><Relationship Id="rId253" Type="http://schemas.openxmlformats.org/officeDocument/2006/relationships/hyperlink" Target="https://youtu.be/uUrEcSocamk?t=5278" TargetMode="External"/><Relationship Id="rId131" Type="http://schemas.openxmlformats.org/officeDocument/2006/relationships/hyperlink" Target="https://youtu.be/BQAN_L-vgeI" TargetMode="External"/><Relationship Id="rId252" Type="http://schemas.openxmlformats.org/officeDocument/2006/relationships/hyperlink" Target="https://youtu.be/J-MENEBo2wM?t=4411" TargetMode="External"/><Relationship Id="rId130" Type="http://schemas.openxmlformats.org/officeDocument/2006/relationships/hyperlink" Target="https://youtu.be/nI8zp1jpcxw?t=3468" TargetMode="External"/><Relationship Id="rId251" Type="http://schemas.openxmlformats.org/officeDocument/2006/relationships/hyperlink" Target="https://youtu.be/uUrEcSocamk?t=4418" TargetMode="External"/><Relationship Id="rId250" Type="http://schemas.openxmlformats.org/officeDocument/2006/relationships/hyperlink" Target="https://youtu.be/J-MENEBo2wM?t=3561" TargetMode="External"/><Relationship Id="rId136" Type="http://schemas.openxmlformats.org/officeDocument/2006/relationships/hyperlink" Target="https://youtu.be/nI8zp1jpcxw?t=5941" TargetMode="External"/><Relationship Id="rId257" Type="http://schemas.openxmlformats.org/officeDocument/2006/relationships/hyperlink" Target="https://youtu.be/uUrEcSocamk?t=6953" TargetMode="External"/><Relationship Id="rId135" Type="http://schemas.openxmlformats.org/officeDocument/2006/relationships/hyperlink" Target="https://youtu.be/BQAN_L-vgeI?t=6036" TargetMode="External"/><Relationship Id="rId256" Type="http://schemas.openxmlformats.org/officeDocument/2006/relationships/hyperlink" Target="https://youtu.be/J-MENEBo2wM?t=6118" TargetMode="External"/><Relationship Id="rId134" Type="http://schemas.openxmlformats.org/officeDocument/2006/relationships/hyperlink" Target="https://youtu.be/nI8zp1jpcxw?t=5118" TargetMode="External"/><Relationship Id="rId255" Type="http://schemas.openxmlformats.org/officeDocument/2006/relationships/hyperlink" Target="https://youtu.be/uUrEcSocamk?t=6156" TargetMode="External"/><Relationship Id="rId133" Type="http://schemas.openxmlformats.org/officeDocument/2006/relationships/hyperlink" Target="https://youtu.be/BQAN_L-vgeI?t=5178" TargetMode="External"/><Relationship Id="rId254" Type="http://schemas.openxmlformats.org/officeDocument/2006/relationships/hyperlink" Target="https://youtu.be/J-MENEBo2wM?t=5299" TargetMode="External"/><Relationship Id="rId62" Type="http://schemas.openxmlformats.org/officeDocument/2006/relationships/hyperlink" Target="https://youtu.be/lAVcKEH8KMU" TargetMode="External"/><Relationship Id="rId61" Type="http://schemas.openxmlformats.org/officeDocument/2006/relationships/hyperlink" Target="https://youtu.be/hpeZuoOD8LM" TargetMode="External"/><Relationship Id="rId64" Type="http://schemas.openxmlformats.org/officeDocument/2006/relationships/hyperlink" Target="https://youtu.be/lAVcKEH8KMU?t=1114" TargetMode="External"/><Relationship Id="rId63" Type="http://schemas.openxmlformats.org/officeDocument/2006/relationships/hyperlink" Target="https://youtu.be/hpeZuoOD8LM?t=1016" TargetMode="External"/><Relationship Id="rId66" Type="http://schemas.openxmlformats.org/officeDocument/2006/relationships/hyperlink" Target="https://youtu.be/lAVcKEH8KMU?t=2040" TargetMode="External"/><Relationship Id="rId172" Type="http://schemas.openxmlformats.org/officeDocument/2006/relationships/hyperlink" Target="https://youtu.be/YhNNmbxuIFU?t=4291" TargetMode="External"/><Relationship Id="rId293" Type="http://schemas.openxmlformats.org/officeDocument/2006/relationships/hyperlink" Target="https://youtu.be/lKA6Gq2IWXY?t=5769" TargetMode="External"/><Relationship Id="rId65" Type="http://schemas.openxmlformats.org/officeDocument/2006/relationships/hyperlink" Target="https://youtu.be/hpeZuoOD8LM?t=1934" TargetMode="External"/><Relationship Id="rId171" Type="http://schemas.openxmlformats.org/officeDocument/2006/relationships/hyperlink" Target="https://youtu.be/lfl4H9LVqQw?t=4383" TargetMode="External"/><Relationship Id="rId292" Type="http://schemas.openxmlformats.org/officeDocument/2006/relationships/hyperlink" Target="https://youtu.be/le1yf6XVyes?t=4825" TargetMode="External"/><Relationship Id="rId68" Type="http://schemas.openxmlformats.org/officeDocument/2006/relationships/hyperlink" Target="https://youtu.be/lAVcKEH8KMU?t=2987" TargetMode="External"/><Relationship Id="rId170" Type="http://schemas.openxmlformats.org/officeDocument/2006/relationships/hyperlink" Target="https://youtu.be/YhNNmbxuIFU?t=3453" TargetMode="External"/><Relationship Id="rId291" Type="http://schemas.openxmlformats.org/officeDocument/2006/relationships/hyperlink" Target="https://youtu.be/lKA6Gq2IWXY?t=4786" TargetMode="External"/><Relationship Id="rId67" Type="http://schemas.openxmlformats.org/officeDocument/2006/relationships/hyperlink" Target="https://youtu.be/hpeZuoOD8LM?t=2855" TargetMode="External"/><Relationship Id="rId290" Type="http://schemas.openxmlformats.org/officeDocument/2006/relationships/hyperlink" Target="https://youtu.be/le1yf6XVyes?t=3871" TargetMode="External"/><Relationship Id="rId60" Type="http://schemas.openxmlformats.org/officeDocument/2006/relationships/hyperlink" Target="https://youtu.be/Ypquq0tw1KI?t=7617" TargetMode="External"/><Relationship Id="rId165" Type="http://schemas.openxmlformats.org/officeDocument/2006/relationships/hyperlink" Target="https://youtu.be/lfl4H9LVqQw?t=1849" TargetMode="External"/><Relationship Id="rId286" Type="http://schemas.openxmlformats.org/officeDocument/2006/relationships/hyperlink" Target="https://youtu.be/le1yf6XVyes?t=2006" TargetMode="External"/><Relationship Id="rId69" Type="http://schemas.openxmlformats.org/officeDocument/2006/relationships/hyperlink" Target="https://youtu.be/hpeZuoOD8LM?t=3783" TargetMode="External"/><Relationship Id="rId164" Type="http://schemas.openxmlformats.org/officeDocument/2006/relationships/hyperlink" Target="https://youtu.be/YhNNmbxuIFU?t=963" TargetMode="External"/><Relationship Id="rId285" Type="http://schemas.openxmlformats.org/officeDocument/2006/relationships/hyperlink" Target="https://youtu.be/lKA6Gq2IWXY?t=1958" TargetMode="External"/><Relationship Id="rId163" Type="http://schemas.openxmlformats.org/officeDocument/2006/relationships/hyperlink" Target="https://youtu.be/lfl4H9LVqQw?t=931" TargetMode="External"/><Relationship Id="rId284" Type="http://schemas.openxmlformats.org/officeDocument/2006/relationships/hyperlink" Target="https://youtu.be/le1yf6XVyes?t=1082" TargetMode="External"/><Relationship Id="rId162" Type="http://schemas.openxmlformats.org/officeDocument/2006/relationships/hyperlink" Target="https://youtu.be/YhNNmbxuIFU" TargetMode="External"/><Relationship Id="rId283" Type="http://schemas.openxmlformats.org/officeDocument/2006/relationships/hyperlink" Target="https://youtu.be/pW2maKybgEw" TargetMode="External"/><Relationship Id="rId169" Type="http://schemas.openxmlformats.org/officeDocument/2006/relationships/hyperlink" Target="https://youtu.be/lfl4H9LVqQw?t=3529" TargetMode="External"/><Relationship Id="rId168" Type="http://schemas.openxmlformats.org/officeDocument/2006/relationships/hyperlink" Target="https://youtu.be/YhNNmbxuIFU?t=2606" TargetMode="External"/><Relationship Id="rId289" Type="http://schemas.openxmlformats.org/officeDocument/2006/relationships/hyperlink" Target="https://youtu.be/lKA6Gq2IWXY?t=3823" TargetMode="External"/><Relationship Id="rId167" Type="http://schemas.openxmlformats.org/officeDocument/2006/relationships/hyperlink" Target="https://youtu.be/lfl4H9LVqQw?t=2670" TargetMode="External"/><Relationship Id="rId288" Type="http://schemas.openxmlformats.org/officeDocument/2006/relationships/hyperlink" Target="https://youtu.be/le1yf6XVyes?t=2951" TargetMode="External"/><Relationship Id="rId166" Type="http://schemas.openxmlformats.org/officeDocument/2006/relationships/hyperlink" Target="https://youtu.be/YhNNmbxuIFU?t=1807" TargetMode="External"/><Relationship Id="rId287" Type="http://schemas.openxmlformats.org/officeDocument/2006/relationships/hyperlink" Target="https://youtu.be/lKA6Gq2IWXY?t=2881" TargetMode="External"/><Relationship Id="rId51" Type="http://schemas.openxmlformats.org/officeDocument/2006/relationships/hyperlink" Target="https://youtu.be/hjL51MOUgJg?t=4206" TargetMode="External"/><Relationship Id="rId50" Type="http://schemas.openxmlformats.org/officeDocument/2006/relationships/hyperlink" Target="https://youtu.be/Ypquq0tw1KI?t=3421" TargetMode="External"/><Relationship Id="rId53" Type="http://schemas.openxmlformats.org/officeDocument/2006/relationships/hyperlink" Target="https://youtu.be/hjL51MOUgJg?t=5044" TargetMode="External"/><Relationship Id="rId52" Type="http://schemas.openxmlformats.org/officeDocument/2006/relationships/hyperlink" Target="https://youtu.be/Ypquq0tw1KI?t=4240" TargetMode="External"/><Relationship Id="rId55" Type="http://schemas.openxmlformats.org/officeDocument/2006/relationships/hyperlink" Target="https://youtu.be/hjL51MOUgJg?t=5871" TargetMode="External"/><Relationship Id="rId161" Type="http://schemas.openxmlformats.org/officeDocument/2006/relationships/hyperlink" Target="https://youtu.be/lfl4H9LVqQw" TargetMode="External"/><Relationship Id="rId282" Type="http://schemas.openxmlformats.org/officeDocument/2006/relationships/hyperlink" Target="https://youtu.be/le1yf6XVyes" TargetMode="External"/><Relationship Id="rId54" Type="http://schemas.openxmlformats.org/officeDocument/2006/relationships/hyperlink" Target="https://youtu.be/Ypquq0tw1KI?t=5088" TargetMode="External"/><Relationship Id="rId160" Type="http://schemas.openxmlformats.org/officeDocument/2006/relationships/hyperlink" Target="https://youtu.be/n0FTbBvCdH8?t=8742" TargetMode="External"/><Relationship Id="rId281" Type="http://schemas.openxmlformats.org/officeDocument/2006/relationships/hyperlink" Target="https://youtu.be/lKA6Gq2IWXY" TargetMode="External"/><Relationship Id="rId57" Type="http://schemas.openxmlformats.org/officeDocument/2006/relationships/hyperlink" Target="https://youtu.be/hjL51MOUgJg?t=6728" TargetMode="External"/><Relationship Id="rId280" Type="http://schemas.openxmlformats.org/officeDocument/2006/relationships/hyperlink" Target="https://youtu.be/hnFUocSqJ0s?t=7721" TargetMode="External"/><Relationship Id="rId56" Type="http://schemas.openxmlformats.org/officeDocument/2006/relationships/hyperlink" Target="https://youtu.be/Ypquq0tw1KI?t=5930" TargetMode="External"/><Relationship Id="rId159" Type="http://schemas.openxmlformats.org/officeDocument/2006/relationships/hyperlink" Target="https://youtu.be/dpLMw-6gqr4?t=8612" TargetMode="External"/><Relationship Id="rId59" Type="http://schemas.openxmlformats.org/officeDocument/2006/relationships/hyperlink" Target="https://youtu.be/hjL51MOUgJg?t=7553" TargetMode="External"/><Relationship Id="rId154" Type="http://schemas.openxmlformats.org/officeDocument/2006/relationships/hyperlink" Target="https://youtu.be/n0FTbBvCdH8?t=5828" TargetMode="External"/><Relationship Id="rId275" Type="http://schemas.openxmlformats.org/officeDocument/2006/relationships/hyperlink" Target="https://youtu.be/FYJSv8mpO_U?t=5944" TargetMode="External"/><Relationship Id="rId58" Type="http://schemas.openxmlformats.org/officeDocument/2006/relationships/hyperlink" Target="https://youtu.be/Ypquq0tw1KI?t=6778" TargetMode="External"/><Relationship Id="rId153" Type="http://schemas.openxmlformats.org/officeDocument/2006/relationships/hyperlink" Target="https://youtu.be/dpLMw-6gqr4?t=5754" TargetMode="External"/><Relationship Id="rId274" Type="http://schemas.openxmlformats.org/officeDocument/2006/relationships/hyperlink" Target="https://youtu.be/hnFUocSqJ0s?t=5134" TargetMode="External"/><Relationship Id="rId152" Type="http://schemas.openxmlformats.org/officeDocument/2006/relationships/hyperlink" Target="https://youtu.be/n0FTbBvCdH8?t=4873" TargetMode="External"/><Relationship Id="rId273" Type="http://schemas.openxmlformats.org/officeDocument/2006/relationships/hyperlink" Target="https://youtu.be/FYJSv8mpO_U?t=5114" TargetMode="External"/><Relationship Id="rId151" Type="http://schemas.openxmlformats.org/officeDocument/2006/relationships/hyperlink" Target="https://youtu.be/dpLMw-6gqr4?t=4787" TargetMode="External"/><Relationship Id="rId272" Type="http://schemas.openxmlformats.org/officeDocument/2006/relationships/hyperlink" Target="https://youtu.be/hnFUocSqJ0s?t=4282" TargetMode="External"/><Relationship Id="rId158" Type="http://schemas.openxmlformats.org/officeDocument/2006/relationships/hyperlink" Target="https://youtu.be/n0FTbBvCdH8?t=7796" TargetMode="External"/><Relationship Id="rId279" Type="http://schemas.openxmlformats.org/officeDocument/2006/relationships/hyperlink" Target="https://youtu.be/FYJSv8mpO_U?t=7599" TargetMode="External"/><Relationship Id="rId157" Type="http://schemas.openxmlformats.org/officeDocument/2006/relationships/hyperlink" Target="https://youtu.be/dpLMw-6gqr4?t=7667" TargetMode="External"/><Relationship Id="rId278" Type="http://schemas.openxmlformats.org/officeDocument/2006/relationships/hyperlink" Target="https://youtu.be/hnFUocSqJ0s?t=6888" TargetMode="External"/><Relationship Id="rId156" Type="http://schemas.openxmlformats.org/officeDocument/2006/relationships/hyperlink" Target="https://youtu.be/n0FTbBvCdH8?t=6807" TargetMode="External"/><Relationship Id="rId277" Type="http://schemas.openxmlformats.org/officeDocument/2006/relationships/hyperlink" Target="https://youtu.be/FYJSv8mpO_U?t=6764" TargetMode="External"/><Relationship Id="rId155" Type="http://schemas.openxmlformats.org/officeDocument/2006/relationships/hyperlink" Target="https://youtu.be/dpLMw-6gqr4?t=6713" TargetMode="External"/><Relationship Id="rId276" Type="http://schemas.openxmlformats.org/officeDocument/2006/relationships/hyperlink" Target="https://youtu.be/hnFUocSqJ0s?t=5966" TargetMode="External"/><Relationship Id="rId107" Type="http://schemas.openxmlformats.org/officeDocument/2006/relationships/hyperlink" Target="https://youtu.be/MSO9S3y08Gg?t=3052" TargetMode="External"/><Relationship Id="rId228" Type="http://schemas.openxmlformats.org/officeDocument/2006/relationships/hyperlink" Target="https://youtu.be/to7JbJjx1lY?t=2443" TargetMode="External"/><Relationship Id="rId106" Type="http://schemas.openxmlformats.org/officeDocument/2006/relationships/hyperlink" Target="https://youtu.be/wm5j8LTtnEE?t=2002" TargetMode="External"/><Relationship Id="rId227" Type="http://schemas.openxmlformats.org/officeDocument/2006/relationships/hyperlink" Target="https://youtu.be/NtTUHXIh964?t=3142" TargetMode="External"/><Relationship Id="rId105" Type="http://schemas.openxmlformats.org/officeDocument/2006/relationships/hyperlink" Target="https://youtu.be/MSO9S3y08Gg?t=2132" TargetMode="External"/><Relationship Id="rId226" Type="http://schemas.openxmlformats.org/officeDocument/2006/relationships/hyperlink" Target="https://youtu.be/to7JbJjx1lY?t=1602" TargetMode="External"/><Relationship Id="rId104" Type="http://schemas.openxmlformats.org/officeDocument/2006/relationships/hyperlink" Target="https://youtu.be/wm5j8LTtnEE?t=1070" TargetMode="External"/><Relationship Id="rId225" Type="http://schemas.openxmlformats.org/officeDocument/2006/relationships/hyperlink" Target="https://youtu.be/NtTUHXIh964?t=2278" TargetMode="External"/><Relationship Id="rId109" Type="http://schemas.openxmlformats.org/officeDocument/2006/relationships/hyperlink" Target="https://youtu.be/MSO9S3y08Gg?t=4048" TargetMode="External"/><Relationship Id="rId108" Type="http://schemas.openxmlformats.org/officeDocument/2006/relationships/hyperlink" Target="https://youtu.be/wm5j8LTtnEE?t=2940" TargetMode="External"/><Relationship Id="rId229" Type="http://schemas.openxmlformats.org/officeDocument/2006/relationships/hyperlink" Target="https://youtu.be/NtTUHXIh964?t=3978" TargetMode="External"/><Relationship Id="rId220" Type="http://schemas.openxmlformats.org/officeDocument/2006/relationships/hyperlink" Target="https://youtu.be/6T6oFoAqKbg?t=8625" TargetMode="External"/><Relationship Id="rId103" Type="http://schemas.openxmlformats.org/officeDocument/2006/relationships/hyperlink" Target="https://youtu.be/MSO9S3y08Gg?t=1178" TargetMode="External"/><Relationship Id="rId224" Type="http://schemas.openxmlformats.org/officeDocument/2006/relationships/hyperlink" Target="https://youtu.be/to7JbJjx1lY?t=802" TargetMode="External"/><Relationship Id="rId102" Type="http://schemas.openxmlformats.org/officeDocument/2006/relationships/hyperlink" Target="https://youtu.be/wm5j8LTtnEE" TargetMode="External"/><Relationship Id="rId223" Type="http://schemas.openxmlformats.org/officeDocument/2006/relationships/hyperlink" Target="https://youtu.be/NtTUHXIh964?t=1309" TargetMode="External"/><Relationship Id="rId101" Type="http://schemas.openxmlformats.org/officeDocument/2006/relationships/hyperlink" Target="https://youtu.be/MSO9S3y08Gg?t=217" TargetMode="External"/><Relationship Id="rId222" Type="http://schemas.openxmlformats.org/officeDocument/2006/relationships/hyperlink" Target="https://youtu.be/to7JbJjx1lY" TargetMode="External"/><Relationship Id="rId100" Type="http://schemas.openxmlformats.org/officeDocument/2006/relationships/hyperlink" Target="https://youtu.be/Ct7a-Cj7CKw?t=8680" TargetMode="External"/><Relationship Id="rId221" Type="http://schemas.openxmlformats.org/officeDocument/2006/relationships/hyperlink" Target="https://youtu.be/NtTUHXIh964" TargetMode="External"/><Relationship Id="rId217" Type="http://schemas.openxmlformats.org/officeDocument/2006/relationships/hyperlink" Target="https://youtu.be/hxIR9hJkp2U?t=7718" TargetMode="External"/><Relationship Id="rId216" Type="http://schemas.openxmlformats.org/officeDocument/2006/relationships/hyperlink" Target="https://youtu.be/6T6oFoAqKbg?t=6765" TargetMode="External"/><Relationship Id="rId215" Type="http://schemas.openxmlformats.org/officeDocument/2006/relationships/hyperlink" Target="https://youtu.be/hxIR9hJkp2U?t=6768" TargetMode="External"/><Relationship Id="rId214" Type="http://schemas.openxmlformats.org/officeDocument/2006/relationships/hyperlink" Target="https://youtu.be/6T6oFoAqKbg?t=5817" TargetMode="External"/><Relationship Id="rId219" Type="http://schemas.openxmlformats.org/officeDocument/2006/relationships/hyperlink" Target="https://youtu.be/hxIR9hJkp2U?t=8628" TargetMode="External"/><Relationship Id="rId218" Type="http://schemas.openxmlformats.org/officeDocument/2006/relationships/hyperlink" Target="https://youtu.be/6T6oFoAqKbg?t=7684" TargetMode="External"/><Relationship Id="rId213" Type="http://schemas.openxmlformats.org/officeDocument/2006/relationships/hyperlink" Target="https://youtu.be/hxIR9hJkp2U?t=5799" TargetMode="External"/><Relationship Id="rId212" Type="http://schemas.openxmlformats.org/officeDocument/2006/relationships/hyperlink" Target="https://youtu.be/6T6oFoAqKbg?t=4817" TargetMode="External"/><Relationship Id="rId211" Type="http://schemas.openxmlformats.org/officeDocument/2006/relationships/hyperlink" Target="https://youtu.be/hxIR9hJkp2U?t=4845" TargetMode="External"/><Relationship Id="rId210" Type="http://schemas.openxmlformats.org/officeDocument/2006/relationships/hyperlink" Target="https://youtu.be/6T6oFoAqKbg?t=3868" TargetMode="External"/><Relationship Id="rId129" Type="http://schemas.openxmlformats.org/officeDocument/2006/relationships/hyperlink" Target="https://youtu.be/BQAN_L-vgeI?t=3481" TargetMode="External"/><Relationship Id="rId128" Type="http://schemas.openxmlformats.org/officeDocument/2006/relationships/hyperlink" Target="https://youtu.be/nI8zp1jpcxw?t=2641" TargetMode="External"/><Relationship Id="rId249" Type="http://schemas.openxmlformats.org/officeDocument/2006/relationships/hyperlink" Target="https://youtu.be/uUrEcSocamk?t=3566" TargetMode="External"/><Relationship Id="rId127" Type="http://schemas.openxmlformats.org/officeDocument/2006/relationships/hyperlink" Target="https://youtu.be/BQAN_L-vgeI?t=2654" TargetMode="External"/><Relationship Id="rId248" Type="http://schemas.openxmlformats.org/officeDocument/2006/relationships/hyperlink" Target="https://youtu.be/J-MENEBo2wM?t=2743" TargetMode="External"/><Relationship Id="rId126" Type="http://schemas.openxmlformats.org/officeDocument/2006/relationships/hyperlink" Target="https://youtu.be/nI8zp1jpcxw?t=1789" TargetMode="External"/><Relationship Id="rId247" Type="http://schemas.openxmlformats.org/officeDocument/2006/relationships/hyperlink" Target="https://youtu.be/uUrEcSocamk?t=2749" TargetMode="External"/><Relationship Id="rId121" Type="http://schemas.openxmlformats.org/officeDocument/2006/relationships/hyperlink" Target="https://youtu.be/BQAN_L-vgeI" TargetMode="External"/><Relationship Id="rId242" Type="http://schemas.openxmlformats.org/officeDocument/2006/relationships/hyperlink" Target="https://youtu.be/J-MENEBo2wM" TargetMode="External"/><Relationship Id="rId120" Type="http://schemas.openxmlformats.org/officeDocument/2006/relationships/hyperlink" Target="https://youtu.be/wm5j8LTtnEE?t=8659" TargetMode="External"/><Relationship Id="rId241" Type="http://schemas.openxmlformats.org/officeDocument/2006/relationships/hyperlink" Target="https://youtu.be/uUrEcSocamk" TargetMode="External"/><Relationship Id="rId240" Type="http://schemas.openxmlformats.org/officeDocument/2006/relationships/hyperlink" Target="https://youtu.be/to7JbJjx1lY?t=7903" TargetMode="External"/><Relationship Id="rId125" Type="http://schemas.openxmlformats.org/officeDocument/2006/relationships/hyperlink" Target="https://youtu.be/BQAN_L-vgeI?t=1833" TargetMode="External"/><Relationship Id="rId246" Type="http://schemas.openxmlformats.org/officeDocument/2006/relationships/hyperlink" Target="https://youtu.be/J-MENEBo2wM?t=1874" TargetMode="External"/><Relationship Id="rId124" Type="http://schemas.openxmlformats.org/officeDocument/2006/relationships/hyperlink" Target="https://youtu.be/nI8zp1jpcxw?t=903" TargetMode="External"/><Relationship Id="rId245" Type="http://schemas.openxmlformats.org/officeDocument/2006/relationships/hyperlink" Target="https://youtu.be/uUrEcSocamk?t=1903" TargetMode="External"/><Relationship Id="rId123" Type="http://schemas.openxmlformats.org/officeDocument/2006/relationships/hyperlink" Target="https://youtu.be/BQAN_L-vgeI?t=956" TargetMode="External"/><Relationship Id="rId244" Type="http://schemas.openxmlformats.org/officeDocument/2006/relationships/hyperlink" Target="https://youtu.be/J-MENEBo2wM?t=943" TargetMode="External"/><Relationship Id="rId122" Type="http://schemas.openxmlformats.org/officeDocument/2006/relationships/hyperlink" Target="https://youtu.be/nI8zp1jpcxw" TargetMode="External"/><Relationship Id="rId243" Type="http://schemas.openxmlformats.org/officeDocument/2006/relationships/hyperlink" Target="https://youtu.be/uUrEcSocamk?t=982" TargetMode="External"/><Relationship Id="rId95" Type="http://schemas.openxmlformats.org/officeDocument/2006/relationships/hyperlink" Target="https://youtu.be/iSkx-z9Yl_4?t=6666" TargetMode="External"/><Relationship Id="rId94" Type="http://schemas.openxmlformats.org/officeDocument/2006/relationships/hyperlink" Target="https://youtu.be/Ct7a-Cj7CKw?t=5759" TargetMode="External"/><Relationship Id="rId97" Type="http://schemas.openxmlformats.org/officeDocument/2006/relationships/hyperlink" Target="https://youtu.be/iSkx-z9Yl_4?t=7622" TargetMode="External"/><Relationship Id="rId96" Type="http://schemas.openxmlformats.org/officeDocument/2006/relationships/hyperlink" Target="https://youtu.be/Ct7a-Cj7CKw?t=6727" TargetMode="External"/><Relationship Id="rId99" Type="http://schemas.openxmlformats.org/officeDocument/2006/relationships/hyperlink" Target="https://youtu.be/iSkx-z9Yl_4?t=8596" TargetMode="External"/><Relationship Id="rId98" Type="http://schemas.openxmlformats.org/officeDocument/2006/relationships/hyperlink" Target="https://youtu.be/Ct7a-Cj7CKw?t=7745" TargetMode="External"/><Relationship Id="rId91" Type="http://schemas.openxmlformats.org/officeDocument/2006/relationships/hyperlink" Target="https://youtu.be/iSkx-z9Yl_4?t=4697" TargetMode="External"/><Relationship Id="rId90" Type="http://schemas.openxmlformats.org/officeDocument/2006/relationships/hyperlink" Target="https://youtu.be/Ct7a-Cj7CKw?t=3829" TargetMode="External"/><Relationship Id="rId93" Type="http://schemas.openxmlformats.org/officeDocument/2006/relationships/hyperlink" Target="https://youtu.be/iSkx-z9Yl_4?t=5651" TargetMode="External"/><Relationship Id="rId92" Type="http://schemas.openxmlformats.org/officeDocument/2006/relationships/hyperlink" Target="https://youtu.be/Ct7a-Cj7CKw?t=4680" TargetMode="External"/><Relationship Id="rId118" Type="http://schemas.openxmlformats.org/officeDocument/2006/relationships/hyperlink" Target="https://youtu.be/wm5j8LTtnEE?t=7697" TargetMode="External"/><Relationship Id="rId239" Type="http://schemas.openxmlformats.org/officeDocument/2006/relationships/hyperlink" Target="https://youtu.be/NtTUHXIh964?t=8604" TargetMode="External"/><Relationship Id="rId117" Type="http://schemas.openxmlformats.org/officeDocument/2006/relationships/hyperlink" Target="https://youtu.be/MSO9S3y08Gg?t=7884" TargetMode="External"/><Relationship Id="rId238" Type="http://schemas.openxmlformats.org/officeDocument/2006/relationships/hyperlink" Target="https://youtu.be/to7JbJjx1lY?t=7002" TargetMode="External"/><Relationship Id="rId116" Type="http://schemas.openxmlformats.org/officeDocument/2006/relationships/hyperlink" Target="https://youtu.be/wm5j8LTtnEE?t=6817" TargetMode="External"/><Relationship Id="rId237" Type="http://schemas.openxmlformats.org/officeDocument/2006/relationships/hyperlink" Target="https://youtu.be/NtTUHXIh964?t=7661" TargetMode="External"/><Relationship Id="rId115" Type="http://schemas.openxmlformats.org/officeDocument/2006/relationships/hyperlink" Target="https://youtu.be/MSO9S3y08Gg?t=6931" TargetMode="External"/><Relationship Id="rId236" Type="http://schemas.openxmlformats.org/officeDocument/2006/relationships/hyperlink" Target="https://youtu.be/to7JbJjx1lY?t=6076" TargetMode="External"/><Relationship Id="rId119" Type="http://schemas.openxmlformats.org/officeDocument/2006/relationships/hyperlink" Target="https://youtu.be/MSO9S3y08Gg?t=8844" TargetMode="External"/><Relationship Id="rId110" Type="http://schemas.openxmlformats.org/officeDocument/2006/relationships/hyperlink" Target="https://youtu.be/wm5j8LTtnEE?t=3900" TargetMode="External"/><Relationship Id="rId231" Type="http://schemas.openxmlformats.org/officeDocument/2006/relationships/hyperlink" Target="https://youtu.be/NtTUHXIh964?t=4928" TargetMode="External"/><Relationship Id="rId230" Type="http://schemas.openxmlformats.org/officeDocument/2006/relationships/hyperlink" Target="https://youtu.be/to7JbJjx1lY?t=3315" TargetMode="External"/><Relationship Id="rId114" Type="http://schemas.openxmlformats.org/officeDocument/2006/relationships/hyperlink" Target="https://youtu.be/wm5j8LTtnEE?t=5845" TargetMode="External"/><Relationship Id="rId235" Type="http://schemas.openxmlformats.org/officeDocument/2006/relationships/hyperlink" Target="https://youtu.be/NtTUHXIh964?t=6726" TargetMode="External"/><Relationship Id="rId113" Type="http://schemas.openxmlformats.org/officeDocument/2006/relationships/hyperlink" Target="https://youtu.be/MSO9S3y08Gg?t=5970" TargetMode="External"/><Relationship Id="rId234" Type="http://schemas.openxmlformats.org/officeDocument/2006/relationships/hyperlink" Target="https://youtu.be/to7JbJjx1lY?t=5077" TargetMode="External"/><Relationship Id="rId112" Type="http://schemas.openxmlformats.org/officeDocument/2006/relationships/hyperlink" Target="https://youtu.be/wm5j8LTtnEE?t=4868" TargetMode="External"/><Relationship Id="rId233" Type="http://schemas.openxmlformats.org/officeDocument/2006/relationships/hyperlink" Target="https://youtu.be/NtTUHXIh964?t=5828" TargetMode="External"/><Relationship Id="rId111" Type="http://schemas.openxmlformats.org/officeDocument/2006/relationships/hyperlink" Target="https://youtu.be/MSO9S3y08Gg?t=5010" TargetMode="External"/><Relationship Id="rId232" Type="http://schemas.openxmlformats.org/officeDocument/2006/relationships/hyperlink" Target="https://youtu.be/to7JbJjx1lY?t=4206" TargetMode="External"/><Relationship Id="rId305" Type="http://schemas.openxmlformats.org/officeDocument/2006/relationships/hyperlink" Target="https://youtu.be/PQqIN3a7mWI?t=1883" TargetMode="External"/><Relationship Id="rId304" Type="http://schemas.openxmlformats.org/officeDocument/2006/relationships/hyperlink" Target="https://youtu.be/AQ8B4XYNOsU?t=898" TargetMode="External"/><Relationship Id="rId303" Type="http://schemas.openxmlformats.org/officeDocument/2006/relationships/hyperlink" Target="https://youtu.be/PQqIN3a7mWI?t=967" TargetMode="External"/><Relationship Id="rId302" Type="http://schemas.openxmlformats.org/officeDocument/2006/relationships/hyperlink" Target="https://youtu.be/AQ8B4XYNOsU" TargetMode="External"/><Relationship Id="rId309" Type="http://schemas.openxmlformats.org/officeDocument/2006/relationships/hyperlink" Target="https://youtu.be/PQqIN3a7mWI?t=3549" TargetMode="External"/><Relationship Id="rId308" Type="http://schemas.openxmlformats.org/officeDocument/2006/relationships/hyperlink" Target="https://youtu.be/AQ8B4XYNOsU?t=2734" TargetMode="External"/><Relationship Id="rId307" Type="http://schemas.openxmlformats.org/officeDocument/2006/relationships/hyperlink" Target="https://youtu.be/PQqIN3a7mWI?t=2688" TargetMode="External"/><Relationship Id="rId306" Type="http://schemas.openxmlformats.org/officeDocument/2006/relationships/hyperlink" Target="https://youtu.be/AQ8B4XYNOsU?t=1850" TargetMode="External"/><Relationship Id="rId301" Type="http://schemas.openxmlformats.org/officeDocument/2006/relationships/hyperlink" Target="https://youtu.be/PQqIN3a7mWI" TargetMode="External"/><Relationship Id="rId300" Type="http://schemas.openxmlformats.org/officeDocument/2006/relationships/hyperlink" Target="https://youtu.be/le1yf6XVyes?t=8708" TargetMode="External"/><Relationship Id="rId206" Type="http://schemas.openxmlformats.org/officeDocument/2006/relationships/hyperlink" Target="https://youtu.be/6T6oFoAqKbg?t=2046" TargetMode="External"/><Relationship Id="rId205" Type="http://schemas.openxmlformats.org/officeDocument/2006/relationships/hyperlink" Target="https://youtu.be/hxIR9hJkp2U?t=1966" TargetMode="External"/><Relationship Id="rId204" Type="http://schemas.openxmlformats.org/officeDocument/2006/relationships/hyperlink" Target="https://youtu.be/6T6oFoAqKbg?t=999" TargetMode="External"/><Relationship Id="rId203" Type="http://schemas.openxmlformats.org/officeDocument/2006/relationships/hyperlink" Target="https://youtu.be/hxIR9hJkp2U?t=1029" TargetMode="External"/><Relationship Id="rId209" Type="http://schemas.openxmlformats.org/officeDocument/2006/relationships/hyperlink" Target="https://youtu.be/hxIR9hJkp2U?t=3885" TargetMode="External"/><Relationship Id="rId208" Type="http://schemas.openxmlformats.org/officeDocument/2006/relationships/hyperlink" Target="https://youtu.be/6T6oFoAqKbg?t=2964" TargetMode="External"/><Relationship Id="rId207" Type="http://schemas.openxmlformats.org/officeDocument/2006/relationships/hyperlink" Target="https://youtu.be/hxIR9hJkp2U?t=2923" TargetMode="External"/><Relationship Id="rId202" Type="http://schemas.openxmlformats.org/officeDocument/2006/relationships/hyperlink" Target="https://youtu.be/6T6oFoAqKbg" TargetMode="External"/><Relationship Id="rId201" Type="http://schemas.openxmlformats.org/officeDocument/2006/relationships/hyperlink" Target="https://youtu.be/hxIR9hJkp2U" TargetMode="External"/><Relationship Id="rId200" Type="http://schemas.openxmlformats.org/officeDocument/2006/relationships/hyperlink" Target="https://youtu.be/KtRWjry-xQY?t=7845" TargetMode="External"/><Relationship Id="rId321" Type="http://schemas.openxmlformats.org/officeDocument/2006/relationships/drawing" Target="../drawings/drawing27.xml"/><Relationship Id="rId320" Type="http://schemas.openxmlformats.org/officeDocument/2006/relationships/hyperlink" Target="https://youtu.be/AQ8B4XYNOsU?t=7933" TargetMode="External"/><Relationship Id="rId316" Type="http://schemas.openxmlformats.org/officeDocument/2006/relationships/hyperlink" Target="https://youtu.be/AQ8B4XYNOsU?t=6136" TargetMode="External"/><Relationship Id="rId315" Type="http://schemas.openxmlformats.org/officeDocument/2006/relationships/hyperlink" Target="https://youtu.be/PQqIN3a7mWI?t=6132" TargetMode="External"/><Relationship Id="rId314" Type="http://schemas.openxmlformats.org/officeDocument/2006/relationships/hyperlink" Target="https://youtu.be/AQ8B4XYNOsU?t=5273" TargetMode="External"/><Relationship Id="rId313" Type="http://schemas.openxmlformats.org/officeDocument/2006/relationships/hyperlink" Target="https://youtu.be/PQqIN3a7mWI?t=5241" TargetMode="External"/><Relationship Id="rId319" Type="http://schemas.openxmlformats.org/officeDocument/2006/relationships/hyperlink" Target="https://youtu.be/PQqIN3a7mWI?t=7849" TargetMode="External"/><Relationship Id="rId318" Type="http://schemas.openxmlformats.org/officeDocument/2006/relationships/hyperlink" Target="https://youtu.be/AQ8B4XYNOsU?t=7044" TargetMode="External"/><Relationship Id="rId317" Type="http://schemas.openxmlformats.org/officeDocument/2006/relationships/hyperlink" Target="https://youtu.be/PQqIN3a7mWI?t=7014" TargetMode="External"/><Relationship Id="rId312" Type="http://schemas.openxmlformats.org/officeDocument/2006/relationships/hyperlink" Target="https://youtu.be/AQ8B4XYNOsU?t=4410" TargetMode="External"/><Relationship Id="rId311" Type="http://schemas.openxmlformats.org/officeDocument/2006/relationships/hyperlink" Target="https://youtu.be/PQqIN3a7mWI" TargetMode="External"/><Relationship Id="rId310" Type="http://schemas.openxmlformats.org/officeDocument/2006/relationships/hyperlink" Target="https://youtu.be/AQ8B4XYNOsU?t=3531" TargetMode="External"/></Relationships>
</file>

<file path=xl/worksheets/_rels/sheet2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OFO-b2_xNU?t=8520%D1%8A" TargetMode="External"/><Relationship Id="rId190" Type="http://schemas.openxmlformats.org/officeDocument/2006/relationships/hyperlink" Target="https://youtu.be/cipKFHj2Q4M?t=6861" TargetMode="External"/><Relationship Id="rId42" Type="http://schemas.openxmlformats.org/officeDocument/2006/relationships/hyperlink" Target="https://youtu.be/K5blkpkQ3m0" TargetMode="External"/><Relationship Id="rId41" Type="http://schemas.openxmlformats.org/officeDocument/2006/relationships/hyperlink" Target="https://youtu.be/gTbxCJFIs-c?t=148" TargetMode="External"/><Relationship Id="rId44" Type="http://schemas.openxmlformats.org/officeDocument/2006/relationships/hyperlink" Target="https://youtu.be/K5blkpkQ3m0?t=1077" TargetMode="External"/><Relationship Id="rId194" Type="http://schemas.openxmlformats.org/officeDocument/2006/relationships/hyperlink" Target="https://youtu.be/hSElAthD-Io?t=136" TargetMode="External"/><Relationship Id="rId43" Type="http://schemas.openxmlformats.org/officeDocument/2006/relationships/hyperlink" Target="https://youtu.be/gTbxCJFIs-c?t=999" TargetMode="External"/><Relationship Id="rId193" Type="http://schemas.openxmlformats.org/officeDocument/2006/relationships/hyperlink" Target="https://youtu.be/Vih-8-eiteA" TargetMode="External"/><Relationship Id="rId46" Type="http://schemas.openxmlformats.org/officeDocument/2006/relationships/hyperlink" Target="https://youtu.be/K5blkpkQ3m0?t=1938" TargetMode="External"/><Relationship Id="rId192" Type="http://schemas.openxmlformats.org/officeDocument/2006/relationships/hyperlink" Target="https://youtu.be/cipKFHj2Q4M?t=7669" TargetMode="External"/><Relationship Id="rId45" Type="http://schemas.openxmlformats.org/officeDocument/2006/relationships/hyperlink" Target="https://youtu.be/gTbxCJFIs-c?t=1892" TargetMode="External"/><Relationship Id="rId191" Type="http://schemas.openxmlformats.org/officeDocument/2006/relationships/hyperlink" Target="https://youtu.be/pZCOPMRg_kg?t=7565" TargetMode="External"/><Relationship Id="rId48" Type="http://schemas.openxmlformats.org/officeDocument/2006/relationships/hyperlink" Target="https://youtu.be/K5blkpkQ3m0?t=2824" TargetMode="External"/><Relationship Id="rId187" Type="http://schemas.openxmlformats.org/officeDocument/2006/relationships/hyperlink" Target="https://youtu.be/pZCOPMRg_kg?t=5858" TargetMode="External"/><Relationship Id="rId47" Type="http://schemas.openxmlformats.org/officeDocument/2006/relationships/hyperlink" Target="https://youtu.be/gTbxCJFIs-c?t=2755" TargetMode="External"/><Relationship Id="rId186" Type="http://schemas.openxmlformats.org/officeDocument/2006/relationships/hyperlink" Target="https://youtu.be/cipKFHj2Q4M?t=5149" TargetMode="External"/><Relationship Id="rId185" Type="http://schemas.openxmlformats.org/officeDocument/2006/relationships/hyperlink" Target="https://youtu.be/pZCOPMRg_kg?t=5057" TargetMode="External"/><Relationship Id="rId49" Type="http://schemas.openxmlformats.org/officeDocument/2006/relationships/hyperlink" Target="https://youtu.be/gTbxCJFIs-c?t=3610" TargetMode="External"/><Relationship Id="rId184" Type="http://schemas.openxmlformats.org/officeDocument/2006/relationships/hyperlink" Target="https://youtu.be/cipKFHj2Q4M?t=4201" TargetMode="External"/><Relationship Id="rId189" Type="http://schemas.openxmlformats.org/officeDocument/2006/relationships/hyperlink" Target="https://youtu.be/pZCOPMRg_kg?t=6679" TargetMode="External"/><Relationship Id="rId188" Type="http://schemas.openxmlformats.org/officeDocument/2006/relationships/hyperlink" Target="https://youtu.be/cipKFHj2Q4M?t=6037" TargetMode="External"/><Relationship Id="rId31" Type="http://schemas.openxmlformats.org/officeDocument/2006/relationships/hyperlink" Target="https://youtu.be/XAeHbzSbTdo?t=4914" TargetMode="External"/><Relationship Id="rId30" Type="http://schemas.openxmlformats.org/officeDocument/2006/relationships/hyperlink" Target="https://youtu.be/YOFO-b2_xNU?t=3760" TargetMode="External"/><Relationship Id="rId33" Type="http://schemas.openxmlformats.org/officeDocument/2006/relationships/hyperlink" Target="https://youtu.be/XAeHbzSbTdo?t=5839" TargetMode="External"/><Relationship Id="rId183" Type="http://schemas.openxmlformats.org/officeDocument/2006/relationships/hyperlink" Target="https://youtu.be/pZCOPMRg_kg?t=4238" TargetMode="External"/><Relationship Id="rId32" Type="http://schemas.openxmlformats.org/officeDocument/2006/relationships/hyperlink" Target="https://youtu.be/YOFO-b2_xNU?t=4834" TargetMode="External"/><Relationship Id="rId182" Type="http://schemas.openxmlformats.org/officeDocument/2006/relationships/hyperlink" Target="https://youtu.be/cipKFHj2Q4M?t=3394" TargetMode="External"/><Relationship Id="rId35" Type="http://schemas.openxmlformats.org/officeDocument/2006/relationships/hyperlink" Target="https://youtu.be/XAeHbzSbTdo?t=6749" TargetMode="External"/><Relationship Id="rId181" Type="http://schemas.openxmlformats.org/officeDocument/2006/relationships/hyperlink" Target="https://youtu.be/pZCOPMRg_kg?t=3365" TargetMode="External"/><Relationship Id="rId34" Type="http://schemas.openxmlformats.org/officeDocument/2006/relationships/hyperlink" Target="https://youtu.be/YOFO-b2_xNU?t=5739" TargetMode="External"/><Relationship Id="rId180" Type="http://schemas.openxmlformats.org/officeDocument/2006/relationships/hyperlink" Target="https://youtu.be/cipKFHj2Q4M?t=2579" TargetMode="External"/><Relationship Id="rId37" Type="http://schemas.openxmlformats.org/officeDocument/2006/relationships/hyperlink" Target="https://youtu.be/XAeHbzSbTdo?t=7693" TargetMode="External"/><Relationship Id="rId176" Type="http://schemas.openxmlformats.org/officeDocument/2006/relationships/hyperlink" Target="https://youtu.be/cipKFHj2Q4M?t=938" TargetMode="External"/><Relationship Id="rId297" Type="http://schemas.openxmlformats.org/officeDocument/2006/relationships/hyperlink" Target="https://youtu.be/z7wavuy7UGs?t=1772" TargetMode="External"/><Relationship Id="rId36" Type="http://schemas.openxmlformats.org/officeDocument/2006/relationships/hyperlink" Target="https://youtu.be/YOFO-b2_xNU?t=6644" TargetMode="External"/><Relationship Id="rId175" Type="http://schemas.openxmlformats.org/officeDocument/2006/relationships/hyperlink" Target="https://youtu.be/pZCOPMRg_kg?t=827" TargetMode="External"/><Relationship Id="rId296" Type="http://schemas.openxmlformats.org/officeDocument/2006/relationships/hyperlink" Target="https://youtu.be/EEnAkiH16wY?t=958" TargetMode="External"/><Relationship Id="rId39" Type="http://schemas.openxmlformats.org/officeDocument/2006/relationships/hyperlink" Target="https://youtu.be/XAeHbzSbTdo?t=8583" TargetMode="External"/><Relationship Id="rId174" Type="http://schemas.openxmlformats.org/officeDocument/2006/relationships/hyperlink" Target="https://youtu.be/cipKFHj2Q4M" TargetMode="External"/><Relationship Id="rId295" Type="http://schemas.openxmlformats.org/officeDocument/2006/relationships/hyperlink" Target="https://youtu.be/z7wavuy7UGs?t=894" TargetMode="External"/><Relationship Id="rId38" Type="http://schemas.openxmlformats.org/officeDocument/2006/relationships/hyperlink" Target="https://youtu.be/YOFO-b2_xNU?t=7580" TargetMode="External"/><Relationship Id="rId173" Type="http://schemas.openxmlformats.org/officeDocument/2006/relationships/hyperlink" Target="https://youtu.be/pZCOPMRg_kg" TargetMode="External"/><Relationship Id="rId294" Type="http://schemas.openxmlformats.org/officeDocument/2006/relationships/hyperlink" Target="https://youtu.be/EEnAkiH16wY" TargetMode="External"/><Relationship Id="rId179" Type="http://schemas.openxmlformats.org/officeDocument/2006/relationships/hyperlink" Target="https://youtu.be/pZCOPMRg_kg?t=2516" TargetMode="External"/><Relationship Id="rId178" Type="http://schemas.openxmlformats.org/officeDocument/2006/relationships/hyperlink" Target="https://youtu.be/cipKFHj2Q4M?t=1762" TargetMode="External"/><Relationship Id="rId299" Type="http://schemas.openxmlformats.org/officeDocument/2006/relationships/hyperlink" Target="https://youtu.be/z7wavuy7UGs?t=2632" TargetMode="External"/><Relationship Id="rId177" Type="http://schemas.openxmlformats.org/officeDocument/2006/relationships/hyperlink" Target="https://youtu.be/pZCOPMRg_kg?t=1640" TargetMode="External"/><Relationship Id="rId298" Type="http://schemas.openxmlformats.org/officeDocument/2006/relationships/hyperlink" Target="https://youtu.be/EEnAkiH16wY?t=1824" TargetMode="External"/><Relationship Id="rId20" Type="http://schemas.openxmlformats.org/officeDocument/2006/relationships/hyperlink" Target="https://youtu.be/QtmAmkdEo9I?t=8148" TargetMode="External"/><Relationship Id="rId22" Type="http://schemas.openxmlformats.org/officeDocument/2006/relationships/hyperlink" Target="https://youtu.be/YOFO-b2_xNU" TargetMode="External"/><Relationship Id="rId21" Type="http://schemas.openxmlformats.org/officeDocument/2006/relationships/hyperlink" Target="https://youtu.be/XAeHbzSbTdo" TargetMode="External"/><Relationship Id="rId24" Type="http://schemas.openxmlformats.org/officeDocument/2006/relationships/hyperlink" Target="https://youtu.be/YOFO-b2_xNU?t=977" TargetMode="External"/><Relationship Id="rId23" Type="http://schemas.openxmlformats.org/officeDocument/2006/relationships/hyperlink" Target="https://youtu.be/XAeHbzSbTdo?t=994" TargetMode="External"/><Relationship Id="rId26" Type="http://schemas.openxmlformats.org/officeDocument/2006/relationships/hyperlink" Target="https://youtu.be/YOFO-b2_xNU?t=1949" TargetMode="External"/><Relationship Id="rId25" Type="http://schemas.openxmlformats.org/officeDocument/2006/relationships/hyperlink" Target="https://youtu.be/XAeHbzSbTdo?t=1954" TargetMode="External"/><Relationship Id="rId28" Type="http://schemas.openxmlformats.org/officeDocument/2006/relationships/hyperlink" Target="https://youtu.be/YOFO-b2_xNU?t=2871" TargetMode="External"/><Relationship Id="rId27" Type="http://schemas.openxmlformats.org/officeDocument/2006/relationships/hyperlink" Target="https://youtu.be/XAeHbzSbTdo?t=2949" TargetMode="External"/><Relationship Id="rId29" Type="http://schemas.openxmlformats.org/officeDocument/2006/relationships/hyperlink" Target="https://youtu.be/XAeHbzSbTdo?t=3924" TargetMode="External"/><Relationship Id="rId11" Type="http://schemas.openxmlformats.org/officeDocument/2006/relationships/hyperlink" Target="https://youtu.be/jzUKYprpTo4?t=4776" TargetMode="External"/><Relationship Id="rId10" Type="http://schemas.openxmlformats.org/officeDocument/2006/relationships/hyperlink" Target="https://youtu.be/QtmAmkdEo9I?t=3816" TargetMode="External"/><Relationship Id="rId13" Type="http://schemas.openxmlformats.org/officeDocument/2006/relationships/hyperlink" Target="https://youtu.be/jzUKYprpTo4?t=5676" TargetMode="External"/><Relationship Id="rId12" Type="http://schemas.openxmlformats.org/officeDocument/2006/relationships/hyperlink" Target="https://youtu.be/QtmAmkdEo9I?t=4714" TargetMode="External"/><Relationship Id="rId15" Type="http://schemas.openxmlformats.org/officeDocument/2006/relationships/hyperlink" Target="https://youtu.be/jzUKYprpTo4?t=6575" TargetMode="External"/><Relationship Id="rId198" Type="http://schemas.openxmlformats.org/officeDocument/2006/relationships/hyperlink" Target="https://youtu.be/hSElAthD-Io?t=2001" TargetMode="External"/><Relationship Id="rId14" Type="http://schemas.openxmlformats.org/officeDocument/2006/relationships/hyperlink" Target="https://youtu.be/QtmAmkdEo9I?t=5613" TargetMode="External"/><Relationship Id="rId197" Type="http://schemas.openxmlformats.org/officeDocument/2006/relationships/hyperlink" Target="https://youtu.be/Vih-8-eiteA?t=1983" TargetMode="External"/><Relationship Id="rId17" Type="http://schemas.openxmlformats.org/officeDocument/2006/relationships/hyperlink" Target="https://youtu.be/jzUKYprpTo4?t=7436" TargetMode="External"/><Relationship Id="rId196" Type="http://schemas.openxmlformats.org/officeDocument/2006/relationships/hyperlink" Target="https://youtu.be/hSElAthD-Io?t=1066" TargetMode="External"/><Relationship Id="rId16" Type="http://schemas.openxmlformats.org/officeDocument/2006/relationships/hyperlink" Target="https://youtu.be/QtmAmkdEo9I?t=6426" TargetMode="External"/><Relationship Id="rId195" Type="http://schemas.openxmlformats.org/officeDocument/2006/relationships/hyperlink" Target="https://youtu.be/Vih-8-eiteA?t=1031" TargetMode="External"/><Relationship Id="rId19" Type="http://schemas.openxmlformats.org/officeDocument/2006/relationships/hyperlink" Target="https://youtu.be/jzUKYprpTo4?t=8235" TargetMode="External"/><Relationship Id="rId18" Type="http://schemas.openxmlformats.org/officeDocument/2006/relationships/hyperlink" Target="https://youtu.be/QtmAmkdEo9I?t=7310" TargetMode="External"/><Relationship Id="rId199" Type="http://schemas.openxmlformats.org/officeDocument/2006/relationships/hyperlink" Target="https://youtu.be/Vih-8-eiteA?t=2894" TargetMode="External"/><Relationship Id="rId84" Type="http://schemas.openxmlformats.org/officeDocument/2006/relationships/hyperlink" Target="https://youtu.be/73JTyv2YY0w?t=1048" TargetMode="External"/><Relationship Id="rId83" Type="http://schemas.openxmlformats.org/officeDocument/2006/relationships/hyperlink" Target="https://youtu.be/T5MvNQg_DoI?t=1023" TargetMode="External"/><Relationship Id="rId86" Type="http://schemas.openxmlformats.org/officeDocument/2006/relationships/hyperlink" Target="https://youtu.be/73JTyv2YY0w?t=1993" TargetMode="External"/><Relationship Id="rId85" Type="http://schemas.openxmlformats.org/officeDocument/2006/relationships/hyperlink" Target="https://youtu.be/T5MvNQg_DoI?t=1970" TargetMode="External"/><Relationship Id="rId88" Type="http://schemas.openxmlformats.org/officeDocument/2006/relationships/hyperlink" Target="https://youtu.be/73JTyv2YY0w?t=2937" TargetMode="External"/><Relationship Id="rId150" Type="http://schemas.openxmlformats.org/officeDocument/2006/relationships/hyperlink" Target="https://youtu.be/rdC4ENNJ-ns?t=3915" TargetMode="External"/><Relationship Id="rId271" Type="http://schemas.openxmlformats.org/officeDocument/2006/relationships/hyperlink" Target="https://youtu.be/svD3-_jJl5E?t=7741" TargetMode="External"/><Relationship Id="rId87" Type="http://schemas.openxmlformats.org/officeDocument/2006/relationships/hyperlink" Target="https://youtu.be/T5MvNQg_DoI?t=2928" TargetMode="External"/><Relationship Id="rId270" Type="http://schemas.openxmlformats.org/officeDocument/2006/relationships/hyperlink" Target="https://youtu.be/K9Wm9TkZV7k?t=6762" TargetMode="External"/><Relationship Id="rId89" Type="http://schemas.openxmlformats.org/officeDocument/2006/relationships/hyperlink" Target="https://youtu.be/T5MvNQg_DoI?t=3887" TargetMode="External"/><Relationship Id="rId80" Type="http://schemas.openxmlformats.org/officeDocument/2006/relationships/hyperlink" Target="https://youtu.be/zZO08uxinQQ?t=8568" TargetMode="External"/><Relationship Id="rId82" Type="http://schemas.openxmlformats.org/officeDocument/2006/relationships/hyperlink" Target="https://youtu.be/73JTyv2YY0w?t=86" TargetMode="External"/><Relationship Id="rId81" Type="http://schemas.openxmlformats.org/officeDocument/2006/relationships/hyperlink" Target="https://youtu.be/T5MvNQg_DoI" TargetMode="External"/><Relationship Id="rId1" Type="http://schemas.openxmlformats.org/officeDocument/2006/relationships/hyperlink" Target="https://youtu.be/jzUKYprpTo4?t=253" TargetMode="External"/><Relationship Id="rId2" Type="http://schemas.openxmlformats.org/officeDocument/2006/relationships/hyperlink" Target="https://youtu.be/QtmAmkdEo9I" TargetMode="External"/><Relationship Id="rId3" Type="http://schemas.openxmlformats.org/officeDocument/2006/relationships/hyperlink" Target="https://youtu.be/jzUKYprpTo4?t=1180" TargetMode="External"/><Relationship Id="rId149" Type="http://schemas.openxmlformats.org/officeDocument/2006/relationships/hyperlink" Target="https://youtu.be/xVUGZ5arS14?t=5102" TargetMode="External"/><Relationship Id="rId4" Type="http://schemas.openxmlformats.org/officeDocument/2006/relationships/hyperlink" Target="https://youtu.be/QtmAmkdEo9I?t=1154" TargetMode="External"/><Relationship Id="rId148" Type="http://schemas.openxmlformats.org/officeDocument/2006/relationships/hyperlink" Target="https://youtu.be/rdC4ENNJ-ns?t=2930" TargetMode="External"/><Relationship Id="rId269" Type="http://schemas.openxmlformats.org/officeDocument/2006/relationships/hyperlink" Target="https://youtu.be/svD3-_jJl5E?t=6920" TargetMode="External"/><Relationship Id="rId9" Type="http://schemas.openxmlformats.org/officeDocument/2006/relationships/hyperlink" Target="https://youtu.be/jzUKYprpTo4?t=3863" TargetMode="External"/><Relationship Id="rId143" Type="http://schemas.openxmlformats.org/officeDocument/2006/relationships/hyperlink" Target="https://youtu.be/xVUGZ5arS14?t=2165" TargetMode="External"/><Relationship Id="rId264" Type="http://schemas.openxmlformats.org/officeDocument/2006/relationships/hyperlink" Target="https://youtu.be/K9Wm9TkZV7k?t=4178" TargetMode="External"/><Relationship Id="rId142" Type="http://schemas.openxmlformats.org/officeDocument/2006/relationships/hyperlink" Target="https://youtu.be/rdC4ENNJ-ns" TargetMode="External"/><Relationship Id="rId263" Type="http://schemas.openxmlformats.org/officeDocument/2006/relationships/hyperlink" Target="https://youtu.be/svD3-_jJl5E?t=4319" TargetMode="External"/><Relationship Id="rId141" Type="http://schemas.openxmlformats.org/officeDocument/2006/relationships/hyperlink" Target="https://youtu.be/xVUGZ5arS14?t=1200" TargetMode="External"/><Relationship Id="rId262" Type="http://schemas.openxmlformats.org/officeDocument/2006/relationships/hyperlink" Target="https://youtu.be/K9Wm9TkZV7k?t=3315" TargetMode="External"/><Relationship Id="rId140" Type="http://schemas.openxmlformats.org/officeDocument/2006/relationships/hyperlink" Target="https://youtu.be/NvW4_2g07IU?t=7921" TargetMode="External"/><Relationship Id="rId261" Type="http://schemas.openxmlformats.org/officeDocument/2006/relationships/hyperlink" Target="https://youtu.be/svD3-_jJl5E?t=3435" TargetMode="External"/><Relationship Id="rId5" Type="http://schemas.openxmlformats.org/officeDocument/2006/relationships/hyperlink" Target="https://youtu.be/jzUKYprpTo4?t=2123" TargetMode="External"/><Relationship Id="rId147" Type="http://schemas.openxmlformats.org/officeDocument/2006/relationships/hyperlink" Target="https://youtu.be/xVUGZ5arS14?t=4110" TargetMode="External"/><Relationship Id="rId268" Type="http://schemas.openxmlformats.org/officeDocument/2006/relationships/hyperlink" Target="https://youtu.be/K9Wm9TkZV7k?t=5939" TargetMode="External"/><Relationship Id="rId6" Type="http://schemas.openxmlformats.org/officeDocument/2006/relationships/hyperlink" Target="https://youtu.be/QtmAmkdEo9I?t=2027" TargetMode="External"/><Relationship Id="rId146" Type="http://schemas.openxmlformats.org/officeDocument/2006/relationships/hyperlink" Target="https://youtu.be/rdC4ENNJ-ns?t=2000" TargetMode="External"/><Relationship Id="rId267" Type="http://schemas.openxmlformats.org/officeDocument/2006/relationships/hyperlink" Target="https://youtu.be/svD3-_jJl5E?t=6080" TargetMode="External"/><Relationship Id="rId7" Type="http://schemas.openxmlformats.org/officeDocument/2006/relationships/hyperlink" Target="https://youtu.be/jzUKYprpTo4?t=3009" TargetMode="External"/><Relationship Id="rId145" Type="http://schemas.openxmlformats.org/officeDocument/2006/relationships/hyperlink" Target="https://youtu.be/xVUGZ5arS14?t=3096" TargetMode="External"/><Relationship Id="rId266" Type="http://schemas.openxmlformats.org/officeDocument/2006/relationships/hyperlink" Target="https://youtu.be/K9Wm9TkZV7k?t=4178" TargetMode="External"/><Relationship Id="rId8" Type="http://schemas.openxmlformats.org/officeDocument/2006/relationships/hyperlink" Target="https://youtu.be/QtmAmkdEo9I?t=2932" TargetMode="External"/><Relationship Id="rId144" Type="http://schemas.openxmlformats.org/officeDocument/2006/relationships/hyperlink" Target="https://youtu.be/rdC4ENNJ-ns?t=1062" TargetMode="External"/><Relationship Id="rId265" Type="http://schemas.openxmlformats.org/officeDocument/2006/relationships/hyperlink" Target="https://youtu.be/svD3-_jJl5E?t=5241" TargetMode="External"/><Relationship Id="rId73" Type="http://schemas.openxmlformats.org/officeDocument/2006/relationships/hyperlink" Target="https://youtu.be/li3sG8m59r4?t=5772" TargetMode="External"/><Relationship Id="rId72" Type="http://schemas.openxmlformats.org/officeDocument/2006/relationships/hyperlink" Target="https://youtu.be/zZO08uxinQQ?t=5732" TargetMode="External"/><Relationship Id="rId75" Type="http://schemas.openxmlformats.org/officeDocument/2006/relationships/hyperlink" Target="https://youtu.be/li3sG8m59r4?t=6665" TargetMode="External"/><Relationship Id="rId74" Type="http://schemas.openxmlformats.org/officeDocument/2006/relationships/hyperlink" Target="https://youtu.be/zZO08uxinQQ?t=5732" TargetMode="External"/><Relationship Id="rId77" Type="http://schemas.openxmlformats.org/officeDocument/2006/relationships/hyperlink" Target="https://youtu.be/li3sG8m59r4?t=7653" TargetMode="External"/><Relationship Id="rId260" Type="http://schemas.openxmlformats.org/officeDocument/2006/relationships/hyperlink" Target="https://youtu.be/K9Wm9TkZV7k?t=2490" TargetMode="External"/><Relationship Id="rId76" Type="http://schemas.openxmlformats.org/officeDocument/2006/relationships/hyperlink" Target="https://youtu.be/zZO08uxinQQ?t=6657" TargetMode="External"/><Relationship Id="rId79" Type="http://schemas.openxmlformats.org/officeDocument/2006/relationships/hyperlink" Target="https://youtu.be/li3sG8m59r4?t=8556" TargetMode="External"/><Relationship Id="rId78" Type="http://schemas.openxmlformats.org/officeDocument/2006/relationships/hyperlink" Target="https://youtu.be/zZO08uxinQQ?t=7593" TargetMode="External"/><Relationship Id="rId71" Type="http://schemas.openxmlformats.org/officeDocument/2006/relationships/hyperlink" Target="https://youtu.be/li3sG8m59r4?t=4883" TargetMode="External"/><Relationship Id="rId70" Type="http://schemas.openxmlformats.org/officeDocument/2006/relationships/hyperlink" Target="https://youtu.be/zZO08uxinQQ?t=4835" TargetMode="External"/><Relationship Id="rId139" Type="http://schemas.openxmlformats.org/officeDocument/2006/relationships/hyperlink" Target="https://youtu.be/_2o7hRvGRmw?t=7990" TargetMode="External"/><Relationship Id="rId138" Type="http://schemas.openxmlformats.org/officeDocument/2006/relationships/hyperlink" Target="https://youtu.be/NvW4_2g07IU?t=7056" TargetMode="External"/><Relationship Id="rId259" Type="http://schemas.openxmlformats.org/officeDocument/2006/relationships/hyperlink" Target="https://youtu.be/svD3-_jJl5E?t=2621" TargetMode="External"/><Relationship Id="rId137" Type="http://schemas.openxmlformats.org/officeDocument/2006/relationships/hyperlink" Target="https://youtu.be/_2o7hRvGRmw?t=7159" TargetMode="External"/><Relationship Id="rId258" Type="http://schemas.openxmlformats.org/officeDocument/2006/relationships/hyperlink" Target="https://youtu.be/K9Wm9TkZV7k?t=1674" TargetMode="External"/><Relationship Id="rId132" Type="http://schemas.openxmlformats.org/officeDocument/2006/relationships/hyperlink" Target="https://youtu.be/NvW4_2g07IU?t=4397" TargetMode="External"/><Relationship Id="rId253" Type="http://schemas.openxmlformats.org/officeDocument/2006/relationships/hyperlink" Target="https://youtu.be/svD3-_jJl5E" TargetMode="External"/><Relationship Id="rId131" Type="http://schemas.openxmlformats.org/officeDocument/2006/relationships/hyperlink" Target="https://youtu.be/_2o7hRvGRmw?t=4478" TargetMode="External"/><Relationship Id="rId252" Type="http://schemas.openxmlformats.org/officeDocument/2006/relationships/hyperlink" Target="https://youtu.be/L2erYszkPBA?t=7710" TargetMode="External"/><Relationship Id="rId130" Type="http://schemas.openxmlformats.org/officeDocument/2006/relationships/hyperlink" Target="https://youtu.be/NvW4_2g07IU?t=3491" TargetMode="External"/><Relationship Id="rId251" Type="http://schemas.openxmlformats.org/officeDocument/2006/relationships/hyperlink" Target="https://youtu.be/3XLLXOZTcr0?t=1662" TargetMode="External"/><Relationship Id="rId250" Type="http://schemas.openxmlformats.org/officeDocument/2006/relationships/hyperlink" Target="https://youtu.be/L2erYszkPBA?t=6888" TargetMode="External"/><Relationship Id="rId136" Type="http://schemas.openxmlformats.org/officeDocument/2006/relationships/hyperlink" Target="https://youtu.be/NvW4_2g07IU?t=6121" TargetMode="External"/><Relationship Id="rId257" Type="http://schemas.openxmlformats.org/officeDocument/2006/relationships/hyperlink" Target="https://youtu.be/svD3-_jJl5E?t=1780" TargetMode="External"/><Relationship Id="rId135" Type="http://schemas.openxmlformats.org/officeDocument/2006/relationships/hyperlink" Target="https://youtu.be/_2o7hRvGRmw?t=6285" TargetMode="External"/><Relationship Id="rId256" Type="http://schemas.openxmlformats.org/officeDocument/2006/relationships/hyperlink" Target="https://youtu.be/K9Wm9TkZV7k?t=812" TargetMode="External"/><Relationship Id="rId134" Type="http://schemas.openxmlformats.org/officeDocument/2006/relationships/hyperlink" Target="https://youtu.be/NvW4_2g07IU?t=5270" TargetMode="External"/><Relationship Id="rId255" Type="http://schemas.openxmlformats.org/officeDocument/2006/relationships/hyperlink" Target="https://youtu.be/svD3-_jJl5E?t=892" TargetMode="External"/><Relationship Id="rId133" Type="http://schemas.openxmlformats.org/officeDocument/2006/relationships/hyperlink" Target="https://youtu.be/_2o7hRvGRmw?t=5323" TargetMode="External"/><Relationship Id="rId254" Type="http://schemas.openxmlformats.org/officeDocument/2006/relationships/hyperlink" Target="https://youtu.be/K9Wm9TkZV7k" TargetMode="External"/><Relationship Id="rId62" Type="http://schemas.openxmlformats.org/officeDocument/2006/relationships/hyperlink" Target="https://youtu.be/zZO08uxinQQ" TargetMode="External"/><Relationship Id="rId61" Type="http://schemas.openxmlformats.org/officeDocument/2006/relationships/hyperlink" Target="https://youtu.be/li3sG8m59r4" TargetMode="External"/><Relationship Id="rId64" Type="http://schemas.openxmlformats.org/officeDocument/2006/relationships/hyperlink" Target="https://youtu.be/zZO08uxinQQ?t=1948" TargetMode="External"/><Relationship Id="rId63" Type="http://schemas.openxmlformats.org/officeDocument/2006/relationships/hyperlink" Target="https://youtu.be/li3sG8m59r4?t=987" TargetMode="External"/><Relationship Id="rId66" Type="http://schemas.openxmlformats.org/officeDocument/2006/relationships/hyperlink" Target="https://youtu.be/zZO08uxinQQ?t=2876" TargetMode="External"/><Relationship Id="rId172" Type="http://schemas.openxmlformats.org/officeDocument/2006/relationships/hyperlink" Target="https://youtu.be/Ot1acHHrt8A?t=2736" TargetMode="External"/><Relationship Id="rId293" Type="http://schemas.openxmlformats.org/officeDocument/2006/relationships/hyperlink" Target="https://youtu.be/z7wavuy7UGs" TargetMode="External"/><Relationship Id="rId65" Type="http://schemas.openxmlformats.org/officeDocument/2006/relationships/hyperlink" Target="https://youtu.be/li3sG8m59r4?t=1965" TargetMode="External"/><Relationship Id="rId171" Type="http://schemas.openxmlformats.org/officeDocument/2006/relationships/hyperlink" Target="https://youtu.be/wE1ccBcN-jY?t=3718" TargetMode="External"/><Relationship Id="rId292" Type="http://schemas.openxmlformats.org/officeDocument/2006/relationships/hyperlink" Target="https://youtu.be/gbaeg9g8o7c?t=8678" TargetMode="External"/><Relationship Id="rId68" Type="http://schemas.openxmlformats.org/officeDocument/2006/relationships/hyperlink" Target="https://youtu.be/zZO08uxinQQ?t=3847" TargetMode="External"/><Relationship Id="rId170" Type="http://schemas.openxmlformats.org/officeDocument/2006/relationships/hyperlink" Target="https://youtu.be/Ot1acHHrt8A?t=1844" TargetMode="External"/><Relationship Id="rId291" Type="http://schemas.openxmlformats.org/officeDocument/2006/relationships/hyperlink" Target="https://youtu.be/7kAeDU93yWs?t=8680" TargetMode="External"/><Relationship Id="rId67" Type="http://schemas.openxmlformats.org/officeDocument/2006/relationships/hyperlink" Target="https://youtu.be/li3sG8m59r4?t=2972" TargetMode="External"/><Relationship Id="rId290" Type="http://schemas.openxmlformats.org/officeDocument/2006/relationships/hyperlink" Target="https://youtu.be/gbaeg9g8o7c?t=7716" TargetMode="External"/><Relationship Id="rId60" Type="http://schemas.openxmlformats.org/officeDocument/2006/relationships/hyperlink" Target="https://youtu.be/K5blkpkQ3m0?t=7861" TargetMode="External"/><Relationship Id="rId165" Type="http://schemas.openxmlformats.org/officeDocument/2006/relationships/hyperlink" Target="https://youtu.be/wE1ccBcN-jY" TargetMode="External"/><Relationship Id="rId286" Type="http://schemas.openxmlformats.org/officeDocument/2006/relationships/hyperlink" Target="https://youtu.be/gbaeg9g8o7c?t=5890" TargetMode="External"/><Relationship Id="rId69" Type="http://schemas.openxmlformats.org/officeDocument/2006/relationships/hyperlink" Target="https://youtu.be/li3sG8m59r4?t=3900" TargetMode="External"/><Relationship Id="rId164" Type="http://schemas.openxmlformats.org/officeDocument/2006/relationships/hyperlink" Target="https://youtu.be/ww5KL1XjxnU?t=2448" TargetMode="External"/><Relationship Id="rId285" Type="http://schemas.openxmlformats.org/officeDocument/2006/relationships/hyperlink" Target="https://youtu.be/7kAeDU93yWs?t=5807" TargetMode="External"/><Relationship Id="rId163" Type="http://schemas.openxmlformats.org/officeDocument/2006/relationships/hyperlink" Target="https://youtu.be/uzvPMEbVzh8?t=2912" TargetMode="External"/><Relationship Id="rId284" Type="http://schemas.openxmlformats.org/officeDocument/2006/relationships/hyperlink" Target="https://youtu.be/gbaeg9g8o7c?t=4859" TargetMode="External"/><Relationship Id="rId162" Type="http://schemas.openxmlformats.org/officeDocument/2006/relationships/hyperlink" Target="https://youtu.be/ww5KL1XjxnU?t=823" TargetMode="External"/><Relationship Id="rId283" Type="http://schemas.openxmlformats.org/officeDocument/2006/relationships/hyperlink" Target="https://youtu.be/7kAeDU93yWs?t=4854" TargetMode="External"/><Relationship Id="rId169" Type="http://schemas.openxmlformats.org/officeDocument/2006/relationships/hyperlink" Target="https://youtu.be/wE1ccBcN-jY?t=2810" TargetMode="External"/><Relationship Id="rId168" Type="http://schemas.openxmlformats.org/officeDocument/2006/relationships/hyperlink" Target="https://youtu.be/Ot1acHHrt8A?t=882" TargetMode="External"/><Relationship Id="rId289" Type="http://schemas.openxmlformats.org/officeDocument/2006/relationships/hyperlink" Target="https://youtu.be/7kAeDU93yWs?t=7693" TargetMode="External"/><Relationship Id="rId167" Type="http://schemas.openxmlformats.org/officeDocument/2006/relationships/hyperlink" Target="https://youtu.be/wE1ccBcN-jY?t=1950" TargetMode="External"/><Relationship Id="rId288" Type="http://schemas.openxmlformats.org/officeDocument/2006/relationships/hyperlink" Target="https://youtu.be/gbaeg9g8o7c?t=6819" TargetMode="External"/><Relationship Id="rId166" Type="http://schemas.openxmlformats.org/officeDocument/2006/relationships/hyperlink" Target="https://youtu.be/Ot1acHHrt8A" TargetMode="External"/><Relationship Id="rId287" Type="http://schemas.openxmlformats.org/officeDocument/2006/relationships/hyperlink" Target="https://youtu.be/7kAeDU93yWs?t=6732" TargetMode="External"/><Relationship Id="rId51" Type="http://schemas.openxmlformats.org/officeDocument/2006/relationships/hyperlink" Target="https://youtu.be/gTbxCJFIs-c?t=4465" TargetMode="External"/><Relationship Id="rId50" Type="http://schemas.openxmlformats.org/officeDocument/2006/relationships/hyperlink" Target="https://youtu.be/K5blkpkQ3m0?t=3661" TargetMode="External"/><Relationship Id="rId53" Type="http://schemas.openxmlformats.org/officeDocument/2006/relationships/hyperlink" Target="https://youtu.be/gTbxCJFIs-c?t=5334" TargetMode="External"/><Relationship Id="rId52" Type="http://schemas.openxmlformats.org/officeDocument/2006/relationships/hyperlink" Target="https://youtu.be/K5blkpkQ3m0?t=4499" TargetMode="External"/><Relationship Id="rId55" Type="http://schemas.openxmlformats.org/officeDocument/2006/relationships/hyperlink" Target="https://youtu.be/gTbxCJFIs-c?t=6173" TargetMode="External"/><Relationship Id="rId161" Type="http://schemas.openxmlformats.org/officeDocument/2006/relationships/hyperlink" Target="https://youtu.be/uzvPMEbVzh8?t=2112" TargetMode="External"/><Relationship Id="rId282" Type="http://schemas.openxmlformats.org/officeDocument/2006/relationships/hyperlink" Target="https://youtu.be/gbaeg9g8o7c?t=3961" TargetMode="External"/><Relationship Id="rId54" Type="http://schemas.openxmlformats.org/officeDocument/2006/relationships/hyperlink" Target="https://youtu.be/K5blkpkQ3m0?t=5430" TargetMode="External"/><Relationship Id="rId160" Type="http://schemas.openxmlformats.org/officeDocument/2006/relationships/hyperlink" Target="https://youtu.be/ww5KL1XjxnU?t=823" TargetMode="External"/><Relationship Id="rId281" Type="http://schemas.openxmlformats.org/officeDocument/2006/relationships/hyperlink" Target="https://youtu.be/7kAeDU93yWs?t=3897" TargetMode="External"/><Relationship Id="rId57" Type="http://schemas.openxmlformats.org/officeDocument/2006/relationships/hyperlink" Target="https://youtu.be/gTbxCJFIs-c?t=6951" TargetMode="External"/><Relationship Id="rId280" Type="http://schemas.openxmlformats.org/officeDocument/2006/relationships/hyperlink" Target="https://youtu.be/gbaeg9g8o7c?t=3068" TargetMode="External"/><Relationship Id="rId56" Type="http://schemas.openxmlformats.org/officeDocument/2006/relationships/hyperlink" Target="https://youtu.be/K5blkpkQ3m0?t=6201" TargetMode="External"/><Relationship Id="rId159" Type="http://schemas.openxmlformats.org/officeDocument/2006/relationships/hyperlink" Target="https://youtu.be/uzvPMEbVzh8?t=1271" TargetMode="External"/><Relationship Id="rId59" Type="http://schemas.openxmlformats.org/officeDocument/2006/relationships/hyperlink" Target="https://youtu.be/gTbxCJFIs-c?t=7791" TargetMode="External"/><Relationship Id="rId154" Type="http://schemas.openxmlformats.org/officeDocument/2006/relationships/hyperlink" Target="https://youtu.be/rdC4ENNJ-ns?t=5874" TargetMode="External"/><Relationship Id="rId275" Type="http://schemas.openxmlformats.org/officeDocument/2006/relationships/hyperlink" Target="https://youtu.be/7kAeDU93yWs?t=1052" TargetMode="External"/><Relationship Id="rId58" Type="http://schemas.openxmlformats.org/officeDocument/2006/relationships/hyperlink" Target="https://youtu.be/K5blkpkQ3m0?t=7061" TargetMode="External"/><Relationship Id="rId153" Type="http://schemas.openxmlformats.org/officeDocument/2006/relationships/hyperlink" Target="https://youtu.be/xVUGZ5arS14?t=6942" TargetMode="External"/><Relationship Id="rId274" Type="http://schemas.openxmlformats.org/officeDocument/2006/relationships/hyperlink" Target="https://youtu.be/gbaeg9g8o7c" TargetMode="External"/><Relationship Id="rId152" Type="http://schemas.openxmlformats.org/officeDocument/2006/relationships/hyperlink" Target="https://youtu.be/rdC4ENNJ-ns?t=4891" TargetMode="External"/><Relationship Id="rId273" Type="http://schemas.openxmlformats.org/officeDocument/2006/relationships/hyperlink" Target="https://youtu.be/7kAeDU93yWs" TargetMode="External"/><Relationship Id="rId151" Type="http://schemas.openxmlformats.org/officeDocument/2006/relationships/hyperlink" Target="https://youtu.be/xVUGZ5arS14?t=5994" TargetMode="External"/><Relationship Id="rId272" Type="http://schemas.openxmlformats.org/officeDocument/2006/relationships/hyperlink" Target="https://youtu.be/K9Wm9TkZV7k?t=7617" TargetMode="External"/><Relationship Id="rId158" Type="http://schemas.openxmlformats.org/officeDocument/2006/relationships/hyperlink" Target="https://youtu.be/ww5KL1XjxnU" TargetMode="External"/><Relationship Id="rId279" Type="http://schemas.openxmlformats.org/officeDocument/2006/relationships/hyperlink" Target="https://youtu.be/7kAeDU93yWs?t=2929" TargetMode="External"/><Relationship Id="rId157" Type="http://schemas.openxmlformats.org/officeDocument/2006/relationships/hyperlink" Target="https://youtu.be/uzvPMEbVzh8" TargetMode="External"/><Relationship Id="rId278" Type="http://schemas.openxmlformats.org/officeDocument/2006/relationships/hyperlink" Target="https://youtu.be/gbaeg9g8o7c?t=2072" TargetMode="External"/><Relationship Id="rId156" Type="http://schemas.openxmlformats.org/officeDocument/2006/relationships/hyperlink" Target="https://youtu.be/rdC4ENNJ-ns?t=6821" TargetMode="External"/><Relationship Id="rId277" Type="http://schemas.openxmlformats.org/officeDocument/2006/relationships/hyperlink" Target="https://youtu.be/7kAeDU93yWs?t=2004" TargetMode="External"/><Relationship Id="rId155" Type="http://schemas.openxmlformats.org/officeDocument/2006/relationships/hyperlink" Target="https://youtu.be/xVUGZ5arS14?t=7907" TargetMode="External"/><Relationship Id="rId276" Type="http://schemas.openxmlformats.org/officeDocument/2006/relationships/hyperlink" Target="https://youtu.be/gbaeg9g8o7c?t=1096" TargetMode="External"/><Relationship Id="rId107" Type="http://schemas.openxmlformats.org/officeDocument/2006/relationships/hyperlink" Target="https://youtu.be/wlKLp2dBFqw?t=2908" TargetMode="External"/><Relationship Id="rId228" Type="http://schemas.openxmlformats.org/officeDocument/2006/relationships/hyperlink" Target="https://youtu.be/xX-2-eJDZ3w?t=6699" TargetMode="External"/><Relationship Id="rId106" Type="http://schemas.openxmlformats.org/officeDocument/2006/relationships/hyperlink" Target="https://youtu.be/wIGEi5N5bX4?t=1938" TargetMode="External"/><Relationship Id="rId227" Type="http://schemas.openxmlformats.org/officeDocument/2006/relationships/hyperlink" Target="https://youtu.be/D0dyKBI0bDs?t=6735" TargetMode="External"/><Relationship Id="rId105" Type="http://schemas.openxmlformats.org/officeDocument/2006/relationships/hyperlink" Target="https://youtu.be/wlKLp2dBFqw?t=1953" TargetMode="External"/><Relationship Id="rId226" Type="http://schemas.openxmlformats.org/officeDocument/2006/relationships/hyperlink" Target="https://youtu.be/xX-2-eJDZ3w?t=5724" TargetMode="External"/><Relationship Id="rId104" Type="http://schemas.openxmlformats.org/officeDocument/2006/relationships/hyperlink" Target="https://youtu.be/wIGEi5N5bX4?t=1018" TargetMode="External"/><Relationship Id="rId225" Type="http://schemas.openxmlformats.org/officeDocument/2006/relationships/hyperlink" Target="https://youtu.be/D0dyKBI0bDs?t=5820" TargetMode="External"/><Relationship Id="rId109" Type="http://schemas.openxmlformats.org/officeDocument/2006/relationships/hyperlink" Target="https://youtu.be/wlKLp2dBFqw?t=3871" TargetMode="External"/><Relationship Id="rId108" Type="http://schemas.openxmlformats.org/officeDocument/2006/relationships/hyperlink" Target="https://youtu.be/wIGEi5N5bX4?t=2851" TargetMode="External"/><Relationship Id="rId229" Type="http://schemas.openxmlformats.org/officeDocument/2006/relationships/hyperlink" Target="https://youtu.be/D0dyKBI0bDs?t=7602" TargetMode="External"/><Relationship Id="rId220" Type="http://schemas.openxmlformats.org/officeDocument/2006/relationships/hyperlink" Target="https://youtu.be/xX-2-eJDZ3w?t=2923" TargetMode="External"/><Relationship Id="rId103" Type="http://schemas.openxmlformats.org/officeDocument/2006/relationships/hyperlink" Target="https://youtu.be/wlKLp2dBFqw?t=1055" TargetMode="External"/><Relationship Id="rId224" Type="http://schemas.openxmlformats.org/officeDocument/2006/relationships/hyperlink" Target="https://youtu.be/xX-2-eJDZ3w?t=4799" TargetMode="External"/><Relationship Id="rId102" Type="http://schemas.openxmlformats.org/officeDocument/2006/relationships/hyperlink" Target="https://youtu.be/wIGEi5N5bX4?t=76" TargetMode="External"/><Relationship Id="rId223" Type="http://schemas.openxmlformats.org/officeDocument/2006/relationships/hyperlink" Target="https://youtu.be/D0dyKBI0bDs?t=4808" TargetMode="External"/><Relationship Id="rId101" Type="http://schemas.openxmlformats.org/officeDocument/2006/relationships/hyperlink" Target="https://youtu.be/wlKLp2dBFqw" TargetMode="External"/><Relationship Id="rId222" Type="http://schemas.openxmlformats.org/officeDocument/2006/relationships/hyperlink" Target="https://youtu.be/xX-2-eJDZ3w?t=3836" TargetMode="External"/><Relationship Id="rId100" Type="http://schemas.openxmlformats.org/officeDocument/2006/relationships/hyperlink" Target="https://youtu.be/73JTyv2YY0w?t=8649" TargetMode="External"/><Relationship Id="rId221" Type="http://schemas.openxmlformats.org/officeDocument/2006/relationships/hyperlink" Target="https://youtu.be/D0dyKBI0bDs?t=3842" TargetMode="External"/><Relationship Id="rId217" Type="http://schemas.openxmlformats.org/officeDocument/2006/relationships/hyperlink" Target="https://youtu.be/D0dyKBI0bDs?t=2019" TargetMode="External"/><Relationship Id="rId216" Type="http://schemas.openxmlformats.org/officeDocument/2006/relationships/hyperlink" Target="https://youtu.be/xX-2-eJDZ3w?t=1120" TargetMode="External"/><Relationship Id="rId215" Type="http://schemas.openxmlformats.org/officeDocument/2006/relationships/hyperlink" Target="https://youtu.be/D0dyKBI0bDs?t=1077" TargetMode="External"/><Relationship Id="rId214" Type="http://schemas.openxmlformats.org/officeDocument/2006/relationships/hyperlink" Target="https://youtu.be/xX-2-eJDZ3w" TargetMode="External"/><Relationship Id="rId219" Type="http://schemas.openxmlformats.org/officeDocument/2006/relationships/hyperlink" Target="https://youtu.be/D0dyKBI0bDs?t=2946" TargetMode="External"/><Relationship Id="rId218" Type="http://schemas.openxmlformats.org/officeDocument/2006/relationships/hyperlink" Target="https://youtu.be/xX-2-eJDZ3w?t=2103" TargetMode="External"/><Relationship Id="rId213" Type="http://schemas.openxmlformats.org/officeDocument/2006/relationships/hyperlink" Target="https://youtu.be/D0dyKBI0bDs" TargetMode="External"/><Relationship Id="rId212" Type="http://schemas.openxmlformats.org/officeDocument/2006/relationships/hyperlink" Target="https://youtu.be/hSElAthD-Io?t=8693" TargetMode="External"/><Relationship Id="rId211" Type="http://schemas.openxmlformats.org/officeDocument/2006/relationships/hyperlink" Target="https://youtu.be/Vih-8-eiteA?t=8671" TargetMode="External"/><Relationship Id="rId210" Type="http://schemas.openxmlformats.org/officeDocument/2006/relationships/hyperlink" Target="https://youtu.be/hSElAthD-Io?t=7706" TargetMode="External"/><Relationship Id="rId129" Type="http://schemas.openxmlformats.org/officeDocument/2006/relationships/hyperlink" Target="https://youtu.be/_2o7hRvGRmw?t=3597" TargetMode="External"/><Relationship Id="rId128" Type="http://schemas.openxmlformats.org/officeDocument/2006/relationships/hyperlink" Target="https://youtu.be/NvW4_2g07IU?t=2644" TargetMode="External"/><Relationship Id="rId249" Type="http://schemas.openxmlformats.org/officeDocument/2006/relationships/hyperlink" Target="https://youtu.be/3XLLXOZTcr0?t=864" TargetMode="External"/><Relationship Id="rId127" Type="http://schemas.openxmlformats.org/officeDocument/2006/relationships/hyperlink" Target="https://youtu.be/_2o7hRvGRmw?t=2708" TargetMode="External"/><Relationship Id="rId248" Type="http://schemas.openxmlformats.org/officeDocument/2006/relationships/hyperlink" Target="https://youtu.be/L2erYszkPBA?t=6044" TargetMode="External"/><Relationship Id="rId126" Type="http://schemas.openxmlformats.org/officeDocument/2006/relationships/hyperlink" Target="https://youtu.be/NvW4_2g07IU?t=1816" TargetMode="External"/><Relationship Id="rId247" Type="http://schemas.openxmlformats.org/officeDocument/2006/relationships/hyperlink" Target="https://youtu.be/3XLLXOZTcr0" TargetMode="External"/><Relationship Id="rId121" Type="http://schemas.openxmlformats.org/officeDocument/2006/relationships/hyperlink" Target="https://youtu.be/_2o7hRvGRmw" TargetMode="External"/><Relationship Id="rId242" Type="http://schemas.openxmlformats.org/officeDocument/2006/relationships/hyperlink" Target="https://youtu.be/L2erYszkPBA?t=3437" TargetMode="External"/><Relationship Id="rId120" Type="http://schemas.openxmlformats.org/officeDocument/2006/relationships/hyperlink" Target="https://youtu.be/wIGEi5N5bX4?t=8798" TargetMode="External"/><Relationship Id="rId241" Type="http://schemas.openxmlformats.org/officeDocument/2006/relationships/hyperlink" Target="https://youtu.be/ykeCDmaKHHM?t=125" TargetMode="External"/><Relationship Id="rId240" Type="http://schemas.openxmlformats.org/officeDocument/2006/relationships/hyperlink" Target="https://youtu.be/L2erYszkPBA?t=2587" TargetMode="External"/><Relationship Id="rId125" Type="http://schemas.openxmlformats.org/officeDocument/2006/relationships/hyperlink" Target="https://youtu.be/_2o7hRvGRmw?t=1807" TargetMode="External"/><Relationship Id="rId246" Type="http://schemas.openxmlformats.org/officeDocument/2006/relationships/hyperlink" Target="https://youtu.be/L2erYszkPBA?t=5192" TargetMode="External"/><Relationship Id="rId124" Type="http://schemas.openxmlformats.org/officeDocument/2006/relationships/hyperlink" Target="https://youtu.be/NvW4_2g07IU?t=961" TargetMode="External"/><Relationship Id="rId245" Type="http://schemas.openxmlformats.org/officeDocument/2006/relationships/hyperlink" Target="https://youtu.be/ykeCDmaKHHM" TargetMode="External"/><Relationship Id="rId123" Type="http://schemas.openxmlformats.org/officeDocument/2006/relationships/hyperlink" Target="https://youtu.be/_2o7hRvGRmw?t=905" TargetMode="External"/><Relationship Id="rId244" Type="http://schemas.openxmlformats.org/officeDocument/2006/relationships/hyperlink" Target="https://youtu.be/L2erYszkPBA?t=4308" TargetMode="External"/><Relationship Id="rId122" Type="http://schemas.openxmlformats.org/officeDocument/2006/relationships/hyperlink" Target="https://youtu.be/NvW4_2g07IU" TargetMode="External"/><Relationship Id="rId243" Type="http://schemas.openxmlformats.org/officeDocument/2006/relationships/hyperlink" Target="https://youtu.be/ykeCDmaKHHM?t=221" TargetMode="External"/><Relationship Id="rId95" Type="http://schemas.openxmlformats.org/officeDocument/2006/relationships/hyperlink" Target="https://youtu.be/T5MvNQg_DoI?t=6785" TargetMode="External"/><Relationship Id="rId94" Type="http://schemas.openxmlformats.org/officeDocument/2006/relationships/hyperlink" Target="https://youtu.be/73JTyv2YY0w?t=5757" TargetMode="External"/><Relationship Id="rId97" Type="http://schemas.openxmlformats.org/officeDocument/2006/relationships/hyperlink" Target="https://youtu.be/T5MvNQg_DoI?t=7732" TargetMode="External"/><Relationship Id="rId96" Type="http://schemas.openxmlformats.org/officeDocument/2006/relationships/hyperlink" Target="https://youtu.be/73JTyv2YY0w?t=6765" TargetMode="External"/><Relationship Id="rId99" Type="http://schemas.openxmlformats.org/officeDocument/2006/relationships/hyperlink" Target="https://youtu.be/T5MvNQg_DoI?t=8697" TargetMode="External"/><Relationship Id="rId98" Type="http://schemas.openxmlformats.org/officeDocument/2006/relationships/hyperlink" Target="https://youtu.be/73JTyv2YY0w?t=7714" TargetMode="External"/><Relationship Id="rId91" Type="http://schemas.openxmlformats.org/officeDocument/2006/relationships/hyperlink" Target="https://youtu.be/T5MvNQg_DoI?t=4847" TargetMode="External"/><Relationship Id="rId90" Type="http://schemas.openxmlformats.org/officeDocument/2006/relationships/hyperlink" Target="https://youtu.be/73JTyv2YY0w?t=3847" TargetMode="External"/><Relationship Id="rId93" Type="http://schemas.openxmlformats.org/officeDocument/2006/relationships/hyperlink" Target="https://youtu.be/T5MvNQg_DoI?t=5823" TargetMode="External"/><Relationship Id="rId92" Type="http://schemas.openxmlformats.org/officeDocument/2006/relationships/hyperlink" Target="https://youtu.be/73JTyv2YY0w?t=4816" TargetMode="External"/><Relationship Id="rId118" Type="http://schemas.openxmlformats.org/officeDocument/2006/relationships/hyperlink" Target="https://youtu.be/wIGEi5N5bX4?t=7702" TargetMode="External"/><Relationship Id="rId239" Type="http://schemas.openxmlformats.org/officeDocument/2006/relationships/hyperlink" Target="https://youtu.be/ykeCDmaKHHM?t=125" TargetMode="External"/><Relationship Id="rId117" Type="http://schemas.openxmlformats.org/officeDocument/2006/relationships/hyperlink" Target="https://youtu.be/wlKLp2dBFqw?t=7746" TargetMode="External"/><Relationship Id="rId238" Type="http://schemas.openxmlformats.org/officeDocument/2006/relationships/hyperlink" Target="https://youtu.be/L2erYszkPBA?t=1750" TargetMode="External"/><Relationship Id="rId116" Type="http://schemas.openxmlformats.org/officeDocument/2006/relationships/hyperlink" Target="https://youtu.be/wIGEi5N5bX4?t=6747" TargetMode="External"/><Relationship Id="rId237" Type="http://schemas.openxmlformats.org/officeDocument/2006/relationships/hyperlink" Target="https://youtu.be/ykeCDmaKHHM?t=70" TargetMode="External"/><Relationship Id="rId115" Type="http://schemas.openxmlformats.org/officeDocument/2006/relationships/hyperlink" Target="https://youtu.be/wlKLp2dBFqw?t=6831" TargetMode="External"/><Relationship Id="rId236" Type="http://schemas.openxmlformats.org/officeDocument/2006/relationships/hyperlink" Target="https://youtu.be/L2erYszkPBA?t=895" TargetMode="External"/><Relationship Id="rId119" Type="http://schemas.openxmlformats.org/officeDocument/2006/relationships/hyperlink" Target="https://youtu.be/wlKLp2dBFqw?t=8669" TargetMode="External"/><Relationship Id="rId110" Type="http://schemas.openxmlformats.org/officeDocument/2006/relationships/hyperlink" Target="https://youtu.be/wIGEi5N5bX4?t=3860" TargetMode="External"/><Relationship Id="rId231" Type="http://schemas.openxmlformats.org/officeDocument/2006/relationships/hyperlink" Target="https://youtu.be/D0dyKBI0bDs?t=8608" TargetMode="External"/><Relationship Id="rId230" Type="http://schemas.openxmlformats.org/officeDocument/2006/relationships/hyperlink" Target="https://youtu.be/xX-2-eJDZ3w?t=7642" TargetMode="External"/><Relationship Id="rId114" Type="http://schemas.openxmlformats.org/officeDocument/2006/relationships/hyperlink" Target="https://youtu.be/wIGEi5N5bX4?t=5773" TargetMode="External"/><Relationship Id="rId235" Type="http://schemas.openxmlformats.org/officeDocument/2006/relationships/hyperlink" Target="https://youtu.be/ykeCDmaKHHM?t=28" TargetMode="External"/><Relationship Id="rId113" Type="http://schemas.openxmlformats.org/officeDocument/2006/relationships/hyperlink" Target="https://youtu.be/wlKLp2dBFqw?t=5894" TargetMode="External"/><Relationship Id="rId234" Type="http://schemas.openxmlformats.org/officeDocument/2006/relationships/hyperlink" Target="https://youtu.be/L2erYszkPBA" TargetMode="External"/><Relationship Id="rId112" Type="http://schemas.openxmlformats.org/officeDocument/2006/relationships/hyperlink" Target="https://youtu.be/wIGEi5N5bX4?t=4828" TargetMode="External"/><Relationship Id="rId233" Type="http://schemas.openxmlformats.org/officeDocument/2006/relationships/hyperlink" Target="https://youtu.be/ykeCDmaKHHM" TargetMode="External"/><Relationship Id="rId111" Type="http://schemas.openxmlformats.org/officeDocument/2006/relationships/hyperlink" Target="https://youtu.be/wlKLp2dBFqw?t=4830" TargetMode="External"/><Relationship Id="rId232" Type="http://schemas.openxmlformats.org/officeDocument/2006/relationships/hyperlink" Target="https://youtu.be/xX-2-eJDZ3w?t=8558" TargetMode="External"/><Relationship Id="rId305" Type="http://schemas.openxmlformats.org/officeDocument/2006/relationships/hyperlink" Target="https://youtu.be/z7wavuy7UGs?t=5141" TargetMode="External"/><Relationship Id="rId304" Type="http://schemas.openxmlformats.org/officeDocument/2006/relationships/hyperlink" Target="https://youtu.be/EEnAkiH16wY?t=4423" TargetMode="External"/><Relationship Id="rId303" Type="http://schemas.openxmlformats.org/officeDocument/2006/relationships/hyperlink" Target="https://youtu.be/z7wavuy7UGs?t=4328" TargetMode="External"/><Relationship Id="rId302" Type="http://schemas.openxmlformats.org/officeDocument/2006/relationships/hyperlink" Target="https://youtu.be/EEnAkiH16wY?t=3595" TargetMode="External"/><Relationship Id="rId309" Type="http://schemas.openxmlformats.org/officeDocument/2006/relationships/hyperlink" Target="https://youtu.be/z7wavuy7UGs?t=6869" TargetMode="External"/><Relationship Id="rId308" Type="http://schemas.openxmlformats.org/officeDocument/2006/relationships/hyperlink" Target="https://youtu.be/EEnAkiH16wY?t=6195" TargetMode="External"/><Relationship Id="rId307" Type="http://schemas.openxmlformats.org/officeDocument/2006/relationships/hyperlink" Target="https://youtu.be/z7wavuy7UGs?t=5999" TargetMode="External"/><Relationship Id="rId306" Type="http://schemas.openxmlformats.org/officeDocument/2006/relationships/hyperlink" Target="https://youtu.be/EEnAkiH16wY?t=5319" TargetMode="External"/><Relationship Id="rId301" Type="http://schemas.openxmlformats.org/officeDocument/2006/relationships/hyperlink" Target="https://youtu.be/z7wavuy7UGs?t=3480" TargetMode="External"/><Relationship Id="rId300" Type="http://schemas.openxmlformats.org/officeDocument/2006/relationships/hyperlink" Target="https://youtu.be/EEnAkiH16wY?t=2751" TargetMode="External"/><Relationship Id="rId206" Type="http://schemas.openxmlformats.org/officeDocument/2006/relationships/hyperlink" Target="https://youtu.be/hSElAthD-Io?t=5861" TargetMode="External"/><Relationship Id="rId205" Type="http://schemas.openxmlformats.org/officeDocument/2006/relationships/hyperlink" Target="https://youtu.be/Vih-8-eiteA?t=5825" TargetMode="External"/><Relationship Id="rId204" Type="http://schemas.openxmlformats.org/officeDocument/2006/relationships/hyperlink" Target="https://youtu.be/hSElAthD-Io?t=4918" TargetMode="External"/><Relationship Id="rId203" Type="http://schemas.openxmlformats.org/officeDocument/2006/relationships/hyperlink" Target="https://youtu.be/Vih-8-eiteA?t=4844" TargetMode="External"/><Relationship Id="rId209" Type="http://schemas.openxmlformats.org/officeDocument/2006/relationships/hyperlink" Target="https://youtu.be/Vih-8-eiteA?t=7696" TargetMode="External"/><Relationship Id="rId208" Type="http://schemas.openxmlformats.org/officeDocument/2006/relationships/hyperlink" Target="https://youtu.be/hSElAthD-Io?t=6760" TargetMode="External"/><Relationship Id="rId207" Type="http://schemas.openxmlformats.org/officeDocument/2006/relationships/hyperlink" Target="https://youtu.be/Vih-8-eiteA?t=6755" TargetMode="External"/><Relationship Id="rId202" Type="http://schemas.openxmlformats.org/officeDocument/2006/relationships/hyperlink" Target="https://youtu.be/hSElAthD-Io?t=3948" TargetMode="External"/><Relationship Id="rId201" Type="http://schemas.openxmlformats.org/officeDocument/2006/relationships/hyperlink" Target="https://youtu.be/Vih-8-eiteA?t=3847" TargetMode="External"/><Relationship Id="rId200" Type="http://schemas.openxmlformats.org/officeDocument/2006/relationships/hyperlink" Target="https://youtu.be/hSElAthD-Io?t=2923" TargetMode="External"/><Relationship Id="rId313" Type="http://schemas.openxmlformats.org/officeDocument/2006/relationships/drawing" Target="../drawings/drawing28.xml"/><Relationship Id="rId312" Type="http://schemas.openxmlformats.org/officeDocument/2006/relationships/hyperlink" Target="https://youtu.be/EEnAkiH16wY?t=7956" TargetMode="External"/><Relationship Id="rId311" Type="http://schemas.openxmlformats.org/officeDocument/2006/relationships/hyperlink" Target="https://youtu.be/z7wavuy7UGs?t=7734" TargetMode="External"/><Relationship Id="rId310" Type="http://schemas.openxmlformats.org/officeDocument/2006/relationships/hyperlink" Target="https://youtu.be/EEnAkiH16wY?t=7075" TargetMode="External"/></Relationships>
</file>

<file path=xl/worksheets/_rels/sheet2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1LRKUGQK9E8?t=8560" TargetMode="External"/><Relationship Id="rId190" Type="http://schemas.openxmlformats.org/officeDocument/2006/relationships/hyperlink" Target="https://youtu.be/KawS9yOJ2Y0?t=3713" TargetMode="External"/><Relationship Id="rId42" Type="http://schemas.openxmlformats.org/officeDocument/2006/relationships/hyperlink" Target="https://youtu.be/UVKD-Qao3jE" TargetMode="External"/><Relationship Id="rId41" Type="http://schemas.openxmlformats.org/officeDocument/2006/relationships/hyperlink" Target="https://youtu.be/tstI-FAUfOk" TargetMode="External"/><Relationship Id="rId44" Type="http://schemas.openxmlformats.org/officeDocument/2006/relationships/hyperlink" Target="https://youtu.be/UVKD-Qao3jE?t=1052" TargetMode="External"/><Relationship Id="rId194" Type="http://schemas.openxmlformats.org/officeDocument/2006/relationships/hyperlink" Target="https://youtu.be/KawS9yOJ2Y0?t=5452" TargetMode="External"/><Relationship Id="rId43" Type="http://schemas.openxmlformats.org/officeDocument/2006/relationships/hyperlink" Target="https://youtu.be/tstI-FAUfOk?t=879" TargetMode="External"/><Relationship Id="rId193" Type="http://schemas.openxmlformats.org/officeDocument/2006/relationships/hyperlink" Target="https://youtu.be/u0_10h3W1MY?t=5386" TargetMode="External"/><Relationship Id="rId46" Type="http://schemas.openxmlformats.org/officeDocument/2006/relationships/hyperlink" Target="https://youtu.be/UVKD-Qao3jE?t=1948" TargetMode="External"/><Relationship Id="rId192" Type="http://schemas.openxmlformats.org/officeDocument/2006/relationships/hyperlink" Target="https://youtu.be/KawS9yOJ2Y0?t=4633" TargetMode="External"/><Relationship Id="rId45" Type="http://schemas.openxmlformats.org/officeDocument/2006/relationships/hyperlink" Target="https://youtu.be/tstI-FAUfOk?t=1768" TargetMode="External"/><Relationship Id="rId191" Type="http://schemas.openxmlformats.org/officeDocument/2006/relationships/hyperlink" Target="https://youtu.be/u0_10h3W1MY?t=4569" TargetMode="External"/><Relationship Id="rId48" Type="http://schemas.openxmlformats.org/officeDocument/2006/relationships/hyperlink" Target="https://youtu.be/UVKD-Qao3jE?t=2845" TargetMode="External"/><Relationship Id="rId187" Type="http://schemas.openxmlformats.org/officeDocument/2006/relationships/hyperlink" Target="https://youtu.be/u0_10h3W1MY?t=2817" TargetMode="External"/><Relationship Id="rId47" Type="http://schemas.openxmlformats.org/officeDocument/2006/relationships/hyperlink" Target="https://youtu.be/tstI-FAUfOk?t=2660" TargetMode="External"/><Relationship Id="rId186" Type="http://schemas.openxmlformats.org/officeDocument/2006/relationships/hyperlink" Target="https://youtu.be/KawS9yOJ2Y0?t=2018" TargetMode="External"/><Relationship Id="rId185" Type="http://schemas.openxmlformats.org/officeDocument/2006/relationships/hyperlink" Target="https://youtu.be/u0_10h3W1MY?t=1942" TargetMode="External"/><Relationship Id="rId49" Type="http://schemas.openxmlformats.org/officeDocument/2006/relationships/hyperlink" Target="https://youtu.be/tstI-FAUfOk?t=3572" TargetMode="External"/><Relationship Id="rId184" Type="http://schemas.openxmlformats.org/officeDocument/2006/relationships/hyperlink" Target="https://youtu.be/KawS9yOJ2Y0?t=1109" TargetMode="External"/><Relationship Id="rId189" Type="http://schemas.openxmlformats.org/officeDocument/2006/relationships/hyperlink" Target="https://youtu.be/u0_10h3W1MY?t=3650" TargetMode="External"/><Relationship Id="rId188" Type="http://schemas.openxmlformats.org/officeDocument/2006/relationships/hyperlink" Target="https://youtu.be/KawS9yOJ2Y0?t=2916" TargetMode="External"/><Relationship Id="rId31" Type="http://schemas.openxmlformats.org/officeDocument/2006/relationships/hyperlink" Target="https://youtu.be/kNjIF2u7AZ4?t=4820" TargetMode="External"/><Relationship Id="rId30" Type="http://schemas.openxmlformats.org/officeDocument/2006/relationships/hyperlink" Target="https://youtu.be/1LRKUGQK9E8?t=3760" TargetMode="External"/><Relationship Id="rId33" Type="http://schemas.openxmlformats.org/officeDocument/2006/relationships/hyperlink" Target="https://youtu.be/kNjIF2u7AZ4?t=5822" TargetMode="External"/><Relationship Id="rId183" Type="http://schemas.openxmlformats.org/officeDocument/2006/relationships/hyperlink" Target="https://youtu.be/u0_10h3W1MY?t=1039" TargetMode="External"/><Relationship Id="rId32" Type="http://schemas.openxmlformats.org/officeDocument/2006/relationships/hyperlink" Target="https://youtu.be/1LRKUGQK9E8?t=4750" TargetMode="External"/><Relationship Id="rId182" Type="http://schemas.openxmlformats.org/officeDocument/2006/relationships/hyperlink" Target="https://youtu.be/KawS9yOJ2Y0" TargetMode="External"/><Relationship Id="rId35" Type="http://schemas.openxmlformats.org/officeDocument/2006/relationships/hyperlink" Target="https://youtu.be/kNjIF2u7AZ4?t=6719" TargetMode="External"/><Relationship Id="rId181" Type="http://schemas.openxmlformats.org/officeDocument/2006/relationships/hyperlink" Target="https://youtu.be/u0_10h3W1MY" TargetMode="External"/><Relationship Id="rId34" Type="http://schemas.openxmlformats.org/officeDocument/2006/relationships/hyperlink" Target="https://youtu.be/1LRKUGQK9E8?t=5705" TargetMode="External"/><Relationship Id="rId180" Type="http://schemas.openxmlformats.org/officeDocument/2006/relationships/hyperlink" Target="https://youtu.be/7-_j2apflrc?t=7908" TargetMode="External"/><Relationship Id="rId37" Type="http://schemas.openxmlformats.org/officeDocument/2006/relationships/hyperlink" Target="https://youtu.be/kNjIF2u7AZ4?t=7676" TargetMode="External"/><Relationship Id="rId176" Type="http://schemas.openxmlformats.org/officeDocument/2006/relationships/hyperlink" Target="https://youtu.be/7-_j2apflrc?t=6150" TargetMode="External"/><Relationship Id="rId297" Type="http://schemas.openxmlformats.org/officeDocument/2006/relationships/hyperlink" Target="https://youtu.be/DTHpUpR-lvQ?t=6595" TargetMode="External"/><Relationship Id="rId36" Type="http://schemas.openxmlformats.org/officeDocument/2006/relationships/hyperlink" Target="https://youtu.be/1LRKUGQK9E8?t=6685" TargetMode="External"/><Relationship Id="rId175" Type="http://schemas.openxmlformats.org/officeDocument/2006/relationships/hyperlink" Target="https://youtu.be/y3VjlXmylPo?t=6323" TargetMode="External"/><Relationship Id="rId296" Type="http://schemas.openxmlformats.org/officeDocument/2006/relationships/hyperlink" Target="https://youtu.be/zh7wwlLCUu4?t=7744" TargetMode="External"/><Relationship Id="rId39" Type="http://schemas.openxmlformats.org/officeDocument/2006/relationships/hyperlink" Target="https://youtu.be/kNjIF2u7AZ4?t=8684" TargetMode="External"/><Relationship Id="rId174" Type="http://schemas.openxmlformats.org/officeDocument/2006/relationships/hyperlink" Target="https://youtu.be/7-_j2apflrc?t=5296" TargetMode="External"/><Relationship Id="rId295" Type="http://schemas.openxmlformats.org/officeDocument/2006/relationships/hyperlink" Target="https://youtu.be/DTHpUpR-lvQ?t=5621" TargetMode="External"/><Relationship Id="rId38" Type="http://schemas.openxmlformats.org/officeDocument/2006/relationships/hyperlink" Target="https://youtu.be/1LRKUGQK9E8?t=7600" TargetMode="External"/><Relationship Id="rId173" Type="http://schemas.openxmlformats.org/officeDocument/2006/relationships/hyperlink" Target="https://youtu.be/y3VjlXmylPo?t=5494" TargetMode="External"/><Relationship Id="rId294" Type="http://schemas.openxmlformats.org/officeDocument/2006/relationships/hyperlink" Target="https://youtu.be/zh7wwlLCUu4?t=6814" TargetMode="External"/><Relationship Id="rId179" Type="http://schemas.openxmlformats.org/officeDocument/2006/relationships/hyperlink" Target="https://youtu.be/y3VjlXmylPo?t=8018" TargetMode="External"/><Relationship Id="rId178" Type="http://schemas.openxmlformats.org/officeDocument/2006/relationships/hyperlink" Target="https://youtu.be/7-_j2apflrc?t=7005" TargetMode="External"/><Relationship Id="rId299" Type="http://schemas.openxmlformats.org/officeDocument/2006/relationships/hyperlink" Target="https://youtu.be/DTHpUpR-lvQ?t=7584" TargetMode="External"/><Relationship Id="rId177" Type="http://schemas.openxmlformats.org/officeDocument/2006/relationships/hyperlink" Target="https://youtu.be/y3VjlXmylPo?t=7151" TargetMode="External"/><Relationship Id="rId298" Type="http://schemas.openxmlformats.org/officeDocument/2006/relationships/hyperlink" Target="https://youtu.be/zh7wwlLCUu4?t=8735" TargetMode="External"/><Relationship Id="rId20" Type="http://schemas.openxmlformats.org/officeDocument/2006/relationships/hyperlink" Target="https://youtu.be/mcakB8-wKQQ?t=8081" TargetMode="External"/><Relationship Id="rId22" Type="http://schemas.openxmlformats.org/officeDocument/2006/relationships/hyperlink" Target="https://youtu.be/1LRKUGQK9E8" TargetMode="External"/><Relationship Id="rId21" Type="http://schemas.openxmlformats.org/officeDocument/2006/relationships/hyperlink" Target="https://youtu.be/kNjIF2u7AZ4" TargetMode="External"/><Relationship Id="rId24" Type="http://schemas.openxmlformats.org/officeDocument/2006/relationships/hyperlink" Target="https://youtu.be/1LRKUGQK9E8?t=1015" TargetMode="External"/><Relationship Id="rId23" Type="http://schemas.openxmlformats.org/officeDocument/2006/relationships/hyperlink" Target="https://youtu.be/kNjIF2u7AZ4?t=1012" TargetMode="External"/><Relationship Id="rId26" Type="http://schemas.openxmlformats.org/officeDocument/2006/relationships/hyperlink" Target="https://youtu.be/1LRKUGQK9E8?t=1896" TargetMode="External"/><Relationship Id="rId25" Type="http://schemas.openxmlformats.org/officeDocument/2006/relationships/hyperlink" Target="https://youtu.be/kNjIF2u7AZ4?t=1964" TargetMode="External"/><Relationship Id="rId28" Type="http://schemas.openxmlformats.org/officeDocument/2006/relationships/hyperlink" Target="https://youtu.be/1LRKUGQK9E8?t=2827" TargetMode="External"/><Relationship Id="rId27" Type="http://schemas.openxmlformats.org/officeDocument/2006/relationships/hyperlink" Target="https://youtu.be/kNjIF2u7AZ4?t=2926" TargetMode="External"/><Relationship Id="rId29" Type="http://schemas.openxmlformats.org/officeDocument/2006/relationships/hyperlink" Target="https://youtu.be/kNjIF2u7AZ4?t=3858" TargetMode="External"/><Relationship Id="rId11" Type="http://schemas.openxmlformats.org/officeDocument/2006/relationships/hyperlink" Target="https://youtu.be/kRk-wA9sVv8?t=4627" TargetMode="External"/><Relationship Id="rId10" Type="http://schemas.openxmlformats.org/officeDocument/2006/relationships/hyperlink" Target="https://youtu.be/mcakB8-wKQQ?t=3718" TargetMode="External"/><Relationship Id="rId13" Type="http://schemas.openxmlformats.org/officeDocument/2006/relationships/hyperlink" Target="https://youtu.be/kRk-wA9sVv8?t=5496" TargetMode="External"/><Relationship Id="rId12" Type="http://schemas.openxmlformats.org/officeDocument/2006/relationships/hyperlink" Target="https://youtu.be/mcakB8-wKQQ?t=4638" TargetMode="External"/><Relationship Id="rId15" Type="http://schemas.openxmlformats.org/officeDocument/2006/relationships/hyperlink" Target="https://youtu.be/kRk-wA9sVv8?t=6357" TargetMode="External"/><Relationship Id="rId198" Type="http://schemas.openxmlformats.org/officeDocument/2006/relationships/hyperlink" Target="https://youtu.be/KawS9yOJ2Y0?t=7167" TargetMode="External"/><Relationship Id="rId14" Type="http://schemas.openxmlformats.org/officeDocument/2006/relationships/hyperlink" Target="https://youtu.be/mcakB8-wKQQ?t=5500" TargetMode="External"/><Relationship Id="rId197" Type="http://schemas.openxmlformats.org/officeDocument/2006/relationships/hyperlink" Target="https://youtu.be/u0_10h3W1MY?t=7059" TargetMode="External"/><Relationship Id="rId17" Type="http://schemas.openxmlformats.org/officeDocument/2006/relationships/hyperlink" Target="https://youtu.be/kRk-wA9sVv8?t=7208" TargetMode="External"/><Relationship Id="rId196" Type="http://schemas.openxmlformats.org/officeDocument/2006/relationships/hyperlink" Target="https://youtu.be/KawS9yOJ2Y0?t=6299" TargetMode="External"/><Relationship Id="rId16" Type="http://schemas.openxmlformats.org/officeDocument/2006/relationships/hyperlink" Target="https://youtu.be/mcakB8-wKQQ?t=6357" TargetMode="External"/><Relationship Id="rId195" Type="http://schemas.openxmlformats.org/officeDocument/2006/relationships/hyperlink" Target="https://youtu.be/u0_10h3W1MY?t=6226" TargetMode="External"/><Relationship Id="rId19" Type="http://schemas.openxmlformats.org/officeDocument/2006/relationships/hyperlink" Target="https://youtu.be/kRk-wA9sVv8?t=8076" TargetMode="External"/><Relationship Id="rId18" Type="http://schemas.openxmlformats.org/officeDocument/2006/relationships/hyperlink" Target="https://youtu.be/mcakB8-wKQQ?t=7234" TargetMode="External"/><Relationship Id="rId199" Type="http://schemas.openxmlformats.org/officeDocument/2006/relationships/hyperlink" Target="https://youtu.be/u0_10h3W1MY?t=7894" TargetMode="External"/><Relationship Id="rId84" Type="http://schemas.openxmlformats.org/officeDocument/2006/relationships/hyperlink" Target="https://youtu.be/B6ydBZPgxUA?t=1075" TargetMode="External"/><Relationship Id="rId83" Type="http://schemas.openxmlformats.org/officeDocument/2006/relationships/hyperlink" Target="https://youtu.be/xeiSr9415C0?t=1090" TargetMode="External"/><Relationship Id="rId86" Type="http://schemas.openxmlformats.org/officeDocument/2006/relationships/hyperlink" Target="https://youtu.be/B6ydBZPgxUA?t=2089" TargetMode="External"/><Relationship Id="rId85" Type="http://schemas.openxmlformats.org/officeDocument/2006/relationships/hyperlink" Target="https://youtu.be/xeiSr9415C0?t=2029" TargetMode="External"/><Relationship Id="rId88" Type="http://schemas.openxmlformats.org/officeDocument/2006/relationships/hyperlink" Target="https://youtu.be/B6ydBZPgxUA?t=3028" TargetMode="External"/><Relationship Id="rId150" Type="http://schemas.openxmlformats.org/officeDocument/2006/relationships/hyperlink" Target="https://youtu.be/5evYoX1urkA?t=3985" TargetMode="External"/><Relationship Id="rId271" Type="http://schemas.openxmlformats.org/officeDocument/2006/relationships/hyperlink" Target="https://youtu.be/iCBFgQ2dWQg?t=4654" TargetMode="External"/><Relationship Id="rId87" Type="http://schemas.openxmlformats.org/officeDocument/2006/relationships/hyperlink" Target="https://youtu.be/xeiSr9415C0?t=3021" TargetMode="External"/><Relationship Id="rId270" Type="http://schemas.openxmlformats.org/officeDocument/2006/relationships/hyperlink" Target="https://youtu.be/gJhjio202Cg?t=3828" TargetMode="External"/><Relationship Id="rId89" Type="http://schemas.openxmlformats.org/officeDocument/2006/relationships/hyperlink" Target="https://youtu.be/xeiSr9415C0?t=3963" TargetMode="External"/><Relationship Id="rId80" Type="http://schemas.openxmlformats.org/officeDocument/2006/relationships/hyperlink" Target="https://youtu.be/VhQ_U_43dQc?t=8600" TargetMode="External"/><Relationship Id="rId82" Type="http://schemas.openxmlformats.org/officeDocument/2006/relationships/hyperlink" Target="https://youtu.be/B6ydBZPgxUA?t=200" TargetMode="External"/><Relationship Id="rId81" Type="http://schemas.openxmlformats.org/officeDocument/2006/relationships/hyperlink" Target="https://youtu.be/xeiSr9415C0?t=209" TargetMode="External"/><Relationship Id="rId1" Type="http://schemas.openxmlformats.org/officeDocument/2006/relationships/hyperlink" Target="https://youtu.be/kRk-wA9sVv8" TargetMode="External"/><Relationship Id="rId2" Type="http://schemas.openxmlformats.org/officeDocument/2006/relationships/hyperlink" Target="https://youtu.be/mcakB8-wKQQ" TargetMode="External"/><Relationship Id="rId3" Type="http://schemas.openxmlformats.org/officeDocument/2006/relationships/hyperlink" Target="https://youtu.be/kRk-wA9sVv8?t=1041" TargetMode="External"/><Relationship Id="rId149" Type="http://schemas.openxmlformats.org/officeDocument/2006/relationships/hyperlink" Target="https://youtu.be/gZbgGmbrhng?t=3936" TargetMode="External"/><Relationship Id="rId4" Type="http://schemas.openxmlformats.org/officeDocument/2006/relationships/hyperlink" Target="https://youtu.be/mcakB8-wKQQ?t=1034" TargetMode="External"/><Relationship Id="rId148" Type="http://schemas.openxmlformats.org/officeDocument/2006/relationships/hyperlink" Target="https://youtu.be/5evYoX1urkA?t=3062" TargetMode="External"/><Relationship Id="rId269" Type="http://schemas.openxmlformats.org/officeDocument/2006/relationships/hyperlink" Target="https://youtu.be/iCBFgQ2dWQg?t=3698" TargetMode="External"/><Relationship Id="rId9" Type="http://schemas.openxmlformats.org/officeDocument/2006/relationships/hyperlink" Target="https://youtu.be/kRk-wA9sVv8?t=3695" TargetMode="External"/><Relationship Id="rId143" Type="http://schemas.openxmlformats.org/officeDocument/2006/relationships/hyperlink" Target="https://youtu.be/gZbgGmbrhng?t=1203" TargetMode="External"/><Relationship Id="rId264" Type="http://schemas.openxmlformats.org/officeDocument/2006/relationships/hyperlink" Target="https://youtu.be/gJhjio202Cg?t=1130" TargetMode="External"/><Relationship Id="rId142" Type="http://schemas.openxmlformats.org/officeDocument/2006/relationships/hyperlink" Target="https://youtu.be/5evYoX1urkA" TargetMode="External"/><Relationship Id="rId263" Type="http://schemas.openxmlformats.org/officeDocument/2006/relationships/hyperlink" Target="https://youtu.be/iCBFgQ2dWQg?t=1123" TargetMode="External"/><Relationship Id="rId141" Type="http://schemas.openxmlformats.org/officeDocument/2006/relationships/hyperlink" Target="https://youtu.be/gZbgGmbrhng" TargetMode="External"/><Relationship Id="rId262" Type="http://schemas.openxmlformats.org/officeDocument/2006/relationships/hyperlink" Target="https://youtu.be/gJhjio202Cg" TargetMode="External"/><Relationship Id="rId140" Type="http://schemas.openxmlformats.org/officeDocument/2006/relationships/hyperlink" Target="https://youtu.be/pboDUzu2Ghs?t=8168" TargetMode="External"/><Relationship Id="rId261" Type="http://schemas.openxmlformats.org/officeDocument/2006/relationships/hyperlink" Target="https://youtu.be/iCBFgQ2dWQg" TargetMode="External"/><Relationship Id="rId5" Type="http://schemas.openxmlformats.org/officeDocument/2006/relationships/hyperlink" Target="https://youtu.be/kRk-wA9sVv8?t=1917" TargetMode="External"/><Relationship Id="rId147" Type="http://schemas.openxmlformats.org/officeDocument/2006/relationships/hyperlink" Target="https://youtu.be/gZbgGmbrhng?t=2961" TargetMode="External"/><Relationship Id="rId268" Type="http://schemas.openxmlformats.org/officeDocument/2006/relationships/hyperlink" Target="https://youtu.be/gJhjio202Cg?t=2954" TargetMode="External"/><Relationship Id="rId6" Type="http://schemas.openxmlformats.org/officeDocument/2006/relationships/hyperlink" Target="https://youtu.be/mcakB8-wKQQ?t=1921" TargetMode="External"/><Relationship Id="rId146" Type="http://schemas.openxmlformats.org/officeDocument/2006/relationships/hyperlink" Target="https://youtu.be/5evYoX1urkA?t=2110" TargetMode="External"/><Relationship Id="rId267" Type="http://schemas.openxmlformats.org/officeDocument/2006/relationships/hyperlink" Target="https://youtu.be/iCBFgQ2dWQg?t=2877" TargetMode="External"/><Relationship Id="rId7" Type="http://schemas.openxmlformats.org/officeDocument/2006/relationships/hyperlink" Target="https://youtu.be/kRk-wA9sVv8?t=2790" TargetMode="External"/><Relationship Id="rId145" Type="http://schemas.openxmlformats.org/officeDocument/2006/relationships/hyperlink" Target="https://youtu.be/gZbgGmbrhng?t=2060" TargetMode="External"/><Relationship Id="rId266" Type="http://schemas.openxmlformats.org/officeDocument/2006/relationships/hyperlink" Target="https://youtu.be/gJhjio202Cg?t=2097" TargetMode="External"/><Relationship Id="rId8" Type="http://schemas.openxmlformats.org/officeDocument/2006/relationships/hyperlink" Target="https://youtu.be/mcakB8-wKQQ?t=2775" TargetMode="External"/><Relationship Id="rId144" Type="http://schemas.openxmlformats.org/officeDocument/2006/relationships/hyperlink" Target="https://youtu.be/5evYoX1urkA?t=1135" TargetMode="External"/><Relationship Id="rId265" Type="http://schemas.openxmlformats.org/officeDocument/2006/relationships/hyperlink" Target="https://youtu.be/iCBFgQ2dWQg?t=2059" TargetMode="External"/><Relationship Id="rId73" Type="http://schemas.openxmlformats.org/officeDocument/2006/relationships/hyperlink" Target="https://youtu.be/WYpkAm9uuZc?t=5823" TargetMode="External"/><Relationship Id="rId72" Type="http://schemas.openxmlformats.org/officeDocument/2006/relationships/hyperlink" Target="https://youtu.be/VhQ_U_43dQc?t=4777" TargetMode="External"/><Relationship Id="rId75" Type="http://schemas.openxmlformats.org/officeDocument/2006/relationships/hyperlink" Target="https://youtu.be/WYpkAm9uuZc?t=6785" TargetMode="External"/><Relationship Id="rId74" Type="http://schemas.openxmlformats.org/officeDocument/2006/relationships/hyperlink" Target="https://youtu.be/VhQ_U_43dQc?t=5767https://youtu.be/VhQ_U_43dQc?t=5767https://youtu.be/VhQ_U_43dQc?t=5767" TargetMode="External"/><Relationship Id="rId77" Type="http://schemas.openxmlformats.org/officeDocument/2006/relationships/hyperlink" Target="https://youtu.be/WYpkAm9uuZc?t=7706" TargetMode="External"/><Relationship Id="rId260" Type="http://schemas.openxmlformats.org/officeDocument/2006/relationships/hyperlink" Target="https://youtu.be/WBhbrJuM-7k?t=7905" TargetMode="External"/><Relationship Id="rId76" Type="http://schemas.openxmlformats.org/officeDocument/2006/relationships/hyperlink" Target="https://youtu.be/VhQ_U_43dQc?t=6682" TargetMode="External"/><Relationship Id="rId79" Type="http://schemas.openxmlformats.org/officeDocument/2006/relationships/hyperlink" Target="https://youtu.be/WYpkAm9uuZc?t=8632" TargetMode="External"/><Relationship Id="rId78" Type="http://schemas.openxmlformats.org/officeDocument/2006/relationships/hyperlink" Target="https://youtu.be/VhQ_U_43dQc?t=7629" TargetMode="External"/><Relationship Id="rId71" Type="http://schemas.openxmlformats.org/officeDocument/2006/relationships/hyperlink" Target="https://youtu.be/WYpkAm9uuZc?t=4821" TargetMode="External"/><Relationship Id="rId70" Type="http://schemas.openxmlformats.org/officeDocument/2006/relationships/hyperlink" Target="https://youtu.be/VhQ_U_43dQc?t=3775" TargetMode="External"/><Relationship Id="rId139" Type="http://schemas.openxmlformats.org/officeDocument/2006/relationships/hyperlink" Target="https://youtu.be/RWiUaOBxePg?t=8297" TargetMode="External"/><Relationship Id="rId138" Type="http://schemas.openxmlformats.org/officeDocument/2006/relationships/hyperlink" Target="https://youtu.be/pboDUzu2Ghs?t=7329" TargetMode="External"/><Relationship Id="rId259" Type="http://schemas.openxmlformats.org/officeDocument/2006/relationships/hyperlink" Target="https://youtu.be/4YyPBJ9PIiE?t=7835" TargetMode="External"/><Relationship Id="rId137" Type="http://schemas.openxmlformats.org/officeDocument/2006/relationships/hyperlink" Target="https://youtu.be/RWiUaOBxePg?t=7406" TargetMode="External"/><Relationship Id="rId258" Type="http://schemas.openxmlformats.org/officeDocument/2006/relationships/hyperlink" Target="https://youtu.be/WBhbrJuM-7k?t=7096" TargetMode="External"/><Relationship Id="rId132" Type="http://schemas.openxmlformats.org/officeDocument/2006/relationships/hyperlink" Target="https://youtu.be/pboDUzu2Ghs?t=4493" TargetMode="External"/><Relationship Id="rId253" Type="http://schemas.openxmlformats.org/officeDocument/2006/relationships/hyperlink" Target="https://youtu.be/4YyPBJ9PIiE?t=5374" TargetMode="External"/><Relationship Id="rId131" Type="http://schemas.openxmlformats.org/officeDocument/2006/relationships/hyperlink" Target="https://youtu.be/RWiUaOBxePg?t=4672" TargetMode="External"/><Relationship Id="rId252" Type="http://schemas.openxmlformats.org/officeDocument/2006/relationships/hyperlink" Target="https://youtu.be/WBhbrJuM-7k?t=4463" TargetMode="External"/><Relationship Id="rId130" Type="http://schemas.openxmlformats.org/officeDocument/2006/relationships/hyperlink" Target="https://youtu.be/pboDUzu2Ghs?t=3595" TargetMode="External"/><Relationship Id="rId251" Type="http://schemas.openxmlformats.org/officeDocument/2006/relationships/hyperlink" Target="https://youtu.be/4YyPBJ9PIiE?t=4515" TargetMode="External"/><Relationship Id="rId250" Type="http://schemas.openxmlformats.org/officeDocument/2006/relationships/hyperlink" Target="https://youtu.be/WBhbrJuM-7k?t=3577" TargetMode="External"/><Relationship Id="rId136" Type="http://schemas.openxmlformats.org/officeDocument/2006/relationships/hyperlink" Target="https://youtu.be/pboDUzu2Ghs?t=6443" TargetMode="External"/><Relationship Id="rId257" Type="http://schemas.openxmlformats.org/officeDocument/2006/relationships/hyperlink" Target="https://youtu.be/4YyPBJ9PIiE?t=7031" TargetMode="External"/><Relationship Id="rId135" Type="http://schemas.openxmlformats.org/officeDocument/2006/relationships/hyperlink" Target="https://youtu.be/RWiUaOBxePg?t=6570" TargetMode="External"/><Relationship Id="rId256" Type="http://schemas.openxmlformats.org/officeDocument/2006/relationships/hyperlink" Target="https://youtu.be/WBhbrJuM-7k?t=6244" TargetMode="External"/><Relationship Id="rId134" Type="http://schemas.openxmlformats.org/officeDocument/2006/relationships/hyperlink" Target="https://youtu.be/pboDUzu2Ghs?t=5482" TargetMode="External"/><Relationship Id="rId255" Type="http://schemas.openxmlformats.org/officeDocument/2006/relationships/hyperlink" Target="https://youtu.be/4YyPBJ9PIiE?t=6234" TargetMode="External"/><Relationship Id="rId133" Type="http://schemas.openxmlformats.org/officeDocument/2006/relationships/hyperlink" Target="https://youtu.be/RWiUaOBxePg?t=5642" TargetMode="External"/><Relationship Id="rId254" Type="http://schemas.openxmlformats.org/officeDocument/2006/relationships/hyperlink" Target="https://youtu.be/WBhbrJuM-7k?t=5358" TargetMode="External"/><Relationship Id="rId62" Type="http://schemas.openxmlformats.org/officeDocument/2006/relationships/hyperlink" Target="https://youtu.be/VhQ_U_43dQc" TargetMode="External"/><Relationship Id="rId61" Type="http://schemas.openxmlformats.org/officeDocument/2006/relationships/hyperlink" Target="https://youtu.be/WYpkAm9uuZc?t=80" TargetMode="External"/><Relationship Id="rId64" Type="http://schemas.openxmlformats.org/officeDocument/2006/relationships/hyperlink" Target="https://youtu.be/VhQ_U_43dQc?t=995" TargetMode="External"/><Relationship Id="rId63" Type="http://schemas.openxmlformats.org/officeDocument/2006/relationships/hyperlink" Target="https://youtu.be/WYpkAm9uuZc?t=1009" TargetMode="External"/><Relationship Id="rId66" Type="http://schemas.openxmlformats.org/officeDocument/2006/relationships/hyperlink" Target="https://youtu.be/VhQ_U_43dQc?t=1870" TargetMode="External"/><Relationship Id="rId172" Type="http://schemas.openxmlformats.org/officeDocument/2006/relationships/hyperlink" Target="https://youtu.be/7-_j2apflrc?t=4378" TargetMode="External"/><Relationship Id="rId293" Type="http://schemas.openxmlformats.org/officeDocument/2006/relationships/hyperlink" Target="https://youtu.be/DTHpUpR-lvQ?t=4693" TargetMode="External"/><Relationship Id="rId65" Type="http://schemas.openxmlformats.org/officeDocument/2006/relationships/hyperlink" Target="https://youtu.be/WYpkAm9uuZc?t=1876" TargetMode="External"/><Relationship Id="rId171" Type="http://schemas.openxmlformats.org/officeDocument/2006/relationships/hyperlink" Target="https://youtu.be/y3VjlXmylPo?t=4587" TargetMode="External"/><Relationship Id="rId292" Type="http://schemas.openxmlformats.org/officeDocument/2006/relationships/hyperlink" Target="https://youtu.be/zh7wwlLCUu4?t=5812" TargetMode="External"/><Relationship Id="rId68" Type="http://schemas.openxmlformats.org/officeDocument/2006/relationships/hyperlink" Target="https://youtu.be/VhQ_U_43dQc?t=2827" TargetMode="External"/><Relationship Id="rId170" Type="http://schemas.openxmlformats.org/officeDocument/2006/relationships/hyperlink" Target="https://youtu.be/7-_j2apflrc?t=3479" TargetMode="External"/><Relationship Id="rId291" Type="http://schemas.openxmlformats.org/officeDocument/2006/relationships/hyperlink" Target="https://youtu.be/zh7wwlLCUu4?t=4871" TargetMode="External"/><Relationship Id="rId67" Type="http://schemas.openxmlformats.org/officeDocument/2006/relationships/hyperlink" Target="https://youtu.be/WYpkAm9uuZc?t=2923" TargetMode="External"/><Relationship Id="rId290" Type="http://schemas.openxmlformats.org/officeDocument/2006/relationships/hyperlink" Target="https://youtu.be/DTHpUpR-lvQ?t=3719" TargetMode="External"/><Relationship Id="rId60" Type="http://schemas.openxmlformats.org/officeDocument/2006/relationships/hyperlink" Target="https://youtu.be/UVKD-Qao3jE?t=8278" TargetMode="External"/><Relationship Id="rId165" Type="http://schemas.openxmlformats.org/officeDocument/2006/relationships/hyperlink" Target="https://youtu.be/y3VjlXmylPo?t=1911" TargetMode="External"/><Relationship Id="rId286" Type="http://schemas.openxmlformats.org/officeDocument/2006/relationships/hyperlink" Target="https://youtu.be/DTHpUpR-lvQ?t=1874" TargetMode="External"/><Relationship Id="rId69" Type="http://schemas.openxmlformats.org/officeDocument/2006/relationships/hyperlink" Target="https://youtu.be/WYpkAm9uuZc?t=3879" TargetMode="External"/><Relationship Id="rId164" Type="http://schemas.openxmlformats.org/officeDocument/2006/relationships/hyperlink" Target="https://youtu.be/7-_j2apflrc?t=862" TargetMode="External"/><Relationship Id="rId285" Type="http://schemas.openxmlformats.org/officeDocument/2006/relationships/hyperlink" Target="https://youtu.be/zh7wwlLCUu4?t=1978" TargetMode="External"/><Relationship Id="rId163" Type="http://schemas.openxmlformats.org/officeDocument/2006/relationships/hyperlink" Target="https://youtu.be/y3VjlXmylPo?t=1079" TargetMode="External"/><Relationship Id="rId284" Type="http://schemas.openxmlformats.org/officeDocument/2006/relationships/hyperlink" Target="https://youtu.be/DTHpUpR-lvQ?t=949" TargetMode="External"/><Relationship Id="rId162" Type="http://schemas.openxmlformats.org/officeDocument/2006/relationships/hyperlink" Target="https://youtu.be/7-_j2apflrc?t=35" TargetMode="External"/><Relationship Id="rId283" Type="http://schemas.openxmlformats.org/officeDocument/2006/relationships/hyperlink" Target="https://youtu.be/zh7wwlLCUu4?t=981" TargetMode="External"/><Relationship Id="rId169" Type="http://schemas.openxmlformats.org/officeDocument/2006/relationships/hyperlink" Target="https://youtu.be/y3VjlXmylPo?t=3701" TargetMode="External"/><Relationship Id="rId168" Type="http://schemas.openxmlformats.org/officeDocument/2006/relationships/hyperlink" Target="https://youtu.be/7-_j2apflrc?t=2604" TargetMode="External"/><Relationship Id="rId289" Type="http://schemas.openxmlformats.org/officeDocument/2006/relationships/hyperlink" Target="https://youtu.be/zh7wwlLCUu4?t=3895" TargetMode="External"/><Relationship Id="rId167" Type="http://schemas.openxmlformats.org/officeDocument/2006/relationships/hyperlink" Target="https://youtu.be/y3VjlXmylPo?t=2785" TargetMode="External"/><Relationship Id="rId288" Type="http://schemas.openxmlformats.org/officeDocument/2006/relationships/hyperlink" Target="https://youtu.be/DTHpUpR-lvQ?t=2794" TargetMode="External"/><Relationship Id="rId166" Type="http://schemas.openxmlformats.org/officeDocument/2006/relationships/hyperlink" Target="https://youtu.be/7-_j2apflrc?t=1749" TargetMode="External"/><Relationship Id="rId287" Type="http://schemas.openxmlformats.org/officeDocument/2006/relationships/hyperlink" Target="https://youtu.be/zh7wwlLCUu4?t=2944" TargetMode="External"/><Relationship Id="rId51" Type="http://schemas.openxmlformats.org/officeDocument/2006/relationships/hyperlink" Target="https://youtu.be/tstI-FAUfOk?t=4459" TargetMode="External"/><Relationship Id="rId50" Type="http://schemas.openxmlformats.org/officeDocument/2006/relationships/hyperlink" Target="https://youtu.be/UVKD-Qao3jE?t=3756" TargetMode="External"/><Relationship Id="rId53" Type="http://schemas.openxmlformats.org/officeDocument/2006/relationships/hyperlink" Target="https://youtu.be/tstI-FAUfOk?t=5427" TargetMode="External"/><Relationship Id="rId52" Type="http://schemas.openxmlformats.org/officeDocument/2006/relationships/hyperlink" Target="https://youtu.be/UVKD-Qao3jE?t=4655" TargetMode="External"/><Relationship Id="rId55" Type="http://schemas.openxmlformats.org/officeDocument/2006/relationships/hyperlink" Target="https://youtu.be/tstI-FAUfOk?t=6287" TargetMode="External"/><Relationship Id="rId161" Type="http://schemas.openxmlformats.org/officeDocument/2006/relationships/hyperlink" Target="https://youtu.be/y3VjlXmylPo" TargetMode="External"/><Relationship Id="rId282" Type="http://schemas.openxmlformats.org/officeDocument/2006/relationships/hyperlink" Target="https://youtu.be/DTHpUpR-lvQ" TargetMode="External"/><Relationship Id="rId54" Type="http://schemas.openxmlformats.org/officeDocument/2006/relationships/hyperlink" Target="https://youtu.be/UVKD-Qao3jE?t=5600" TargetMode="External"/><Relationship Id="rId160" Type="http://schemas.openxmlformats.org/officeDocument/2006/relationships/hyperlink" Target="https://youtu.be/5evYoX1urkA?t=8804" TargetMode="External"/><Relationship Id="rId281" Type="http://schemas.openxmlformats.org/officeDocument/2006/relationships/hyperlink" Target="https://youtu.be/zh7wwlLCUu4" TargetMode="External"/><Relationship Id="rId57" Type="http://schemas.openxmlformats.org/officeDocument/2006/relationships/hyperlink" Target="https://youtu.be/tstI-FAUfOk?t=7173" TargetMode="External"/><Relationship Id="rId280" Type="http://schemas.openxmlformats.org/officeDocument/2006/relationships/hyperlink" Target="https://youtu.be/gJhjio202Cg?t=8236" TargetMode="External"/><Relationship Id="rId56" Type="http://schemas.openxmlformats.org/officeDocument/2006/relationships/hyperlink" Target="https://youtu.be/UVKD-Qao3jE?t=6478" TargetMode="External"/><Relationship Id="rId159" Type="http://schemas.openxmlformats.org/officeDocument/2006/relationships/hyperlink" Target="https://youtu.be/gZbgGmbrhng?t=8754" TargetMode="External"/><Relationship Id="rId59" Type="http://schemas.openxmlformats.org/officeDocument/2006/relationships/hyperlink" Target="https://youtu.be/tstI-FAUfOk?t=8098" TargetMode="External"/><Relationship Id="rId154" Type="http://schemas.openxmlformats.org/officeDocument/2006/relationships/hyperlink" Target="https://youtu.be/5evYoX1urkA?t=5882" TargetMode="External"/><Relationship Id="rId275" Type="http://schemas.openxmlformats.org/officeDocument/2006/relationships/hyperlink" Target="https://youtu.be/iCBFgQ2dWQg?t=6433" TargetMode="External"/><Relationship Id="rId58" Type="http://schemas.openxmlformats.org/officeDocument/2006/relationships/hyperlink" Target="https://youtu.be/UVKD-Qao3jE?t=7351" TargetMode="External"/><Relationship Id="rId153" Type="http://schemas.openxmlformats.org/officeDocument/2006/relationships/hyperlink" Target="https://youtu.be/gZbgGmbrhng?t=5866" TargetMode="External"/><Relationship Id="rId274" Type="http://schemas.openxmlformats.org/officeDocument/2006/relationships/hyperlink" Target="https://youtu.be/gJhjio202Cg?t=5629" TargetMode="External"/><Relationship Id="rId152" Type="http://schemas.openxmlformats.org/officeDocument/2006/relationships/hyperlink" Target="https://youtu.be/5evYoX1urkA?t=4945" TargetMode="External"/><Relationship Id="rId273" Type="http://schemas.openxmlformats.org/officeDocument/2006/relationships/hyperlink" Target="https://youtu.be/iCBFgQ2dWQg?t=5515" TargetMode="External"/><Relationship Id="rId151" Type="http://schemas.openxmlformats.org/officeDocument/2006/relationships/hyperlink" Target="https://youtu.be/gZbgGmbrhng?t=4909" TargetMode="External"/><Relationship Id="rId272" Type="http://schemas.openxmlformats.org/officeDocument/2006/relationships/hyperlink" Target="https://youtu.be/gJhjio202Cg?t=4713" TargetMode="External"/><Relationship Id="rId158" Type="http://schemas.openxmlformats.org/officeDocument/2006/relationships/hyperlink" Target="https://youtu.be/5evYoX1urkA?t=7879" TargetMode="External"/><Relationship Id="rId279" Type="http://schemas.openxmlformats.org/officeDocument/2006/relationships/hyperlink" Target="https://youtu.be/iCBFgQ2dWQg?t=8181" TargetMode="External"/><Relationship Id="rId157" Type="http://schemas.openxmlformats.org/officeDocument/2006/relationships/hyperlink" Target="https://youtu.be/gZbgGmbrhng?t=7798" TargetMode="External"/><Relationship Id="rId278" Type="http://schemas.openxmlformats.org/officeDocument/2006/relationships/hyperlink" Target="https://youtu.be/gJhjio202Cg?t=7379" TargetMode="External"/><Relationship Id="rId156" Type="http://schemas.openxmlformats.org/officeDocument/2006/relationships/hyperlink" Target="https://youtu.be/5evYoX1urkA?t=6877" TargetMode="External"/><Relationship Id="rId277" Type="http://schemas.openxmlformats.org/officeDocument/2006/relationships/hyperlink" Target="https://youtu.be/iCBFgQ2dWQg?t=7317" TargetMode="External"/><Relationship Id="rId155" Type="http://schemas.openxmlformats.org/officeDocument/2006/relationships/hyperlink" Target="https://youtu.be/gZbgGmbrhng?t=6832" TargetMode="External"/><Relationship Id="rId276" Type="http://schemas.openxmlformats.org/officeDocument/2006/relationships/hyperlink" Target="https://youtu.be/gJhjio202Cg?t=6513" TargetMode="External"/><Relationship Id="rId107" Type="http://schemas.openxmlformats.org/officeDocument/2006/relationships/hyperlink" Target="https://youtu.be/ChB86KBOEko?t=2842" TargetMode="External"/><Relationship Id="rId228" Type="http://schemas.openxmlformats.org/officeDocument/2006/relationships/hyperlink" Target="https://youtu.be/daUeiTZa-MY?t=2956" TargetMode="External"/><Relationship Id="rId106" Type="http://schemas.openxmlformats.org/officeDocument/2006/relationships/hyperlink" Target="https://youtu.be/r9w3Y-930ZU?t=2138" TargetMode="External"/><Relationship Id="rId227" Type="http://schemas.openxmlformats.org/officeDocument/2006/relationships/hyperlink" Target="https://youtu.be/1836IhWUPho?t=2921" TargetMode="External"/><Relationship Id="rId105" Type="http://schemas.openxmlformats.org/officeDocument/2006/relationships/hyperlink" Target="https://youtu.be/ChB86KBOEko?t=1915" TargetMode="External"/><Relationship Id="rId226" Type="http://schemas.openxmlformats.org/officeDocument/2006/relationships/hyperlink" Target="https://youtu.be/daUeiTZa-MY?t=1980" TargetMode="External"/><Relationship Id="rId104" Type="http://schemas.openxmlformats.org/officeDocument/2006/relationships/hyperlink" Target="https://youtu.be/r9w3Y-930ZU?t=1160" TargetMode="External"/><Relationship Id="rId225" Type="http://schemas.openxmlformats.org/officeDocument/2006/relationships/hyperlink" Target="https://youtu.be/1836IhWUPho?t=1944" TargetMode="External"/><Relationship Id="rId109" Type="http://schemas.openxmlformats.org/officeDocument/2006/relationships/hyperlink" Target="https://youtu.be/ChB86KBOEko?t=3813" TargetMode="External"/><Relationship Id="rId108" Type="http://schemas.openxmlformats.org/officeDocument/2006/relationships/hyperlink" Target="https://youtu.be/r9w3Y-930ZU?t=3083" TargetMode="External"/><Relationship Id="rId229" Type="http://schemas.openxmlformats.org/officeDocument/2006/relationships/hyperlink" Target="https://youtu.be/1836IhWUPho?t=3883" TargetMode="External"/><Relationship Id="rId220" Type="http://schemas.openxmlformats.org/officeDocument/2006/relationships/hyperlink" Target="https://youtu.be/m4EXhKliVtI?t=8780" TargetMode="External"/><Relationship Id="rId103" Type="http://schemas.openxmlformats.org/officeDocument/2006/relationships/hyperlink" Target="https://youtu.be/ChB86KBOEko?t=1049" TargetMode="External"/><Relationship Id="rId224" Type="http://schemas.openxmlformats.org/officeDocument/2006/relationships/hyperlink" Target="https://youtu.be/daUeiTZa-MY?t=984" TargetMode="External"/><Relationship Id="rId102" Type="http://schemas.openxmlformats.org/officeDocument/2006/relationships/hyperlink" Target="https://youtu.be/r9w3Y-930ZU?t=196" TargetMode="External"/><Relationship Id="rId223" Type="http://schemas.openxmlformats.org/officeDocument/2006/relationships/hyperlink" Target="https://youtu.be/1836IhWUPho?t=1002" TargetMode="External"/><Relationship Id="rId101" Type="http://schemas.openxmlformats.org/officeDocument/2006/relationships/hyperlink" Target="https://youtu.be/ChB86KBOEko" TargetMode="External"/><Relationship Id="rId222" Type="http://schemas.openxmlformats.org/officeDocument/2006/relationships/hyperlink" Target="https://youtu.be/daUeiTZa-MY" TargetMode="External"/><Relationship Id="rId100" Type="http://schemas.openxmlformats.org/officeDocument/2006/relationships/hyperlink" Target="https://youtu.be/B6ydBZPgxUA?t=8734" TargetMode="External"/><Relationship Id="rId221" Type="http://schemas.openxmlformats.org/officeDocument/2006/relationships/hyperlink" Target="https://youtu.be/1836IhWUPho" TargetMode="External"/><Relationship Id="rId217" Type="http://schemas.openxmlformats.org/officeDocument/2006/relationships/hyperlink" Target="https://youtu.be/I_oAsGAy_WE?t=7863" TargetMode="External"/><Relationship Id="rId216" Type="http://schemas.openxmlformats.org/officeDocument/2006/relationships/hyperlink" Target="https://youtu.be/m4EXhKliVtI?t=6828" TargetMode="External"/><Relationship Id="rId215" Type="http://schemas.openxmlformats.org/officeDocument/2006/relationships/hyperlink" Target="https://youtu.be/I_oAsGAy_WE?t=6845" TargetMode="External"/><Relationship Id="rId214" Type="http://schemas.openxmlformats.org/officeDocument/2006/relationships/hyperlink" Target="https://youtu.be/m4EXhKliVtI?t=5872" TargetMode="External"/><Relationship Id="rId219" Type="http://schemas.openxmlformats.org/officeDocument/2006/relationships/hyperlink" Target="https://youtu.be/I_oAsGAy_WE?t=8806" TargetMode="External"/><Relationship Id="rId218" Type="http://schemas.openxmlformats.org/officeDocument/2006/relationships/hyperlink" Target="https://youtu.be/m4EXhKliVtI?t=7818" TargetMode="External"/><Relationship Id="rId213" Type="http://schemas.openxmlformats.org/officeDocument/2006/relationships/hyperlink" Target="https://youtu.be/I_oAsGAy_WE?t=5930" TargetMode="External"/><Relationship Id="rId212" Type="http://schemas.openxmlformats.org/officeDocument/2006/relationships/hyperlink" Target="https://youtu.be/m4EXhKliVtI?t=4904" TargetMode="External"/><Relationship Id="rId211" Type="http://schemas.openxmlformats.org/officeDocument/2006/relationships/hyperlink" Target="https://youtu.be/I_oAsGAy_WE?t=4980" TargetMode="External"/><Relationship Id="rId210" Type="http://schemas.openxmlformats.org/officeDocument/2006/relationships/hyperlink" Target="https://youtu.be/m4EXhKliVtI?t=3936" TargetMode="External"/><Relationship Id="rId129" Type="http://schemas.openxmlformats.org/officeDocument/2006/relationships/hyperlink" Target="https://youtu.be/RWiUaOBxePg?t=3737" TargetMode="External"/><Relationship Id="rId128" Type="http://schemas.openxmlformats.org/officeDocument/2006/relationships/hyperlink" Target="https://youtu.be/pboDUzu2Ghs?t=2762" TargetMode="External"/><Relationship Id="rId249" Type="http://schemas.openxmlformats.org/officeDocument/2006/relationships/hyperlink" Target="https://youtu.be/4YyPBJ9PIiE?t=3600" TargetMode="External"/><Relationship Id="rId127" Type="http://schemas.openxmlformats.org/officeDocument/2006/relationships/hyperlink" Target="https://youtu.be/RWiUaOBxePg?t=2882" TargetMode="External"/><Relationship Id="rId248" Type="http://schemas.openxmlformats.org/officeDocument/2006/relationships/hyperlink" Target="https://youtu.be/WBhbrJuM-7k?t=2689" TargetMode="External"/><Relationship Id="rId126" Type="http://schemas.openxmlformats.org/officeDocument/2006/relationships/hyperlink" Target="https://youtu.be/pboDUzu2Ghs?t=1887" TargetMode="External"/><Relationship Id="rId247" Type="http://schemas.openxmlformats.org/officeDocument/2006/relationships/hyperlink" Target="https://youtu.be/4YyPBJ9PIiE?t=2741" TargetMode="External"/><Relationship Id="rId121" Type="http://schemas.openxmlformats.org/officeDocument/2006/relationships/hyperlink" Target="https://youtu.be/RWiUaOBxePg" TargetMode="External"/><Relationship Id="rId242" Type="http://schemas.openxmlformats.org/officeDocument/2006/relationships/hyperlink" Target="https://youtu.be/WBhbrJuM-7k" TargetMode="External"/><Relationship Id="rId120" Type="http://schemas.openxmlformats.org/officeDocument/2006/relationships/hyperlink" Target="https://youtu.be/r9w3Y-930ZU?t=8798" TargetMode="External"/><Relationship Id="rId241" Type="http://schemas.openxmlformats.org/officeDocument/2006/relationships/hyperlink" Target="https://youtu.be/4YyPBJ9PIiE" TargetMode="External"/><Relationship Id="rId240" Type="http://schemas.openxmlformats.org/officeDocument/2006/relationships/hyperlink" Target="https://youtu.be/daUeiTZa-MY?t=8696" TargetMode="External"/><Relationship Id="rId125" Type="http://schemas.openxmlformats.org/officeDocument/2006/relationships/hyperlink" Target="https://youtu.be/RWiUaOBxePg?t=2018" TargetMode="External"/><Relationship Id="rId246" Type="http://schemas.openxmlformats.org/officeDocument/2006/relationships/hyperlink" Target="https://youtu.be/WBhbrJuM-7k?t=1807" TargetMode="External"/><Relationship Id="rId124" Type="http://schemas.openxmlformats.org/officeDocument/2006/relationships/hyperlink" Target="https://youtu.be/pboDUzu2Ghs?t=969" TargetMode="External"/><Relationship Id="rId245" Type="http://schemas.openxmlformats.org/officeDocument/2006/relationships/hyperlink" Target="https://youtu.be/4YyPBJ9PIiE?t=1895" TargetMode="External"/><Relationship Id="rId123" Type="http://schemas.openxmlformats.org/officeDocument/2006/relationships/hyperlink" Target="https://youtu.be/RWiUaOBxePg?t=1114" TargetMode="External"/><Relationship Id="rId244" Type="http://schemas.openxmlformats.org/officeDocument/2006/relationships/hyperlink" Target="https://youtu.be/WBhbrJuM-7k?t=900" TargetMode="External"/><Relationship Id="rId122" Type="http://schemas.openxmlformats.org/officeDocument/2006/relationships/hyperlink" Target="https://youtu.be/pboDUzu2Ghs" TargetMode="External"/><Relationship Id="rId243" Type="http://schemas.openxmlformats.org/officeDocument/2006/relationships/hyperlink" Target="https://youtu.be/4YyPBJ9PIiE?t=918" TargetMode="External"/><Relationship Id="rId95" Type="http://schemas.openxmlformats.org/officeDocument/2006/relationships/hyperlink" Target="https://youtu.be/xeiSr9415C0?t=6834" TargetMode="External"/><Relationship Id="rId94" Type="http://schemas.openxmlformats.org/officeDocument/2006/relationships/hyperlink" Target="https://youtu.be/B6ydBZPgxUA?t=5839" TargetMode="External"/><Relationship Id="rId97" Type="http://schemas.openxmlformats.org/officeDocument/2006/relationships/hyperlink" Target="https://youtu.be/xeiSr9415C0?t=7797" TargetMode="External"/><Relationship Id="rId96" Type="http://schemas.openxmlformats.org/officeDocument/2006/relationships/hyperlink" Target="https://youtu.be/B6ydBZPgxUA?t=6826" TargetMode="External"/><Relationship Id="rId99" Type="http://schemas.openxmlformats.org/officeDocument/2006/relationships/hyperlink" Target="https://youtu.be/xeiSr9415C0?t=8746" TargetMode="External"/><Relationship Id="rId98" Type="http://schemas.openxmlformats.org/officeDocument/2006/relationships/hyperlink" Target="https://youtu.be/B6ydBZPgxUA?t=7799" TargetMode="External"/><Relationship Id="rId91" Type="http://schemas.openxmlformats.org/officeDocument/2006/relationships/hyperlink" Target="https://youtu.be/xeiSr9415C0?t=4910" TargetMode="External"/><Relationship Id="rId90" Type="http://schemas.openxmlformats.org/officeDocument/2006/relationships/hyperlink" Target="https://youtu.be/B6ydBZPgxUA?t=3979" TargetMode="External"/><Relationship Id="rId93" Type="http://schemas.openxmlformats.org/officeDocument/2006/relationships/hyperlink" Target="https://youtu.be/xeiSr9415C0?t=5846" TargetMode="External"/><Relationship Id="rId92" Type="http://schemas.openxmlformats.org/officeDocument/2006/relationships/hyperlink" Target="https://youtu.be/B6ydBZPgxUA?t=4914" TargetMode="External"/><Relationship Id="rId118" Type="http://schemas.openxmlformats.org/officeDocument/2006/relationships/hyperlink" Target="https://youtu.be/r9w3Y-930ZU?t=7869" TargetMode="External"/><Relationship Id="rId239" Type="http://schemas.openxmlformats.org/officeDocument/2006/relationships/hyperlink" Target="https://youtu.be/1836IhWUPho?t=8719" TargetMode="External"/><Relationship Id="rId117" Type="http://schemas.openxmlformats.org/officeDocument/2006/relationships/hyperlink" Target="https://youtu.be/ChB86KBOEko?t=7635" TargetMode="External"/><Relationship Id="rId238" Type="http://schemas.openxmlformats.org/officeDocument/2006/relationships/hyperlink" Target="https://youtu.be/daUeiTZa-MY?t=7720" TargetMode="External"/><Relationship Id="rId116" Type="http://schemas.openxmlformats.org/officeDocument/2006/relationships/hyperlink" Target="https://youtu.be/r9w3Y-930ZU?t=6909" TargetMode="External"/><Relationship Id="rId237" Type="http://schemas.openxmlformats.org/officeDocument/2006/relationships/hyperlink" Target="https://youtu.be/1836IhWUPho?t=7752" TargetMode="External"/><Relationship Id="rId115" Type="http://schemas.openxmlformats.org/officeDocument/2006/relationships/hyperlink" Target="https://youtu.be/ChB86KBOEko?t=6685" TargetMode="External"/><Relationship Id="rId236" Type="http://schemas.openxmlformats.org/officeDocument/2006/relationships/hyperlink" Target="https://youtu.be/daUeiTZa-MY?t=6735" TargetMode="External"/><Relationship Id="rId119" Type="http://schemas.openxmlformats.org/officeDocument/2006/relationships/hyperlink" Target="https://youtu.be/ChB86KBOEko?t=8609" TargetMode="External"/><Relationship Id="rId110" Type="http://schemas.openxmlformats.org/officeDocument/2006/relationships/hyperlink" Target="https://youtu.be/r9w3Y-930ZU?t=3994" TargetMode="External"/><Relationship Id="rId231" Type="http://schemas.openxmlformats.org/officeDocument/2006/relationships/hyperlink" Target="https://youtu.be/1836IhWUPho?t=4835" TargetMode="External"/><Relationship Id="rId230" Type="http://schemas.openxmlformats.org/officeDocument/2006/relationships/hyperlink" Target="https://youtu.be/daUeiTZa-MY?t=3909" TargetMode="External"/><Relationship Id="rId114" Type="http://schemas.openxmlformats.org/officeDocument/2006/relationships/hyperlink" Target="https://youtu.be/r9w3Y-930ZU?t=5938" TargetMode="External"/><Relationship Id="rId235" Type="http://schemas.openxmlformats.org/officeDocument/2006/relationships/hyperlink" Target="https://youtu.be/1836IhWUPho?t=6755" TargetMode="External"/><Relationship Id="rId113" Type="http://schemas.openxmlformats.org/officeDocument/2006/relationships/hyperlink" Target="https://youtu.be/ChB86KBOEko?t=5739" TargetMode="External"/><Relationship Id="rId234" Type="http://schemas.openxmlformats.org/officeDocument/2006/relationships/hyperlink" Target="https://youtu.be/daUeiTZa-MY?t=5795" TargetMode="External"/><Relationship Id="rId112" Type="http://schemas.openxmlformats.org/officeDocument/2006/relationships/hyperlink" Target="https://youtu.be/r9w3Y-930ZU?t=4942" TargetMode="External"/><Relationship Id="rId233" Type="http://schemas.openxmlformats.org/officeDocument/2006/relationships/hyperlink" Target="https://youtu.be/1836IhWUPho?t=5752" TargetMode="External"/><Relationship Id="rId111" Type="http://schemas.openxmlformats.org/officeDocument/2006/relationships/hyperlink" Target="https://youtu.be/ChB86KBOEko?t=4797" TargetMode="External"/><Relationship Id="rId232" Type="http://schemas.openxmlformats.org/officeDocument/2006/relationships/hyperlink" Target="https://youtu.be/daUeiTZa-MY?t=4832" TargetMode="External"/><Relationship Id="rId305" Type="http://schemas.openxmlformats.org/officeDocument/2006/relationships/hyperlink" Target="https://youtu.be/l0V8CapN_wo?t=1959" TargetMode="External"/><Relationship Id="rId304" Type="http://schemas.openxmlformats.org/officeDocument/2006/relationships/hyperlink" Target="https://youtu.be/k9tsenW86lY?t=1865" TargetMode="External"/><Relationship Id="rId303" Type="http://schemas.openxmlformats.org/officeDocument/2006/relationships/hyperlink" Target="https://youtu.be/l0V8CapN_wo?t=1029" TargetMode="External"/><Relationship Id="rId302" Type="http://schemas.openxmlformats.org/officeDocument/2006/relationships/hyperlink" Target="https://youtu.be/k9tsenW86lY?t=1028" TargetMode="External"/><Relationship Id="rId309" Type="http://schemas.openxmlformats.org/officeDocument/2006/relationships/hyperlink" Target="https://youtu.be/l0V8CapN_wo?t=3694" TargetMode="External"/><Relationship Id="rId308" Type="http://schemas.openxmlformats.org/officeDocument/2006/relationships/hyperlink" Target="https://youtu.be/k9tsenW86lY?t=3687" TargetMode="External"/><Relationship Id="rId307" Type="http://schemas.openxmlformats.org/officeDocument/2006/relationships/hyperlink" Target="https://youtu.be/l0V8CapN_wo?t=2820" TargetMode="External"/><Relationship Id="rId306" Type="http://schemas.openxmlformats.org/officeDocument/2006/relationships/hyperlink" Target="https://youtu.be/k9tsenW86lY?t=2779" TargetMode="External"/><Relationship Id="rId301" Type="http://schemas.openxmlformats.org/officeDocument/2006/relationships/hyperlink" Target="https://youtu.be/l0V8CapN_wo" TargetMode="External"/><Relationship Id="rId300" Type="http://schemas.openxmlformats.org/officeDocument/2006/relationships/hyperlink" Target="https://youtu.be/k9tsenW86lY" TargetMode="External"/><Relationship Id="rId206" Type="http://schemas.openxmlformats.org/officeDocument/2006/relationships/hyperlink" Target="https://youtu.be/m4EXhKliVtI?t=2049" TargetMode="External"/><Relationship Id="rId205" Type="http://schemas.openxmlformats.org/officeDocument/2006/relationships/hyperlink" Target="https://youtu.be/I_oAsGAy_WE?t=2137" TargetMode="External"/><Relationship Id="rId204" Type="http://schemas.openxmlformats.org/officeDocument/2006/relationships/hyperlink" Target="https://youtu.be/m4EXhKliVtI?t=1096" TargetMode="External"/><Relationship Id="rId203" Type="http://schemas.openxmlformats.org/officeDocument/2006/relationships/hyperlink" Target="https://youtu.be/I_oAsGAy_WE?t=1176" TargetMode="External"/><Relationship Id="rId209" Type="http://schemas.openxmlformats.org/officeDocument/2006/relationships/hyperlink" Target="https://youtu.be/I_oAsGAy_WE?t=4048" TargetMode="External"/><Relationship Id="rId208" Type="http://schemas.openxmlformats.org/officeDocument/2006/relationships/hyperlink" Target="https://youtu.be/m4EXhKliVtI?t=2948" TargetMode="External"/><Relationship Id="rId207" Type="http://schemas.openxmlformats.org/officeDocument/2006/relationships/hyperlink" Target="https://youtu.be/I_oAsGAy_WE?t=3093" TargetMode="External"/><Relationship Id="rId202" Type="http://schemas.openxmlformats.org/officeDocument/2006/relationships/hyperlink" Target="https://youtu.be/m4EXhKliVtI?t=139" TargetMode="External"/><Relationship Id="rId201" Type="http://schemas.openxmlformats.org/officeDocument/2006/relationships/hyperlink" Target="https://youtu.be/I_oAsGAy_WE" TargetMode="External"/><Relationship Id="rId200" Type="http://schemas.openxmlformats.org/officeDocument/2006/relationships/hyperlink" Target="https://youtu.be/KawS9yOJ2Y0?t=7997" TargetMode="External"/><Relationship Id="rId320" Type="http://schemas.openxmlformats.org/officeDocument/2006/relationships/drawing" Target="../drawings/drawing29.xml"/><Relationship Id="rId316" Type="http://schemas.openxmlformats.org/officeDocument/2006/relationships/hyperlink" Target="https://youtu.be/k9tsenW86lY?t=7232" TargetMode="External"/><Relationship Id="rId315" Type="http://schemas.openxmlformats.org/officeDocument/2006/relationships/hyperlink" Target="https://youtu.be/l0V8CapN_wo?t=6368" TargetMode="External"/><Relationship Id="rId314" Type="http://schemas.openxmlformats.org/officeDocument/2006/relationships/hyperlink" Target="https://youtu.be/k9tsenW86lY?t=6357" TargetMode="External"/><Relationship Id="rId313" Type="http://schemas.openxmlformats.org/officeDocument/2006/relationships/hyperlink" Target="https://youtu.be/l0V8CapN_wo?t=5499" TargetMode="External"/><Relationship Id="rId319" Type="http://schemas.openxmlformats.org/officeDocument/2006/relationships/hyperlink" Target="https://youtu.be/l0V8CapN_wo?t=8061" TargetMode="External"/><Relationship Id="rId318" Type="http://schemas.openxmlformats.org/officeDocument/2006/relationships/hyperlink" Target="https://youtu.be/k9tsenW86lY?t=8078" TargetMode="External"/><Relationship Id="rId317" Type="http://schemas.openxmlformats.org/officeDocument/2006/relationships/hyperlink" Target="https://youtu.be/l0V8CapN_wo?t=7223" TargetMode="External"/><Relationship Id="rId312" Type="http://schemas.openxmlformats.org/officeDocument/2006/relationships/hyperlink" Target="https://youtu.be/k9tsenW86lY?t=5453" TargetMode="External"/><Relationship Id="rId311" Type="http://schemas.openxmlformats.org/officeDocument/2006/relationships/hyperlink" Target="https://youtu.be/l0V8CapN_wo?t=4593" TargetMode="External"/><Relationship Id="rId310" Type="http://schemas.openxmlformats.org/officeDocument/2006/relationships/hyperlink" Target="https://youtu.be/k9tsenW86lY?t=4570" TargetMode="External"/></Relationships>
</file>

<file path=xl/worksheets/_rels/sheet3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_E1gW57u6mU?t=7174" TargetMode="External"/><Relationship Id="rId190" Type="http://schemas.openxmlformats.org/officeDocument/2006/relationships/hyperlink" Target="https://youtu.be/zyvqkcDopzw?t=2687" TargetMode="External"/><Relationship Id="rId42" Type="http://schemas.openxmlformats.org/officeDocument/2006/relationships/hyperlink" Target="https://youtu.be/4b9xCgcyg3w?t=615" TargetMode="External"/><Relationship Id="rId41" Type="http://schemas.openxmlformats.org/officeDocument/2006/relationships/hyperlink" Target="https://youtu.be/y_k6V_43odo" TargetMode="External"/><Relationship Id="rId44" Type="http://schemas.openxmlformats.org/officeDocument/2006/relationships/hyperlink" Target="https://youtu.be/4b9xCgcyg3w?t=1421" TargetMode="External"/><Relationship Id="rId194" Type="http://schemas.openxmlformats.org/officeDocument/2006/relationships/hyperlink" Target="https://youtu.be/zyvqkcDopzw?t=4379" TargetMode="External"/><Relationship Id="rId43" Type="http://schemas.openxmlformats.org/officeDocument/2006/relationships/hyperlink" Target="https://youtu.be/y_k6V_43odo?t=899" TargetMode="External"/><Relationship Id="rId193" Type="http://schemas.openxmlformats.org/officeDocument/2006/relationships/hyperlink" Target="https://youtu.be/F9-nyZd91R8?t=5375" TargetMode="External"/><Relationship Id="rId46" Type="http://schemas.openxmlformats.org/officeDocument/2006/relationships/hyperlink" Target="https://youtu.be/4b9xCgcyg3w?t=2188" TargetMode="External"/><Relationship Id="rId192" Type="http://schemas.openxmlformats.org/officeDocument/2006/relationships/hyperlink" Target="https://youtu.be/zyvqkcDopzw?t=3542" TargetMode="External"/><Relationship Id="rId45" Type="http://schemas.openxmlformats.org/officeDocument/2006/relationships/hyperlink" Target="https://youtu.be/y_k6V_43odo?t=1714" TargetMode="External"/><Relationship Id="rId191" Type="http://schemas.openxmlformats.org/officeDocument/2006/relationships/hyperlink" Target="https://youtu.be/F9-nyZd91R8?t=4500" TargetMode="External"/><Relationship Id="rId48" Type="http://schemas.openxmlformats.org/officeDocument/2006/relationships/hyperlink" Target="https://youtu.be/4b9xCgcyg3w?t=2990" TargetMode="External"/><Relationship Id="rId187" Type="http://schemas.openxmlformats.org/officeDocument/2006/relationships/hyperlink" Target="https://youtu.be/F9-nyZd91R8?t=2761" TargetMode="External"/><Relationship Id="rId47" Type="http://schemas.openxmlformats.org/officeDocument/2006/relationships/hyperlink" Target="https://youtu.be/y_k6V_43odo?t=2485" TargetMode="External"/><Relationship Id="rId186" Type="http://schemas.openxmlformats.org/officeDocument/2006/relationships/hyperlink" Target="https://youtu.be/zyvqkcDopzw?t=941" TargetMode="External"/><Relationship Id="rId185" Type="http://schemas.openxmlformats.org/officeDocument/2006/relationships/hyperlink" Target="https://youtu.be/F9-nyZd91R8?t=1926" TargetMode="External"/><Relationship Id="rId49" Type="http://schemas.openxmlformats.org/officeDocument/2006/relationships/hyperlink" Target="https://youtu.be/y_k6V_43odo?t=3316" TargetMode="External"/><Relationship Id="rId184" Type="http://schemas.openxmlformats.org/officeDocument/2006/relationships/hyperlink" Target="https://youtu.be/zyvqkcDopzw?t=92" TargetMode="External"/><Relationship Id="rId189" Type="http://schemas.openxmlformats.org/officeDocument/2006/relationships/hyperlink" Target="https://youtu.be/F9-nyZd91R8?t=3630" TargetMode="External"/><Relationship Id="rId188" Type="http://schemas.openxmlformats.org/officeDocument/2006/relationships/hyperlink" Target="https://youtu.be/zyvqkcDopzw?t=1803" TargetMode="External"/><Relationship Id="rId31" Type="http://schemas.openxmlformats.org/officeDocument/2006/relationships/hyperlink" Target="https://youtu.be/1_ZlR3AJ_nM?t=4636" TargetMode="External"/><Relationship Id="rId30" Type="http://schemas.openxmlformats.org/officeDocument/2006/relationships/hyperlink" Target="https://youtu.be/_E1gW57u6mU?t=2669" TargetMode="External"/><Relationship Id="rId33" Type="http://schemas.openxmlformats.org/officeDocument/2006/relationships/hyperlink" Target="https://youtu.be/1_ZlR3AJ_nM?t=5528" TargetMode="External"/><Relationship Id="rId183" Type="http://schemas.openxmlformats.org/officeDocument/2006/relationships/hyperlink" Target="https://youtu.be/F9-nyZd91R8?t=1028" TargetMode="External"/><Relationship Id="rId32" Type="http://schemas.openxmlformats.org/officeDocument/2006/relationships/hyperlink" Target="https://youtu.be/_E1gW57u6mU?t=3561" TargetMode="External"/><Relationship Id="rId182" Type="http://schemas.openxmlformats.org/officeDocument/2006/relationships/hyperlink" Target="https://youtu.be/8F-6F-P0NDs" TargetMode="External"/><Relationship Id="rId35" Type="http://schemas.openxmlformats.org/officeDocument/2006/relationships/hyperlink" Target="https://youtu.be/1_ZlR3AJ_nM?t=6440" TargetMode="External"/><Relationship Id="rId181" Type="http://schemas.openxmlformats.org/officeDocument/2006/relationships/hyperlink" Target="https://youtu.be/F9-nyZd91R8" TargetMode="External"/><Relationship Id="rId34" Type="http://schemas.openxmlformats.org/officeDocument/2006/relationships/hyperlink" Target="https://youtu.be/_E1gW57u6mU?t=4437" TargetMode="External"/><Relationship Id="rId180" Type="http://schemas.openxmlformats.org/officeDocument/2006/relationships/hyperlink" Target="https://youtu.be/I4v-OX9sXbY?t=8751" TargetMode="External"/><Relationship Id="rId37" Type="http://schemas.openxmlformats.org/officeDocument/2006/relationships/hyperlink" Target="https://youtu.be/1_ZlR3AJ_nM?t=7390" TargetMode="External"/><Relationship Id="rId176" Type="http://schemas.openxmlformats.org/officeDocument/2006/relationships/hyperlink" Target="https://youtu.be/I4v-OX9sXbY?t=6855" TargetMode="External"/><Relationship Id="rId297" Type="http://schemas.openxmlformats.org/officeDocument/2006/relationships/hyperlink" Target="https://youtu.be/DI6pHtcYSeU?t=7149" TargetMode="External"/><Relationship Id="rId36" Type="http://schemas.openxmlformats.org/officeDocument/2006/relationships/hyperlink" Target="https://youtu.be/_E1gW57u6mU?t=5384" TargetMode="External"/><Relationship Id="rId175" Type="http://schemas.openxmlformats.org/officeDocument/2006/relationships/hyperlink" Target="https://youtu.be/wLAjp6Py0qI?t=1906" TargetMode="External"/><Relationship Id="rId296" Type="http://schemas.openxmlformats.org/officeDocument/2006/relationships/hyperlink" Target="https://youtu.be/4WLtc0vt-N0?t=6287" TargetMode="External"/><Relationship Id="rId39" Type="http://schemas.openxmlformats.org/officeDocument/2006/relationships/hyperlink" Target="https://youtu.be/1_ZlR3AJ_nM?t=8288" TargetMode="External"/><Relationship Id="rId174" Type="http://schemas.openxmlformats.org/officeDocument/2006/relationships/hyperlink" Target="https://youtu.be/I4v-OX9sXbY?t=5821" TargetMode="External"/><Relationship Id="rId295" Type="http://schemas.openxmlformats.org/officeDocument/2006/relationships/hyperlink" Target="https://youtu.be/DI6pHtcYSeU?t=6239" TargetMode="External"/><Relationship Id="rId38" Type="http://schemas.openxmlformats.org/officeDocument/2006/relationships/hyperlink" Target="https://youtu.be/_E1gW57u6mU?t=6275" TargetMode="External"/><Relationship Id="rId173" Type="http://schemas.openxmlformats.org/officeDocument/2006/relationships/hyperlink" Target="https://youtu.be/wLAjp6Py0qI?t=973" TargetMode="External"/><Relationship Id="rId294" Type="http://schemas.openxmlformats.org/officeDocument/2006/relationships/hyperlink" Target="https://youtu.be/4WLtc0vt-N0?t=5355" TargetMode="External"/><Relationship Id="rId179" Type="http://schemas.openxmlformats.org/officeDocument/2006/relationships/hyperlink" Target="https://youtu.be/wLAjp6Py0qI?t=3868" TargetMode="External"/><Relationship Id="rId178" Type="http://schemas.openxmlformats.org/officeDocument/2006/relationships/hyperlink" Target="https://youtu.be/I4v-OX9sXbY?t=7806" TargetMode="External"/><Relationship Id="rId299" Type="http://schemas.openxmlformats.org/officeDocument/2006/relationships/hyperlink" Target="https://youtu.be/DI6pHtcYSeU?t=8091" TargetMode="External"/><Relationship Id="rId177" Type="http://schemas.openxmlformats.org/officeDocument/2006/relationships/hyperlink" Target="https://youtu.be/wLAjp6Py0qI?t=2922" TargetMode="External"/><Relationship Id="rId298" Type="http://schemas.openxmlformats.org/officeDocument/2006/relationships/hyperlink" Target="https://youtu.be/4WLtc0vt-N0?t=7147" TargetMode="External"/><Relationship Id="rId20" Type="http://schemas.openxmlformats.org/officeDocument/2006/relationships/hyperlink" Target="https://youtu.be/H8x8eLlA5XI?t=7457" TargetMode="External"/><Relationship Id="rId22" Type="http://schemas.openxmlformats.org/officeDocument/2006/relationships/hyperlink" Target="https://youtu.be/152p4Wz4vdE" TargetMode="External"/><Relationship Id="rId21" Type="http://schemas.openxmlformats.org/officeDocument/2006/relationships/hyperlink" Target="https://youtu.be/1_ZlR3AJ_nM" TargetMode="External"/><Relationship Id="rId24" Type="http://schemas.openxmlformats.org/officeDocument/2006/relationships/hyperlink" Target="https://youtu.be/_E1gW57u6mU" TargetMode="External"/><Relationship Id="rId23" Type="http://schemas.openxmlformats.org/officeDocument/2006/relationships/hyperlink" Target="https://youtu.be/1_ZlR3AJ_nM?t=955" TargetMode="External"/><Relationship Id="rId26" Type="http://schemas.openxmlformats.org/officeDocument/2006/relationships/hyperlink" Target="https://youtu.be/_E1gW57u6mU?t=785" TargetMode="External"/><Relationship Id="rId25" Type="http://schemas.openxmlformats.org/officeDocument/2006/relationships/hyperlink" Target="https://youtu.be/1_ZlR3AJ_nM?t=1871" TargetMode="External"/><Relationship Id="rId28" Type="http://schemas.openxmlformats.org/officeDocument/2006/relationships/hyperlink" Target="https://youtu.be/_E1gW57u6mU?t=1768" TargetMode="External"/><Relationship Id="rId27" Type="http://schemas.openxmlformats.org/officeDocument/2006/relationships/hyperlink" Target="https://youtu.be/1_ZlR3AJ_nM?t=2817" TargetMode="External"/><Relationship Id="rId29" Type="http://schemas.openxmlformats.org/officeDocument/2006/relationships/hyperlink" Target="https://youtu.be/1_ZlR3AJ_nM?t=3748" TargetMode="External"/><Relationship Id="rId11" Type="http://schemas.openxmlformats.org/officeDocument/2006/relationships/hyperlink" Target="https://youtu.be/r9FMRBtBymE?t=4223" TargetMode="External"/><Relationship Id="rId10" Type="http://schemas.openxmlformats.org/officeDocument/2006/relationships/hyperlink" Target="https://youtu.be/H8x8eLlA5XI?t=3290" TargetMode="External"/><Relationship Id="rId13" Type="http://schemas.openxmlformats.org/officeDocument/2006/relationships/hyperlink" Target="https://youtu.be/r9FMRBtBymE?t=5022" TargetMode="External"/><Relationship Id="rId12" Type="http://schemas.openxmlformats.org/officeDocument/2006/relationships/hyperlink" Target="https://youtu.be/H8x8eLlA5XI?t=4125" TargetMode="External"/><Relationship Id="rId15" Type="http://schemas.openxmlformats.org/officeDocument/2006/relationships/hyperlink" Target="https://youtu.be/r9FMRBtBymE?t=5878" TargetMode="External"/><Relationship Id="rId198" Type="http://schemas.openxmlformats.org/officeDocument/2006/relationships/hyperlink" Target="https://youtu.be/zyvqkcDopzw?t=6160" TargetMode="External"/><Relationship Id="rId14" Type="http://schemas.openxmlformats.org/officeDocument/2006/relationships/hyperlink" Target="https://youtu.be/H8x8eLlA5XI?t=4916" TargetMode="External"/><Relationship Id="rId197" Type="http://schemas.openxmlformats.org/officeDocument/2006/relationships/hyperlink" Target="https://youtu.be/F9-nyZd91R8?t=7084" TargetMode="External"/><Relationship Id="rId17" Type="http://schemas.openxmlformats.org/officeDocument/2006/relationships/hyperlink" Target="https://youtu.be/r9FMRBtBymE?t=6665" TargetMode="External"/><Relationship Id="rId196" Type="http://schemas.openxmlformats.org/officeDocument/2006/relationships/hyperlink" Target="https://youtu.be/zyvqkcDopzw?t=5233" TargetMode="External"/><Relationship Id="rId16" Type="http://schemas.openxmlformats.org/officeDocument/2006/relationships/hyperlink" Target="https://youtu.be/H8x8eLlA5XI?t=5763" TargetMode="External"/><Relationship Id="rId195" Type="http://schemas.openxmlformats.org/officeDocument/2006/relationships/hyperlink" Target="https://youtu.be/F9-nyZd91R8?t=6215" TargetMode="External"/><Relationship Id="rId19" Type="http://schemas.openxmlformats.org/officeDocument/2006/relationships/hyperlink" Target="https://youtu.be/r9FMRBtBymE?t=7474" TargetMode="External"/><Relationship Id="rId18" Type="http://schemas.openxmlformats.org/officeDocument/2006/relationships/hyperlink" Target="https://youtu.be/H8x8eLlA5XI?t=6575" TargetMode="External"/><Relationship Id="rId199" Type="http://schemas.openxmlformats.org/officeDocument/2006/relationships/hyperlink" Target="https://youtu.be/F9-nyZd91R8?t=7990" TargetMode="External"/><Relationship Id="rId84" Type="http://schemas.openxmlformats.org/officeDocument/2006/relationships/hyperlink" Target="https://youtu.be/K2yDdz5706M?t=1056" TargetMode="External"/><Relationship Id="rId83" Type="http://schemas.openxmlformats.org/officeDocument/2006/relationships/hyperlink" Target="https://youtu.be/zG3dBZ870FQ?t=994" TargetMode="External"/><Relationship Id="rId86" Type="http://schemas.openxmlformats.org/officeDocument/2006/relationships/hyperlink" Target="https://youtu.be/K2yDdz5706M?t=1932" TargetMode="External"/><Relationship Id="rId85" Type="http://schemas.openxmlformats.org/officeDocument/2006/relationships/hyperlink" Target="https://youtu.be/zG3dBZ870FQ?t=1872" TargetMode="External"/><Relationship Id="rId88" Type="http://schemas.openxmlformats.org/officeDocument/2006/relationships/hyperlink" Target="https://youtu.be/K2yDdz5706M?t=2881" TargetMode="External"/><Relationship Id="rId150" Type="http://schemas.openxmlformats.org/officeDocument/2006/relationships/hyperlink" Target="https://youtu.be/_6WceKfSeZQ?t=3472" TargetMode="External"/><Relationship Id="rId271" Type="http://schemas.openxmlformats.org/officeDocument/2006/relationships/hyperlink" Target="https://youtu.be/h9hgf_3zBA4?t=4510" TargetMode="External"/><Relationship Id="rId87" Type="http://schemas.openxmlformats.org/officeDocument/2006/relationships/hyperlink" Target="https://youtu.be/zG3dBZ870FQ?t=2932" TargetMode="External"/><Relationship Id="rId270" Type="http://schemas.openxmlformats.org/officeDocument/2006/relationships/hyperlink" Target="https://youtu.be/cRE6MIM4RF8?t=3666" TargetMode="External"/><Relationship Id="rId89" Type="http://schemas.openxmlformats.org/officeDocument/2006/relationships/hyperlink" Target="https://youtu.be/zG3dBZ870FQ?t=3826" TargetMode="External"/><Relationship Id="rId80" Type="http://schemas.openxmlformats.org/officeDocument/2006/relationships/hyperlink" Target="https://youtu.be/M_H5vVfhiLU?t=8192" TargetMode="External"/><Relationship Id="rId82" Type="http://schemas.openxmlformats.org/officeDocument/2006/relationships/hyperlink" Target="https://youtu.be/K2yDdz5706M" TargetMode="External"/><Relationship Id="rId81" Type="http://schemas.openxmlformats.org/officeDocument/2006/relationships/hyperlink" Target="https://youtu.be/zG3dBZ870FQ" TargetMode="External"/><Relationship Id="rId1" Type="http://schemas.openxmlformats.org/officeDocument/2006/relationships/hyperlink" Target="https://youtu.be/r9FMRBtBymE" TargetMode="External"/><Relationship Id="rId2" Type="http://schemas.openxmlformats.org/officeDocument/2006/relationships/hyperlink" Target="https://youtu.be/H8x8eLlA5XI" TargetMode="External"/><Relationship Id="rId3" Type="http://schemas.openxmlformats.org/officeDocument/2006/relationships/hyperlink" Target="https://youtu.be/r9FMRBtBymE?t=961" TargetMode="External"/><Relationship Id="rId149" Type="http://schemas.openxmlformats.org/officeDocument/2006/relationships/hyperlink" Target="https://youtu.be/Yhv0CH1Ijc8?t=3647" TargetMode="External"/><Relationship Id="rId4" Type="http://schemas.openxmlformats.org/officeDocument/2006/relationships/hyperlink" Target="https://youtu.be/H8x8eLlA5XI?t=882" TargetMode="External"/><Relationship Id="rId148" Type="http://schemas.openxmlformats.org/officeDocument/2006/relationships/hyperlink" Target="https://youtu.be/_6WceKfSeZQ?t=2580" TargetMode="External"/><Relationship Id="rId269" Type="http://schemas.openxmlformats.org/officeDocument/2006/relationships/hyperlink" Target="https://youtu.be/h9hgf_3zBA4?t=3598" TargetMode="External"/><Relationship Id="rId9" Type="http://schemas.openxmlformats.org/officeDocument/2006/relationships/hyperlink" Target="https://youtu.be/r9FMRBtBymE?t=3382" TargetMode="External"/><Relationship Id="rId143" Type="http://schemas.openxmlformats.org/officeDocument/2006/relationships/hyperlink" Target="https://youtu.be/Yhv0CH1Ijc8?t=1017" TargetMode="External"/><Relationship Id="rId264" Type="http://schemas.openxmlformats.org/officeDocument/2006/relationships/hyperlink" Target="https://youtu.be/cRE6MIM4RF8?t=1016" TargetMode="External"/><Relationship Id="rId142" Type="http://schemas.openxmlformats.org/officeDocument/2006/relationships/hyperlink" Target="https://youtu.be/_6WceKfSeZQ" TargetMode="External"/><Relationship Id="rId263" Type="http://schemas.openxmlformats.org/officeDocument/2006/relationships/hyperlink" Target="https://youtu.be/h9hgf_3zBA4?t=1016" TargetMode="External"/><Relationship Id="rId141" Type="http://schemas.openxmlformats.org/officeDocument/2006/relationships/hyperlink" Target="https://youtu.be/Yhv0CH1Ijc8" TargetMode="External"/><Relationship Id="rId262" Type="http://schemas.openxmlformats.org/officeDocument/2006/relationships/hyperlink" Target="https://youtu.be/cRE6MIM4RF8" TargetMode="External"/><Relationship Id="rId140" Type="http://schemas.openxmlformats.org/officeDocument/2006/relationships/hyperlink" Target="https://youtu.be/rA340ZcinJA?t=8649" TargetMode="External"/><Relationship Id="rId261" Type="http://schemas.openxmlformats.org/officeDocument/2006/relationships/hyperlink" Target="https://youtu.be/h9hgf_3zBA4" TargetMode="External"/><Relationship Id="rId5" Type="http://schemas.openxmlformats.org/officeDocument/2006/relationships/hyperlink" Target="https://youtu.be/r9FMRBtBymE?t=1755" TargetMode="External"/><Relationship Id="rId147" Type="http://schemas.openxmlformats.org/officeDocument/2006/relationships/hyperlink" Target="https://youtu.be/Yhv0CH1Ijc8?t=2796" TargetMode="External"/><Relationship Id="rId268" Type="http://schemas.openxmlformats.org/officeDocument/2006/relationships/hyperlink" Target="https://youtu.be/cRE6MIM4RF8?t=2800" TargetMode="External"/><Relationship Id="rId6" Type="http://schemas.openxmlformats.org/officeDocument/2006/relationships/hyperlink" Target="https://youtu.be/H8x8eLlA5XI?t=1697" TargetMode="External"/><Relationship Id="rId146" Type="http://schemas.openxmlformats.org/officeDocument/2006/relationships/hyperlink" Target="https://youtu.be/_6WceKfSeZQ?t=1701" TargetMode="External"/><Relationship Id="rId267" Type="http://schemas.openxmlformats.org/officeDocument/2006/relationships/hyperlink" Target="https://youtu.be/h9hgf_3zBA4?t=2705" TargetMode="External"/><Relationship Id="rId7" Type="http://schemas.openxmlformats.org/officeDocument/2006/relationships/hyperlink" Target="https://youtu.be/r9FMRBtBymE?t=2574" TargetMode="External"/><Relationship Id="rId145" Type="http://schemas.openxmlformats.org/officeDocument/2006/relationships/hyperlink" Target="https://youtu.be/Yhv0CH1Ijc8?t=1895" TargetMode="External"/><Relationship Id="rId266" Type="http://schemas.openxmlformats.org/officeDocument/2006/relationships/hyperlink" Target="https://youtu.be/cRE6MIM4RF8?t=1932" TargetMode="External"/><Relationship Id="rId8" Type="http://schemas.openxmlformats.org/officeDocument/2006/relationships/hyperlink" Target="https://youtu.be/H8x8eLlA5XI?t=2508" TargetMode="External"/><Relationship Id="rId144" Type="http://schemas.openxmlformats.org/officeDocument/2006/relationships/hyperlink" Target="https://youtu.be/_6WceKfSeZQ?t=846" TargetMode="External"/><Relationship Id="rId265" Type="http://schemas.openxmlformats.org/officeDocument/2006/relationships/hyperlink" Target="https://youtu.be/h9hgf_3zBA4?t=1866" TargetMode="External"/><Relationship Id="rId73" Type="http://schemas.openxmlformats.org/officeDocument/2006/relationships/hyperlink" Target="https://youtu.be/ylthk7aXGvA?t=5533" TargetMode="External"/><Relationship Id="rId72" Type="http://schemas.openxmlformats.org/officeDocument/2006/relationships/hyperlink" Target="https://youtu.be/M_H5vVfhiLU?t=4524" TargetMode="External"/><Relationship Id="rId75" Type="http://schemas.openxmlformats.org/officeDocument/2006/relationships/hyperlink" Target="https://youtu.be/ylthk7aXGvA?t=6421" TargetMode="External"/><Relationship Id="rId74" Type="http://schemas.openxmlformats.org/officeDocument/2006/relationships/hyperlink" Target="https://youtu.be/M_H5vVfhiLU?t=5426" TargetMode="External"/><Relationship Id="rId77" Type="http://schemas.openxmlformats.org/officeDocument/2006/relationships/hyperlink" Target="https://youtu.be/ylthk7aXGvA?t=7403" TargetMode="External"/><Relationship Id="rId260" Type="http://schemas.openxmlformats.org/officeDocument/2006/relationships/hyperlink" Target="https://youtu.be/c8VHHgjyqXA?t=8404" TargetMode="External"/><Relationship Id="rId76" Type="http://schemas.openxmlformats.org/officeDocument/2006/relationships/hyperlink" Target="https://youtu.be/M_H5vVfhiLU?t=6303" TargetMode="External"/><Relationship Id="rId79" Type="http://schemas.openxmlformats.org/officeDocument/2006/relationships/hyperlink" Target="https://youtu.be/ylthk7aXGvA?t=8300" TargetMode="External"/><Relationship Id="rId78" Type="http://schemas.openxmlformats.org/officeDocument/2006/relationships/hyperlink" Target="https://youtu.be/M_H5vVfhiLU?t=7245" TargetMode="External"/><Relationship Id="rId71" Type="http://schemas.openxmlformats.org/officeDocument/2006/relationships/hyperlink" Target="https://youtu.be/ylthk7aXGvA?t=4620" TargetMode="External"/><Relationship Id="rId70" Type="http://schemas.openxmlformats.org/officeDocument/2006/relationships/hyperlink" Target="https://youtu.be/M_H5vVfhiLU?t=3642" TargetMode="External"/><Relationship Id="rId139" Type="http://schemas.openxmlformats.org/officeDocument/2006/relationships/hyperlink" Target="https://youtu.be/t2uxYmooLOM?t=8711" TargetMode="External"/><Relationship Id="rId138" Type="http://schemas.openxmlformats.org/officeDocument/2006/relationships/hyperlink" Target="https://youtu.be/rA340ZcinJA?t=7736" TargetMode="External"/><Relationship Id="rId259" Type="http://schemas.openxmlformats.org/officeDocument/2006/relationships/hyperlink" Target="https://youtu.be/JTkaf3MXMe4?t=8501" TargetMode="External"/><Relationship Id="rId137" Type="http://schemas.openxmlformats.org/officeDocument/2006/relationships/hyperlink" Target="https://youtu.be/t2uxYmooLOM?t=7717" TargetMode="External"/><Relationship Id="rId258" Type="http://schemas.openxmlformats.org/officeDocument/2006/relationships/hyperlink" Target="https://youtu.be/c8VHHgjyqXA?t=7532" TargetMode="External"/><Relationship Id="rId132" Type="http://schemas.openxmlformats.org/officeDocument/2006/relationships/hyperlink" Target="https://youtu.be/rA340ZcinJA?t=4772" TargetMode="External"/><Relationship Id="rId253" Type="http://schemas.openxmlformats.org/officeDocument/2006/relationships/hyperlink" Target="https://youtu.be/JTkaf3MXMe4?t=5781" TargetMode="External"/><Relationship Id="rId131" Type="http://schemas.openxmlformats.org/officeDocument/2006/relationships/hyperlink" Target="https://youtu.be/t2uxYmooLOM?t=4746" TargetMode="External"/><Relationship Id="rId252" Type="http://schemas.openxmlformats.org/officeDocument/2006/relationships/hyperlink" Target="https://youtu.be/c8VHHgjyqXA?t=4670" TargetMode="External"/><Relationship Id="rId130" Type="http://schemas.openxmlformats.org/officeDocument/2006/relationships/hyperlink" Target="https://youtu.be/rA340ZcinJA?t=3891" TargetMode="External"/><Relationship Id="rId251" Type="http://schemas.openxmlformats.org/officeDocument/2006/relationships/hyperlink" Target="https://youtu.be/JTkaf3MXMe4?t=4808" TargetMode="External"/><Relationship Id="rId250" Type="http://schemas.openxmlformats.org/officeDocument/2006/relationships/hyperlink" Target="https://youtu.be/c8VHHgjyqXA?t=3761" TargetMode="External"/><Relationship Id="rId136" Type="http://schemas.openxmlformats.org/officeDocument/2006/relationships/hyperlink" Target="https://youtu.be/rA340ZcinJA?t=6835" TargetMode="External"/><Relationship Id="rId257" Type="http://schemas.openxmlformats.org/officeDocument/2006/relationships/hyperlink" Target="https://youtu.be/JTkaf3MXMe4?t=7573" TargetMode="External"/><Relationship Id="rId135" Type="http://schemas.openxmlformats.org/officeDocument/2006/relationships/hyperlink" Target="https://youtu.be/t2uxYmooLOM?t=6777" TargetMode="External"/><Relationship Id="rId256" Type="http://schemas.openxmlformats.org/officeDocument/2006/relationships/hyperlink" Target="https://youtu.be/c8VHHgjyqXA?t=6537" TargetMode="External"/><Relationship Id="rId134" Type="http://schemas.openxmlformats.org/officeDocument/2006/relationships/hyperlink" Target="https://youtu.be/rA340ZcinJA?t=5827" TargetMode="External"/><Relationship Id="rId255" Type="http://schemas.openxmlformats.org/officeDocument/2006/relationships/hyperlink" Target="https://youtu.be/JTkaf3MXMe4?t=6679" TargetMode="External"/><Relationship Id="rId133" Type="http://schemas.openxmlformats.org/officeDocument/2006/relationships/hyperlink" Target="https://youtu.be/t2uxYmooLOM?t=5786" TargetMode="External"/><Relationship Id="rId254" Type="http://schemas.openxmlformats.org/officeDocument/2006/relationships/hyperlink" Target="https://youtu.be/c8VHHgjyqXA?t=5602" TargetMode="External"/><Relationship Id="rId62" Type="http://schemas.openxmlformats.org/officeDocument/2006/relationships/hyperlink" Target="https://youtu.be/M_H5vVfhiLU" TargetMode="External"/><Relationship Id="rId61" Type="http://schemas.openxmlformats.org/officeDocument/2006/relationships/hyperlink" Target="https://youtu.be/ylthk7aXGvA" TargetMode="External"/><Relationship Id="rId64" Type="http://schemas.openxmlformats.org/officeDocument/2006/relationships/hyperlink" Target="https://youtu.be/M_H5vVfhiLU?t=948" TargetMode="External"/><Relationship Id="rId63" Type="http://schemas.openxmlformats.org/officeDocument/2006/relationships/hyperlink" Target="https://youtu.be/ylthk7aXGvA?t=989" TargetMode="External"/><Relationship Id="rId66" Type="http://schemas.openxmlformats.org/officeDocument/2006/relationships/hyperlink" Target="https://youtu.be/M_H5vVfhiLU?t=1809" TargetMode="External"/><Relationship Id="rId172" Type="http://schemas.openxmlformats.org/officeDocument/2006/relationships/hyperlink" Target="https://youtu.be/I4v-OX9sXbY?t=4853" TargetMode="External"/><Relationship Id="rId293" Type="http://schemas.openxmlformats.org/officeDocument/2006/relationships/hyperlink" Target="https://youtu.be/DI6pHtcYSeU?t=5385" TargetMode="External"/><Relationship Id="rId65" Type="http://schemas.openxmlformats.org/officeDocument/2006/relationships/hyperlink" Target="https://youtu.be/ylthk7aXGvA?t=1912" TargetMode="External"/><Relationship Id="rId171" Type="http://schemas.openxmlformats.org/officeDocument/2006/relationships/hyperlink" Target="https://youtu.be/wLAjp6Py0qI?t=53" TargetMode="External"/><Relationship Id="rId292" Type="http://schemas.openxmlformats.org/officeDocument/2006/relationships/hyperlink" Target="https://youtu.be/4WLtc0vt-N0?t=4478" TargetMode="External"/><Relationship Id="rId68" Type="http://schemas.openxmlformats.org/officeDocument/2006/relationships/hyperlink" Target="https://youtu.be/M_H5vVfhiLU?t=2699" TargetMode="External"/><Relationship Id="rId170" Type="http://schemas.openxmlformats.org/officeDocument/2006/relationships/hyperlink" Target="https://youtu.be/I4v-OX9sXbY?t=3937" TargetMode="External"/><Relationship Id="rId291" Type="http://schemas.openxmlformats.org/officeDocument/2006/relationships/hyperlink" Target="https://youtu.be/DI6pHtcYSeU?t=4468" TargetMode="External"/><Relationship Id="rId67" Type="http://schemas.openxmlformats.org/officeDocument/2006/relationships/hyperlink" Target="https://youtu.be/ylthk7aXGvA?t=2814" TargetMode="External"/><Relationship Id="rId290" Type="http://schemas.openxmlformats.org/officeDocument/2006/relationships/hyperlink" Target="https://youtu.be/4WLtc0vt-N0?t=3585" TargetMode="External"/><Relationship Id="rId60" Type="http://schemas.openxmlformats.org/officeDocument/2006/relationships/hyperlink" Target="https://youtu.be/4b9xCgcyg3w?t=7854" TargetMode="External"/><Relationship Id="rId165" Type="http://schemas.openxmlformats.org/officeDocument/2006/relationships/hyperlink" Target="https://youtu.be/K_7hq8meEu8?t=1849" TargetMode="External"/><Relationship Id="rId286" Type="http://schemas.openxmlformats.org/officeDocument/2006/relationships/hyperlink" Target="https://youtu.be/4WLtc0vt-N0?t=1820" TargetMode="External"/><Relationship Id="rId69" Type="http://schemas.openxmlformats.org/officeDocument/2006/relationships/hyperlink" Target="https://youtu.be/ylthk7aXGvA?t=3723" TargetMode="External"/><Relationship Id="rId164" Type="http://schemas.openxmlformats.org/officeDocument/2006/relationships/hyperlink" Target="https://youtu.be/I4v-OX9sXbY?t=1219" TargetMode="External"/><Relationship Id="rId285" Type="http://schemas.openxmlformats.org/officeDocument/2006/relationships/hyperlink" Target="https://youtu.be/DI6pHtcYSeU?t=1825" TargetMode="External"/><Relationship Id="rId163" Type="http://schemas.openxmlformats.org/officeDocument/2006/relationships/hyperlink" Target="https://youtu.be/K_7hq8meEu8?t=915" TargetMode="External"/><Relationship Id="rId284" Type="http://schemas.openxmlformats.org/officeDocument/2006/relationships/hyperlink" Target="https://youtu.be/4WLtc0vt-N0?t=965" TargetMode="External"/><Relationship Id="rId162" Type="http://schemas.openxmlformats.org/officeDocument/2006/relationships/hyperlink" Target="https://youtu.be/I4v-OX9sXbY" TargetMode="External"/><Relationship Id="rId283" Type="http://schemas.openxmlformats.org/officeDocument/2006/relationships/hyperlink" Target="https://youtu.be/DI6pHtcYSeU?t=992" TargetMode="External"/><Relationship Id="rId169" Type="http://schemas.openxmlformats.org/officeDocument/2006/relationships/hyperlink" Target="https://youtu.be/K_7hq8meEu8?t=3671" TargetMode="External"/><Relationship Id="rId168" Type="http://schemas.openxmlformats.org/officeDocument/2006/relationships/hyperlink" Target="https://youtu.be/I4v-OX9sXbY?t=3076" TargetMode="External"/><Relationship Id="rId289" Type="http://schemas.openxmlformats.org/officeDocument/2006/relationships/hyperlink" Target="https://youtu.be/DI6pHtcYSeU?t=3560" TargetMode="External"/><Relationship Id="rId167" Type="http://schemas.openxmlformats.org/officeDocument/2006/relationships/hyperlink" Target="https://youtu.be/K_7hq8meEu8?t=2717" TargetMode="External"/><Relationship Id="rId288" Type="http://schemas.openxmlformats.org/officeDocument/2006/relationships/hyperlink" Target="https://youtu.be/4WLtc0vt-N0?t=2693" TargetMode="External"/><Relationship Id="rId166" Type="http://schemas.openxmlformats.org/officeDocument/2006/relationships/hyperlink" Target="https://youtu.be/I4v-OX9sXbY?t=2190" TargetMode="External"/><Relationship Id="rId287" Type="http://schemas.openxmlformats.org/officeDocument/2006/relationships/hyperlink" Target="https://youtu.be/DI6pHtcYSeU?t=2628" TargetMode="External"/><Relationship Id="rId51" Type="http://schemas.openxmlformats.org/officeDocument/2006/relationships/hyperlink" Target="https://youtu.be/y_k6V_43odo?t=4138" TargetMode="External"/><Relationship Id="rId50" Type="http://schemas.openxmlformats.org/officeDocument/2006/relationships/hyperlink" Target="https://youtu.be/4b9xCgcyg3w?t=3763" TargetMode="External"/><Relationship Id="rId53" Type="http://schemas.openxmlformats.org/officeDocument/2006/relationships/hyperlink" Target="https://youtu.be/y_k6V_43odo?t=4928" TargetMode="External"/><Relationship Id="rId52" Type="http://schemas.openxmlformats.org/officeDocument/2006/relationships/hyperlink" Target="https://youtu.be/4b9xCgcyg3w?t=4611" TargetMode="External"/><Relationship Id="rId55" Type="http://schemas.openxmlformats.org/officeDocument/2006/relationships/hyperlink" Target="https://youtu.be/y_k6V_43odo?t=5771" TargetMode="External"/><Relationship Id="rId161" Type="http://schemas.openxmlformats.org/officeDocument/2006/relationships/hyperlink" Target="https://youtu.be/K_7hq8meEu8" TargetMode="External"/><Relationship Id="rId282" Type="http://schemas.openxmlformats.org/officeDocument/2006/relationships/hyperlink" Target="https://youtu.be/4WLtc0vt-N0" TargetMode="External"/><Relationship Id="rId54" Type="http://schemas.openxmlformats.org/officeDocument/2006/relationships/hyperlink" Target="https://youtu.be/4b9xCgcyg3w?t=5425" TargetMode="External"/><Relationship Id="rId160" Type="http://schemas.openxmlformats.org/officeDocument/2006/relationships/hyperlink" Target="https://youtu.be/_6WceKfSeZQ?t=7797" TargetMode="External"/><Relationship Id="rId281" Type="http://schemas.openxmlformats.org/officeDocument/2006/relationships/hyperlink" Target="https://youtu.be/DI6pHtcYSeU" TargetMode="External"/><Relationship Id="rId57" Type="http://schemas.openxmlformats.org/officeDocument/2006/relationships/hyperlink" Target="https://youtu.be/y_k6V_43odo?t=6559" TargetMode="External"/><Relationship Id="rId280" Type="http://schemas.openxmlformats.org/officeDocument/2006/relationships/hyperlink" Target="https://youtu.be/cRE6MIM4RF8?t=8131" TargetMode="External"/><Relationship Id="rId56" Type="http://schemas.openxmlformats.org/officeDocument/2006/relationships/hyperlink" Target="https://youtu.be/4b9xCgcyg3w?t=6258" TargetMode="External"/><Relationship Id="rId159" Type="http://schemas.openxmlformats.org/officeDocument/2006/relationships/hyperlink" Target="https://youtu.be/Yhv0CH1Ijc8?t=7981" TargetMode="External"/><Relationship Id="rId59" Type="http://schemas.openxmlformats.org/officeDocument/2006/relationships/hyperlink" Target="https://youtu.be/y_k6V_43odo?t=7378" TargetMode="External"/><Relationship Id="rId154" Type="http://schemas.openxmlformats.org/officeDocument/2006/relationships/hyperlink" Target="https://youtu.be/_6WceKfSeZQ?t=5169" TargetMode="External"/><Relationship Id="rId275" Type="http://schemas.openxmlformats.org/officeDocument/2006/relationships/hyperlink" Target="https://youtu.be/h9hgf_3zBA4?t=6318" TargetMode="External"/><Relationship Id="rId58" Type="http://schemas.openxmlformats.org/officeDocument/2006/relationships/hyperlink" Target="https://youtu.be/4b9xCgcyg3w?t=7042" TargetMode="External"/><Relationship Id="rId153" Type="http://schemas.openxmlformats.org/officeDocument/2006/relationships/hyperlink" Target="https://youtu.be/Yhv0CH1Ijc8?t=5384" TargetMode="External"/><Relationship Id="rId274" Type="http://schemas.openxmlformats.org/officeDocument/2006/relationships/hyperlink" Target="https://youtu.be/cRE6MIM4RF8?t=5467" TargetMode="External"/><Relationship Id="rId152" Type="http://schemas.openxmlformats.org/officeDocument/2006/relationships/hyperlink" Target="https://youtu.be/_6WceKfSeZQ?t=4331" TargetMode="External"/><Relationship Id="rId273" Type="http://schemas.openxmlformats.org/officeDocument/2006/relationships/hyperlink" Target="https://youtu.be/h9hgf_3zBA4?t=5426" TargetMode="External"/><Relationship Id="rId151" Type="http://schemas.openxmlformats.org/officeDocument/2006/relationships/hyperlink" Target="https://youtu.be/Yhv0CH1Ijc8?t=4487" TargetMode="External"/><Relationship Id="rId272" Type="http://schemas.openxmlformats.org/officeDocument/2006/relationships/hyperlink" Target="https://youtu.be/cRE6MIM4RF8?t=4584" TargetMode="External"/><Relationship Id="rId158" Type="http://schemas.openxmlformats.org/officeDocument/2006/relationships/hyperlink" Target="https://youtu.be/_6WceKfSeZQ?t=6928" TargetMode="External"/><Relationship Id="rId279" Type="http://schemas.openxmlformats.org/officeDocument/2006/relationships/hyperlink" Target="https://youtu.be/h9hgf_3zBA4?t=8167" TargetMode="External"/><Relationship Id="rId157" Type="http://schemas.openxmlformats.org/officeDocument/2006/relationships/hyperlink" Target="https://youtu.be/Yhv0CH1Ijc8?t=7117" TargetMode="External"/><Relationship Id="rId278" Type="http://schemas.openxmlformats.org/officeDocument/2006/relationships/hyperlink" Target="https://youtu.be/cRE6MIM4RF8?t=7222" TargetMode="External"/><Relationship Id="rId156" Type="http://schemas.openxmlformats.org/officeDocument/2006/relationships/hyperlink" Target="https://youtu.be/_6WceKfSeZQ?t=6049" TargetMode="External"/><Relationship Id="rId277" Type="http://schemas.openxmlformats.org/officeDocument/2006/relationships/hyperlink" Target="https://youtu.be/h9hgf_3zBA4?t=7201" TargetMode="External"/><Relationship Id="rId155" Type="http://schemas.openxmlformats.org/officeDocument/2006/relationships/hyperlink" Target="https://youtu.be/Yhv0CH1Ijc8?t=6257" TargetMode="External"/><Relationship Id="rId276" Type="http://schemas.openxmlformats.org/officeDocument/2006/relationships/hyperlink" Target="https://youtu.be/cRE6MIM4RF8?t=6369" TargetMode="External"/><Relationship Id="rId107" Type="http://schemas.openxmlformats.org/officeDocument/2006/relationships/hyperlink" Target="https://youtu.be/J7wwpb2B9Qk?t=2815" TargetMode="External"/><Relationship Id="rId228" Type="http://schemas.openxmlformats.org/officeDocument/2006/relationships/hyperlink" Target="https://youtu.be/16vdKQ29eSk?t=3050" TargetMode="External"/><Relationship Id="rId106" Type="http://schemas.openxmlformats.org/officeDocument/2006/relationships/hyperlink" Target="https://youtu.be/XhPrZnSqPnQ?t=1883" TargetMode="External"/><Relationship Id="rId227" Type="http://schemas.openxmlformats.org/officeDocument/2006/relationships/hyperlink" Target="https://youtu.be/l4i6cE87mrE?t=2923" TargetMode="External"/><Relationship Id="rId105" Type="http://schemas.openxmlformats.org/officeDocument/2006/relationships/hyperlink" Target="https://youtu.be/J7wwpb2B9Qk?t=1969" TargetMode="External"/><Relationship Id="rId226" Type="http://schemas.openxmlformats.org/officeDocument/2006/relationships/hyperlink" Target="https://youtu.be/16vdKQ29eSk?t=2090" TargetMode="External"/><Relationship Id="rId104" Type="http://schemas.openxmlformats.org/officeDocument/2006/relationships/hyperlink" Target="https://youtu.be/XhPrZnSqPnQ?t=1044" TargetMode="External"/><Relationship Id="rId225" Type="http://schemas.openxmlformats.org/officeDocument/2006/relationships/hyperlink" Target="https://youtu.be/l4i6cE87mrE?t=1968" TargetMode="External"/><Relationship Id="rId109" Type="http://schemas.openxmlformats.org/officeDocument/2006/relationships/hyperlink" Target="https://youtu.be/J7wwpb2B9Qk?t=3680" TargetMode="External"/><Relationship Id="rId108" Type="http://schemas.openxmlformats.org/officeDocument/2006/relationships/hyperlink" Target="https://youtu.be/XhPrZnSqPnQ?t=2710" TargetMode="External"/><Relationship Id="rId229" Type="http://schemas.openxmlformats.org/officeDocument/2006/relationships/hyperlink" Target="https://youtu.be/l4i6cE87mrE?t=3931" TargetMode="External"/><Relationship Id="rId220" Type="http://schemas.openxmlformats.org/officeDocument/2006/relationships/hyperlink" Target="https://youtu.be/_l9VYYQ7yF0?t=8207" TargetMode="External"/><Relationship Id="rId341" Type="http://schemas.openxmlformats.org/officeDocument/2006/relationships/drawing" Target="../drawings/drawing30.xml"/><Relationship Id="rId340" Type="http://schemas.openxmlformats.org/officeDocument/2006/relationships/hyperlink" Target="https://youtu.be/ibeSDXlDg9U?t=8039" TargetMode="External"/><Relationship Id="rId103" Type="http://schemas.openxmlformats.org/officeDocument/2006/relationships/hyperlink" Target="https://youtu.be/J7wwpb2B9Qk?t=1108" TargetMode="External"/><Relationship Id="rId224" Type="http://schemas.openxmlformats.org/officeDocument/2006/relationships/hyperlink" Target="https://youtu.be/16vdKQ29eSk?t=1086" TargetMode="External"/><Relationship Id="rId102" Type="http://schemas.openxmlformats.org/officeDocument/2006/relationships/hyperlink" Target="https://youtu.be/XhPrZnSqPnQ" TargetMode="External"/><Relationship Id="rId223" Type="http://schemas.openxmlformats.org/officeDocument/2006/relationships/hyperlink" Target="https://youtu.be/l4i6cE87mrE?t=1011" TargetMode="External"/><Relationship Id="rId101" Type="http://schemas.openxmlformats.org/officeDocument/2006/relationships/hyperlink" Target="https://youtu.be/J7wwpb2B9Qk" TargetMode="External"/><Relationship Id="rId222" Type="http://schemas.openxmlformats.org/officeDocument/2006/relationships/hyperlink" Target="https://youtu.be/16vdKQ29eSk?t=125" TargetMode="External"/><Relationship Id="rId100" Type="http://schemas.openxmlformats.org/officeDocument/2006/relationships/hyperlink" Target="https://youtu.be/K2yDdz5706M?t=8572" TargetMode="External"/><Relationship Id="rId221" Type="http://schemas.openxmlformats.org/officeDocument/2006/relationships/hyperlink" Target="https://youtu.be/l4i6cE87mrE" TargetMode="External"/><Relationship Id="rId217" Type="http://schemas.openxmlformats.org/officeDocument/2006/relationships/hyperlink" Target="https://youtu.be/KXbMNXH62N0?t=7394" TargetMode="External"/><Relationship Id="rId338" Type="http://schemas.openxmlformats.org/officeDocument/2006/relationships/hyperlink" Target="https://youtu.be/ibeSDXlDg9U?t=7242" TargetMode="External"/><Relationship Id="rId216" Type="http://schemas.openxmlformats.org/officeDocument/2006/relationships/hyperlink" Target="https://youtu.be/_l9VYYQ7yF0?t=6496" TargetMode="External"/><Relationship Id="rId337" Type="http://schemas.openxmlformats.org/officeDocument/2006/relationships/hyperlink" Target="https://youtu.be/thRo6NN8sCU?t=7169" TargetMode="External"/><Relationship Id="rId215" Type="http://schemas.openxmlformats.org/officeDocument/2006/relationships/hyperlink" Target="https://youtu.be/KXbMNXH62N0?t=6489" TargetMode="External"/><Relationship Id="rId336" Type="http://schemas.openxmlformats.org/officeDocument/2006/relationships/hyperlink" Target="https://youtu.be/ibeSDXlDg9U?t=6336" TargetMode="External"/><Relationship Id="rId214" Type="http://schemas.openxmlformats.org/officeDocument/2006/relationships/hyperlink" Target="https://youtu.be/_l9VYYQ7yF0?t=5564" TargetMode="External"/><Relationship Id="rId335" Type="http://schemas.openxmlformats.org/officeDocument/2006/relationships/hyperlink" Target="https://youtu.be/thRo6NN8sCU?t=6261" TargetMode="External"/><Relationship Id="rId219" Type="http://schemas.openxmlformats.org/officeDocument/2006/relationships/hyperlink" Target="https://youtu.be/KXbMNXH62N0?t=8282" TargetMode="External"/><Relationship Id="rId218" Type="http://schemas.openxmlformats.org/officeDocument/2006/relationships/hyperlink" Target="https://youtu.be/_l9VYYQ7yF0?t=7349" TargetMode="External"/><Relationship Id="rId339" Type="http://schemas.openxmlformats.org/officeDocument/2006/relationships/hyperlink" Target="https://youtu.be/thRo6NN8sCU?t=7998" TargetMode="External"/><Relationship Id="rId330" Type="http://schemas.openxmlformats.org/officeDocument/2006/relationships/hyperlink" Target="https://youtu.be/ibeSDXlDg9U?t=3613" TargetMode="External"/><Relationship Id="rId213" Type="http://schemas.openxmlformats.org/officeDocument/2006/relationships/hyperlink" Target="https://youtu.be/KXbMNXH62N0?t=5595" TargetMode="External"/><Relationship Id="rId334" Type="http://schemas.openxmlformats.org/officeDocument/2006/relationships/hyperlink" Target="https://youtu.be/ibeSDXlDg9U?t=5415" TargetMode="External"/><Relationship Id="rId212" Type="http://schemas.openxmlformats.org/officeDocument/2006/relationships/hyperlink" Target="https://youtu.be/_l9VYYQ7yF0?t=4658" TargetMode="External"/><Relationship Id="rId333" Type="http://schemas.openxmlformats.org/officeDocument/2006/relationships/hyperlink" Target="https://youtu.be/thRo6NN8sCU?t=5358" TargetMode="External"/><Relationship Id="rId211" Type="http://schemas.openxmlformats.org/officeDocument/2006/relationships/hyperlink" Target="https://youtu.be/KXbMNXH62N0?t=4677" TargetMode="External"/><Relationship Id="rId332" Type="http://schemas.openxmlformats.org/officeDocument/2006/relationships/hyperlink" Target="https://youtu.be/ibeSDXlDg9U?t=4530" TargetMode="External"/><Relationship Id="rId210" Type="http://schemas.openxmlformats.org/officeDocument/2006/relationships/hyperlink" Target="https://youtu.be/_l9VYYQ7yF0?t=3778" TargetMode="External"/><Relationship Id="rId331" Type="http://schemas.openxmlformats.org/officeDocument/2006/relationships/hyperlink" Target="https://youtu.be/thRo6NN8sCU?t=4466" TargetMode="External"/><Relationship Id="rId129" Type="http://schemas.openxmlformats.org/officeDocument/2006/relationships/hyperlink" Target="https://youtu.be/t2uxYmooLOM?t=3852" TargetMode="External"/><Relationship Id="rId128" Type="http://schemas.openxmlformats.org/officeDocument/2006/relationships/hyperlink" Target="https://youtu.be/rA340ZcinJA?t=2996" TargetMode="External"/><Relationship Id="rId249" Type="http://schemas.openxmlformats.org/officeDocument/2006/relationships/hyperlink" Target="https://youtu.be/JTkaf3MXMe4?t=3860" TargetMode="External"/><Relationship Id="rId127" Type="http://schemas.openxmlformats.org/officeDocument/2006/relationships/hyperlink" Target="https://youtu.be/t2uxYmooLOM?t=2950" TargetMode="External"/><Relationship Id="rId248" Type="http://schemas.openxmlformats.org/officeDocument/2006/relationships/hyperlink" Target="https://youtu.be/c8VHHgjyqXA?t=2882" TargetMode="External"/><Relationship Id="rId126" Type="http://schemas.openxmlformats.org/officeDocument/2006/relationships/hyperlink" Target="https://youtu.be/rA340ZcinJA?t=1981" TargetMode="External"/><Relationship Id="rId247" Type="http://schemas.openxmlformats.org/officeDocument/2006/relationships/hyperlink" Target="https://youtu.be/JTkaf3MXMe4?t=2932" TargetMode="External"/><Relationship Id="rId121" Type="http://schemas.openxmlformats.org/officeDocument/2006/relationships/hyperlink" Target="https://youtu.be/t2uxYmooLOM" TargetMode="External"/><Relationship Id="rId242" Type="http://schemas.openxmlformats.org/officeDocument/2006/relationships/hyperlink" Target="https://youtu.be/c8VHHgjyqXA?t=99" TargetMode="External"/><Relationship Id="rId120" Type="http://schemas.openxmlformats.org/officeDocument/2006/relationships/hyperlink" Target="https://youtu.be/XhPrZnSqPnQ?t=7816" TargetMode="External"/><Relationship Id="rId241" Type="http://schemas.openxmlformats.org/officeDocument/2006/relationships/hyperlink" Target="https://youtu.be/JTkaf3MXMe4" TargetMode="External"/><Relationship Id="rId240" Type="http://schemas.openxmlformats.org/officeDocument/2006/relationships/hyperlink" Target="https://youtu.be/16vdKQ29eSk?t=8655" TargetMode="External"/><Relationship Id="rId125" Type="http://schemas.openxmlformats.org/officeDocument/2006/relationships/hyperlink" Target="https://youtu.be/t2uxYmooLOM?t=1971" TargetMode="External"/><Relationship Id="rId246" Type="http://schemas.openxmlformats.org/officeDocument/2006/relationships/hyperlink" Target="https://youtu.be/c8VHHgjyqXA?t=1926" TargetMode="External"/><Relationship Id="rId124" Type="http://schemas.openxmlformats.org/officeDocument/2006/relationships/hyperlink" Target="https://youtu.be/rA340ZcinJA?t=1063" TargetMode="External"/><Relationship Id="rId245" Type="http://schemas.openxmlformats.org/officeDocument/2006/relationships/hyperlink" Target="https://youtu.be/JTkaf3MXMe4?t=2004" TargetMode="External"/><Relationship Id="rId123" Type="http://schemas.openxmlformats.org/officeDocument/2006/relationships/hyperlink" Target="https://youtu.be/t2uxYmooLOM?t=1006" TargetMode="External"/><Relationship Id="rId244" Type="http://schemas.openxmlformats.org/officeDocument/2006/relationships/hyperlink" Target="https://youtu.be/c8VHHgjyqXA?t=1053" TargetMode="External"/><Relationship Id="rId122" Type="http://schemas.openxmlformats.org/officeDocument/2006/relationships/hyperlink" Target="https://youtu.be/rA340ZcinJA" TargetMode="External"/><Relationship Id="rId243" Type="http://schemas.openxmlformats.org/officeDocument/2006/relationships/hyperlink" Target="https://youtu.be/JTkaf3MXMe4?t=972" TargetMode="External"/><Relationship Id="rId95" Type="http://schemas.openxmlformats.org/officeDocument/2006/relationships/hyperlink" Target="https://youtu.be/zG3dBZ870FQ?t=6694" TargetMode="External"/><Relationship Id="rId94" Type="http://schemas.openxmlformats.org/officeDocument/2006/relationships/hyperlink" Target="https://youtu.be/K2yDdz5706M?t=5713" TargetMode="External"/><Relationship Id="rId97" Type="http://schemas.openxmlformats.org/officeDocument/2006/relationships/hyperlink" Target="https://youtu.be/zG3dBZ870FQ?t=7636" TargetMode="External"/><Relationship Id="rId96" Type="http://schemas.openxmlformats.org/officeDocument/2006/relationships/hyperlink" Target="https://youtu.be/K2yDdz5706M?t=6701" TargetMode="External"/><Relationship Id="rId99" Type="http://schemas.openxmlformats.org/officeDocument/2006/relationships/hyperlink" Target="https://youtu.be/zG3dBZ870FQ?t=8553" TargetMode="External"/><Relationship Id="rId98" Type="http://schemas.openxmlformats.org/officeDocument/2006/relationships/hyperlink" Target="https://youtu.be/K2yDdz5706M?t=7638" TargetMode="External"/><Relationship Id="rId91" Type="http://schemas.openxmlformats.org/officeDocument/2006/relationships/hyperlink" Target="https://youtu.be/zG3dBZ870FQ?t=4758" TargetMode="External"/><Relationship Id="rId90" Type="http://schemas.openxmlformats.org/officeDocument/2006/relationships/hyperlink" Target="https://youtu.be/K2yDdz5706M?t=3847" TargetMode="External"/><Relationship Id="rId93" Type="http://schemas.openxmlformats.org/officeDocument/2006/relationships/hyperlink" Target="https://youtu.be/zG3dBZ870FQ?t=5645" TargetMode="External"/><Relationship Id="rId92" Type="http://schemas.openxmlformats.org/officeDocument/2006/relationships/hyperlink" Target="https://youtu.be/K2yDdz5706M?t=4831" TargetMode="External"/><Relationship Id="rId118" Type="http://schemas.openxmlformats.org/officeDocument/2006/relationships/hyperlink" Target="https://youtu.be/XhPrZnSqPnQ?t=6952" TargetMode="External"/><Relationship Id="rId239" Type="http://schemas.openxmlformats.org/officeDocument/2006/relationships/hyperlink" Target="https://youtu.be/l4i6cE87mrE?t=8638" TargetMode="External"/><Relationship Id="rId117" Type="http://schemas.openxmlformats.org/officeDocument/2006/relationships/hyperlink" Target="https://youtu.be/J7wwpb2B9Qk?t=7072" TargetMode="External"/><Relationship Id="rId238" Type="http://schemas.openxmlformats.org/officeDocument/2006/relationships/hyperlink" Target="https://youtu.be/16vdKQ29eSk?t=7699" TargetMode="External"/><Relationship Id="rId116" Type="http://schemas.openxmlformats.org/officeDocument/2006/relationships/hyperlink" Target="https://youtu.be/XhPrZnSqPnQ?t=6120" TargetMode="External"/><Relationship Id="rId237" Type="http://schemas.openxmlformats.org/officeDocument/2006/relationships/hyperlink" Target="https://youtu.be/l4i6cE87mrE?t=7700" TargetMode="External"/><Relationship Id="rId115" Type="http://schemas.openxmlformats.org/officeDocument/2006/relationships/hyperlink" Target="https://youtu.be/J7wwpb2B9Qk?t=6275" TargetMode="External"/><Relationship Id="rId236" Type="http://schemas.openxmlformats.org/officeDocument/2006/relationships/hyperlink" Target="https://youtu.be/16vdKQ29eSk?t=6787" TargetMode="External"/><Relationship Id="rId119" Type="http://schemas.openxmlformats.org/officeDocument/2006/relationships/hyperlink" Target="https://youtu.be/J7wwpb2B9Qk?t=7908" TargetMode="External"/><Relationship Id="rId110" Type="http://schemas.openxmlformats.org/officeDocument/2006/relationships/hyperlink" Target="https://youtu.be/XhPrZnSqPnQ?t=3532" TargetMode="External"/><Relationship Id="rId231" Type="http://schemas.openxmlformats.org/officeDocument/2006/relationships/hyperlink" Target="https://youtu.be/l4i6cE87mrE?t=4838" TargetMode="External"/><Relationship Id="rId230" Type="http://schemas.openxmlformats.org/officeDocument/2006/relationships/hyperlink" Target="https://youtu.be/16vdKQ29eSk?t=3975" TargetMode="External"/><Relationship Id="rId114" Type="http://schemas.openxmlformats.org/officeDocument/2006/relationships/hyperlink" Target="https://youtu.be/XhPrZnSqPnQ?t=5277" TargetMode="External"/><Relationship Id="rId235" Type="http://schemas.openxmlformats.org/officeDocument/2006/relationships/hyperlink" Target="https://youtu.be/l4i6cE87mrE?t=6762" TargetMode="External"/><Relationship Id="rId113" Type="http://schemas.openxmlformats.org/officeDocument/2006/relationships/hyperlink" Target="https://youtu.be/J7wwpb2B9Qk?t=5406" TargetMode="External"/><Relationship Id="rId234" Type="http://schemas.openxmlformats.org/officeDocument/2006/relationships/hyperlink" Target="https://youtu.be/16vdKQ29eSk?t=5848" TargetMode="External"/><Relationship Id="rId112" Type="http://schemas.openxmlformats.org/officeDocument/2006/relationships/hyperlink" Target="https://youtu.be/XhPrZnSqPnQ?t=4421" TargetMode="External"/><Relationship Id="rId233" Type="http://schemas.openxmlformats.org/officeDocument/2006/relationships/hyperlink" Target="https://youtu.be/l4i6cE87mrE?t=5762" TargetMode="External"/><Relationship Id="rId111" Type="http://schemas.openxmlformats.org/officeDocument/2006/relationships/hyperlink" Target="https://youtu.be/J7wwpb2B9Qk?t=4554" TargetMode="External"/><Relationship Id="rId232" Type="http://schemas.openxmlformats.org/officeDocument/2006/relationships/hyperlink" Target="https://youtu.be/16vdKQ29eSk?t=4940" TargetMode="External"/><Relationship Id="rId305" Type="http://schemas.openxmlformats.org/officeDocument/2006/relationships/hyperlink" Target="https://youtu.be/MhqJ66SFAb8?t=1829" TargetMode="External"/><Relationship Id="rId304" Type="http://schemas.openxmlformats.org/officeDocument/2006/relationships/hyperlink" Target="https://youtu.be/er7GsqWyyb0?t=985" TargetMode="External"/><Relationship Id="rId303" Type="http://schemas.openxmlformats.org/officeDocument/2006/relationships/hyperlink" Target="https://youtu.be/MhqJ66SFAb8?t=934" TargetMode="External"/><Relationship Id="rId302" Type="http://schemas.openxmlformats.org/officeDocument/2006/relationships/hyperlink" Target="https://youtu.be/er7GsqWyyb0?t=62" TargetMode="External"/><Relationship Id="rId309" Type="http://schemas.openxmlformats.org/officeDocument/2006/relationships/hyperlink" Target="https://youtu.be/MhqJ66SFAb8?t=3840" TargetMode="External"/><Relationship Id="rId308" Type="http://schemas.openxmlformats.org/officeDocument/2006/relationships/hyperlink" Target="https://youtu.be/er7GsqWyyb0?t=2777" TargetMode="External"/><Relationship Id="rId307" Type="http://schemas.openxmlformats.org/officeDocument/2006/relationships/hyperlink" Target="https://youtu.be/MhqJ66SFAb8?t=2704" TargetMode="External"/><Relationship Id="rId306" Type="http://schemas.openxmlformats.org/officeDocument/2006/relationships/hyperlink" Target="https://youtu.be/er7GsqWyyb0?t=1929" TargetMode="External"/><Relationship Id="rId301" Type="http://schemas.openxmlformats.org/officeDocument/2006/relationships/hyperlink" Target="https://youtu.be/MhqJ66SFAb8" TargetMode="External"/><Relationship Id="rId300" Type="http://schemas.openxmlformats.org/officeDocument/2006/relationships/hyperlink" Target="https://youtu.be/4WLtc0vt-N0?t=8031" TargetMode="External"/><Relationship Id="rId206" Type="http://schemas.openxmlformats.org/officeDocument/2006/relationships/hyperlink" Target="https://youtu.be/_l9VYYQ7yF0?t=1967" TargetMode="External"/><Relationship Id="rId327" Type="http://schemas.openxmlformats.org/officeDocument/2006/relationships/hyperlink" Target="https://youtu.be/thRo6NN8sCU?t=2630" TargetMode="External"/><Relationship Id="rId205" Type="http://schemas.openxmlformats.org/officeDocument/2006/relationships/hyperlink" Target="https://youtu.be/KXbMNXH62N0?t=1945" TargetMode="External"/><Relationship Id="rId326" Type="http://schemas.openxmlformats.org/officeDocument/2006/relationships/hyperlink" Target="https://youtu.be/ibeSDXlDg9U?t=1833" TargetMode="External"/><Relationship Id="rId204" Type="http://schemas.openxmlformats.org/officeDocument/2006/relationships/hyperlink" Target="https://youtu.be/_l9VYYQ7yF0?t=1006" TargetMode="External"/><Relationship Id="rId325" Type="http://schemas.openxmlformats.org/officeDocument/2006/relationships/hyperlink" Target="https://youtu.be/thRo6NN8sCU?t=1772" TargetMode="External"/><Relationship Id="rId203" Type="http://schemas.openxmlformats.org/officeDocument/2006/relationships/hyperlink" Target="https://youtu.be/KXbMNXH62N0?t=1005" TargetMode="External"/><Relationship Id="rId324" Type="http://schemas.openxmlformats.org/officeDocument/2006/relationships/hyperlink" Target="https://youtu.be/ibeSDXlDg9U?t=977" TargetMode="External"/><Relationship Id="rId209" Type="http://schemas.openxmlformats.org/officeDocument/2006/relationships/hyperlink" Target="https://youtu.be/KXbMNXH62N0?t=3771" TargetMode="External"/><Relationship Id="rId208" Type="http://schemas.openxmlformats.org/officeDocument/2006/relationships/hyperlink" Target="https://youtu.be/_l9VYYQ7yF0?t=2861" TargetMode="External"/><Relationship Id="rId329" Type="http://schemas.openxmlformats.org/officeDocument/2006/relationships/hyperlink" Target="https://youtu.be/thRo6NN8sCU?t=3553" TargetMode="External"/><Relationship Id="rId207" Type="http://schemas.openxmlformats.org/officeDocument/2006/relationships/hyperlink" Target="https://youtu.be/KXbMNXH62N0?t=2831" TargetMode="External"/><Relationship Id="rId328" Type="http://schemas.openxmlformats.org/officeDocument/2006/relationships/hyperlink" Target="https://youtu.be/ibeSDXlDg9U?t=2692" TargetMode="External"/><Relationship Id="rId202" Type="http://schemas.openxmlformats.org/officeDocument/2006/relationships/hyperlink" Target="https://youtu.be/_l9VYYQ7yF0" TargetMode="External"/><Relationship Id="rId323" Type="http://schemas.openxmlformats.org/officeDocument/2006/relationships/hyperlink" Target="https://youtu.be/thRo6NN8sCU?t=903" TargetMode="External"/><Relationship Id="rId201" Type="http://schemas.openxmlformats.org/officeDocument/2006/relationships/hyperlink" Target="https://youtu.be/KXbMNXH62N0" TargetMode="External"/><Relationship Id="rId322" Type="http://schemas.openxmlformats.org/officeDocument/2006/relationships/hyperlink" Target="https://youtu.be/ibeSDXlDg9U" TargetMode="External"/><Relationship Id="rId200" Type="http://schemas.openxmlformats.org/officeDocument/2006/relationships/hyperlink" Target="https://youtu.be/zyvqkcDopzw?t=7014" TargetMode="External"/><Relationship Id="rId321" Type="http://schemas.openxmlformats.org/officeDocument/2006/relationships/hyperlink" Target="https://youtu.be/thRo6NN8sCU" TargetMode="External"/><Relationship Id="rId320" Type="http://schemas.openxmlformats.org/officeDocument/2006/relationships/hyperlink" Target="https://youtu.be/er7GsqWyyb0?t=8690" TargetMode="External"/><Relationship Id="rId316" Type="http://schemas.openxmlformats.org/officeDocument/2006/relationships/hyperlink" Target="https://youtu.be/er7GsqWyyb0?t=6680" TargetMode="External"/><Relationship Id="rId315" Type="http://schemas.openxmlformats.org/officeDocument/2006/relationships/hyperlink" Target="https://youtu.be/MhqJ66SFAb8?t=6745" TargetMode="External"/><Relationship Id="rId314" Type="http://schemas.openxmlformats.org/officeDocument/2006/relationships/hyperlink" Target="https://youtu.be/er7GsqWyyb0?t=5747" TargetMode="External"/><Relationship Id="rId313" Type="http://schemas.openxmlformats.org/officeDocument/2006/relationships/hyperlink" Target="https://youtu.be/MhqJ66SFAb8?t=5770" TargetMode="External"/><Relationship Id="rId319" Type="http://schemas.openxmlformats.org/officeDocument/2006/relationships/hyperlink" Target="https://youtu.be/MhqJ66SFAb8?t=8665" TargetMode="External"/><Relationship Id="rId318" Type="http://schemas.openxmlformats.org/officeDocument/2006/relationships/hyperlink" Target="https://youtu.be/er7GsqWyyb0?t=7763" TargetMode="External"/><Relationship Id="rId317" Type="http://schemas.openxmlformats.org/officeDocument/2006/relationships/hyperlink" Target="https://youtu.be/MhqJ66SFAb8?t=7695" TargetMode="External"/><Relationship Id="rId312" Type="http://schemas.openxmlformats.org/officeDocument/2006/relationships/hyperlink" Target="https://youtu.be/er7GsqWyyb0?t=4808" TargetMode="External"/><Relationship Id="rId311" Type="http://schemas.openxmlformats.org/officeDocument/2006/relationships/hyperlink" Target="https://youtu.be/MhqJ66SFAb8?t=4800" TargetMode="External"/><Relationship Id="rId310" Type="http://schemas.openxmlformats.org/officeDocument/2006/relationships/hyperlink" Target="https://youtu.be/er7GsqWyyb0?t=3730" TargetMode="External"/></Relationships>
</file>

<file path=xl/worksheets/_rels/sheet3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scHpGGHCbJo?t=8552" TargetMode="External"/><Relationship Id="rId190" Type="http://schemas.openxmlformats.org/officeDocument/2006/relationships/hyperlink" Target="https://youtu.be/WFAoSSrxqK0?t=6869" TargetMode="External"/><Relationship Id="rId42" Type="http://schemas.openxmlformats.org/officeDocument/2006/relationships/hyperlink" Target="https://youtu.be/bxrjgDIhjrI" TargetMode="External"/><Relationship Id="rId41" Type="http://schemas.openxmlformats.org/officeDocument/2006/relationships/hyperlink" Target="https://youtu.be/FTLEZv1osLo" TargetMode="External"/><Relationship Id="rId44" Type="http://schemas.openxmlformats.org/officeDocument/2006/relationships/hyperlink" Target="https://youtu.be/bxrjgDIhjrI?t=793" TargetMode="External"/><Relationship Id="rId194" Type="http://schemas.openxmlformats.org/officeDocument/2006/relationships/hyperlink" Target="https://youtu.be/VDjeIaJX7Wg" TargetMode="External"/><Relationship Id="rId43" Type="http://schemas.openxmlformats.org/officeDocument/2006/relationships/hyperlink" Target="https://youtu.be/FTLEZv1osLo?t=1292" TargetMode="External"/><Relationship Id="rId193" Type="http://schemas.openxmlformats.org/officeDocument/2006/relationships/hyperlink" Target="https://youtu.be/ChoZCkyrVEM" TargetMode="External"/><Relationship Id="rId46" Type="http://schemas.openxmlformats.org/officeDocument/2006/relationships/hyperlink" Target="https://youtu.be/bxrjgDIhjrI?t=1612" TargetMode="External"/><Relationship Id="rId192" Type="http://schemas.openxmlformats.org/officeDocument/2006/relationships/hyperlink" Target="https://youtu.be/WFAoSSrxqK0?t=7721" TargetMode="External"/><Relationship Id="rId45" Type="http://schemas.openxmlformats.org/officeDocument/2006/relationships/hyperlink" Target="https://youtu.be/FTLEZv1osLo?t=2137" TargetMode="External"/><Relationship Id="rId191" Type="http://schemas.openxmlformats.org/officeDocument/2006/relationships/hyperlink" Target="https://youtu.be/H5yyi4-LSP0?t=7681" TargetMode="External"/><Relationship Id="rId48" Type="http://schemas.openxmlformats.org/officeDocument/2006/relationships/hyperlink" Target="https://youtu.be/bxrjgDIhjrI?t=2436" TargetMode="External"/><Relationship Id="rId187" Type="http://schemas.openxmlformats.org/officeDocument/2006/relationships/hyperlink" Target="https://youtu.be/H5yyi4-LSP0?t=6000" TargetMode="External"/><Relationship Id="rId47" Type="http://schemas.openxmlformats.org/officeDocument/2006/relationships/hyperlink" Target="https://youtu.be/FTLEZv1osLo?t=2982" TargetMode="External"/><Relationship Id="rId186" Type="http://schemas.openxmlformats.org/officeDocument/2006/relationships/hyperlink" Target="https://youtu.be/WFAoSSrxqK0?t=5229" TargetMode="External"/><Relationship Id="rId185" Type="http://schemas.openxmlformats.org/officeDocument/2006/relationships/hyperlink" Target="https://youtu.be/H5yyi4-LSP0?t=5170" TargetMode="External"/><Relationship Id="rId49" Type="http://schemas.openxmlformats.org/officeDocument/2006/relationships/hyperlink" Target="https://youtu.be/FTLEZv1osLo?t=3816" TargetMode="External"/><Relationship Id="rId184" Type="http://schemas.openxmlformats.org/officeDocument/2006/relationships/hyperlink" Target="https://youtu.be/WFAoSSrxqK0?t=4371" TargetMode="External"/><Relationship Id="rId189" Type="http://schemas.openxmlformats.org/officeDocument/2006/relationships/hyperlink" Target="https://youtu.be/H5yyi4-LSP0?t=6835" TargetMode="External"/><Relationship Id="rId188" Type="http://schemas.openxmlformats.org/officeDocument/2006/relationships/hyperlink" Target="https://youtu.be/WFAoSSrxqK0?t=6019" TargetMode="External"/><Relationship Id="rId31" Type="http://schemas.openxmlformats.org/officeDocument/2006/relationships/hyperlink" Target="https://youtu.be/BdfoUScKhng?t=4772" TargetMode="External"/><Relationship Id="rId30" Type="http://schemas.openxmlformats.org/officeDocument/2006/relationships/hyperlink" Target="https://youtu.be/scHpGGHCbJo?t=3914" TargetMode="External"/><Relationship Id="rId33" Type="http://schemas.openxmlformats.org/officeDocument/2006/relationships/hyperlink" Target="https://youtu.be/BdfoUScKhng?t=5747" TargetMode="External"/><Relationship Id="rId183" Type="http://schemas.openxmlformats.org/officeDocument/2006/relationships/hyperlink" Target="https://youtu.be/H5yyi4-LSP0?t=4349" TargetMode="External"/><Relationship Id="rId32" Type="http://schemas.openxmlformats.org/officeDocument/2006/relationships/hyperlink" Target="https://youtu.be/scHpGGHCbJo?t=4830" TargetMode="External"/><Relationship Id="rId182" Type="http://schemas.openxmlformats.org/officeDocument/2006/relationships/hyperlink" Target="https://youtu.be/WFAoSSrxqK0?t=3514" TargetMode="External"/><Relationship Id="rId35" Type="http://schemas.openxmlformats.org/officeDocument/2006/relationships/hyperlink" Target="https://youtu.be/BdfoUScKhng?t=6666" TargetMode="External"/><Relationship Id="rId181" Type="http://schemas.openxmlformats.org/officeDocument/2006/relationships/hyperlink" Target="https://youtu.be/H5yyi4-LSP0?t=3473" TargetMode="External"/><Relationship Id="rId34" Type="http://schemas.openxmlformats.org/officeDocument/2006/relationships/hyperlink" Target="https://youtu.be/scHpGGHCbJo?t=5753" TargetMode="External"/><Relationship Id="rId180" Type="http://schemas.openxmlformats.org/officeDocument/2006/relationships/hyperlink" Target="https://youtu.be/WFAoSSrxqK0?t=2656" TargetMode="External"/><Relationship Id="rId37" Type="http://schemas.openxmlformats.org/officeDocument/2006/relationships/hyperlink" Target="https://youtu.be/BdfoUScKhng?t=7589" TargetMode="External"/><Relationship Id="rId176" Type="http://schemas.openxmlformats.org/officeDocument/2006/relationships/hyperlink" Target="https://youtu.be/WFAoSSrxqK0?t=894" TargetMode="External"/><Relationship Id="rId297" Type="http://schemas.openxmlformats.org/officeDocument/2006/relationships/hyperlink" Target="https://youtu.be/ljOlwh8TiLg?t=5563" TargetMode="External"/><Relationship Id="rId36" Type="http://schemas.openxmlformats.org/officeDocument/2006/relationships/hyperlink" Target="https://youtu.be/scHpGGHCbJo?t=6687" TargetMode="External"/><Relationship Id="rId175" Type="http://schemas.openxmlformats.org/officeDocument/2006/relationships/hyperlink" Target="https://youtu.be/H5yyi4-LSP0?t=890" TargetMode="External"/><Relationship Id="rId296" Type="http://schemas.openxmlformats.org/officeDocument/2006/relationships/hyperlink" Target="https://youtu.be/RUGK9pAudBI?t=5609" TargetMode="External"/><Relationship Id="rId39" Type="http://schemas.openxmlformats.org/officeDocument/2006/relationships/hyperlink" Target="https://youtu.be/BdfoUScKhng?t=8498" TargetMode="External"/><Relationship Id="rId174" Type="http://schemas.openxmlformats.org/officeDocument/2006/relationships/hyperlink" Target="https://youtu.be/WFAoSSrxqK0?t=1" TargetMode="External"/><Relationship Id="rId295" Type="http://schemas.openxmlformats.org/officeDocument/2006/relationships/hyperlink" Target="https://youtu.be/ljOlwh8TiLg?t=4659" TargetMode="External"/><Relationship Id="rId38" Type="http://schemas.openxmlformats.org/officeDocument/2006/relationships/hyperlink" Target="https://youtu.be/scHpGGHCbJo?t=7591" TargetMode="External"/><Relationship Id="rId173" Type="http://schemas.openxmlformats.org/officeDocument/2006/relationships/hyperlink" Target="https://youtu.be/H5yyi4-LSP0" TargetMode="External"/><Relationship Id="rId294" Type="http://schemas.openxmlformats.org/officeDocument/2006/relationships/hyperlink" Target="https://youtu.be/RUGK9pAudBI?t=4639" TargetMode="External"/><Relationship Id="rId179" Type="http://schemas.openxmlformats.org/officeDocument/2006/relationships/hyperlink" Target="https://youtu.be/H5yyi4-LSP0?t=2632" TargetMode="External"/><Relationship Id="rId178" Type="http://schemas.openxmlformats.org/officeDocument/2006/relationships/hyperlink" Target="https://youtu.be/WFAoSSrxqK0?t=1752" TargetMode="External"/><Relationship Id="rId299" Type="http://schemas.openxmlformats.org/officeDocument/2006/relationships/hyperlink" Target="https://youtu.be/ljOlwh8TiLg?t=6462" TargetMode="External"/><Relationship Id="rId177" Type="http://schemas.openxmlformats.org/officeDocument/2006/relationships/hyperlink" Target="https://youtu.be/H5yyi4-LSP0?t=1755" TargetMode="External"/><Relationship Id="rId298" Type="http://schemas.openxmlformats.org/officeDocument/2006/relationships/hyperlink" Target="https://youtu.be/RUGK9pAudBI?t=6511" TargetMode="External"/><Relationship Id="rId20" Type="http://schemas.openxmlformats.org/officeDocument/2006/relationships/hyperlink" Target="https://youtu.be/vxgJ-E_JRwU?t=7707" TargetMode="External"/><Relationship Id="rId22" Type="http://schemas.openxmlformats.org/officeDocument/2006/relationships/hyperlink" Target="https://youtu.be/scHpGGHCbJo" TargetMode="External"/><Relationship Id="rId21" Type="http://schemas.openxmlformats.org/officeDocument/2006/relationships/hyperlink" Target="https://youtu.be/BdfoUScKhng" TargetMode="External"/><Relationship Id="rId24" Type="http://schemas.openxmlformats.org/officeDocument/2006/relationships/hyperlink" Target="https://youtu.be/scHpGGHCbJo?t=1033" TargetMode="External"/><Relationship Id="rId23" Type="http://schemas.openxmlformats.org/officeDocument/2006/relationships/hyperlink" Target="https://youtu.be/BdfoUScKhng?t=1032" TargetMode="External"/><Relationship Id="rId26" Type="http://schemas.openxmlformats.org/officeDocument/2006/relationships/hyperlink" Target="https://youtu.be/scHpGGHCbJo?t=2013" TargetMode="External"/><Relationship Id="rId25" Type="http://schemas.openxmlformats.org/officeDocument/2006/relationships/hyperlink" Target="https://youtu.be/BdfoUScKhng?t=1962" TargetMode="External"/><Relationship Id="rId28" Type="http://schemas.openxmlformats.org/officeDocument/2006/relationships/hyperlink" Target="https://youtu.be/scHpGGHCbJo?t=2957" TargetMode="External"/><Relationship Id="rId27" Type="http://schemas.openxmlformats.org/officeDocument/2006/relationships/hyperlink" Target="https://youtu.be/BdfoUScKhng?t=2885" TargetMode="External"/><Relationship Id="rId29" Type="http://schemas.openxmlformats.org/officeDocument/2006/relationships/hyperlink" Target="https://youtu.be/BdfoUScKhng?t=3819" TargetMode="External"/><Relationship Id="rId11" Type="http://schemas.openxmlformats.org/officeDocument/2006/relationships/hyperlink" Target="https://youtu.be/2INYorg3548?t=4848" TargetMode="External"/><Relationship Id="rId10" Type="http://schemas.openxmlformats.org/officeDocument/2006/relationships/hyperlink" Target="https://youtu.be/vxgJ-E_JRwU?t=3473" TargetMode="External"/><Relationship Id="rId13" Type="http://schemas.openxmlformats.org/officeDocument/2006/relationships/hyperlink" Target="https://youtu.be/2INYorg3548?t=5699" TargetMode="External"/><Relationship Id="rId12" Type="http://schemas.openxmlformats.org/officeDocument/2006/relationships/hyperlink" Target="https://youtu.be/vxgJ-E_JRwU?t=4238" TargetMode="External"/><Relationship Id="rId15" Type="http://schemas.openxmlformats.org/officeDocument/2006/relationships/hyperlink" Target="https://youtu.be/2INYorg3548?t=6525" TargetMode="External"/><Relationship Id="rId198" Type="http://schemas.openxmlformats.org/officeDocument/2006/relationships/hyperlink" Target="https://youtu.be/ChoZCkyrVEM?t=2529" TargetMode="External"/><Relationship Id="rId14" Type="http://schemas.openxmlformats.org/officeDocument/2006/relationships/hyperlink" Target="https://youtu.be/vxgJ-E_JRwU?t=5032" TargetMode="External"/><Relationship Id="rId197" Type="http://schemas.openxmlformats.org/officeDocument/2006/relationships/hyperlink" Target="https://youtu.be/VDjeIaJX7Wg?t=1909" TargetMode="External"/><Relationship Id="rId17" Type="http://schemas.openxmlformats.org/officeDocument/2006/relationships/hyperlink" Target="https://youtu.be/2INYorg3548?t=7391" TargetMode="External"/><Relationship Id="rId196" Type="http://schemas.openxmlformats.org/officeDocument/2006/relationships/hyperlink" Target="https://youtu.be/ChoZCkyrVEM?t=1709" TargetMode="External"/><Relationship Id="rId16" Type="http://schemas.openxmlformats.org/officeDocument/2006/relationships/hyperlink" Target="https://youtu.be/vxgJ-E_JRwU?t=5923" TargetMode="External"/><Relationship Id="rId195" Type="http://schemas.openxmlformats.org/officeDocument/2006/relationships/hyperlink" Target="https://youtu.be/VDjeIaJX7Wg?t=928" TargetMode="External"/><Relationship Id="rId19" Type="http://schemas.openxmlformats.org/officeDocument/2006/relationships/hyperlink" Target="https://youtu.be/2INYorg3548?t=8295" TargetMode="External"/><Relationship Id="rId18" Type="http://schemas.openxmlformats.org/officeDocument/2006/relationships/hyperlink" Target="https://youtu.be/vxgJ-E_JRwU?t=6818" TargetMode="External"/><Relationship Id="rId199" Type="http://schemas.openxmlformats.org/officeDocument/2006/relationships/hyperlink" Target="https://youtu.be/VDjeIaJX7Wg?t=2724" TargetMode="External"/><Relationship Id="rId84" Type="http://schemas.openxmlformats.org/officeDocument/2006/relationships/hyperlink" Target="https://youtu.be/Rf1f_8kUfm8?t=967" TargetMode="External"/><Relationship Id="rId83" Type="http://schemas.openxmlformats.org/officeDocument/2006/relationships/hyperlink" Target="https://youtu.be/nTT0J84fu4c?t=1063" TargetMode="External"/><Relationship Id="rId86" Type="http://schemas.openxmlformats.org/officeDocument/2006/relationships/hyperlink" Target="https://youtu.be/Rf1f_8kUfm8?t=1909" TargetMode="External"/><Relationship Id="rId85" Type="http://schemas.openxmlformats.org/officeDocument/2006/relationships/hyperlink" Target="https://youtu.be/nTT0J84fu4c?t=1986" TargetMode="External"/><Relationship Id="rId88" Type="http://schemas.openxmlformats.org/officeDocument/2006/relationships/hyperlink" Target="https://youtu.be/Rf1f_8kUfm8?t=2833" TargetMode="External"/><Relationship Id="rId150" Type="http://schemas.openxmlformats.org/officeDocument/2006/relationships/hyperlink" Target="https://youtu.be/4owqlGgT_Kc?t=3516" TargetMode="External"/><Relationship Id="rId271" Type="http://schemas.openxmlformats.org/officeDocument/2006/relationships/hyperlink" Target="https://youtu.be/yfqkualiDnk?t=2685" TargetMode="External"/><Relationship Id="rId87" Type="http://schemas.openxmlformats.org/officeDocument/2006/relationships/hyperlink" Target="https://youtu.be/nTT0J84fu4c?t=2834" TargetMode="External"/><Relationship Id="rId270" Type="http://schemas.openxmlformats.org/officeDocument/2006/relationships/hyperlink" Target="https://youtu.be/oesgCBY4EqA?t=2585" TargetMode="External"/><Relationship Id="rId89" Type="http://schemas.openxmlformats.org/officeDocument/2006/relationships/hyperlink" Target="https://youtu.be/nTT0J84fu4c?t=3721" TargetMode="External"/><Relationship Id="rId80" Type="http://schemas.openxmlformats.org/officeDocument/2006/relationships/hyperlink" Target="https://youtu.be/ge8uX5w1WbY?t=8622" TargetMode="External"/><Relationship Id="rId82" Type="http://schemas.openxmlformats.org/officeDocument/2006/relationships/hyperlink" Target="https://youtu.be/Rf1f_8kUfm8" TargetMode="External"/><Relationship Id="rId81" Type="http://schemas.openxmlformats.org/officeDocument/2006/relationships/hyperlink" Target="https://youtu.be/nTT0J84fu4c" TargetMode="External"/><Relationship Id="rId1" Type="http://schemas.openxmlformats.org/officeDocument/2006/relationships/hyperlink" Target="https://youtu.be/2INYorg3548" TargetMode="External"/><Relationship Id="rId2" Type="http://schemas.openxmlformats.org/officeDocument/2006/relationships/hyperlink" Target="https://youtu.be/vxgJ-E_JRwU" TargetMode="External"/><Relationship Id="rId3" Type="http://schemas.openxmlformats.org/officeDocument/2006/relationships/hyperlink" Target="https://youtu.be/2INYorg3548?t=1431" TargetMode="External"/><Relationship Id="rId149" Type="http://schemas.openxmlformats.org/officeDocument/2006/relationships/hyperlink" Target="https://youtu.be/Am0gPSKzWJk?t=3445" TargetMode="External"/><Relationship Id="rId4" Type="http://schemas.openxmlformats.org/officeDocument/2006/relationships/hyperlink" Target="https://youtu.be/vxgJ-E_JRwU?t=891" TargetMode="External"/><Relationship Id="rId148" Type="http://schemas.openxmlformats.org/officeDocument/2006/relationships/hyperlink" Target="https://youtu.be/4owqlGgT_Kc?t=2623" TargetMode="External"/><Relationship Id="rId269" Type="http://schemas.openxmlformats.org/officeDocument/2006/relationships/hyperlink" Target="https://youtu.be/yfqkualiDnk?t=1836" TargetMode="External"/><Relationship Id="rId9" Type="http://schemas.openxmlformats.org/officeDocument/2006/relationships/hyperlink" Target="https://youtu.be/2INYorg3548?t=3998" TargetMode="External"/><Relationship Id="rId143" Type="http://schemas.openxmlformats.org/officeDocument/2006/relationships/hyperlink" Target="https://youtu.be/Am0gPSKzWJk?t=835" TargetMode="External"/><Relationship Id="rId264" Type="http://schemas.openxmlformats.org/officeDocument/2006/relationships/hyperlink" Target="https://youtu.be/oesgCBY4EqA" TargetMode="External"/><Relationship Id="rId142" Type="http://schemas.openxmlformats.org/officeDocument/2006/relationships/hyperlink" Target="https://youtu.be/4owqlGgT_Kc" TargetMode="External"/><Relationship Id="rId263" Type="http://schemas.openxmlformats.org/officeDocument/2006/relationships/hyperlink" Target="https://youtu.be/m88dGsJ9gTo?t=6884" TargetMode="External"/><Relationship Id="rId141" Type="http://schemas.openxmlformats.org/officeDocument/2006/relationships/hyperlink" Target="https://youtu.be/Am0gPSKzWJk" TargetMode="External"/><Relationship Id="rId262" Type="http://schemas.openxmlformats.org/officeDocument/2006/relationships/hyperlink" Target="https://youtu.be/A1WiS3WzMWw?t=7655" TargetMode="External"/><Relationship Id="rId140" Type="http://schemas.openxmlformats.org/officeDocument/2006/relationships/hyperlink" Target="https://youtu.be/cqzBSgAZMSU?t=8568" TargetMode="External"/><Relationship Id="rId261" Type="http://schemas.openxmlformats.org/officeDocument/2006/relationships/hyperlink" Target="https://youtu.be/m88dGsJ9gTo?t=6883" TargetMode="External"/><Relationship Id="rId5" Type="http://schemas.openxmlformats.org/officeDocument/2006/relationships/hyperlink" Target="https://youtu.be/2INYorg3548?t=2320" TargetMode="External"/><Relationship Id="rId147" Type="http://schemas.openxmlformats.org/officeDocument/2006/relationships/hyperlink" Target="https://youtu.be/Am0gPSKzWJk?t=2588" TargetMode="External"/><Relationship Id="rId268" Type="http://schemas.openxmlformats.org/officeDocument/2006/relationships/hyperlink" Target="https://youtu.be/oesgCBY4EqA?t=1727" TargetMode="External"/><Relationship Id="rId6" Type="http://schemas.openxmlformats.org/officeDocument/2006/relationships/hyperlink" Target="https://youtu.be/vxgJ-E_JRwU?t=1802" TargetMode="External"/><Relationship Id="rId146" Type="http://schemas.openxmlformats.org/officeDocument/2006/relationships/hyperlink" Target="https://youtu.be/4owqlGgT_Kc?t=1792" TargetMode="External"/><Relationship Id="rId267" Type="http://schemas.openxmlformats.org/officeDocument/2006/relationships/hyperlink" Target="https://youtu.be/yfqkualiDnk?t=946" TargetMode="External"/><Relationship Id="rId7" Type="http://schemas.openxmlformats.org/officeDocument/2006/relationships/hyperlink" Target="https://youtu.be/2INYorg3548?t=3168" TargetMode="External"/><Relationship Id="rId145" Type="http://schemas.openxmlformats.org/officeDocument/2006/relationships/hyperlink" Target="https://youtu.be/Am0gPSKzWJk?t=1729" TargetMode="External"/><Relationship Id="rId266" Type="http://schemas.openxmlformats.org/officeDocument/2006/relationships/hyperlink" Target="https://youtu.be/oesgCBY4EqA?t=848" TargetMode="External"/><Relationship Id="rId8" Type="http://schemas.openxmlformats.org/officeDocument/2006/relationships/hyperlink" Target="https://youtu.be/vxgJ-E_JRwU?t=2616" TargetMode="External"/><Relationship Id="rId144" Type="http://schemas.openxmlformats.org/officeDocument/2006/relationships/hyperlink" Target="https://youtu.be/4owqlGgT_Kc?t=941" TargetMode="External"/><Relationship Id="rId265" Type="http://schemas.openxmlformats.org/officeDocument/2006/relationships/hyperlink" Target="https://youtu.be/yfqkualiDnk" TargetMode="External"/><Relationship Id="rId73" Type="http://schemas.openxmlformats.org/officeDocument/2006/relationships/hyperlink" Target="https://youtu.be/HZzQL8WK0gc?t=5760" TargetMode="External"/><Relationship Id="rId72" Type="http://schemas.openxmlformats.org/officeDocument/2006/relationships/hyperlink" Target="https://youtu.be/ge8uX5w1WbY?t=4888" TargetMode="External"/><Relationship Id="rId75" Type="http://schemas.openxmlformats.org/officeDocument/2006/relationships/hyperlink" Target="https://youtu.be/HZzQL8WK0gc?t=6698" TargetMode="External"/><Relationship Id="rId74" Type="http://schemas.openxmlformats.org/officeDocument/2006/relationships/hyperlink" Target="https://youtu.be/ge8uX5w1WbY?t=5824" TargetMode="External"/><Relationship Id="rId77" Type="http://schemas.openxmlformats.org/officeDocument/2006/relationships/hyperlink" Target="https://youtu.be/HZzQL8WK0gc?t=7606" TargetMode="External"/><Relationship Id="rId260" Type="http://schemas.openxmlformats.org/officeDocument/2006/relationships/hyperlink" Target="https://youtu.be/A1WiS3WzMWw?t=6787" TargetMode="External"/><Relationship Id="rId76" Type="http://schemas.openxmlformats.org/officeDocument/2006/relationships/hyperlink" Target="https://youtu.be/ge8uX5w1WbY?t=6796" TargetMode="External"/><Relationship Id="rId79" Type="http://schemas.openxmlformats.org/officeDocument/2006/relationships/hyperlink" Target="https://youtu.be/HZzQL8WK0gc?t=8494" TargetMode="External"/><Relationship Id="rId78" Type="http://schemas.openxmlformats.org/officeDocument/2006/relationships/hyperlink" Target="https://youtu.be/ge8uX5w1WbY?t=7707" TargetMode="External"/><Relationship Id="rId71" Type="http://schemas.openxmlformats.org/officeDocument/2006/relationships/hyperlink" Target="https://youtu.be/HZzQL8WK0gc?t=4846" TargetMode="External"/><Relationship Id="rId70" Type="http://schemas.openxmlformats.org/officeDocument/2006/relationships/hyperlink" Target="https://youtu.be/ge8uX5w1WbY?t=3932" TargetMode="External"/><Relationship Id="rId139" Type="http://schemas.openxmlformats.org/officeDocument/2006/relationships/hyperlink" Target="https://youtu.be/jDPHU4gq8oM?t=8621" TargetMode="External"/><Relationship Id="rId138" Type="http://schemas.openxmlformats.org/officeDocument/2006/relationships/hyperlink" Target="https://youtu.be/cqzBSgAZMSU?t=7696" TargetMode="External"/><Relationship Id="rId259" Type="http://schemas.openxmlformats.org/officeDocument/2006/relationships/hyperlink" Target="https://youtu.be/m88dGsJ9gTo?t=6024" TargetMode="External"/><Relationship Id="rId137" Type="http://schemas.openxmlformats.org/officeDocument/2006/relationships/hyperlink" Target="https://youtu.be/jDPHU4gq8oM?t=7664" TargetMode="External"/><Relationship Id="rId258" Type="http://schemas.openxmlformats.org/officeDocument/2006/relationships/hyperlink" Target="https://youtu.be/A1WiS3WzMWw?t=6002" TargetMode="External"/><Relationship Id="rId132" Type="http://schemas.openxmlformats.org/officeDocument/2006/relationships/hyperlink" Target="https://youtu.be/cqzBSgAZMSU?t=4744" TargetMode="External"/><Relationship Id="rId253" Type="http://schemas.openxmlformats.org/officeDocument/2006/relationships/hyperlink" Target="https://youtu.be/m88dGsJ9gTo?t=3459" TargetMode="External"/><Relationship Id="rId131" Type="http://schemas.openxmlformats.org/officeDocument/2006/relationships/hyperlink" Target="https://youtu.be/jDPHU4gq8oM?t=4737" TargetMode="External"/><Relationship Id="rId252" Type="http://schemas.openxmlformats.org/officeDocument/2006/relationships/hyperlink" Target="https://youtu.be/A1WiS3WzMWw?t=3444" TargetMode="External"/><Relationship Id="rId130" Type="http://schemas.openxmlformats.org/officeDocument/2006/relationships/hyperlink" Target="https://youtu.be/cqzBSgAZMSU?t=3835" TargetMode="External"/><Relationship Id="rId251" Type="http://schemas.openxmlformats.org/officeDocument/2006/relationships/hyperlink" Target="https://youtu.be/m88dGsJ9gTo?t=2631" TargetMode="External"/><Relationship Id="rId250" Type="http://schemas.openxmlformats.org/officeDocument/2006/relationships/hyperlink" Target="https://youtu.be/A1WiS3WzMWw?t=2607" TargetMode="External"/><Relationship Id="rId136" Type="http://schemas.openxmlformats.org/officeDocument/2006/relationships/hyperlink" Target="https://youtu.be/cqzBSgAZMSU?t=6644" TargetMode="External"/><Relationship Id="rId257" Type="http://schemas.openxmlformats.org/officeDocument/2006/relationships/hyperlink" Target="https://youtu.be/m88dGsJ9gTo?t=5196" TargetMode="External"/><Relationship Id="rId135" Type="http://schemas.openxmlformats.org/officeDocument/2006/relationships/hyperlink" Target="https://youtu.be/jDPHU4gq8oM?t=6625" TargetMode="External"/><Relationship Id="rId256" Type="http://schemas.openxmlformats.org/officeDocument/2006/relationships/hyperlink" Target="https://youtu.be/A1WiS3WzMWw?t=5188" TargetMode="External"/><Relationship Id="rId134" Type="http://schemas.openxmlformats.org/officeDocument/2006/relationships/hyperlink" Target="https://youtu.be/cqzBSgAZMSU?t=5713" TargetMode="External"/><Relationship Id="rId255" Type="http://schemas.openxmlformats.org/officeDocument/2006/relationships/hyperlink" Target="https://youtu.be/m88dGsJ9gTo?t=4343" TargetMode="External"/><Relationship Id="rId133" Type="http://schemas.openxmlformats.org/officeDocument/2006/relationships/hyperlink" Target="https://youtu.be/jDPHU4gq8oM?t=5703" TargetMode="External"/><Relationship Id="rId254" Type="http://schemas.openxmlformats.org/officeDocument/2006/relationships/hyperlink" Target="https://youtu.be/A1WiS3WzMWw?t=4321" TargetMode="External"/><Relationship Id="rId62" Type="http://schemas.openxmlformats.org/officeDocument/2006/relationships/hyperlink" Target="https://youtu.be/ge8uX5w1WbY" TargetMode="External"/><Relationship Id="rId61" Type="http://schemas.openxmlformats.org/officeDocument/2006/relationships/hyperlink" Target="https://youtu.be/HZzQL8WK0gc" TargetMode="External"/><Relationship Id="rId64" Type="http://schemas.openxmlformats.org/officeDocument/2006/relationships/hyperlink" Target="https://youtu.be/ge8uX5w1WbY?t=1099" TargetMode="External"/><Relationship Id="rId63" Type="http://schemas.openxmlformats.org/officeDocument/2006/relationships/hyperlink" Target="https://youtu.be/HZzQL8WK0gc?t=1012" TargetMode="External"/><Relationship Id="rId66" Type="http://schemas.openxmlformats.org/officeDocument/2006/relationships/hyperlink" Target="https://youtu.be/ge8uX5w1WbY?t=2028" TargetMode="External"/><Relationship Id="rId172" Type="http://schemas.openxmlformats.org/officeDocument/2006/relationships/hyperlink" Target="https://youtu.be/SRdrKsVYW4c?t=5658" TargetMode="External"/><Relationship Id="rId293" Type="http://schemas.openxmlformats.org/officeDocument/2006/relationships/hyperlink" Target="https://youtu.be/ljOlwh8TiLg?t=3695" TargetMode="External"/><Relationship Id="rId65" Type="http://schemas.openxmlformats.org/officeDocument/2006/relationships/hyperlink" Target="https://youtu.be/HZzQL8WK0gc?t=1966" TargetMode="External"/><Relationship Id="rId171" Type="http://schemas.openxmlformats.org/officeDocument/2006/relationships/hyperlink" Target="https://youtu.be/SRdrKsVYW4c?t=4801" TargetMode="External"/><Relationship Id="rId292" Type="http://schemas.openxmlformats.org/officeDocument/2006/relationships/hyperlink" Target="https://youtu.be/RUGK9pAudBI?t=3743" TargetMode="External"/><Relationship Id="rId68" Type="http://schemas.openxmlformats.org/officeDocument/2006/relationships/hyperlink" Target="https://youtu.be/ge8uX5w1WbY?t=3018" TargetMode="External"/><Relationship Id="rId170" Type="http://schemas.openxmlformats.org/officeDocument/2006/relationships/hyperlink" Target="https://youtu.be/HrZKhmoDAoo?t=8316" TargetMode="External"/><Relationship Id="rId291" Type="http://schemas.openxmlformats.org/officeDocument/2006/relationships/hyperlink" Target="https://youtu.be/ljOlwh8TiLg?t=2737" TargetMode="External"/><Relationship Id="rId67" Type="http://schemas.openxmlformats.org/officeDocument/2006/relationships/hyperlink" Target="https://youtu.be/HZzQL8WK0gc?t=2879" TargetMode="External"/><Relationship Id="rId290" Type="http://schemas.openxmlformats.org/officeDocument/2006/relationships/hyperlink" Target="https://youtu.be/RUGK9pAudBI?t=2826" TargetMode="External"/><Relationship Id="rId60" Type="http://schemas.openxmlformats.org/officeDocument/2006/relationships/hyperlink" Target="https://youtu.be/bxrjgDIhjrI?t=7519" TargetMode="External"/><Relationship Id="rId165" Type="http://schemas.openxmlformats.org/officeDocument/2006/relationships/hyperlink" Target="https://youtu.be/SRdrKsVYW4c" TargetMode="External"/><Relationship Id="rId286" Type="http://schemas.openxmlformats.org/officeDocument/2006/relationships/hyperlink" Target="https://youtu.be/RUGK9pAudBI?t=1022" TargetMode="External"/><Relationship Id="rId69" Type="http://schemas.openxmlformats.org/officeDocument/2006/relationships/hyperlink" Target="https://youtu.be/HZzQL8WK0gc?t=3843" TargetMode="External"/><Relationship Id="rId164" Type="http://schemas.openxmlformats.org/officeDocument/2006/relationships/hyperlink" Target="https://youtu.be/HrZKhmoDAoo?t=3709" TargetMode="External"/><Relationship Id="rId285" Type="http://schemas.openxmlformats.org/officeDocument/2006/relationships/hyperlink" Target="https://youtu.be/ljOlwh8TiLg" TargetMode="External"/><Relationship Id="rId163" Type="http://schemas.openxmlformats.org/officeDocument/2006/relationships/hyperlink" Target="https://youtu.be/HrZKhmoDAoo?t=2820" TargetMode="External"/><Relationship Id="rId284" Type="http://schemas.openxmlformats.org/officeDocument/2006/relationships/hyperlink" Target="https://youtu.be/RUGK9pAudBI" TargetMode="External"/><Relationship Id="rId162" Type="http://schemas.openxmlformats.org/officeDocument/2006/relationships/hyperlink" Target="https://youtu.be/HrZKhmoDAoo?t=1916" TargetMode="External"/><Relationship Id="rId283" Type="http://schemas.openxmlformats.org/officeDocument/2006/relationships/hyperlink" Target="https://youtu.be/yfqkualiDnk?t=7900" TargetMode="External"/><Relationship Id="rId169" Type="http://schemas.openxmlformats.org/officeDocument/2006/relationships/hyperlink" Target="https://youtu.be/HrZKhmoDAoo?t=7467" TargetMode="External"/><Relationship Id="rId168" Type="http://schemas.openxmlformats.org/officeDocument/2006/relationships/hyperlink" Target="https://youtu.be/HrZKhmoDAoo?t=6553" TargetMode="External"/><Relationship Id="rId289" Type="http://schemas.openxmlformats.org/officeDocument/2006/relationships/hyperlink" Target="https://youtu.be/ljOlwh8TiLg?t=1803" TargetMode="External"/><Relationship Id="rId167" Type="http://schemas.openxmlformats.org/officeDocument/2006/relationships/hyperlink" Target="https://youtu.be/HrZKhmoDAoo?t=5565" TargetMode="External"/><Relationship Id="rId288" Type="http://schemas.openxmlformats.org/officeDocument/2006/relationships/hyperlink" Target="https://youtu.be/RUGK9pAudBI?t=1939" TargetMode="External"/><Relationship Id="rId166" Type="http://schemas.openxmlformats.org/officeDocument/2006/relationships/hyperlink" Target="https://youtu.be/SRdrKsVYW4c?t=1027" TargetMode="External"/><Relationship Id="rId287" Type="http://schemas.openxmlformats.org/officeDocument/2006/relationships/hyperlink" Target="https://youtu.be/ljOlwh8TiLg?t=875" TargetMode="External"/><Relationship Id="rId51" Type="http://schemas.openxmlformats.org/officeDocument/2006/relationships/hyperlink" Target="https://youtu.be/FTLEZv1osLo?t=4660" TargetMode="External"/><Relationship Id="rId50" Type="http://schemas.openxmlformats.org/officeDocument/2006/relationships/hyperlink" Target="https://youtu.be/bxrjgDIhjrI?t=3290" TargetMode="External"/><Relationship Id="rId53" Type="http://schemas.openxmlformats.org/officeDocument/2006/relationships/hyperlink" Target="https://youtu.be/FTLEZv1osLo?t=5515" TargetMode="External"/><Relationship Id="rId52" Type="http://schemas.openxmlformats.org/officeDocument/2006/relationships/hyperlink" Target="https://youtu.be/bxrjgDIhjrI?t=4126" TargetMode="External"/><Relationship Id="rId55" Type="http://schemas.openxmlformats.org/officeDocument/2006/relationships/hyperlink" Target="https://youtu.be/FTLEZv1osLo?t=6355" TargetMode="External"/><Relationship Id="rId161" Type="http://schemas.openxmlformats.org/officeDocument/2006/relationships/hyperlink" Target="https://youtu.be/HrZKhmoDAoo?t=1038" TargetMode="External"/><Relationship Id="rId282" Type="http://schemas.openxmlformats.org/officeDocument/2006/relationships/hyperlink" Target="https://youtu.be/oesgCBY4EqA?t=7847" TargetMode="External"/><Relationship Id="rId54" Type="http://schemas.openxmlformats.org/officeDocument/2006/relationships/hyperlink" Target="https://youtu.be/bxrjgDIhjrI?t=4976" TargetMode="External"/><Relationship Id="rId160" Type="http://schemas.openxmlformats.org/officeDocument/2006/relationships/hyperlink" Target="https://youtu.be/4owqlGgT_Kc?t=7769" TargetMode="External"/><Relationship Id="rId281" Type="http://schemas.openxmlformats.org/officeDocument/2006/relationships/hyperlink" Target="https://youtu.be/yfqkualiDnk?t=7018" TargetMode="External"/><Relationship Id="rId57" Type="http://schemas.openxmlformats.org/officeDocument/2006/relationships/hyperlink" Target="https://youtu.be/FTLEZv1osLo?t=7257" TargetMode="External"/><Relationship Id="rId280" Type="http://schemas.openxmlformats.org/officeDocument/2006/relationships/hyperlink" Target="https://youtu.be/oesgCBY4EqA?t=7008" TargetMode="External"/><Relationship Id="rId56" Type="http://schemas.openxmlformats.org/officeDocument/2006/relationships/hyperlink" Target="https://youtu.be/bxrjgDIhjrI?t=5807" TargetMode="External"/><Relationship Id="rId159" Type="http://schemas.openxmlformats.org/officeDocument/2006/relationships/hyperlink" Target="https://youtu.be/Am0gPSKzWJk?t=7735" TargetMode="External"/><Relationship Id="rId59" Type="http://schemas.openxmlformats.org/officeDocument/2006/relationships/hyperlink" Target="https://youtu.be/FTLEZv1osLo?t=8096" TargetMode="External"/><Relationship Id="rId154" Type="http://schemas.openxmlformats.org/officeDocument/2006/relationships/hyperlink" Target="https://youtu.be/4owqlGgT_Kc?t=5206" TargetMode="External"/><Relationship Id="rId275" Type="http://schemas.openxmlformats.org/officeDocument/2006/relationships/hyperlink" Target="https://youtu.be/yfqkualiDnk?t=4385" TargetMode="External"/><Relationship Id="rId58" Type="http://schemas.openxmlformats.org/officeDocument/2006/relationships/hyperlink" Target="https://youtu.be/bxrjgDIhjrI?t=6687" TargetMode="External"/><Relationship Id="rId153" Type="http://schemas.openxmlformats.org/officeDocument/2006/relationships/hyperlink" Target="https://youtu.be/Am0gPSKzWJk?t=5173" TargetMode="External"/><Relationship Id="rId274" Type="http://schemas.openxmlformats.org/officeDocument/2006/relationships/hyperlink" Target="https://youtu.be/oesgCBY4EqA?t=4372" TargetMode="External"/><Relationship Id="rId152" Type="http://schemas.openxmlformats.org/officeDocument/2006/relationships/hyperlink" Target="https://youtu.be/4owqlGgT_Kc?t=4386" TargetMode="External"/><Relationship Id="rId273" Type="http://schemas.openxmlformats.org/officeDocument/2006/relationships/hyperlink" Target="https://youtu.be/yfqkualiDnk?t=3521" TargetMode="External"/><Relationship Id="rId151" Type="http://schemas.openxmlformats.org/officeDocument/2006/relationships/hyperlink" Target="https://youtu.be/Am0gPSKzWJk?t=4356" TargetMode="External"/><Relationship Id="rId272" Type="http://schemas.openxmlformats.org/officeDocument/2006/relationships/hyperlink" Target="https://youtu.be/oesgCBY4EqA?t=3494" TargetMode="External"/><Relationship Id="rId158" Type="http://schemas.openxmlformats.org/officeDocument/2006/relationships/hyperlink" Target="https://youtu.be/4owqlGgT_Kc?t=6900" TargetMode="External"/><Relationship Id="rId279" Type="http://schemas.openxmlformats.org/officeDocument/2006/relationships/hyperlink" Target="https://youtu.be/yfqkualiDnk?t=6206" TargetMode="External"/><Relationship Id="rId157" Type="http://schemas.openxmlformats.org/officeDocument/2006/relationships/hyperlink" Target="https://youtu.be/Am0gPSKzWJk?t=6900" TargetMode="External"/><Relationship Id="rId278" Type="http://schemas.openxmlformats.org/officeDocument/2006/relationships/hyperlink" Target="https://youtu.be/oesgCBY4EqA?t=6193" TargetMode="External"/><Relationship Id="rId156" Type="http://schemas.openxmlformats.org/officeDocument/2006/relationships/hyperlink" Target="https://youtu.be/4owqlGgT_Kc?t=6030" TargetMode="External"/><Relationship Id="rId277" Type="http://schemas.openxmlformats.org/officeDocument/2006/relationships/hyperlink" Target="https://youtu.be/yfqkualiDnk?t=5339" TargetMode="External"/><Relationship Id="rId155" Type="http://schemas.openxmlformats.org/officeDocument/2006/relationships/hyperlink" Target="https://youtu.be/Am0gPSKzWJk?t=6028" TargetMode="External"/><Relationship Id="rId276" Type="http://schemas.openxmlformats.org/officeDocument/2006/relationships/hyperlink" Target="https://youtu.be/oesgCBY4EqA?t=5311" TargetMode="External"/><Relationship Id="rId107" Type="http://schemas.openxmlformats.org/officeDocument/2006/relationships/hyperlink" Target="https://youtu.be/_R7EcBOfWyw?t=3035" TargetMode="External"/><Relationship Id="rId228" Type="http://schemas.openxmlformats.org/officeDocument/2006/relationships/hyperlink" Target="https://youtu.be/qOIypU8GJsI?t=2004" TargetMode="External"/><Relationship Id="rId106" Type="http://schemas.openxmlformats.org/officeDocument/2006/relationships/hyperlink" Target="https://youtu.be/1A7QYo-QgfI?t=2207" TargetMode="External"/><Relationship Id="rId227" Type="http://schemas.openxmlformats.org/officeDocument/2006/relationships/hyperlink" Target="https://youtu.be/SoW68DYylZ0?t=1035" TargetMode="External"/><Relationship Id="rId105" Type="http://schemas.openxmlformats.org/officeDocument/2006/relationships/hyperlink" Target="https://youtu.be/_R7EcBOfWyw?t=2247" TargetMode="External"/><Relationship Id="rId226" Type="http://schemas.openxmlformats.org/officeDocument/2006/relationships/hyperlink" Target="https://youtu.be/qOIypU8GJsI?t=1017" TargetMode="External"/><Relationship Id="rId104" Type="http://schemas.openxmlformats.org/officeDocument/2006/relationships/hyperlink" Target="https://youtu.be/1A7QYo-QgfI?t=1169" TargetMode="External"/><Relationship Id="rId225" Type="http://schemas.openxmlformats.org/officeDocument/2006/relationships/hyperlink" Target="https://youtu.be/SoW68DYylZ0" TargetMode="External"/><Relationship Id="rId109" Type="http://schemas.openxmlformats.org/officeDocument/2006/relationships/hyperlink" Target="https://youtu.be/_R7EcBOfWyw?t=3872" TargetMode="External"/><Relationship Id="rId108" Type="http://schemas.openxmlformats.org/officeDocument/2006/relationships/hyperlink" Target="https://youtu.be/1A7QYo-QgfI?t=3042" TargetMode="External"/><Relationship Id="rId229" Type="http://schemas.openxmlformats.org/officeDocument/2006/relationships/hyperlink" Target="https://youtu.be/SoW68DYylZ0?t=1964" TargetMode="External"/><Relationship Id="rId220" Type="http://schemas.openxmlformats.org/officeDocument/2006/relationships/hyperlink" Target="https://youtu.be/joStk3F7X2c?t=6560" TargetMode="External"/><Relationship Id="rId103" Type="http://schemas.openxmlformats.org/officeDocument/2006/relationships/hyperlink" Target="https://youtu.be/_R7EcBOfWyw?t=1401" TargetMode="External"/><Relationship Id="rId224" Type="http://schemas.openxmlformats.org/officeDocument/2006/relationships/hyperlink" Target="https://youtu.be/qOIypU8GJsI" TargetMode="External"/><Relationship Id="rId102" Type="http://schemas.openxmlformats.org/officeDocument/2006/relationships/hyperlink" Target="https://youtu.be/1A7QYo-QgfI?t=75" TargetMode="External"/><Relationship Id="rId223" Type="http://schemas.openxmlformats.org/officeDocument/2006/relationships/hyperlink" Target="https://youtu.be/2nhjM3-VbwY?t=5674" TargetMode="External"/><Relationship Id="rId101" Type="http://schemas.openxmlformats.org/officeDocument/2006/relationships/hyperlink" Target="https://youtu.be/_R7EcBOfWyw" TargetMode="External"/><Relationship Id="rId222" Type="http://schemas.openxmlformats.org/officeDocument/2006/relationships/hyperlink" Target="https://youtu.be/2nhjM3-VbwY?t=4765" TargetMode="External"/><Relationship Id="rId100" Type="http://schemas.openxmlformats.org/officeDocument/2006/relationships/hyperlink" Target="https://youtu.be/Rf1f_8kUfm8?t=8494" TargetMode="External"/><Relationship Id="rId221" Type="http://schemas.openxmlformats.org/officeDocument/2006/relationships/hyperlink" Target="https://youtu.be/joStk3F7X2c?t=7478" TargetMode="External"/><Relationship Id="rId217" Type="http://schemas.openxmlformats.org/officeDocument/2006/relationships/hyperlink" Target="https://youtu.be/2nhjM3-VbwY?t=1077" TargetMode="External"/><Relationship Id="rId216" Type="http://schemas.openxmlformats.org/officeDocument/2006/relationships/hyperlink" Target="https://youtu.be/2nhjM3-VbwY" TargetMode="External"/><Relationship Id="rId215" Type="http://schemas.openxmlformats.org/officeDocument/2006/relationships/hyperlink" Target="https://youtu.be/joStk3F7X2c?t=2851" TargetMode="External"/><Relationship Id="rId214" Type="http://schemas.openxmlformats.org/officeDocument/2006/relationships/hyperlink" Target="https://youtu.be/joStk3F7X2c?t=1988" TargetMode="External"/><Relationship Id="rId219" Type="http://schemas.openxmlformats.org/officeDocument/2006/relationships/hyperlink" Target="https://youtu.be/joStk3F7X2c?t=5634" TargetMode="External"/><Relationship Id="rId218" Type="http://schemas.openxmlformats.org/officeDocument/2006/relationships/hyperlink" Target="https://youtu.be/joStk3F7X2c?t=4693" TargetMode="External"/><Relationship Id="rId213" Type="http://schemas.openxmlformats.org/officeDocument/2006/relationships/hyperlink" Target="https://youtu.be/joStk3F7X2c?t=1071" TargetMode="External"/><Relationship Id="rId212" Type="http://schemas.openxmlformats.org/officeDocument/2006/relationships/hyperlink" Target="https://youtu.be/joStk3F7X2c" TargetMode="External"/><Relationship Id="rId211" Type="http://schemas.openxmlformats.org/officeDocument/2006/relationships/hyperlink" Target="https://youtu.be/VDjeIaJX7Wg?t=7791" TargetMode="External"/><Relationship Id="rId210" Type="http://schemas.openxmlformats.org/officeDocument/2006/relationships/hyperlink" Target="https://youtu.be/ChoZCkyrVEM?t=7793" TargetMode="External"/><Relationship Id="rId129" Type="http://schemas.openxmlformats.org/officeDocument/2006/relationships/hyperlink" Target="https://youtu.be/jDPHU4gq8oM?t=3789" TargetMode="External"/><Relationship Id="rId128" Type="http://schemas.openxmlformats.org/officeDocument/2006/relationships/hyperlink" Target="https://youtu.be/cqzBSgAZMSU?t=2915" TargetMode="External"/><Relationship Id="rId249" Type="http://schemas.openxmlformats.org/officeDocument/2006/relationships/hyperlink" Target="https://youtu.be/m88dGsJ9gTo?t=1813" TargetMode="External"/><Relationship Id="rId127" Type="http://schemas.openxmlformats.org/officeDocument/2006/relationships/hyperlink" Target="https://youtu.be/jDPHU4gq8oM?t=2853" TargetMode="External"/><Relationship Id="rId248" Type="http://schemas.openxmlformats.org/officeDocument/2006/relationships/hyperlink" Target="https://youtu.be/A1WiS3WzMWw?t=1807" TargetMode="External"/><Relationship Id="rId126" Type="http://schemas.openxmlformats.org/officeDocument/2006/relationships/hyperlink" Target="https://youtu.be/cqzBSgAZMSU?t=1981" TargetMode="External"/><Relationship Id="rId247" Type="http://schemas.openxmlformats.org/officeDocument/2006/relationships/hyperlink" Target="https://youtu.be/m88dGsJ9gTo?t=934" TargetMode="External"/><Relationship Id="rId121" Type="http://schemas.openxmlformats.org/officeDocument/2006/relationships/hyperlink" Target="https://youtu.be/jDPHU4gq8oM" TargetMode="External"/><Relationship Id="rId242" Type="http://schemas.openxmlformats.org/officeDocument/2006/relationships/hyperlink" Target="https://youtu.be/qOIypU8GJsI?t=8486" TargetMode="External"/><Relationship Id="rId120" Type="http://schemas.openxmlformats.org/officeDocument/2006/relationships/hyperlink" Target="https://youtu.be/1A7QYo-QgfI?t=8134" TargetMode="External"/><Relationship Id="rId241" Type="http://schemas.openxmlformats.org/officeDocument/2006/relationships/hyperlink" Target="https://youtu.be/SoW68DYylZ0?t=7541" TargetMode="External"/><Relationship Id="rId240" Type="http://schemas.openxmlformats.org/officeDocument/2006/relationships/hyperlink" Target="https://youtu.be/qOIypU8GJsI?t=7572" TargetMode="External"/><Relationship Id="rId125" Type="http://schemas.openxmlformats.org/officeDocument/2006/relationships/hyperlink" Target="https://youtu.be/jDPHU4gq8oM?t=1922" TargetMode="External"/><Relationship Id="rId246" Type="http://schemas.openxmlformats.org/officeDocument/2006/relationships/hyperlink" Target="https://youtu.be/A1WiS3WzMWw?t=928" TargetMode="External"/><Relationship Id="rId124" Type="http://schemas.openxmlformats.org/officeDocument/2006/relationships/hyperlink" Target="https://youtu.be/cqzBSgAZMSU?t=1017" TargetMode="External"/><Relationship Id="rId245" Type="http://schemas.openxmlformats.org/officeDocument/2006/relationships/hyperlink" Target="https://youtu.be/m88dGsJ9gTo?t=30" TargetMode="External"/><Relationship Id="rId123" Type="http://schemas.openxmlformats.org/officeDocument/2006/relationships/hyperlink" Target="https://youtu.be/jDPHU4gq8oM?t=1005" TargetMode="External"/><Relationship Id="rId244" Type="http://schemas.openxmlformats.org/officeDocument/2006/relationships/hyperlink" Target="https://youtu.be/A1WiS3WzMWw" TargetMode="External"/><Relationship Id="rId122" Type="http://schemas.openxmlformats.org/officeDocument/2006/relationships/hyperlink" Target="https://youtu.be/cqzBSgAZMSU" TargetMode="External"/><Relationship Id="rId243" Type="http://schemas.openxmlformats.org/officeDocument/2006/relationships/hyperlink" Target="https://youtu.be/SoW68DYylZ0?t=8486" TargetMode="External"/><Relationship Id="rId95" Type="http://schemas.openxmlformats.org/officeDocument/2006/relationships/hyperlink" Target="https://youtu.be/nTT0J84fu4c?t=6689" TargetMode="External"/><Relationship Id="rId94" Type="http://schemas.openxmlformats.org/officeDocument/2006/relationships/hyperlink" Target="https://youtu.be/Rf1f_8kUfm8?t=5622" TargetMode="External"/><Relationship Id="rId97" Type="http://schemas.openxmlformats.org/officeDocument/2006/relationships/hyperlink" Target="https://youtu.be/nTT0J84fu4c?t=7628" TargetMode="External"/><Relationship Id="rId96" Type="http://schemas.openxmlformats.org/officeDocument/2006/relationships/hyperlink" Target="https://youtu.be/Rf1f_8kUfm8?t=6567" TargetMode="External"/><Relationship Id="rId99" Type="http://schemas.openxmlformats.org/officeDocument/2006/relationships/hyperlink" Target="https://youtu.be/nTT0J84fu4c?t=8582" TargetMode="External"/><Relationship Id="rId98" Type="http://schemas.openxmlformats.org/officeDocument/2006/relationships/hyperlink" Target="https://youtu.be/Rf1f_8kUfm8?t=7527" TargetMode="External"/><Relationship Id="rId91" Type="http://schemas.openxmlformats.org/officeDocument/2006/relationships/hyperlink" Target="https://youtu.be/nTT0J84fu4c?t=4712" TargetMode="External"/><Relationship Id="rId90" Type="http://schemas.openxmlformats.org/officeDocument/2006/relationships/hyperlink" Target="https://youtu.be/Rf1f_8kUfm8?t=3784" TargetMode="External"/><Relationship Id="rId93" Type="http://schemas.openxmlformats.org/officeDocument/2006/relationships/hyperlink" Target="https://youtu.be/nTT0J84fu4c?t=5753" TargetMode="External"/><Relationship Id="rId92" Type="http://schemas.openxmlformats.org/officeDocument/2006/relationships/hyperlink" Target="https://youtu.be/Rf1f_8kUfm8?t=4678" TargetMode="External"/><Relationship Id="rId118" Type="http://schemas.openxmlformats.org/officeDocument/2006/relationships/hyperlink" Target="https://youtu.be/1A7QYo-QgfI?t=7330" TargetMode="External"/><Relationship Id="rId239" Type="http://schemas.openxmlformats.org/officeDocument/2006/relationships/hyperlink" Target="https://youtu.be/SoW68DYylZ0?t=6540" TargetMode="External"/><Relationship Id="rId117" Type="http://schemas.openxmlformats.org/officeDocument/2006/relationships/hyperlink" Target="https://youtu.be/_R7EcBOfWyw?t=7260" TargetMode="External"/><Relationship Id="rId238" Type="http://schemas.openxmlformats.org/officeDocument/2006/relationships/hyperlink" Target="https://youtu.be/qOIypU8GJsI?t=6669" TargetMode="External"/><Relationship Id="rId116" Type="http://schemas.openxmlformats.org/officeDocument/2006/relationships/hyperlink" Target="https://youtu.be/1A7QYo-QgfI?t=6529" TargetMode="External"/><Relationship Id="rId237" Type="http://schemas.openxmlformats.org/officeDocument/2006/relationships/hyperlink" Target="https://youtu.be/SoW68DYylZ0?t=5637" TargetMode="External"/><Relationship Id="rId115" Type="http://schemas.openxmlformats.org/officeDocument/2006/relationships/hyperlink" Target="https://youtu.be/_R7EcBOfWyw?t=6440" TargetMode="External"/><Relationship Id="rId236" Type="http://schemas.openxmlformats.org/officeDocument/2006/relationships/hyperlink" Target="https://youtu.be/qOIypU8GJsI?t=5697" TargetMode="External"/><Relationship Id="rId119" Type="http://schemas.openxmlformats.org/officeDocument/2006/relationships/hyperlink" Target="https://youtu.be/_R7EcBOfWyw?t=8093" TargetMode="External"/><Relationship Id="rId110" Type="http://schemas.openxmlformats.org/officeDocument/2006/relationships/hyperlink" Target="https://youtu.be/1A7QYo-QgfI?t=3938" TargetMode="External"/><Relationship Id="rId231" Type="http://schemas.openxmlformats.org/officeDocument/2006/relationships/hyperlink" Target="https://youtu.be/SoW68DYylZ0?t=2890" TargetMode="External"/><Relationship Id="rId230" Type="http://schemas.openxmlformats.org/officeDocument/2006/relationships/hyperlink" Target="https://youtu.be/qOIypU8GJsI?t=2913" TargetMode="External"/><Relationship Id="rId114" Type="http://schemas.openxmlformats.org/officeDocument/2006/relationships/hyperlink" Target="https://youtu.be/1A7QYo-QgfI?t=5695" TargetMode="External"/><Relationship Id="rId235" Type="http://schemas.openxmlformats.org/officeDocument/2006/relationships/hyperlink" Target="https://youtu.be/SoW68DYylZ0?t=4715" TargetMode="External"/><Relationship Id="rId113" Type="http://schemas.openxmlformats.org/officeDocument/2006/relationships/hyperlink" Target="https://youtu.be/_R7EcBOfWyw?t=5632" TargetMode="External"/><Relationship Id="rId234" Type="http://schemas.openxmlformats.org/officeDocument/2006/relationships/hyperlink" Target="https://youtu.be/qOIypU8GJsI?t=4754" TargetMode="External"/><Relationship Id="rId112" Type="http://schemas.openxmlformats.org/officeDocument/2006/relationships/hyperlink" Target="https://youtu.be/1A7QYo-QgfI?t=4859" TargetMode="External"/><Relationship Id="rId233" Type="http://schemas.openxmlformats.org/officeDocument/2006/relationships/hyperlink" Target="https://youtu.be/SoW68DYylZ0?t=3806" TargetMode="External"/><Relationship Id="rId111" Type="http://schemas.openxmlformats.org/officeDocument/2006/relationships/hyperlink" Target="https://youtu.be/_R7EcBOfWyw?t=4815" TargetMode="External"/><Relationship Id="rId232" Type="http://schemas.openxmlformats.org/officeDocument/2006/relationships/hyperlink" Target="https://youtu.be/qOIypU8GJsI?t=3855" TargetMode="External"/><Relationship Id="rId305" Type="http://schemas.openxmlformats.org/officeDocument/2006/relationships/hyperlink" Target="https://youtu.be/1aBjQTiRpQk" TargetMode="External"/><Relationship Id="rId304" Type="http://schemas.openxmlformats.org/officeDocument/2006/relationships/hyperlink" Target="https://youtu.be/Juf6wC4w9bU" TargetMode="External"/><Relationship Id="rId303" Type="http://schemas.openxmlformats.org/officeDocument/2006/relationships/hyperlink" Target="https://youtu.be/ljOlwh8TiLg?t=7309" TargetMode="External"/><Relationship Id="rId302" Type="http://schemas.openxmlformats.org/officeDocument/2006/relationships/hyperlink" Target="https://youtu.be/RUGK9pAudBI?t=8351" TargetMode="External"/><Relationship Id="rId309" Type="http://schemas.openxmlformats.org/officeDocument/2006/relationships/hyperlink" Target="https://youtu.be/1aBjQTiRpQk?t=1710" TargetMode="External"/><Relationship Id="rId308" Type="http://schemas.openxmlformats.org/officeDocument/2006/relationships/hyperlink" Target="https://youtu.be/Juf6wC4w9bU?t=1709" TargetMode="External"/><Relationship Id="rId307" Type="http://schemas.openxmlformats.org/officeDocument/2006/relationships/hyperlink" Target="https://youtu.be/1aBjQTiRpQk?t=902" TargetMode="External"/><Relationship Id="rId306" Type="http://schemas.openxmlformats.org/officeDocument/2006/relationships/hyperlink" Target="https://youtu.be/Juf6wC4w9bU?t=884" TargetMode="External"/><Relationship Id="rId301" Type="http://schemas.openxmlformats.org/officeDocument/2006/relationships/hyperlink" Target="https://youtu.be/ljOlwh8TiLg?t=7309" TargetMode="External"/><Relationship Id="rId300" Type="http://schemas.openxmlformats.org/officeDocument/2006/relationships/hyperlink" Target="https://youtu.be/RUGK9pAudBI?t=7437" TargetMode="External"/><Relationship Id="rId206" Type="http://schemas.openxmlformats.org/officeDocument/2006/relationships/hyperlink" Target="https://youtu.be/ChoZCkyrVEM?t=6151" TargetMode="External"/><Relationship Id="rId205" Type="http://schemas.openxmlformats.org/officeDocument/2006/relationships/hyperlink" Target="https://youtu.be/VDjeIaJX7Wg?t=5273" TargetMode="External"/><Relationship Id="rId204" Type="http://schemas.openxmlformats.org/officeDocument/2006/relationships/hyperlink" Target="https://youtu.be/ChoZCkyrVEM?t=5313" TargetMode="External"/><Relationship Id="rId203" Type="http://schemas.openxmlformats.org/officeDocument/2006/relationships/hyperlink" Target="https://youtu.be/VDjeIaJX7Wg?t=4437" TargetMode="External"/><Relationship Id="rId324" Type="http://schemas.openxmlformats.org/officeDocument/2006/relationships/drawing" Target="../drawings/drawing31.xml"/><Relationship Id="rId209" Type="http://schemas.openxmlformats.org/officeDocument/2006/relationships/hyperlink" Target="https://youtu.be/VDjeIaJX7Wg?t=6973" TargetMode="External"/><Relationship Id="rId208" Type="http://schemas.openxmlformats.org/officeDocument/2006/relationships/hyperlink" Target="https://youtu.be/ChoZCkyrVEM?t=6923" TargetMode="External"/><Relationship Id="rId207" Type="http://schemas.openxmlformats.org/officeDocument/2006/relationships/hyperlink" Target="https://youtu.be/VDjeIaJX7Wg?t=6119" TargetMode="External"/><Relationship Id="rId202" Type="http://schemas.openxmlformats.org/officeDocument/2006/relationships/hyperlink" Target="https://youtu.be/ChoZCkyrVEM?t=4462" TargetMode="External"/><Relationship Id="rId323" Type="http://schemas.openxmlformats.org/officeDocument/2006/relationships/hyperlink" Target="https://youtu.be/1aBjQTiRpQk?t=7439" TargetMode="External"/><Relationship Id="rId201" Type="http://schemas.openxmlformats.org/officeDocument/2006/relationships/hyperlink" Target="https://youtu.be/VDjeIaJX7Wg?t=3549" TargetMode="External"/><Relationship Id="rId322" Type="http://schemas.openxmlformats.org/officeDocument/2006/relationships/hyperlink" Target="https://youtu.be/Juf6wC4w9bU?t=7449" TargetMode="External"/><Relationship Id="rId200" Type="http://schemas.openxmlformats.org/officeDocument/2006/relationships/hyperlink" Target="https://youtu.be/ChoZCkyrVEM?t=3487" TargetMode="External"/><Relationship Id="rId321" Type="http://schemas.openxmlformats.org/officeDocument/2006/relationships/hyperlink" Target="https://youtu.be/1aBjQTiRpQk?t=6591" TargetMode="External"/><Relationship Id="rId320" Type="http://schemas.openxmlformats.org/officeDocument/2006/relationships/hyperlink" Target="https://youtu.be/Juf6wC4w9bU?t=6601" TargetMode="External"/><Relationship Id="rId316" Type="http://schemas.openxmlformats.org/officeDocument/2006/relationships/hyperlink" Target="https://youtu.be/Juf6wC4w9bU?t=4981" TargetMode="External"/><Relationship Id="rId315" Type="http://schemas.openxmlformats.org/officeDocument/2006/relationships/hyperlink" Target="https://youtu.be/1aBjQTiRpQk?t=4148" TargetMode="External"/><Relationship Id="rId314" Type="http://schemas.openxmlformats.org/officeDocument/2006/relationships/hyperlink" Target="https://youtu.be/Juf6wC4w9bU?t=4177" TargetMode="External"/><Relationship Id="rId313" Type="http://schemas.openxmlformats.org/officeDocument/2006/relationships/hyperlink" Target="https://youtu.be/1aBjQTiRpQk?t=3348" TargetMode="External"/><Relationship Id="rId319" Type="http://schemas.openxmlformats.org/officeDocument/2006/relationships/hyperlink" Target="https://youtu.be/1aBjQTiRpQk?t=5802" TargetMode="External"/><Relationship Id="rId318" Type="http://schemas.openxmlformats.org/officeDocument/2006/relationships/hyperlink" Target="https://youtu.be/Juf6wC4w9bU?t=5808" TargetMode="External"/><Relationship Id="rId317" Type="http://schemas.openxmlformats.org/officeDocument/2006/relationships/hyperlink" Target="https://youtu.be/1aBjQTiRpQk?t=4969" TargetMode="External"/><Relationship Id="rId312" Type="http://schemas.openxmlformats.org/officeDocument/2006/relationships/hyperlink" Target="https://youtu.be/Juf6wC4w9bU?t=3362" TargetMode="External"/><Relationship Id="rId311" Type="http://schemas.openxmlformats.org/officeDocument/2006/relationships/hyperlink" Target="https://youtu.be/1aBjQTiRpQk?t=2543" TargetMode="External"/><Relationship Id="rId310" Type="http://schemas.openxmlformats.org/officeDocument/2006/relationships/hyperlink" Target="https://youtu.be/Juf6wC4w9bU?t=2527" TargetMode="External"/></Relationships>
</file>

<file path=xl/worksheets/_rels/sheet3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7Bq_7RpkIIg?t=8530" TargetMode="External"/><Relationship Id="rId190" Type="http://schemas.openxmlformats.org/officeDocument/2006/relationships/hyperlink" Target="https://youtu.be/ZG3IV_vLCpg?t=3577" TargetMode="External"/><Relationship Id="rId42" Type="http://schemas.openxmlformats.org/officeDocument/2006/relationships/hyperlink" Target="https://youtu.be/DpGOjTBistQ" TargetMode="External"/><Relationship Id="rId41" Type="http://schemas.openxmlformats.org/officeDocument/2006/relationships/hyperlink" Target="https://youtu.be/LMEXuGkWa3U" TargetMode="External"/><Relationship Id="rId44" Type="http://schemas.openxmlformats.org/officeDocument/2006/relationships/hyperlink" Target="https://youtu.be/DpGOjTBistQ?t=764" TargetMode="External"/><Relationship Id="rId194" Type="http://schemas.openxmlformats.org/officeDocument/2006/relationships/hyperlink" Target="https://youtu.be/ZG3IV_vLCpg?t=5314" TargetMode="External"/><Relationship Id="rId43" Type="http://schemas.openxmlformats.org/officeDocument/2006/relationships/hyperlink" Target="https://youtu.be/LMEXuGkWa3U?t=734" TargetMode="External"/><Relationship Id="rId193" Type="http://schemas.openxmlformats.org/officeDocument/2006/relationships/hyperlink" Target="https://youtu.be/Bo_cfRoW6LU?t=5346" TargetMode="External"/><Relationship Id="rId46" Type="http://schemas.openxmlformats.org/officeDocument/2006/relationships/hyperlink" Target="https://youtu.be/DpGOjTBistQ?t=1650" TargetMode="External"/><Relationship Id="rId192" Type="http://schemas.openxmlformats.org/officeDocument/2006/relationships/hyperlink" Target="https://youtu.be/ZG3IV_vLCpg?t=4469" TargetMode="External"/><Relationship Id="rId45" Type="http://schemas.openxmlformats.org/officeDocument/2006/relationships/hyperlink" Target="https://youtu.be/LMEXuGkWa3U?t=1560" TargetMode="External"/><Relationship Id="rId191" Type="http://schemas.openxmlformats.org/officeDocument/2006/relationships/hyperlink" Target="https://youtu.be/Bo_cfRoW6LU?t=4491" TargetMode="External"/><Relationship Id="rId48" Type="http://schemas.openxmlformats.org/officeDocument/2006/relationships/hyperlink" Target="https://youtu.be/DpGOjTBistQ?t=2443" TargetMode="External"/><Relationship Id="rId187" Type="http://schemas.openxmlformats.org/officeDocument/2006/relationships/hyperlink" Target="https://youtu.be/Bo_cfRoW6LU?t=2699" TargetMode="External"/><Relationship Id="rId47" Type="http://schemas.openxmlformats.org/officeDocument/2006/relationships/hyperlink" Target="https://youtu.be/LMEXuGkWa3U?t=2411" TargetMode="External"/><Relationship Id="rId186" Type="http://schemas.openxmlformats.org/officeDocument/2006/relationships/hyperlink" Target="https://youtu.be/ZG3IV_vLCpg?t=1837" TargetMode="External"/><Relationship Id="rId185" Type="http://schemas.openxmlformats.org/officeDocument/2006/relationships/hyperlink" Target="https://youtu.be/Bo_cfRoW6LU?t=1761" TargetMode="External"/><Relationship Id="rId49" Type="http://schemas.openxmlformats.org/officeDocument/2006/relationships/hyperlink" Target="https://youtu.be/LMEXuGkWa3U?t=3256" TargetMode="External"/><Relationship Id="rId184" Type="http://schemas.openxmlformats.org/officeDocument/2006/relationships/hyperlink" Target="https://youtu.be/ZG3IV_vLCpg?t=964" TargetMode="External"/><Relationship Id="rId189" Type="http://schemas.openxmlformats.org/officeDocument/2006/relationships/hyperlink" Target="https://youtu.be/Bo_cfRoW6LU?t=3548" TargetMode="External"/><Relationship Id="rId188" Type="http://schemas.openxmlformats.org/officeDocument/2006/relationships/hyperlink" Target="https://youtu.be/ZG3IV_vLCpg?t=2696" TargetMode="External"/><Relationship Id="rId31" Type="http://schemas.openxmlformats.org/officeDocument/2006/relationships/hyperlink" Target="https://youtu.be/nDNT_L03wrs?t=4742" TargetMode="External"/><Relationship Id="rId30" Type="http://schemas.openxmlformats.org/officeDocument/2006/relationships/hyperlink" Target="https://youtu.be/7Bq_7RpkIIg?t=3841" TargetMode="External"/><Relationship Id="rId33" Type="http://schemas.openxmlformats.org/officeDocument/2006/relationships/hyperlink" Target="https://youtu.be/nDNT_L03wrs?t=5670" TargetMode="External"/><Relationship Id="rId183" Type="http://schemas.openxmlformats.org/officeDocument/2006/relationships/hyperlink" Target="https://youtu.be/Bo_cfRoW6LU?t=894" TargetMode="External"/><Relationship Id="rId32" Type="http://schemas.openxmlformats.org/officeDocument/2006/relationships/hyperlink" Target="https://youtu.be/7Bq_7RpkIIg?t=4781" TargetMode="External"/><Relationship Id="rId182" Type="http://schemas.openxmlformats.org/officeDocument/2006/relationships/hyperlink" Target="https://youtu.be/ZG3IV_vLCpg" TargetMode="External"/><Relationship Id="rId35" Type="http://schemas.openxmlformats.org/officeDocument/2006/relationships/hyperlink" Target="https://youtu.be/nDNT_L03wrs?t=6586" TargetMode="External"/><Relationship Id="rId181" Type="http://schemas.openxmlformats.org/officeDocument/2006/relationships/hyperlink" Target="https://youtu.be/Bo_cfRoW6LU" TargetMode="External"/><Relationship Id="rId34" Type="http://schemas.openxmlformats.org/officeDocument/2006/relationships/hyperlink" Target="https://youtu.be/7Bq_7RpkIIg?t=5715" TargetMode="External"/><Relationship Id="rId180" Type="http://schemas.openxmlformats.org/officeDocument/2006/relationships/hyperlink" Target="https://youtu.be/--WJhAk273I?t=8586" TargetMode="External"/><Relationship Id="rId37" Type="http://schemas.openxmlformats.org/officeDocument/2006/relationships/hyperlink" Target="https://youtu.be/nDNT_L03wrs?t=7509" TargetMode="External"/><Relationship Id="rId176" Type="http://schemas.openxmlformats.org/officeDocument/2006/relationships/hyperlink" Target="https://youtu.be/--WJhAk273I?t=6776" TargetMode="External"/><Relationship Id="rId297" Type="http://schemas.openxmlformats.org/officeDocument/2006/relationships/hyperlink" Target="https://youtu.be/fSF3ONzb77A?t=6882" TargetMode="External"/><Relationship Id="rId36" Type="http://schemas.openxmlformats.org/officeDocument/2006/relationships/hyperlink" Target="https://youtu.be/7Bq_7RpkIIg?t=6652" TargetMode="External"/><Relationship Id="rId175" Type="http://schemas.openxmlformats.org/officeDocument/2006/relationships/hyperlink" Target="https://youtu.be/Wk2KwVI93No?t=6642" TargetMode="External"/><Relationship Id="rId296" Type="http://schemas.openxmlformats.org/officeDocument/2006/relationships/hyperlink" Target="https://youtu.be/Y-27DwwGwQQ?t=5980" TargetMode="External"/><Relationship Id="rId39" Type="http://schemas.openxmlformats.org/officeDocument/2006/relationships/hyperlink" Target="https://youtu.be/nDNT_L03wrs?t=8462" TargetMode="External"/><Relationship Id="rId174" Type="http://schemas.openxmlformats.org/officeDocument/2006/relationships/hyperlink" Target="https://youtu.be/--WJhAk273I?t=5834" TargetMode="External"/><Relationship Id="rId295" Type="http://schemas.openxmlformats.org/officeDocument/2006/relationships/hyperlink" Target="https://youtu.be/fSF3ONzb77A?t=6079" TargetMode="External"/><Relationship Id="rId38" Type="http://schemas.openxmlformats.org/officeDocument/2006/relationships/hyperlink" Target="https://youtu.be/7Bq_7RpkIIg?t=7608" TargetMode="External"/><Relationship Id="rId173" Type="http://schemas.openxmlformats.org/officeDocument/2006/relationships/hyperlink" Target="https://youtu.be/Wk2KwVI93No?t=5692" TargetMode="External"/><Relationship Id="rId294" Type="http://schemas.openxmlformats.org/officeDocument/2006/relationships/hyperlink" Target="https://youtu.be/Y-27DwwGwQQ?t=5143" TargetMode="External"/><Relationship Id="rId179" Type="http://schemas.openxmlformats.org/officeDocument/2006/relationships/hyperlink" Target="https://youtu.be/Wk2KwVI93No?t=8534" TargetMode="External"/><Relationship Id="rId178" Type="http://schemas.openxmlformats.org/officeDocument/2006/relationships/hyperlink" Target="https://youtu.be/--WJhAk273I?t=7671" TargetMode="External"/><Relationship Id="rId299" Type="http://schemas.openxmlformats.org/officeDocument/2006/relationships/hyperlink" Target="https://youtu.be/fSF3ONzb77A?t=7626" TargetMode="External"/><Relationship Id="rId177" Type="http://schemas.openxmlformats.org/officeDocument/2006/relationships/hyperlink" Target="https://youtu.be/Wk2KwVI93No?t=7624" TargetMode="External"/><Relationship Id="rId298" Type="http://schemas.openxmlformats.org/officeDocument/2006/relationships/hyperlink" Target="https://youtu.be/Y-27DwwGwQQ?t=6810" TargetMode="External"/><Relationship Id="rId20" Type="http://schemas.openxmlformats.org/officeDocument/2006/relationships/hyperlink" Target="https://youtu.be/UCK1aUsn5-E?t=7300" TargetMode="External"/><Relationship Id="rId22" Type="http://schemas.openxmlformats.org/officeDocument/2006/relationships/hyperlink" Target="https://youtu.be/7Bq_7RpkIIg" TargetMode="External"/><Relationship Id="rId21" Type="http://schemas.openxmlformats.org/officeDocument/2006/relationships/hyperlink" Target="https://youtu.be/nDNT_L03wrs" TargetMode="External"/><Relationship Id="rId24" Type="http://schemas.openxmlformats.org/officeDocument/2006/relationships/hyperlink" Target="https://youtu.be/7Bq_7RpkIIg?t=1092" TargetMode="External"/><Relationship Id="rId23" Type="http://schemas.openxmlformats.org/officeDocument/2006/relationships/hyperlink" Target="https://youtu.be/nDNT_L03wrs?t=994" TargetMode="External"/><Relationship Id="rId26" Type="http://schemas.openxmlformats.org/officeDocument/2006/relationships/hyperlink" Target="https://youtu.be/7Bq_7RpkIIg?t=1992" TargetMode="External"/><Relationship Id="rId25" Type="http://schemas.openxmlformats.org/officeDocument/2006/relationships/hyperlink" Target="https://youtu.be/nDNT_L03wrs?t=1934" TargetMode="External"/><Relationship Id="rId28" Type="http://schemas.openxmlformats.org/officeDocument/2006/relationships/hyperlink" Target="https://youtu.be/7Bq_7RpkIIg?t=2938" TargetMode="External"/><Relationship Id="rId27" Type="http://schemas.openxmlformats.org/officeDocument/2006/relationships/hyperlink" Target="https://youtu.be/nDNT_L03wrs?t=2862" TargetMode="External"/><Relationship Id="rId29" Type="http://schemas.openxmlformats.org/officeDocument/2006/relationships/hyperlink" Target="https://youtu.be/nDNT_L03wrs?t=3829" TargetMode="External"/><Relationship Id="rId11" Type="http://schemas.openxmlformats.org/officeDocument/2006/relationships/hyperlink" Target="https://youtu.be/FgmyyuuoHTc?t=4197" TargetMode="External"/><Relationship Id="rId10" Type="http://schemas.openxmlformats.org/officeDocument/2006/relationships/hyperlink" Target="https://youtu.be/UCK1aUsn5-E?t=3360" TargetMode="External"/><Relationship Id="rId13" Type="http://schemas.openxmlformats.org/officeDocument/2006/relationships/hyperlink" Target="https://youtu.be/FgmyyuuoHTc?t=4982" TargetMode="External"/><Relationship Id="rId12" Type="http://schemas.openxmlformats.org/officeDocument/2006/relationships/hyperlink" Target="https://youtu.be/UCK1aUsn5-E?t=4143" TargetMode="External"/><Relationship Id="rId15" Type="http://schemas.openxmlformats.org/officeDocument/2006/relationships/hyperlink" Target="https://youtu.be/FgmyyuuoHTc?t=5743" TargetMode="External"/><Relationship Id="rId198" Type="http://schemas.openxmlformats.org/officeDocument/2006/relationships/hyperlink" Target="https://youtu.be/ZG3IV_vLCpg?t=6976" TargetMode="External"/><Relationship Id="rId14" Type="http://schemas.openxmlformats.org/officeDocument/2006/relationships/hyperlink" Target="https://youtu.be/UCK1aUsn5-E?t=4932" TargetMode="External"/><Relationship Id="rId197" Type="http://schemas.openxmlformats.org/officeDocument/2006/relationships/hyperlink" Target="https://youtu.be/Bo_cfRoW6LU?t=7006" TargetMode="External"/><Relationship Id="rId17" Type="http://schemas.openxmlformats.org/officeDocument/2006/relationships/hyperlink" Target="https://youtu.be/FgmyyuuoHTc?t=6552" TargetMode="External"/><Relationship Id="rId196" Type="http://schemas.openxmlformats.org/officeDocument/2006/relationships/hyperlink" Target="https://youtu.be/ZG3IV_vLCpg?t=5314" TargetMode="External"/><Relationship Id="rId16" Type="http://schemas.openxmlformats.org/officeDocument/2006/relationships/hyperlink" Target="https://youtu.be/UCK1aUsn5-E?t=5730" TargetMode="External"/><Relationship Id="rId195" Type="http://schemas.openxmlformats.org/officeDocument/2006/relationships/hyperlink" Target="https://youtu.be/Bo_cfRoW6LU?t=6171" TargetMode="External"/><Relationship Id="rId19" Type="http://schemas.openxmlformats.org/officeDocument/2006/relationships/hyperlink" Target="https://youtu.be/FgmyyuuoHTc?t=7314" TargetMode="External"/><Relationship Id="rId18" Type="http://schemas.openxmlformats.org/officeDocument/2006/relationships/hyperlink" Target="https://youtu.be/UCK1aUsn5-E?t=6537" TargetMode="External"/><Relationship Id="rId199" Type="http://schemas.openxmlformats.org/officeDocument/2006/relationships/hyperlink" Target="https://youtu.be/Bo_cfRoW6LU?t=7833" TargetMode="External"/><Relationship Id="rId84" Type="http://schemas.openxmlformats.org/officeDocument/2006/relationships/hyperlink" Target="https://youtu.be/pbTBCQYeqqU?t=1069" TargetMode="External"/><Relationship Id="rId83" Type="http://schemas.openxmlformats.org/officeDocument/2006/relationships/hyperlink" Target="https://youtu.be/RTQ177mkrVU?t=1203" TargetMode="External"/><Relationship Id="rId86" Type="http://schemas.openxmlformats.org/officeDocument/2006/relationships/hyperlink" Target="https://youtu.be/pbTBCQYeqqU?t=1913" TargetMode="External"/><Relationship Id="rId85" Type="http://schemas.openxmlformats.org/officeDocument/2006/relationships/hyperlink" Target="https://youtu.be/RTQ177mkrVU?t=2092" TargetMode="External"/><Relationship Id="rId88" Type="http://schemas.openxmlformats.org/officeDocument/2006/relationships/hyperlink" Target="https://youtu.be/pbTBCQYeqqU?t=2826" TargetMode="External"/><Relationship Id="rId150" Type="http://schemas.openxmlformats.org/officeDocument/2006/relationships/hyperlink" Target="https://youtu.be/NNntWbqY4Dg?t=3594" TargetMode="External"/><Relationship Id="rId271" Type="http://schemas.openxmlformats.org/officeDocument/2006/relationships/hyperlink" Target="https://youtu.be/tPq2LOsrVDw?t=4309" TargetMode="External"/><Relationship Id="rId87" Type="http://schemas.openxmlformats.org/officeDocument/2006/relationships/hyperlink" Target="https://youtu.be/RTQ177mkrVU?t=3014" TargetMode="External"/><Relationship Id="rId270" Type="http://schemas.openxmlformats.org/officeDocument/2006/relationships/hyperlink" Target="https://youtu.be/u1wjrhPFllg?t=3406" TargetMode="External"/><Relationship Id="rId89" Type="http://schemas.openxmlformats.org/officeDocument/2006/relationships/hyperlink" Target="https://youtu.be/RTQ177mkrVU?t=3973" TargetMode="External"/><Relationship Id="rId80" Type="http://schemas.openxmlformats.org/officeDocument/2006/relationships/hyperlink" Target="https://youtu.be/U_WU5rxGnLQ?t=8547" TargetMode="External"/><Relationship Id="rId82" Type="http://schemas.openxmlformats.org/officeDocument/2006/relationships/hyperlink" Target="https://youtu.be/pbTBCQYeqqU" TargetMode="External"/><Relationship Id="rId81" Type="http://schemas.openxmlformats.org/officeDocument/2006/relationships/hyperlink" Target="https://youtu.be/RTQ177mkrVU" TargetMode="External"/><Relationship Id="rId1" Type="http://schemas.openxmlformats.org/officeDocument/2006/relationships/hyperlink" Target="https://youtu.be/FgmyyuuoHTc" TargetMode="External"/><Relationship Id="rId2" Type="http://schemas.openxmlformats.org/officeDocument/2006/relationships/hyperlink" Target="https://youtu.be/UCK1aUsn5-E" TargetMode="External"/><Relationship Id="rId3" Type="http://schemas.openxmlformats.org/officeDocument/2006/relationships/hyperlink" Target="https://youtu.be/FgmyyuuoHTc?t=1004" TargetMode="External"/><Relationship Id="rId149" Type="http://schemas.openxmlformats.org/officeDocument/2006/relationships/hyperlink" Target="https://youtu.be/U3zw9r9FX14?t=3470" TargetMode="External"/><Relationship Id="rId4" Type="http://schemas.openxmlformats.org/officeDocument/2006/relationships/hyperlink" Target="https://youtu.be/UCK1aUsn5-E?t=789" TargetMode="External"/><Relationship Id="rId148" Type="http://schemas.openxmlformats.org/officeDocument/2006/relationships/hyperlink" Target="https://youtu.be/NNntWbqY4Dg?t=2762" TargetMode="External"/><Relationship Id="rId269" Type="http://schemas.openxmlformats.org/officeDocument/2006/relationships/hyperlink" Target="https://youtu.be/tPq2LOsrVDw?t=3425" TargetMode="External"/><Relationship Id="rId9" Type="http://schemas.openxmlformats.org/officeDocument/2006/relationships/hyperlink" Target="https://youtu.be/FgmyyuuoHTc?t=3426" TargetMode="External"/><Relationship Id="rId143" Type="http://schemas.openxmlformats.org/officeDocument/2006/relationships/hyperlink" Target="https://youtu.be/U3zw9r9FX14?t=898" TargetMode="External"/><Relationship Id="rId264" Type="http://schemas.openxmlformats.org/officeDocument/2006/relationships/hyperlink" Target="https://youtu.be/u1wjrhPFllg?t=933" TargetMode="External"/><Relationship Id="rId142" Type="http://schemas.openxmlformats.org/officeDocument/2006/relationships/hyperlink" Target="https://youtu.be/NNntWbqY4Dg?t=177" TargetMode="External"/><Relationship Id="rId263" Type="http://schemas.openxmlformats.org/officeDocument/2006/relationships/hyperlink" Target="https://youtu.be/tPq2LOsrVDw?t=863" TargetMode="External"/><Relationship Id="rId141" Type="http://schemas.openxmlformats.org/officeDocument/2006/relationships/hyperlink" Target="https://youtu.be/U3zw9r9FX14" TargetMode="External"/><Relationship Id="rId262" Type="http://schemas.openxmlformats.org/officeDocument/2006/relationships/hyperlink" Target="https://youtu.be/u1wjrhPFllg" TargetMode="External"/><Relationship Id="rId140" Type="http://schemas.openxmlformats.org/officeDocument/2006/relationships/hyperlink" Target="https://youtu.be/1BEEP_djMDQ?t=8695" TargetMode="External"/><Relationship Id="rId261" Type="http://schemas.openxmlformats.org/officeDocument/2006/relationships/hyperlink" Target="https://youtu.be/tPq2LOsrVDw" TargetMode="External"/><Relationship Id="rId5" Type="http://schemas.openxmlformats.org/officeDocument/2006/relationships/hyperlink" Target="https://youtu.be/FgmyyuuoHTc?t=1004" TargetMode="External"/><Relationship Id="rId147" Type="http://schemas.openxmlformats.org/officeDocument/2006/relationships/hyperlink" Target="https://youtu.be/U3zw9r9FX14?t=2605" TargetMode="External"/><Relationship Id="rId268" Type="http://schemas.openxmlformats.org/officeDocument/2006/relationships/hyperlink" Target="https://youtu.be/u1wjrhPFllg?t=2562" TargetMode="External"/><Relationship Id="rId6" Type="http://schemas.openxmlformats.org/officeDocument/2006/relationships/hyperlink" Target="https://youtu.be/UCK1aUsn5-E?t=1706" TargetMode="External"/><Relationship Id="rId146" Type="http://schemas.openxmlformats.org/officeDocument/2006/relationships/hyperlink" Target="https://youtu.be/NNntWbqY4Dg?t=1863" TargetMode="External"/><Relationship Id="rId267" Type="http://schemas.openxmlformats.org/officeDocument/2006/relationships/hyperlink" Target="https://youtu.be/tPq2LOsrVDw?t=2586" TargetMode="External"/><Relationship Id="rId7" Type="http://schemas.openxmlformats.org/officeDocument/2006/relationships/hyperlink" Target="https://youtu.be/FgmyyuuoHTc?t=2579" TargetMode="External"/><Relationship Id="rId145" Type="http://schemas.openxmlformats.org/officeDocument/2006/relationships/hyperlink" Target="https://youtu.be/U3zw9r9FX14?t=1751" TargetMode="External"/><Relationship Id="rId266" Type="http://schemas.openxmlformats.org/officeDocument/2006/relationships/hyperlink" Target="https://youtu.be/u1wjrhPFllg?t=1741" TargetMode="External"/><Relationship Id="rId8" Type="http://schemas.openxmlformats.org/officeDocument/2006/relationships/hyperlink" Target="https://youtu.be/UCK1aUsn5-E?t=2531" TargetMode="External"/><Relationship Id="rId144" Type="http://schemas.openxmlformats.org/officeDocument/2006/relationships/hyperlink" Target="https://youtu.be/NNntWbqY4Dg?t=1046" TargetMode="External"/><Relationship Id="rId265" Type="http://schemas.openxmlformats.org/officeDocument/2006/relationships/hyperlink" Target="https://youtu.be/tPq2LOsrVDw?t=1737" TargetMode="External"/><Relationship Id="rId73" Type="http://schemas.openxmlformats.org/officeDocument/2006/relationships/hyperlink" Target="https://youtu.be/lCqQwTqGUKM?t=4957" TargetMode="External"/><Relationship Id="rId72" Type="http://schemas.openxmlformats.org/officeDocument/2006/relationships/hyperlink" Target="https://youtu.be/U_WU5rxGnLQ?t=4814" TargetMode="External"/><Relationship Id="rId75" Type="http://schemas.openxmlformats.org/officeDocument/2006/relationships/hyperlink" Target="https://youtu.be/lCqQwTqGUKM?t=5935" TargetMode="External"/><Relationship Id="rId74" Type="http://schemas.openxmlformats.org/officeDocument/2006/relationships/hyperlink" Target="https://youtu.be/U_WU5rxGnLQ?t=5755" TargetMode="External"/><Relationship Id="rId77" Type="http://schemas.openxmlformats.org/officeDocument/2006/relationships/hyperlink" Target="https://youtu.be/lCqQwTqGUKM?t=6831" TargetMode="External"/><Relationship Id="rId260" Type="http://schemas.openxmlformats.org/officeDocument/2006/relationships/hyperlink" Target="https://youtu.be/htn4OCbGK9k?t=8634" TargetMode="External"/><Relationship Id="rId76" Type="http://schemas.openxmlformats.org/officeDocument/2006/relationships/hyperlink" Target="https://youtu.be/U_WU5rxGnLQ?t=6698" TargetMode="External"/><Relationship Id="rId79" Type="http://schemas.openxmlformats.org/officeDocument/2006/relationships/hyperlink" Target="https://youtu.be/lCqQwTqGUKM?t=7771" TargetMode="External"/><Relationship Id="rId78" Type="http://schemas.openxmlformats.org/officeDocument/2006/relationships/hyperlink" Target="https://youtu.be/U_WU5rxGnLQ?t=7647" TargetMode="External"/><Relationship Id="rId71" Type="http://schemas.openxmlformats.org/officeDocument/2006/relationships/hyperlink" Target="https://youtu.be/lCqQwTqGUKM?t=4013" TargetMode="External"/><Relationship Id="rId70" Type="http://schemas.openxmlformats.org/officeDocument/2006/relationships/hyperlink" Target="https://youtu.be/U_WU5rxGnLQ?t=3841" TargetMode="External"/><Relationship Id="rId139" Type="http://schemas.openxmlformats.org/officeDocument/2006/relationships/hyperlink" Target="https://youtu.be/FF0w-vMjcfo?t=7829" TargetMode="External"/><Relationship Id="rId138" Type="http://schemas.openxmlformats.org/officeDocument/2006/relationships/hyperlink" Target="https://youtu.be/1BEEP_djMDQ?t=7760" TargetMode="External"/><Relationship Id="rId259" Type="http://schemas.openxmlformats.org/officeDocument/2006/relationships/hyperlink" Target="https://youtu.be/Y7WP8nlzFFE?t=8595" TargetMode="External"/><Relationship Id="rId137" Type="http://schemas.openxmlformats.org/officeDocument/2006/relationships/hyperlink" Target="https://youtu.be/FF0w-vMjcfo?t=6923" TargetMode="External"/><Relationship Id="rId258" Type="http://schemas.openxmlformats.org/officeDocument/2006/relationships/hyperlink" Target="https://youtu.be/htn4OCbGK9k?t=7740" TargetMode="External"/><Relationship Id="rId132" Type="http://schemas.openxmlformats.org/officeDocument/2006/relationships/hyperlink" Target="https://youtu.be/1BEEP_djMDQ?t=4930" TargetMode="External"/><Relationship Id="rId253" Type="http://schemas.openxmlformats.org/officeDocument/2006/relationships/hyperlink" Target="https://youtu.be/Y7WP8nlzFFE?t=5773" TargetMode="External"/><Relationship Id="rId131" Type="http://schemas.openxmlformats.org/officeDocument/2006/relationships/hyperlink" Target="https://youtu.be/FF0w-vMjcfo?t=3978" TargetMode="External"/><Relationship Id="rId252" Type="http://schemas.openxmlformats.org/officeDocument/2006/relationships/hyperlink" Target="https://youtu.be/htn4OCbGK9k?t=4920" TargetMode="External"/><Relationship Id="rId130" Type="http://schemas.openxmlformats.org/officeDocument/2006/relationships/hyperlink" Target="https://youtu.be/1BEEP_djMDQ?t=4036" TargetMode="External"/><Relationship Id="rId251" Type="http://schemas.openxmlformats.org/officeDocument/2006/relationships/hyperlink" Target="https://youtu.be/Y7WP8nlzFFE?t=4829" TargetMode="External"/><Relationship Id="rId250" Type="http://schemas.openxmlformats.org/officeDocument/2006/relationships/hyperlink" Target="https://youtu.be/htn4OCbGK9k?t=3948" TargetMode="External"/><Relationship Id="rId136" Type="http://schemas.openxmlformats.org/officeDocument/2006/relationships/hyperlink" Target="https://youtu.be/1BEEP_djMDQ?t=6826" TargetMode="External"/><Relationship Id="rId257" Type="http://schemas.openxmlformats.org/officeDocument/2006/relationships/hyperlink" Target="https://youtu.be/Y7WP8nlzFFE?t=7672" TargetMode="External"/><Relationship Id="rId135" Type="http://schemas.openxmlformats.org/officeDocument/2006/relationships/hyperlink" Target="https://youtu.be/FF0w-vMjcfo?t=5950" TargetMode="External"/><Relationship Id="rId256" Type="http://schemas.openxmlformats.org/officeDocument/2006/relationships/hyperlink" Target="https://youtu.be/htn4OCbGK9k?t=6749" TargetMode="External"/><Relationship Id="rId134" Type="http://schemas.openxmlformats.org/officeDocument/2006/relationships/hyperlink" Target="https://youtu.be/1BEEP_djMDQ?t=5853" TargetMode="External"/><Relationship Id="rId255" Type="http://schemas.openxmlformats.org/officeDocument/2006/relationships/hyperlink" Target="https://youtu.be/Y7WP8nlzFFE?t=6727" TargetMode="External"/><Relationship Id="rId133" Type="http://schemas.openxmlformats.org/officeDocument/2006/relationships/hyperlink" Target="https://youtu.be/FF0w-vMjcfo?t=5027" TargetMode="External"/><Relationship Id="rId254" Type="http://schemas.openxmlformats.org/officeDocument/2006/relationships/hyperlink" Target="https://youtu.be/htn4OCbGK9k?t=5856" TargetMode="External"/><Relationship Id="rId62" Type="http://schemas.openxmlformats.org/officeDocument/2006/relationships/hyperlink" Target="https://youtu.be/U_WU5rxGnLQ" TargetMode="External"/><Relationship Id="rId61" Type="http://schemas.openxmlformats.org/officeDocument/2006/relationships/hyperlink" Target="https://youtu.be/ScWSyeygqyo?t=90" TargetMode="External"/><Relationship Id="rId64" Type="http://schemas.openxmlformats.org/officeDocument/2006/relationships/hyperlink" Target="https://youtu.be/U_WU5rxGnLQ?t=1057" TargetMode="External"/><Relationship Id="rId63" Type="http://schemas.openxmlformats.org/officeDocument/2006/relationships/hyperlink" Target="https://youtu.be/lCqQwTqGUKM?t=243" TargetMode="External"/><Relationship Id="rId66" Type="http://schemas.openxmlformats.org/officeDocument/2006/relationships/hyperlink" Target="https://youtu.be/U_WU5rxGnLQ?t=1985" TargetMode="External"/><Relationship Id="rId172" Type="http://schemas.openxmlformats.org/officeDocument/2006/relationships/hyperlink" Target="https://youtu.be/--WJhAk273I?t=4899" TargetMode="External"/><Relationship Id="rId293" Type="http://schemas.openxmlformats.org/officeDocument/2006/relationships/hyperlink" Target="https://youtu.be/fSF3ONzb77A?t=5205" TargetMode="External"/><Relationship Id="rId65" Type="http://schemas.openxmlformats.org/officeDocument/2006/relationships/hyperlink" Target="https://youtu.be/lCqQwTqGUKM?t=1165" TargetMode="External"/><Relationship Id="rId171" Type="http://schemas.openxmlformats.org/officeDocument/2006/relationships/hyperlink" Target="https://youtu.be/Wk2KwVI93No?t=4764" TargetMode="External"/><Relationship Id="rId292" Type="http://schemas.openxmlformats.org/officeDocument/2006/relationships/hyperlink" Target="https://youtu.be/Y-27DwwGwQQ?t=4282" TargetMode="External"/><Relationship Id="rId68" Type="http://schemas.openxmlformats.org/officeDocument/2006/relationships/hyperlink" Target="https://youtu.be/U_WU5rxGnLQ?t=2895" TargetMode="External"/><Relationship Id="rId170" Type="http://schemas.openxmlformats.org/officeDocument/2006/relationships/hyperlink" Target="https://youtu.be/--WJhAk273I?t=3980" TargetMode="External"/><Relationship Id="rId291" Type="http://schemas.openxmlformats.org/officeDocument/2006/relationships/hyperlink" Target="https://youtu.be/fSF3ONzb77A?t=4327" TargetMode="External"/><Relationship Id="rId67" Type="http://schemas.openxmlformats.org/officeDocument/2006/relationships/hyperlink" Target="https://youtu.be/lCqQwTqGUKM?t=2139" TargetMode="External"/><Relationship Id="rId290" Type="http://schemas.openxmlformats.org/officeDocument/2006/relationships/hyperlink" Target="https://youtu.be/Y-27DwwGwQQ?t=3435" TargetMode="External"/><Relationship Id="rId60" Type="http://schemas.openxmlformats.org/officeDocument/2006/relationships/hyperlink" Target="https://youtu.be/DpGOjTBistQ?t=7366" TargetMode="External"/><Relationship Id="rId165" Type="http://schemas.openxmlformats.org/officeDocument/2006/relationships/hyperlink" Target="https://youtu.be/Wk2KwVI93No?t=1921" TargetMode="External"/><Relationship Id="rId286" Type="http://schemas.openxmlformats.org/officeDocument/2006/relationships/hyperlink" Target="https://youtu.be/Y-27DwwGwQQ?t=1680" TargetMode="External"/><Relationship Id="rId69" Type="http://schemas.openxmlformats.org/officeDocument/2006/relationships/hyperlink" Target="https://youtu.be/lCqQwTqGUKM?t=3052" TargetMode="External"/><Relationship Id="rId164" Type="http://schemas.openxmlformats.org/officeDocument/2006/relationships/hyperlink" Target="https://youtu.be/--WJhAk273I?t=1107" TargetMode="External"/><Relationship Id="rId285" Type="http://schemas.openxmlformats.org/officeDocument/2006/relationships/hyperlink" Target="https://youtu.be/fSF3ONzb77A?t=1736" TargetMode="External"/><Relationship Id="rId163" Type="http://schemas.openxmlformats.org/officeDocument/2006/relationships/hyperlink" Target="https://youtu.be/Wk2KwVI93No?t=943" TargetMode="External"/><Relationship Id="rId284" Type="http://schemas.openxmlformats.org/officeDocument/2006/relationships/hyperlink" Target="https://youtu.be/Y-27DwwGwQQ?t=847" TargetMode="External"/><Relationship Id="rId162" Type="http://schemas.openxmlformats.org/officeDocument/2006/relationships/hyperlink" Target="https://youtu.be/--WJhAk273I" TargetMode="External"/><Relationship Id="rId283" Type="http://schemas.openxmlformats.org/officeDocument/2006/relationships/hyperlink" Target="https://youtu.be/fSF3ONzb77A?t=869" TargetMode="External"/><Relationship Id="rId169" Type="http://schemas.openxmlformats.org/officeDocument/2006/relationships/hyperlink" Target="https://youtu.be/Wk2KwVI93No?t=3778" TargetMode="External"/><Relationship Id="rId168" Type="http://schemas.openxmlformats.org/officeDocument/2006/relationships/hyperlink" Target="https://youtu.be/--WJhAk273I?t=3041" TargetMode="External"/><Relationship Id="rId289" Type="http://schemas.openxmlformats.org/officeDocument/2006/relationships/hyperlink" Target="https://youtu.be/fSF3ONzb77A?t=3478" TargetMode="External"/><Relationship Id="rId167" Type="http://schemas.openxmlformats.org/officeDocument/2006/relationships/hyperlink" Target="https://youtu.be/Wk2KwVI93No?t=2872" TargetMode="External"/><Relationship Id="rId288" Type="http://schemas.openxmlformats.org/officeDocument/2006/relationships/hyperlink" Target="https://youtu.be/Y-27DwwGwQQ?t=2555" TargetMode="External"/><Relationship Id="rId166" Type="http://schemas.openxmlformats.org/officeDocument/2006/relationships/hyperlink" Target="https://youtu.be/--WJhAk273I?t=2028" TargetMode="External"/><Relationship Id="rId287" Type="http://schemas.openxmlformats.org/officeDocument/2006/relationships/hyperlink" Target="https://youtu.be/fSF3ONzb77A?t=2640" TargetMode="External"/><Relationship Id="rId51" Type="http://schemas.openxmlformats.org/officeDocument/2006/relationships/hyperlink" Target="https://youtu.be/LMEXuGkWa3U?t=4141" TargetMode="External"/><Relationship Id="rId50" Type="http://schemas.openxmlformats.org/officeDocument/2006/relationships/hyperlink" Target="https://youtu.be/DpGOjTBistQ?t=3235" TargetMode="External"/><Relationship Id="rId53" Type="http://schemas.openxmlformats.org/officeDocument/2006/relationships/hyperlink" Target="https://youtu.be/LMEXuGkWa3U?t=4885" TargetMode="External"/><Relationship Id="rId52" Type="http://schemas.openxmlformats.org/officeDocument/2006/relationships/hyperlink" Target="https://youtu.be/DpGOjTBistQ?t=4091" TargetMode="External"/><Relationship Id="rId55" Type="http://schemas.openxmlformats.org/officeDocument/2006/relationships/hyperlink" Target="https://youtu.be/LMEXuGkWa3U?t=5687" TargetMode="External"/><Relationship Id="rId161" Type="http://schemas.openxmlformats.org/officeDocument/2006/relationships/hyperlink" Target="https://youtu.be/Wk2KwVI93No" TargetMode="External"/><Relationship Id="rId282" Type="http://schemas.openxmlformats.org/officeDocument/2006/relationships/hyperlink" Target="https://youtu.be/Y-27DwwGwQQ" TargetMode="External"/><Relationship Id="rId54" Type="http://schemas.openxmlformats.org/officeDocument/2006/relationships/hyperlink" Target="https://youtu.be/DpGOjTBistQ?t=4903" TargetMode="External"/><Relationship Id="rId160" Type="http://schemas.openxmlformats.org/officeDocument/2006/relationships/hyperlink" Target="https://youtu.be/NNntWbqY4Dg?t=7836" TargetMode="External"/><Relationship Id="rId281" Type="http://schemas.openxmlformats.org/officeDocument/2006/relationships/hyperlink" Target="https://youtu.be/fSF3ONzb77A" TargetMode="External"/><Relationship Id="rId57" Type="http://schemas.openxmlformats.org/officeDocument/2006/relationships/hyperlink" Target="https://youtu.be/LMEXuGkWa3U?t=6513" TargetMode="External"/><Relationship Id="rId280" Type="http://schemas.openxmlformats.org/officeDocument/2006/relationships/hyperlink" Target="https://youtu.be/u1wjrhPFllg?t=7705" TargetMode="External"/><Relationship Id="rId56" Type="http://schemas.openxmlformats.org/officeDocument/2006/relationships/hyperlink" Target="https://youtu.be/DpGOjTBistQ?t=5732" TargetMode="External"/><Relationship Id="rId159" Type="http://schemas.openxmlformats.org/officeDocument/2006/relationships/hyperlink" Target="https://youtu.be/U3zw9r9FX14?t=7704" TargetMode="External"/><Relationship Id="rId59" Type="http://schemas.openxmlformats.org/officeDocument/2006/relationships/hyperlink" Target="https://youtu.be/LMEXuGkWa3U?t=7369" TargetMode="External"/><Relationship Id="rId154" Type="http://schemas.openxmlformats.org/officeDocument/2006/relationships/hyperlink" Target="https://youtu.be/NNntWbqY4Dg?t=5259" TargetMode="External"/><Relationship Id="rId275" Type="http://schemas.openxmlformats.org/officeDocument/2006/relationships/hyperlink" Target="https://youtu.be/tPq2LOsrVDw?t=6052" TargetMode="External"/><Relationship Id="rId58" Type="http://schemas.openxmlformats.org/officeDocument/2006/relationships/hyperlink" Target="https://youtu.be/DpGOjTBistQ?t=6584" TargetMode="External"/><Relationship Id="rId153" Type="http://schemas.openxmlformats.org/officeDocument/2006/relationships/hyperlink" Target="https://youtu.be/U3zw9r9FX14?t=5209" TargetMode="External"/><Relationship Id="rId274" Type="http://schemas.openxmlformats.org/officeDocument/2006/relationships/hyperlink" Target="https://youtu.be/u1wjrhPFllg?t=5103" TargetMode="External"/><Relationship Id="rId152" Type="http://schemas.openxmlformats.org/officeDocument/2006/relationships/hyperlink" Target="https://youtu.be/NNntWbqY4Dg?t=4416" TargetMode="External"/><Relationship Id="rId273" Type="http://schemas.openxmlformats.org/officeDocument/2006/relationships/hyperlink" Target="https://youtu.be/tPq2LOsrVDw?t=5163" TargetMode="External"/><Relationship Id="rId151" Type="http://schemas.openxmlformats.org/officeDocument/2006/relationships/hyperlink" Target="https://youtu.be/U3zw9r9FX14?t=4350" TargetMode="External"/><Relationship Id="rId272" Type="http://schemas.openxmlformats.org/officeDocument/2006/relationships/hyperlink" Target="https://youtu.be/u1wjrhPFllg?t=4263" TargetMode="External"/><Relationship Id="rId158" Type="http://schemas.openxmlformats.org/officeDocument/2006/relationships/hyperlink" Target="https://youtu.be/NNntWbqY4Dg?t=6959" TargetMode="External"/><Relationship Id="rId279" Type="http://schemas.openxmlformats.org/officeDocument/2006/relationships/hyperlink" Target="https://youtu.be/tPq2LOsrVDw?t=7730" TargetMode="External"/><Relationship Id="rId157" Type="http://schemas.openxmlformats.org/officeDocument/2006/relationships/hyperlink" Target="https://youtu.be/U3zw9r9FX14?t=6851" TargetMode="External"/><Relationship Id="rId278" Type="http://schemas.openxmlformats.org/officeDocument/2006/relationships/hyperlink" Target="https://youtu.be/u1wjrhPFllg?t=6850" TargetMode="External"/><Relationship Id="rId156" Type="http://schemas.openxmlformats.org/officeDocument/2006/relationships/hyperlink" Target="https://youtu.be/NNntWbqY4Dg?t=6104" TargetMode="External"/><Relationship Id="rId277" Type="http://schemas.openxmlformats.org/officeDocument/2006/relationships/hyperlink" Target="https://youtu.be/tPq2LOsrVDw?t=6886" TargetMode="External"/><Relationship Id="rId155" Type="http://schemas.openxmlformats.org/officeDocument/2006/relationships/hyperlink" Target="https://youtu.be/U3zw9r9FX14?t=6041" TargetMode="External"/><Relationship Id="rId276" Type="http://schemas.openxmlformats.org/officeDocument/2006/relationships/hyperlink" Target="https://youtu.be/u1wjrhPFllg?t=6001" TargetMode="External"/><Relationship Id="rId107" Type="http://schemas.openxmlformats.org/officeDocument/2006/relationships/hyperlink" Target="https://youtu.be/xVvnewi3XiU?t=2553" TargetMode="External"/><Relationship Id="rId228" Type="http://schemas.openxmlformats.org/officeDocument/2006/relationships/hyperlink" Target="https://youtu.be/KB0YoyS0KuQ?t=2890" TargetMode="External"/><Relationship Id="rId106" Type="http://schemas.openxmlformats.org/officeDocument/2006/relationships/hyperlink" Target="https://youtu.be/wQYXT98oiDA?t=1809" TargetMode="External"/><Relationship Id="rId227" Type="http://schemas.openxmlformats.org/officeDocument/2006/relationships/hyperlink" Target="https://youtu.be/dQgSO4q4u9I?t=2831" TargetMode="External"/><Relationship Id="rId105" Type="http://schemas.openxmlformats.org/officeDocument/2006/relationships/hyperlink" Target="https://youtu.be/xVvnewi3XiU?t=1718" TargetMode="External"/><Relationship Id="rId226" Type="http://schemas.openxmlformats.org/officeDocument/2006/relationships/hyperlink" Target="https://youtu.be/KB0YoyS0KuQ?t=1964" TargetMode="External"/><Relationship Id="rId104" Type="http://schemas.openxmlformats.org/officeDocument/2006/relationships/hyperlink" Target="https://youtu.be/wQYXT98oiDA?t=988" TargetMode="External"/><Relationship Id="rId225" Type="http://schemas.openxmlformats.org/officeDocument/2006/relationships/hyperlink" Target="https://youtu.be/dQgSO4q4u9I?t=1949" TargetMode="External"/><Relationship Id="rId109" Type="http://schemas.openxmlformats.org/officeDocument/2006/relationships/hyperlink" Target="https://youtu.be/xVvnewi3XiU?t=3398" TargetMode="External"/><Relationship Id="rId108" Type="http://schemas.openxmlformats.org/officeDocument/2006/relationships/hyperlink" Target="https://youtu.be/wQYXT98oiDA?t=2660" TargetMode="External"/><Relationship Id="rId229" Type="http://schemas.openxmlformats.org/officeDocument/2006/relationships/hyperlink" Target="https://youtu.be/dQgSO4q4u9I?t=3782" TargetMode="External"/><Relationship Id="rId220" Type="http://schemas.openxmlformats.org/officeDocument/2006/relationships/hyperlink" Target="https://youtu.be/dpw4GRc1Joo?t=7801" TargetMode="External"/><Relationship Id="rId341" Type="http://schemas.openxmlformats.org/officeDocument/2006/relationships/drawing" Target="../drawings/drawing32.xml"/><Relationship Id="rId340" Type="http://schemas.openxmlformats.org/officeDocument/2006/relationships/hyperlink" Target="https://youtu.be/ssolhehcCWw?t=7529" TargetMode="External"/><Relationship Id="rId103" Type="http://schemas.openxmlformats.org/officeDocument/2006/relationships/hyperlink" Target="https://youtu.be/xVvnewi3XiU?t=867" TargetMode="External"/><Relationship Id="rId224" Type="http://schemas.openxmlformats.org/officeDocument/2006/relationships/hyperlink" Target="https://youtu.be/KB0YoyS0KuQ?t=1059" TargetMode="External"/><Relationship Id="rId102" Type="http://schemas.openxmlformats.org/officeDocument/2006/relationships/hyperlink" Target="https://youtu.be/wQYXT98oiDA?t=105" TargetMode="External"/><Relationship Id="rId223" Type="http://schemas.openxmlformats.org/officeDocument/2006/relationships/hyperlink" Target="https://youtu.be/dQgSO4q4u9I?t=1027" TargetMode="External"/><Relationship Id="rId101" Type="http://schemas.openxmlformats.org/officeDocument/2006/relationships/hyperlink" Target="https://youtu.be/xVvnewi3XiU" TargetMode="External"/><Relationship Id="rId222" Type="http://schemas.openxmlformats.org/officeDocument/2006/relationships/hyperlink" Target="https://youtu.be/KB0YoyS0KuQ" TargetMode="External"/><Relationship Id="rId100" Type="http://schemas.openxmlformats.org/officeDocument/2006/relationships/hyperlink" Target="https://youtu.be/pbTBCQYeqqU?t=8312" TargetMode="External"/><Relationship Id="rId221" Type="http://schemas.openxmlformats.org/officeDocument/2006/relationships/hyperlink" Target="https://youtu.be/dQgSO4q4u9I" TargetMode="External"/><Relationship Id="rId217" Type="http://schemas.openxmlformats.org/officeDocument/2006/relationships/hyperlink" Target="https://youtu.be/Qx_J4vl-9AM?t=6977" TargetMode="External"/><Relationship Id="rId338" Type="http://schemas.openxmlformats.org/officeDocument/2006/relationships/hyperlink" Target="https://youtu.be/ssolhehcCWw?t=6687" TargetMode="External"/><Relationship Id="rId216" Type="http://schemas.openxmlformats.org/officeDocument/2006/relationships/hyperlink" Target="https://youtu.be/dpw4GRc1Joo?t=6010" TargetMode="External"/><Relationship Id="rId337" Type="http://schemas.openxmlformats.org/officeDocument/2006/relationships/hyperlink" Target="https://youtu.be/LvpU-lRjaog?t=6716" TargetMode="External"/><Relationship Id="rId215" Type="http://schemas.openxmlformats.org/officeDocument/2006/relationships/hyperlink" Target="https://youtu.be/Qx_J4vl-9AM?t=6101" TargetMode="External"/><Relationship Id="rId336" Type="http://schemas.openxmlformats.org/officeDocument/2006/relationships/hyperlink" Target="https://youtu.be/ssolhehcCWw?t=5839" TargetMode="External"/><Relationship Id="rId214" Type="http://schemas.openxmlformats.org/officeDocument/2006/relationships/hyperlink" Target="https://youtu.be/dpw4GRc1Joo?t=5164" TargetMode="External"/><Relationship Id="rId335" Type="http://schemas.openxmlformats.org/officeDocument/2006/relationships/hyperlink" Target="https://youtu.be/LvpU-lRjaog?t=5902" TargetMode="External"/><Relationship Id="rId219" Type="http://schemas.openxmlformats.org/officeDocument/2006/relationships/hyperlink" Target="https://youtu.be/Qx_J4vl-9AM?t=7870" TargetMode="External"/><Relationship Id="rId218" Type="http://schemas.openxmlformats.org/officeDocument/2006/relationships/hyperlink" Target="https://youtu.be/dpw4GRc1Joo?t=6911" TargetMode="External"/><Relationship Id="rId339" Type="http://schemas.openxmlformats.org/officeDocument/2006/relationships/hyperlink" Target="https://youtu.be/LvpU-lRjaog?t=7540" TargetMode="External"/><Relationship Id="rId330" Type="http://schemas.openxmlformats.org/officeDocument/2006/relationships/hyperlink" Target="https://youtu.be/ssolhehcCWw?t=3355" TargetMode="External"/><Relationship Id="rId213" Type="http://schemas.openxmlformats.org/officeDocument/2006/relationships/hyperlink" Target="https://youtu.be/Qx_J4vl-9AM?t=5258" TargetMode="External"/><Relationship Id="rId334" Type="http://schemas.openxmlformats.org/officeDocument/2006/relationships/hyperlink" Target="https://youtu.be/ssolhehcCWw?t=4968" TargetMode="External"/><Relationship Id="rId212" Type="http://schemas.openxmlformats.org/officeDocument/2006/relationships/hyperlink" Target="https://youtu.be/dpw4GRc1Joo?t=4295" TargetMode="External"/><Relationship Id="rId333" Type="http://schemas.openxmlformats.org/officeDocument/2006/relationships/hyperlink" Target="https://youtu.be/LvpU-lRjaog?t=5054" TargetMode="External"/><Relationship Id="rId211" Type="http://schemas.openxmlformats.org/officeDocument/2006/relationships/hyperlink" Target="https://youtu.be/Qx_J4vl-9AM?t=4380" TargetMode="External"/><Relationship Id="rId332" Type="http://schemas.openxmlformats.org/officeDocument/2006/relationships/hyperlink" Target="https://youtu.be/ssolhehcCWw?t=4154" TargetMode="External"/><Relationship Id="rId210" Type="http://schemas.openxmlformats.org/officeDocument/2006/relationships/hyperlink" Target="https://youtu.be/dpw4GRc1Joo?t=3437" TargetMode="External"/><Relationship Id="rId331" Type="http://schemas.openxmlformats.org/officeDocument/2006/relationships/hyperlink" Target="https://youtu.be/LvpU-lRjaog?t=4211" TargetMode="External"/><Relationship Id="rId129" Type="http://schemas.openxmlformats.org/officeDocument/2006/relationships/hyperlink" Target="https://youtu.be/FF0w-vMjcfo?t=3090" TargetMode="External"/><Relationship Id="rId128" Type="http://schemas.openxmlformats.org/officeDocument/2006/relationships/hyperlink" Target="https://youtu.be/1BEEP_djMDQ?t=3107" TargetMode="External"/><Relationship Id="rId249" Type="http://schemas.openxmlformats.org/officeDocument/2006/relationships/hyperlink" Target="https://youtu.be/Y7WP8nlzFFE?t=3872" TargetMode="External"/><Relationship Id="rId127" Type="http://schemas.openxmlformats.org/officeDocument/2006/relationships/hyperlink" Target="https://youtu.be/FF0w-vMjcfo?t=2220" TargetMode="External"/><Relationship Id="rId248" Type="http://schemas.openxmlformats.org/officeDocument/2006/relationships/hyperlink" Target="https://youtu.be/htn4OCbGK9k?t=3005" TargetMode="External"/><Relationship Id="rId126" Type="http://schemas.openxmlformats.org/officeDocument/2006/relationships/hyperlink" Target="https://youtu.be/1BEEP_djMDQ?t=2176" TargetMode="External"/><Relationship Id="rId247" Type="http://schemas.openxmlformats.org/officeDocument/2006/relationships/hyperlink" Target="https://youtu.be/Y7WP8nlzFFE?t=2915" TargetMode="External"/><Relationship Id="rId121" Type="http://schemas.openxmlformats.org/officeDocument/2006/relationships/hyperlink" Target="https://youtu.be/oW6MMe56dfA?t=336" TargetMode="External"/><Relationship Id="rId242" Type="http://schemas.openxmlformats.org/officeDocument/2006/relationships/hyperlink" Target="https://youtu.be/htn4OCbGK9k" TargetMode="External"/><Relationship Id="rId120" Type="http://schemas.openxmlformats.org/officeDocument/2006/relationships/hyperlink" Target="https://youtu.be/wQYXT98oiDA?t=7657" TargetMode="External"/><Relationship Id="rId241" Type="http://schemas.openxmlformats.org/officeDocument/2006/relationships/hyperlink" Target="https://youtu.be/Y7WP8nlzFFE" TargetMode="External"/><Relationship Id="rId240" Type="http://schemas.openxmlformats.org/officeDocument/2006/relationships/hyperlink" Target="https://youtu.be/KB0YoyS0KuQ?t=8570" TargetMode="External"/><Relationship Id="rId125" Type="http://schemas.openxmlformats.org/officeDocument/2006/relationships/hyperlink" Target="https://youtu.be/FF0w-vMjcfo?t=1289" TargetMode="External"/><Relationship Id="rId246" Type="http://schemas.openxmlformats.org/officeDocument/2006/relationships/hyperlink" Target="https://youtu.be/htn4OCbGK9k?t=2092" TargetMode="External"/><Relationship Id="rId124" Type="http://schemas.openxmlformats.org/officeDocument/2006/relationships/hyperlink" Target="https://youtu.be/1BEEP_djMDQ?t=1217" TargetMode="External"/><Relationship Id="rId245" Type="http://schemas.openxmlformats.org/officeDocument/2006/relationships/hyperlink" Target="https://youtu.be/Y7WP8nlzFFE?t=1980" TargetMode="External"/><Relationship Id="rId123" Type="http://schemas.openxmlformats.org/officeDocument/2006/relationships/hyperlink" Target="https://youtu.be/FF0w-vMjcfo?t=373" TargetMode="External"/><Relationship Id="rId244" Type="http://schemas.openxmlformats.org/officeDocument/2006/relationships/hyperlink" Target="https://youtu.be/htn4OCbGK9k?t=1162" TargetMode="External"/><Relationship Id="rId122" Type="http://schemas.openxmlformats.org/officeDocument/2006/relationships/hyperlink" Target="https://youtu.be/1BEEP_djMDQ" TargetMode="External"/><Relationship Id="rId243" Type="http://schemas.openxmlformats.org/officeDocument/2006/relationships/hyperlink" Target="https://youtu.be/Y7WP8nlzFFE?t=1053" TargetMode="External"/><Relationship Id="rId95" Type="http://schemas.openxmlformats.org/officeDocument/2006/relationships/hyperlink" Target="https://youtu.be/RTQ177mkrVU?t=6633" TargetMode="External"/><Relationship Id="rId94" Type="http://schemas.openxmlformats.org/officeDocument/2006/relationships/hyperlink" Target="https://youtu.be/pbTBCQYeqqU?t=5593" TargetMode="External"/><Relationship Id="rId97" Type="http://schemas.openxmlformats.org/officeDocument/2006/relationships/hyperlink" Target="https://youtu.be/RTQ177mkrVU?t=7539" TargetMode="External"/><Relationship Id="rId96" Type="http://schemas.openxmlformats.org/officeDocument/2006/relationships/hyperlink" Target="https://youtu.be/pbTBCQYeqqU?t=6476" TargetMode="External"/><Relationship Id="rId99" Type="http://schemas.openxmlformats.org/officeDocument/2006/relationships/hyperlink" Target="https://youtu.be/RTQ177mkrVU?t=8435" TargetMode="External"/><Relationship Id="rId98" Type="http://schemas.openxmlformats.org/officeDocument/2006/relationships/hyperlink" Target="https://youtu.be/pbTBCQYeqqU?t=7396" TargetMode="External"/><Relationship Id="rId91" Type="http://schemas.openxmlformats.org/officeDocument/2006/relationships/hyperlink" Target="https://youtu.be/RTQ177mkrVU?t=4860" TargetMode="External"/><Relationship Id="rId90" Type="http://schemas.openxmlformats.org/officeDocument/2006/relationships/hyperlink" Target="https://youtu.be/pbTBCQYeqqU?t=3793" TargetMode="External"/><Relationship Id="rId93" Type="http://schemas.openxmlformats.org/officeDocument/2006/relationships/hyperlink" Target="https://youtu.be/RTQ177mkrVU?t=5738" TargetMode="External"/><Relationship Id="rId92" Type="http://schemas.openxmlformats.org/officeDocument/2006/relationships/hyperlink" Target="https://youtu.be/pbTBCQYeqqU?t=4696" TargetMode="External"/><Relationship Id="rId118" Type="http://schemas.openxmlformats.org/officeDocument/2006/relationships/hyperlink" Target="https://youtu.be/wQYXT98oiDA?t=6846" TargetMode="External"/><Relationship Id="rId239" Type="http://schemas.openxmlformats.org/officeDocument/2006/relationships/hyperlink" Target="https://youtu.be/dQgSO4q4u9I?t=8572" TargetMode="External"/><Relationship Id="rId117" Type="http://schemas.openxmlformats.org/officeDocument/2006/relationships/hyperlink" Target="https://youtu.be/xVvnewi3XiU?t=6897" TargetMode="External"/><Relationship Id="rId238" Type="http://schemas.openxmlformats.org/officeDocument/2006/relationships/hyperlink" Target="https://youtu.be/KB0YoyS0KuQ?t=7617" TargetMode="External"/><Relationship Id="rId116" Type="http://schemas.openxmlformats.org/officeDocument/2006/relationships/hyperlink" Target="https://youtu.be/wQYXT98oiDA?t=6033" TargetMode="External"/><Relationship Id="rId237" Type="http://schemas.openxmlformats.org/officeDocument/2006/relationships/hyperlink" Target="https://youtu.be/dQgSO4q4u9I?t=7581" TargetMode="External"/><Relationship Id="rId115" Type="http://schemas.openxmlformats.org/officeDocument/2006/relationships/hyperlink" Target="https://youtu.be/xVvnewi3XiU?t=6060" TargetMode="External"/><Relationship Id="rId236" Type="http://schemas.openxmlformats.org/officeDocument/2006/relationships/hyperlink" Target="https://youtu.be/KB0YoyS0KuQ?t=6728" TargetMode="External"/><Relationship Id="rId119" Type="http://schemas.openxmlformats.org/officeDocument/2006/relationships/hyperlink" Target="https://youtu.be/xVvnewi3XiU?t=7737" TargetMode="External"/><Relationship Id="rId110" Type="http://schemas.openxmlformats.org/officeDocument/2006/relationships/hyperlink" Target="https://youtu.be/wQYXT98oiDA?t=3501" TargetMode="External"/><Relationship Id="rId231" Type="http://schemas.openxmlformats.org/officeDocument/2006/relationships/hyperlink" Target="https://youtu.be/dQgSO4q4u9I?t=4767" TargetMode="External"/><Relationship Id="rId230" Type="http://schemas.openxmlformats.org/officeDocument/2006/relationships/hyperlink" Target="https://youtu.be/KB0YoyS0KuQ?t=3843" TargetMode="External"/><Relationship Id="rId114" Type="http://schemas.openxmlformats.org/officeDocument/2006/relationships/hyperlink" Target="https://youtu.be/wQYXT98oiDA?t=5220" TargetMode="External"/><Relationship Id="rId235" Type="http://schemas.openxmlformats.org/officeDocument/2006/relationships/hyperlink" Target="https://youtu.be/dQgSO4q4u9I?t=6712" TargetMode="External"/><Relationship Id="rId113" Type="http://schemas.openxmlformats.org/officeDocument/2006/relationships/hyperlink" Target="https://youtu.be/xVvnewi3XiU?t=5234" TargetMode="External"/><Relationship Id="rId234" Type="http://schemas.openxmlformats.org/officeDocument/2006/relationships/hyperlink" Target="https://youtu.be/KB0YoyS0KuQ?t=5778" TargetMode="External"/><Relationship Id="rId112" Type="http://schemas.openxmlformats.org/officeDocument/2006/relationships/hyperlink" Target="https://youtu.be/wQYXT98oiDA?t=4358" TargetMode="External"/><Relationship Id="rId233" Type="http://schemas.openxmlformats.org/officeDocument/2006/relationships/hyperlink" Target="https://youtu.be/dQgSO4q4u9I?t=5764" TargetMode="External"/><Relationship Id="rId111" Type="http://schemas.openxmlformats.org/officeDocument/2006/relationships/hyperlink" Target="https://youtu.be/xVvnewi3XiU?t=4365" TargetMode="External"/><Relationship Id="rId232" Type="http://schemas.openxmlformats.org/officeDocument/2006/relationships/hyperlink" Target="https://youtu.be/KB0YoyS0KuQ?t=4789" TargetMode="External"/><Relationship Id="rId305" Type="http://schemas.openxmlformats.org/officeDocument/2006/relationships/hyperlink" Target="https://youtu.be/mp0LBSbOr4I?t=1884" TargetMode="External"/><Relationship Id="rId304" Type="http://schemas.openxmlformats.org/officeDocument/2006/relationships/hyperlink" Target="https://youtu.be/STEVDTI-e4M?t=1062" TargetMode="External"/><Relationship Id="rId303" Type="http://schemas.openxmlformats.org/officeDocument/2006/relationships/hyperlink" Target="https://youtu.be/mp0LBSbOr4I?t=943" TargetMode="External"/><Relationship Id="rId302" Type="http://schemas.openxmlformats.org/officeDocument/2006/relationships/hyperlink" Target="https://youtu.be/STEVDTI-e4M" TargetMode="External"/><Relationship Id="rId309" Type="http://schemas.openxmlformats.org/officeDocument/2006/relationships/hyperlink" Target="https://youtu.be/mp0LBSbOr4I?t=3826" TargetMode="External"/><Relationship Id="rId308" Type="http://schemas.openxmlformats.org/officeDocument/2006/relationships/hyperlink" Target="https://youtu.be/STEVDTI-e4M?t=2988" TargetMode="External"/><Relationship Id="rId307" Type="http://schemas.openxmlformats.org/officeDocument/2006/relationships/hyperlink" Target="https://youtu.be/mp0LBSbOr4I?t=2882" TargetMode="External"/><Relationship Id="rId306" Type="http://schemas.openxmlformats.org/officeDocument/2006/relationships/hyperlink" Target="https://youtu.be/STEVDTI-e4M?t=2009" TargetMode="External"/><Relationship Id="rId301" Type="http://schemas.openxmlformats.org/officeDocument/2006/relationships/hyperlink" Target="https://youtu.be/mp0LBSbOr4I" TargetMode="External"/><Relationship Id="rId300" Type="http://schemas.openxmlformats.org/officeDocument/2006/relationships/hyperlink" Target="https://youtu.be/Y-27DwwGwQQ?t=7661" TargetMode="External"/><Relationship Id="rId206" Type="http://schemas.openxmlformats.org/officeDocument/2006/relationships/hyperlink" Target="https://youtu.be/dpw4GRc1Joo?t=1725" TargetMode="External"/><Relationship Id="rId327" Type="http://schemas.openxmlformats.org/officeDocument/2006/relationships/hyperlink" Target="https://youtu.be/LvpU-lRjaog?t=2602" TargetMode="External"/><Relationship Id="rId205" Type="http://schemas.openxmlformats.org/officeDocument/2006/relationships/hyperlink" Target="https://youtu.be/Qx_J4vl-9AM?t=1717" TargetMode="External"/><Relationship Id="rId326" Type="http://schemas.openxmlformats.org/officeDocument/2006/relationships/hyperlink" Target="https://youtu.be/ssolhehcCWw?t=1714" TargetMode="External"/><Relationship Id="rId204" Type="http://schemas.openxmlformats.org/officeDocument/2006/relationships/hyperlink" Target="https://youtu.be/dpw4GRc1Joo?t=870" TargetMode="External"/><Relationship Id="rId325" Type="http://schemas.openxmlformats.org/officeDocument/2006/relationships/hyperlink" Target="https://youtu.be/LvpU-lRjaog?t=1798" TargetMode="External"/><Relationship Id="rId203" Type="http://schemas.openxmlformats.org/officeDocument/2006/relationships/hyperlink" Target="https://youtu.be/Qx_J4vl-9AM?t=849" TargetMode="External"/><Relationship Id="rId324" Type="http://schemas.openxmlformats.org/officeDocument/2006/relationships/hyperlink" Target="https://youtu.be/ssolhehcCWw?t=853" TargetMode="External"/><Relationship Id="rId209" Type="http://schemas.openxmlformats.org/officeDocument/2006/relationships/hyperlink" Target="https://youtu.be/Qx_J4vl-9AM?t=3448" TargetMode="External"/><Relationship Id="rId208" Type="http://schemas.openxmlformats.org/officeDocument/2006/relationships/hyperlink" Target="https://youtu.be/dpw4GRc1Joo?t=2588" TargetMode="External"/><Relationship Id="rId329" Type="http://schemas.openxmlformats.org/officeDocument/2006/relationships/hyperlink" Target="https://youtu.be/LvpU-lRjaog?t=3421" TargetMode="External"/><Relationship Id="rId207" Type="http://schemas.openxmlformats.org/officeDocument/2006/relationships/hyperlink" Target="https://youtu.be/Qx_J4vl-9AM?t=2551" TargetMode="External"/><Relationship Id="rId328" Type="http://schemas.openxmlformats.org/officeDocument/2006/relationships/hyperlink" Target="https://youtu.be/ssolhehcCWw?t=2521" TargetMode="External"/><Relationship Id="rId202" Type="http://schemas.openxmlformats.org/officeDocument/2006/relationships/hyperlink" Target="https://youtu.be/dpw4GRc1Joo?t=73" TargetMode="External"/><Relationship Id="rId323" Type="http://schemas.openxmlformats.org/officeDocument/2006/relationships/hyperlink" Target="https://youtu.be/LvpU-lRjaog?t=955" TargetMode="External"/><Relationship Id="rId201" Type="http://schemas.openxmlformats.org/officeDocument/2006/relationships/hyperlink" Target="https://youtu.be/Qx_J4vl-9AM" TargetMode="External"/><Relationship Id="rId322" Type="http://schemas.openxmlformats.org/officeDocument/2006/relationships/hyperlink" Target="https://youtu.be/ssolhehcCWw" TargetMode="External"/><Relationship Id="rId200" Type="http://schemas.openxmlformats.org/officeDocument/2006/relationships/hyperlink" Target="https://youtu.be/ZG3IV_vLCpg?t=7871" TargetMode="External"/><Relationship Id="rId321" Type="http://schemas.openxmlformats.org/officeDocument/2006/relationships/hyperlink" Target="https://youtu.be/LvpU-lRjaog" TargetMode="External"/><Relationship Id="rId320" Type="http://schemas.openxmlformats.org/officeDocument/2006/relationships/hyperlink" Target="https://youtu.be/STEVDTI-e4M?t=8705" TargetMode="External"/><Relationship Id="rId316" Type="http://schemas.openxmlformats.org/officeDocument/2006/relationships/hyperlink" Target="https://youtu.be/STEVDTI-e4M?t=6741" TargetMode="External"/><Relationship Id="rId315" Type="http://schemas.openxmlformats.org/officeDocument/2006/relationships/hyperlink" Target="https://youtu.be/mp0LBSbOr4I?t=6705" TargetMode="External"/><Relationship Id="rId314" Type="http://schemas.openxmlformats.org/officeDocument/2006/relationships/hyperlink" Target="https://youtu.be/STEVDTI-e4M?t=5879" TargetMode="External"/><Relationship Id="rId313" Type="http://schemas.openxmlformats.org/officeDocument/2006/relationships/hyperlink" Target="https://youtu.be/mp0LBSbOr4I?t=5724" TargetMode="External"/><Relationship Id="rId319" Type="http://schemas.openxmlformats.org/officeDocument/2006/relationships/hyperlink" Target="https://youtu.be/mp0LBSbOr4I?t=8566" TargetMode="External"/><Relationship Id="rId318" Type="http://schemas.openxmlformats.org/officeDocument/2006/relationships/hyperlink" Target="https://youtu.be/STEVDTI-e4M?t=7707" TargetMode="External"/><Relationship Id="rId317" Type="http://schemas.openxmlformats.org/officeDocument/2006/relationships/hyperlink" Target="https://youtu.be/mp0LBSbOr4I?t=7646" TargetMode="External"/><Relationship Id="rId312" Type="http://schemas.openxmlformats.org/officeDocument/2006/relationships/hyperlink" Target="https://youtu.be/STEVDTI-e4M?t=4923" TargetMode="External"/><Relationship Id="rId311" Type="http://schemas.openxmlformats.org/officeDocument/2006/relationships/hyperlink" Target="https://youtu.be/mp0LBSbOr4I?t=4760" TargetMode="External"/><Relationship Id="rId310" Type="http://schemas.openxmlformats.org/officeDocument/2006/relationships/hyperlink" Target="https://youtu.be/STEVDTI-e4M?t=3990" TargetMode="External"/></Relationships>
</file>

<file path=xl/worksheets/_rels/sheet3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p-2yx5qFzdU?t=8593" TargetMode="External"/><Relationship Id="rId190" Type="http://schemas.openxmlformats.org/officeDocument/2006/relationships/hyperlink" Target="https://youtu.be/lvGlvQ3SYXo?t=4394" TargetMode="External"/><Relationship Id="rId42" Type="http://schemas.openxmlformats.org/officeDocument/2006/relationships/hyperlink" Target="https://youtu.be/loAwWym6a4Y" TargetMode="External"/><Relationship Id="rId41" Type="http://schemas.openxmlformats.org/officeDocument/2006/relationships/hyperlink" Target="https://youtu.be/VAGnXaSMJgg" TargetMode="External"/><Relationship Id="rId44" Type="http://schemas.openxmlformats.org/officeDocument/2006/relationships/hyperlink" Target="https://youtu.be/loAwWym6a4Y?t=817" TargetMode="External"/><Relationship Id="rId194" Type="http://schemas.openxmlformats.org/officeDocument/2006/relationships/hyperlink" Target="https://youtu.be/lvGlvQ3SYXo?t=6150" TargetMode="External"/><Relationship Id="rId43" Type="http://schemas.openxmlformats.org/officeDocument/2006/relationships/hyperlink" Target="https://youtu.be/VAGnXaSMJgg?t=1233" TargetMode="External"/><Relationship Id="rId193" Type="http://schemas.openxmlformats.org/officeDocument/2006/relationships/hyperlink" Target="https://youtu.be/ioybKMIcDC8?t=6240" TargetMode="External"/><Relationship Id="rId46" Type="http://schemas.openxmlformats.org/officeDocument/2006/relationships/hyperlink" Target="https://youtu.be/loAwWym6a4Y?t=1644" TargetMode="External"/><Relationship Id="rId192" Type="http://schemas.openxmlformats.org/officeDocument/2006/relationships/hyperlink" Target="https://youtu.be/lvGlvQ3SYXo?t=5234" TargetMode="External"/><Relationship Id="rId45" Type="http://schemas.openxmlformats.org/officeDocument/2006/relationships/hyperlink" Target="https://youtu.be/VAGnXaSMJgg?t=2019" TargetMode="External"/><Relationship Id="rId191" Type="http://schemas.openxmlformats.org/officeDocument/2006/relationships/hyperlink" Target="https://youtu.be/ioybKMIcDC8?t=5352" TargetMode="External"/><Relationship Id="rId48" Type="http://schemas.openxmlformats.org/officeDocument/2006/relationships/hyperlink" Target="https://youtu.be/loAwWym6a4Y?t=2510" TargetMode="External"/><Relationship Id="rId187" Type="http://schemas.openxmlformats.org/officeDocument/2006/relationships/hyperlink" Target="https://youtu.be/ioybKMIcDC8?t=3572" TargetMode="External"/><Relationship Id="rId47" Type="http://schemas.openxmlformats.org/officeDocument/2006/relationships/hyperlink" Target="https://youtu.be/VAGnXaSMJgg?t=2812" TargetMode="External"/><Relationship Id="rId186" Type="http://schemas.openxmlformats.org/officeDocument/2006/relationships/hyperlink" Target="https://youtu.be/lvGlvQ3SYXo?t=2648" TargetMode="External"/><Relationship Id="rId185" Type="http://schemas.openxmlformats.org/officeDocument/2006/relationships/hyperlink" Target="https://youtu.be/ioybKMIcDC8?t=2666" TargetMode="External"/><Relationship Id="rId49" Type="http://schemas.openxmlformats.org/officeDocument/2006/relationships/hyperlink" Target="https://youtu.be/VAGnXaSMJgg?t=3608" TargetMode="External"/><Relationship Id="rId184" Type="http://schemas.openxmlformats.org/officeDocument/2006/relationships/hyperlink" Target="https://youtu.be/lvGlvQ3SYXo?t=1741" TargetMode="External"/><Relationship Id="rId189" Type="http://schemas.openxmlformats.org/officeDocument/2006/relationships/hyperlink" Target="https://youtu.be/ioybKMIcDC8?t=4474" TargetMode="External"/><Relationship Id="rId188" Type="http://schemas.openxmlformats.org/officeDocument/2006/relationships/hyperlink" Target="https://youtu.be/lvGlvQ3SYXo?t=3550" TargetMode="External"/><Relationship Id="rId31" Type="http://schemas.openxmlformats.org/officeDocument/2006/relationships/hyperlink" Target="https://youtu.be/RyHYpK_bBe8?t=4723" TargetMode="External"/><Relationship Id="rId30" Type="http://schemas.openxmlformats.org/officeDocument/2006/relationships/hyperlink" Target="https://youtu.be/p-2yx5qFzdU?t=3874" TargetMode="External"/><Relationship Id="rId33" Type="http://schemas.openxmlformats.org/officeDocument/2006/relationships/hyperlink" Target="https://youtu.be/RyHYpK_bBe8?t=5690" TargetMode="External"/><Relationship Id="rId183" Type="http://schemas.openxmlformats.org/officeDocument/2006/relationships/hyperlink" Target="https://youtu.be/ioybKMIcDC8?t=1816" TargetMode="External"/><Relationship Id="rId32" Type="http://schemas.openxmlformats.org/officeDocument/2006/relationships/hyperlink" Target="https://youtu.be/p-2yx5qFzdU?t=4826" TargetMode="External"/><Relationship Id="rId182" Type="http://schemas.openxmlformats.org/officeDocument/2006/relationships/hyperlink" Target="https://youtu.be/lvGlvQ3SYXo?t=776" TargetMode="External"/><Relationship Id="rId35" Type="http://schemas.openxmlformats.org/officeDocument/2006/relationships/hyperlink" Target="https://youtu.be/RyHYpK_bBe8?t=6606" TargetMode="External"/><Relationship Id="rId181" Type="http://schemas.openxmlformats.org/officeDocument/2006/relationships/hyperlink" Target="https://youtu.be/ioybKMIcDC8?t=964" TargetMode="External"/><Relationship Id="rId34" Type="http://schemas.openxmlformats.org/officeDocument/2006/relationships/hyperlink" Target="https://youtu.be/p-2yx5qFzdU?t=5784" TargetMode="External"/><Relationship Id="rId180" Type="http://schemas.openxmlformats.org/officeDocument/2006/relationships/hyperlink" Target="https://youtu.be/lvGlvQ3SYXo" TargetMode="External"/><Relationship Id="rId37" Type="http://schemas.openxmlformats.org/officeDocument/2006/relationships/hyperlink" Target="https://youtu.be/RyHYpK_bBe8?t=7570" TargetMode="External"/><Relationship Id="rId176" Type="http://schemas.openxmlformats.org/officeDocument/2006/relationships/hyperlink" Target="https://youtu.be/fODi8i1Yf1c?t=8215" TargetMode="External"/><Relationship Id="rId297" Type="http://schemas.openxmlformats.org/officeDocument/2006/relationships/hyperlink" Target="https://youtu.be/cPv3Pz4gS-I?t=8192" TargetMode="External"/><Relationship Id="rId36" Type="http://schemas.openxmlformats.org/officeDocument/2006/relationships/hyperlink" Target="https://youtu.be/p-2yx5qFzdU?t=6745" TargetMode="External"/><Relationship Id="rId175" Type="http://schemas.openxmlformats.org/officeDocument/2006/relationships/hyperlink" Target="https://youtu.be/u56QbVLQp1k?t=7290" TargetMode="External"/><Relationship Id="rId296" Type="http://schemas.openxmlformats.org/officeDocument/2006/relationships/hyperlink" Target="https://youtu.be/Ut7zxAqwJr4?t=7850" TargetMode="External"/><Relationship Id="rId39" Type="http://schemas.openxmlformats.org/officeDocument/2006/relationships/hyperlink" Target="https://youtu.be/RyHYpK_bBe8?t=8471" TargetMode="External"/><Relationship Id="rId174" Type="http://schemas.openxmlformats.org/officeDocument/2006/relationships/hyperlink" Target="https://youtu.be/fODi8i1Yf1c?t=7302" TargetMode="External"/><Relationship Id="rId295" Type="http://schemas.openxmlformats.org/officeDocument/2006/relationships/hyperlink" Target="https://youtu.be/cPv3Pz4gS-I?t=7339" TargetMode="External"/><Relationship Id="rId38" Type="http://schemas.openxmlformats.org/officeDocument/2006/relationships/hyperlink" Target="https://youtu.be/p-2yx5qFzdU?t=7681" TargetMode="External"/><Relationship Id="rId173" Type="http://schemas.openxmlformats.org/officeDocument/2006/relationships/hyperlink" Target="https://youtu.be/u56QbVLQp1k?t=6330" TargetMode="External"/><Relationship Id="rId294" Type="http://schemas.openxmlformats.org/officeDocument/2006/relationships/hyperlink" Target="https://youtu.be/Ut7zxAqwJr4?t=7017" TargetMode="External"/><Relationship Id="rId179" Type="http://schemas.openxmlformats.org/officeDocument/2006/relationships/hyperlink" Target="https://youtu.be/ioybKMIcDC8" TargetMode="External"/><Relationship Id="rId178" Type="http://schemas.openxmlformats.org/officeDocument/2006/relationships/hyperlink" Target="https://youtu.be/lvGlvQ3SYXo" TargetMode="External"/><Relationship Id="rId299" Type="http://schemas.openxmlformats.org/officeDocument/2006/relationships/hyperlink" Target="https://youtu.be/qSiEK2lUfL8" TargetMode="External"/><Relationship Id="rId177" Type="http://schemas.openxmlformats.org/officeDocument/2006/relationships/hyperlink" Target="https://youtu.be/u56QbVLQp1k?t=8195" TargetMode="External"/><Relationship Id="rId298" Type="http://schemas.openxmlformats.org/officeDocument/2006/relationships/hyperlink" Target="https://youtu.be/4Odez59W800" TargetMode="External"/><Relationship Id="rId20" Type="http://schemas.openxmlformats.org/officeDocument/2006/relationships/hyperlink" Target="https://youtu.be/a8fLDnwnAHE?t=7498" TargetMode="External"/><Relationship Id="rId22" Type="http://schemas.openxmlformats.org/officeDocument/2006/relationships/hyperlink" Target="https://youtu.be/p-2yx5qFzdU" TargetMode="External"/><Relationship Id="rId21" Type="http://schemas.openxmlformats.org/officeDocument/2006/relationships/hyperlink" Target="https://youtu.be/RyHYpK_bBe8" TargetMode="External"/><Relationship Id="rId24" Type="http://schemas.openxmlformats.org/officeDocument/2006/relationships/hyperlink" Target="https://youtu.be/p-2yx5qFzdU?t=1117" TargetMode="External"/><Relationship Id="rId23" Type="http://schemas.openxmlformats.org/officeDocument/2006/relationships/hyperlink" Target="https://youtu.be/RyHYpK_bBe8?t=1039" TargetMode="External"/><Relationship Id="rId26" Type="http://schemas.openxmlformats.org/officeDocument/2006/relationships/hyperlink" Target="https://youtu.be/p-2yx5qFzdU?t=2038" TargetMode="External"/><Relationship Id="rId25" Type="http://schemas.openxmlformats.org/officeDocument/2006/relationships/hyperlink" Target="https://youtu.be/RyHYpK_bBe8?t=1989" TargetMode="External"/><Relationship Id="rId28" Type="http://schemas.openxmlformats.org/officeDocument/2006/relationships/hyperlink" Target="https://youtu.be/p-2yx5qFzdU?t=2972" TargetMode="External"/><Relationship Id="rId27" Type="http://schemas.openxmlformats.org/officeDocument/2006/relationships/hyperlink" Target="https://youtu.be/RyHYpK_bBe8?t=2933" TargetMode="External"/><Relationship Id="rId29" Type="http://schemas.openxmlformats.org/officeDocument/2006/relationships/hyperlink" Target="https://youtu.be/RyHYpK_bBe8?t=3840" TargetMode="External"/><Relationship Id="rId11" Type="http://schemas.openxmlformats.org/officeDocument/2006/relationships/hyperlink" Target="https://youtu.be/mpjqf-nYPsg?t=4218" TargetMode="External"/><Relationship Id="rId10" Type="http://schemas.openxmlformats.org/officeDocument/2006/relationships/hyperlink" Target="https://youtu.be/a8fLDnwnAHE?t=3359" TargetMode="External"/><Relationship Id="rId13" Type="http://schemas.openxmlformats.org/officeDocument/2006/relationships/hyperlink" Target="https://youtu.be/mpjqf-nYPsg?t=5081" TargetMode="External"/><Relationship Id="rId12" Type="http://schemas.openxmlformats.org/officeDocument/2006/relationships/hyperlink" Target="https://youtu.be/a8fLDnwnAHE?t=4258" TargetMode="External"/><Relationship Id="rId15" Type="http://schemas.openxmlformats.org/officeDocument/2006/relationships/hyperlink" Target="https://youtu.be/mpjqf-nYPsg?t=5909" TargetMode="External"/><Relationship Id="rId198" Type="http://schemas.openxmlformats.org/officeDocument/2006/relationships/hyperlink" Target="https://youtu.be/FuHcQEqCBiw" TargetMode="External"/><Relationship Id="rId14" Type="http://schemas.openxmlformats.org/officeDocument/2006/relationships/hyperlink" Target="https://youtu.be/a8fLDnwnAHE?t=5081" TargetMode="External"/><Relationship Id="rId197" Type="http://schemas.openxmlformats.org/officeDocument/2006/relationships/hyperlink" Target="https://youtu.be/ioybKMIcDC8?t=7915" TargetMode="External"/><Relationship Id="rId17" Type="http://schemas.openxmlformats.org/officeDocument/2006/relationships/hyperlink" Target="https://youtu.be/mpjqf-nYPsg?t=6732" TargetMode="External"/><Relationship Id="rId196" Type="http://schemas.openxmlformats.org/officeDocument/2006/relationships/hyperlink" Target="https://youtu.be/lvGlvQ3SYXo?t=7013" TargetMode="External"/><Relationship Id="rId16" Type="http://schemas.openxmlformats.org/officeDocument/2006/relationships/hyperlink" Target="https://youtu.be/a8fLDnwnAHE?t=5868" TargetMode="External"/><Relationship Id="rId195" Type="http://schemas.openxmlformats.org/officeDocument/2006/relationships/hyperlink" Target="https://youtu.be/ioybKMIcDC8?t=7081" TargetMode="External"/><Relationship Id="rId19" Type="http://schemas.openxmlformats.org/officeDocument/2006/relationships/hyperlink" Target="https://youtu.be/mpjqf-nYPsg?t=7521" TargetMode="External"/><Relationship Id="rId18" Type="http://schemas.openxmlformats.org/officeDocument/2006/relationships/hyperlink" Target="https://youtu.be/a8fLDnwnAHE?t=6670" TargetMode="External"/><Relationship Id="rId199" Type="http://schemas.openxmlformats.org/officeDocument/2006/relationships/hyperlink" Target="https://youtu.be/bibSI7GkUnw" TargetMode="External"/><Relationship Id="rId84" Type="http://schemas.openxmlformats.org/officeDocument/2006/relationships/hyperlink" Target="https://youtu.be/HDCY-QKIST4?t=1038" TargetMode="External"/><Relationship Id="rId83" Type="http://schemas.openxmlformats.org/officeDocument/2006/relationships/hyperlink" Target="https://youtu.be/Ad01DG_l4m4?t=167" TargetMode="External"/><Relationship Id="rId86" Type="http://schemas.openxmlformats.org/officeDocument/2006/relationships/hyperlink" Target="https://youtu.be/HDCY-QKIST4?t=1955" TargetMode="External"/><Relationship Id="rId85" Type="http://schemas.openxmlformats.org/officeDocument/2006/relationships/hyperlink" Target="https://youtu.be/Ad01DG_l4m4" TargetMode="External"/><Relationship Id="rId88" Type="http://schemas.openxmlformats.org/officeDocument/2006/relationships/hyperlink" Target="https://youtu.be/HDCY-QKIST4?t=2908" TargetMode="External"/><Relationship Id="rId150" Type="http://schemas.openxmlformats.org/officeDocument/2006/relationships/hyperlink" Target="https://youtu.be/e4I47QZ7oWk?t=5198" TargetMode="External"/><Relationship Id="rId271" Type="http://schemas.openxmlformats.org/officeDocument/2006/relationships/hyperlink" Target="https://youtu.be/hM6LR5ciqts?t=5182" TargetMode="External"/><Relationship Id="rId87" Type="http://schemas.openxmlformats.org/officeDocument/2006/relationships/hyperlink" Target="https://youtu.be/Ad01DG_l4m4?t=2008" TargetMode="External"/><Relationship Id="rId270" Type="http://schemas.openxmlformats.org/officeDocument/2006/relationships/hyperlink" Target="https://youtu.be/4-1fXPQljL0?t=5225" TargetMode="External"/><Relationship Id="rId89" Type="http://schemas.openxmlformats.org/officeDocument/2006/relationships/hyperlink" Target="https://youtu.be/Ad01DG_l4m4?t=2981" TargetMode="External"/><Relationship Id="rId80" Type="http://schemas.openxmlformats.org/officeDocument/2006/relationships/hyperlink" Target="https://youtu.be/oCFshR0VESw?t=8443" TargetMode="External"/><Relationship Id="rId82" Type="http://schemas.openxmlformats.org/officeDocument/2006/relationships/hyperlink" Target="https://youtu.be/HDCY-QKIST4" TargetMode="External"/><Relationship Id="rId81" Type="http://schemas.openxmlformats.org/officeDocument/2006/relationships/hyperlink" Target="https://youtu.be/Ad01DG_l4m4" TargetMode="External"/><Relationship Id="rId1" Type="http://schemas.openxmlformats.org/officeDocument/2006/relationships/hyperlink" Target="https://youtu.be/mpjqf-nYPsg" TargetMode="External"/><Relationship Id="rId2" Type="http://schemas.openxmlformats.org/officeDocument/2006/relationships/hyperlink" Target="https://youtu.be/a8fLDnwnAHE" TargetMode="External"/><Relationship Id="rId3" Type="http://schemas.openxmlformats.org/officeDocument/2006/relationships/hyperlink" Target="https://youtu.be/mpjqf-nYPsg?t=901" TargetMode="External"/><Relationship Id="rId149" Type="http://schemas.openxmlformats.org/officeDocument/2006/relationships/hyperlink" Target="https://youtu.be/vGpW4CGdOsY?t=4384" TargetMode="External"/><Relationship Id="rId4" Type="http://schemas.openxmlformats.org/officeDocument/2006/relationships/hyperlink" Target="https://youtu.be/a8fLDnwnAHE?t=894" TargetMode="External"/><Relationship Id="rId148" Type="http://schemas.openxmlformats.org/officeDocument/2006/relationships/hyperlink" Target="https://youtu.be/e4I47QZ7oWk?t=4329" TargetMode="External"/><Relationship Id="rId269" Type="http://schemas.openxmlformats.org/officeDocument/2006/relationships/hyperlink" Target="https://youtu.be/hM6LR5ciqts?t=4348" TargetMode="External"/><Relationship Id="rId9" Type="http://schemas.openxmlformats.org/officeDocument/2006/relationships/hyperlink" Target="https://youtu.be/mpjqf-nYPsg?t=3278" TargetMode="External"/><Relationship Id="rId143" Type="http://schemas.openxmlformats.org/officeDocument/2006/relationships/hyperlink" Target="https://youtu.be/vGpW4CGdOsY?t=1800" TargetMode="External"/><Relationship Id="rId264" Type="http://schemas.openxmlformats.org/officeDocument/2006/relationships/hyperlink" Target="https://youtu.be/4-1fXPQljL0?t=2562" TargetMode="External"/><Relationship Id="rId142" Type="http://schemas.openxmlformats.org/officeDocument/2006/relationships/hyperlink" Target="https://youtu.be/e4I47QZ7oWk?t=1777" TargetMode="External"/><Relationship Id="rId263" Type="http://schemas.openxmlformats.org/officeDocument/2006/relationships/hyperlink" Target="https://youtu.be/hM6LR5ciqts?t=1753" TargetMode="External"/><Relationship Id="rId141" Type="http://schemas.openxmlformats.org/officeDocument/2006/relationships/hyperlink" Target="https://youtu.be/vGpW4CGdOsY?t=901" TargetMode="External"/><Relationship Id="rId262" Type="http://schemas.openxmlformats.org/officeDocument/2006/relationships/hyperlink" Target="https://youtu.be/4-1fXPQljL0?t=1698" TargetMode="External"/><Relationship Id="rId140" Type="http://schemas.openxmlformats.org/officeDocument/2006/relationships/hyperlink" Target="https://youtu.be/e4I47QZ7oWk?t=893" TargetMode="External"/><Relationship Id="rId261" Type="http://schemas.openxmlformats.org/officeDocument/2006/relationships/hyperlink" Target="https://youtu.be/hM6LR5ciqts?t=898" TargetMode="External"/><Relationship Id="rId5" Type="http://schemas.openxmlformats.org/officeDocument/2006/relationships/hyperlink" Target="https://youtu.be/mpjqf-nYPsg?t=1690" TargetMode="External"/><Relationship Id="rId147" Type="http://schemas.openxmlformats.org/officeDocument/2006/relationships/hyperlink" Target="https://youtu.be/vGpW4CGdOsY?t=3505" TargetMode="External"/><Relationship Id="rId268" Type="http://schemas.openxmlformats.org/officeDocument/2006/relationships/hyperlink" Target="https://youtu.be/4-1fXPQljL0?t=4389" TargetMode="External"/><Relationship Id="rId6" Type="http://schemas.openxmlformats.org/officeDocument/2006/relationships/hyperlink" Target="https://youtu.be/a8fLDnwnAHE?t=1695" TargetMode="External"/><Relationship Id="rId146" Type="http://schemas.openxmlformats.org/officeDocument/2006/relationships/hyperlink" Target="https://youtu.be/e4I47QZ7oWk?t=3466" TargetMode="External"/><Relationship Id="rId267" Type="http://schemas.openxmlformats.org/officeDocument/2006/relationships/hyperlink" Target="https://youtu.be/hM6LR5ciqts?t=3470" TargetMode="External"/><Relationship Id="rId7" Type="http://schemas.openxmlformats.org/officeDocument/2006/relationships/hyperlink" Target="https://youtu.be/mpjqf-nYPsg?t=2499" TargetMode="External"/><Relationship Id="rId145" Type="http://schemas.openxmlformats.org/officeDocument/2006/relationships/hyperlink" Target="https://youtu.be/vGpW4CGdOsY?t=2652" TargetMode="External"/><Relationship Id="rId266" Type="http://schemas.openxmlformats.org/officeDocument/2006/relationships/hyperlink" Target="https://youtu.be/4-1fXPQljL0?t=3397" TargetMode="External"/><Relationship Id="rId8" Type="http://schemas.openxmlformats.org/officeDocument/2006/relationships/hyperlink" Target="https://youtu.be/a8fLDnwnAHE?t=2505" TargetMode="External"/><Relationship Id="rId144" Type="http://schemas.openxmlformats.org/officeDocument/2006/relationships/hyperlink" Target="https://youtu.be/e4I47QZ7oWk?t=2595" TargetMode="External"/><Relationship Id="rId265" Type="http://schemas.openxmlformats.org/officeDocument/2006/relationships/hyperlink" Target="https://youtu.be/hM6LR5ciqts?t=2622" TargetMode="External"/><Relationship Id="rId73" Type="http://schemas.openxmlformats.org/officeDocument/2006/relationships/hyperlink" Target="https://youtu.be/k-1d7oZ5n_w?t=5392" TargetMode="External"/><Relationship Id="rId72" Type="http://schemas.openxmlformats.org/officeDocument/2006/relationships/hyperlink" Target="https://youtu.be/oCFshR0VESw?t=4769" TargetMode="External"/><Relationship Id="rId75" Type="http://schemas.openxmlformats.org/officeDocument/2006/relationships/hyperlink" Target="https://youtu.be/k-1d7oZ5n_w?t=6332" TargetMode="External"/><Relationship Id="rId74" Type="http://schemas.openxmlformats.org/officeDocument/2006/relationships/hyperlink" Target="https://youtu.be/oCFshR0VESw?t=5664" TargetMode="External"/><Relationship Id="rId77" Type="http://schemas.openxmlformats.org/officeDocument/2006/relationships/hyperlink" Target="https://youtu.be/k-1d7oZ5n_w?t=7302" TargetMode="External"/><Relationship Id="rId260" Type="http://schemas.openxmlformats.org/officeDocument/2006/relationships/hyperlink" Target="https://youtu.be/4-1fXPQljL0?t=843" TargetMode="External"/><Relationship Id="rId76" Type="http://schemas.openxmlformats.org/officeDocument/2006/relationships/hyperlink" Target="https://youtu.be/oCFshR0VESw?t=6758" TargetMode="External"/><Relationship Id="rId79" Type="http://schemas.openxmlformats.org/officeDocument/2006/relationships/hyperlink" Target="https://youtu.be/k-1d7oZ5n_w?t=8212" TargetMode="External"/><Relationship Id="rId78" Type="http://schemas.openxmlformats.org/officeDocument/2006/relationships/hyperlink" Target="https://youtu.be/oCFshR0VESw?t=7607" TargetMode="External"/><Relationship Id="rId71" Type="http://schemas.openxmlformats.org/officeDocument/2006/relationships/hyperlink" Target="https://youtu.be/k-1d7oZ5n_w?t=4446" TargetMode="External"/><Relationship Id="rId70" Type="http://schemas.openxmlformats.org/officeDocument/2006/relationships/hyperlink" Target="https://youtu.be/oCFshR0VESw?t=3844" TargetMode="External"/><Relationship Id="rId139" Type="http://schemas.openxmlformats.org/officeDocument/2006/relationships/hyperlink" Target="https://youtu.be/vGpW4CGdOsY" TargetMode="External"/><Relationship Id="rId138" Type="http://schemas.openxmlformats.org/officeDocument/2006/relationships/hyperlink" Target="https://youtu.be/e4I47QZ7oWk" TargetMode="External"/><Relationship Id="rId259" Type="http://schemas.openxmlformats.org/officeDocument/2006/relationships/hyperlink" Target="https://youtu.be/hM6LR5ciqts?t=45" TargetMode="External"/><Relationship Id="rId137" Type="http://schemas.openxmlformats.org/officeDocument/2006/relationships/hyperlink" Target="https://youtu.be/A73MxeDAf3U?t=8640" TargetMode="External"/><Relationship Id="rId258" Type="http://schemas.openxmlformats.org/officeDocument/2006/relationships/hyperlink" Target="https://youtu.be/4-1fXPQljL0" TargetMode="External"/><Relationship Id="rId132" Type="http://schemas.openxmlformats.org/officeDocument/2006/relationships/hyperlink" Target="https://youtu.be/A73MxeDAf3U?t=4815" TargetMode="External"/><Relationship Id="rId253" Type="http://schemas.openxmlformats.org/officeDocument/2006/relationships/hyperlink" Target="https://youtu.be/MPfZoesckEY?t=6783" TargetMode="External"/><Relationship Id="rId131" Type="http://schemas.openxmlformats.org/officeDocument/2006/relationships/hyperlink" Target="https://youtu.be/ysXkfQPxEis?t=4771" TargetMode="External"/><Relationship Id="rId252" Type="http://schemas.openxmlformats.org/officeDocument/2006/relationships/hyperlink" Target="https://youtu.be/zg4OeUb0_Zc?t=6799" TargetMode="External"/><Relationship Id="rId130" Type="http://schemas.openxmlformats.org/officeDocument/2006/relationships/hyperlink" Target="https://youtu.be/A73MxeDAf3U?t=3898" TargetMode="External"/><Relationship Id="rId251" Type="http://schemas.openxmlformats.org/officeDocument/2006/relationships/hyperlink" Target="https://youtu.be/MPfZoesckEY?t=5853" TargetMode="External"/><Relationship Id="rId250" Type="http://schemas.openxmlformats.org/officeDocument/2006/relationships/hyperlink" Target="https://youtu.be/zg4OeUb0_Zc?t=5858" TargetMode="External"/><Relationship Id="rId136" Type="http://schemas.openxmlformats.org/officeDocument/2006/relationships/hyperlink" Target="https://youtu.be/A73MxeDAf3U?t=7688" TargetMode="External"/><Relationship Id="rId257" Type="http://schemas.openxmlformats.org/officeDocument/2006/relationships/hyperlink" Target="https://youtu.be/MPfZoesckEY?t=8722" TargetMode="External"/><Relationship Id="rId135" Type="http://schemas.openxmlformats.org/officeDocument/2006/relationships/hyperlink" Target="https://youtu.be/A73MxeDAf3U?t=6727" TargetMode="External"/><Relationship Id="rId256" Type="http://schemas.openxmlformats.org/officeDocument/2006/relationships/hyperlink" Target="https://youtu.be/zg4OeUb0_Zc?t=8599" TargetMode="External"/><Relationship Id="rId134" Type="http://schemas.openxmlformats.org/officeDocument/2006/relationships/hyperlink" Target="https://youtu.be/A73MxeDAf3U?t=5808" TargetMode="External"/><Relationship Id="rId255" Type="http://schemas.openxmlformats.org/officeDocument/2006/relationships/hyperlink" Target="https://youtu.be/MPfZoesckEY?t=7735" TargetMode="External"/><Relationship Id="rId133" Type="http://schemas.openxmlformats.org/officeDocument/2006/relationships/hyperlink" Target="https://youtu.be/ysXkfQPxEis?t=5780" TargetMode="External"/><Relationship Id="rId254" Type="http://schemas.openxmlformats.org/officeDocument/2006/relationships/hyperlink" Target="https://youtu.be/zg4OeUb0_Zc?t=7698" TargetMode="External"/><Relationship Id="rId62" Type="http://schemas.openxmlformats.org/officeDocument/2006/relationships/hyperlink" Target="https://youtu.be/oCFshR0VESw" TargetMode="External"/><Relationship Id="rId61" Type="http://schemas.openxmlformats.org/officeDocument/2006/relationships/hyperlink" Target="https://youtu.be/k-1d7oZ5n_w" TargetMode="External"/><Relationship Id="rId64" Type="http://schemas.openxmlformats.org/officeDocument/2006/relationships/hyperlink" Target="https://youtu.be/oCFshR0VESw?t=1044" TargetMode="External"/><Relationship Id="rId63" Type="http://schemas.openxmlformats.org/officeDocument/2006/relationships/hyperlink" Target="https://youtu.be/k-1d7oZ5n_w?t=803" TargetMode="External"/><Relationship Id="rId66" Type="http://schemas.openxmlformats.org/officeDocument/2006/relationships/hyperlink" Target="https://youtu.be/oCFshR0VESw?t=1968" TargetMode="External"/><Relationship Id="rId172" Type="http://schemas.openxmlformats.org/officeDocument/2006/relationships/hyperlink" Target="https://youtu.be/fODi8i1Yf1c?t=6379" TargetMode="External"/><Relationship Id="rId293" Type="http://schemas.openxmlformats.org/officeDocument/2006/relationships/hyperlink" Target="https://youtu.be/cPv3Pz4gS-I?t=6439" TargetMode="External"/><Relationship Id="rId65" Type="http://schemas.openxmlformats.org/officeDocument/2006/relationships/hyperlink" Target="https://youtu.be/k-1d7oZ5n_w?t=1698" TargetMode="External"/><Relationship Id="rId171" Type="http://schemas.openxmlformats.org/officeDocument/2006/relationships/hyperlink" Target="https://youtu.be/u56QbVLQp1k?t=5459" TargetMode="External"/><Relationship Id="rId292" Type="http://schemas.openxmlformats.org/officeDocument/2006/relationships/hyperlink" Target="https://youtu.be/Ut7zxAqwJr4?t=6127" TargetMode="External"/><Relationship Id="rId68" Type="http://schemas.openxmlformats.org/officeDocument/2006/relationships/hyperlink" Target="https://youtu.be/oCFshR0VESw?t=2886" TargetMode="External"/><Relationship Id="rId170" Type="http://schemas.openxmlformats.org/officeDocument/2006/relationships/hyperlink" Target="https://youtu.be/fODi8i1Yf1c?t=5426" TargetMode="External"/><Relationship Id="rId291" Type="http://schemas.openxmlformats.org/officeDocument/2006/relationships/hyperlink" Target="https://youtu.be/cPv3Pz4gS-I?t=5610" TargetMode="External"/><Relationship Id="rId67" Type="http://schemas.openxmlformats.org/officeDocument/2006/relationships/hyperlink" Target="https://youtu.be/k-1d7oZ5n_w?t=2580" TargetMode="External"/><Relationship Id="rId290" Type="http://schemas.openxmlformats.org/officeDocument/2006/relationships/hyperlink" Target="https://youtu.be/Ut7zxAqwJr4?t=5270" TargetMode="External"/><Relationship Id="rId60" Type="http://schemas.openxmlformats.org/officeDocument/2006/relationships/hyperlink" Target="https://youtu.be/loAwWym6a4Y?t=7561" TargetMode="External"/><Relationship Id="rId165" Type="http://schemas.openxmlformats.org/officeDocument/2006/relationships/hyperlink" Target="https://youtu.be/u56QbVLQp1k?t=2771" TargetMode="External"/><Relationship Id="rId286" Type="http://schemas.openxmlformats.org/officeDocument/2006/relationships/hyperlink" Target="https://youtu.be/Ut7zxAqwJr4?t=3543" TargetMode="External"/><Relationship Id="rId69" Type="http://schemas.openxmlformats.org/officeDocument/2006/relationships/hyperlink" Target="https://youtu.be/k-1d7oZ5n_w?t=3491" TargetMode="External"/><Relationship Id="rId164" Type="http://schemas.openxmlformats.org/officeDocument/2006/relationships/hyperlink" Target="https://youtu.be/fODi8i1Yf1c?t=2782" TargetMode="External"/><Relationship Id="rId285" Type="http://schemas.openxmlformats.org/officeDocument/2006/relationships/hyperlink" Target="https://youtu.be/cPv3Pz4gS-I?t=3067" TargetMode="External"/><Relationship Id="rId163" Type="http://schemas.openxmlformats.org/officeDocument/2006/relationships/hyperlink" Target="https://youtu.be/u56QbVLQp1k?t=1886" TargetMode="External"/><Relationship Id="rId284" Type="http://schemas.openxmlformats.org/officeDocument/2006/relationships/hyperlink" Target="https://youtu.be/Ut7zxAqwJr4?t=2614" TargetMode="External"/><Relationship Id="rId162" Type="http://schemas.openxmlformats.org/officeDocument/2006/relationships/hyperlink" Target="https://youtu.be/fODi8i1Yf1c?t=1920" TargetMode="External"/><Relationship Id="rId283" Type="http://schemas.openxmlformats.org/officeDocument/2006/relationships/hyperlink" Target="https://youtu.be/cPv3Pz4gS-I?t=2171" TargetMode="External"/><Relationship Id="rId169" Type="http://schemas.openxmlformats.org/officeDocument/2006/relationships/hyperlink" Target="https://youtu.be/u56QbVLQp1k?t=4510" TargetMode="External"/><Relationship Id="rId168" Type="http://schemas.openxmlformats.org/officeDocument/2006/relationships/hyperlink" Target="https://youtu.be/fODi8i1Yf1c?t=4506" TargetMode="External"/><Relationship Id="rId289" Type="http://schemas.openxmlformats.org/officeDocument/2006/relationships/hyperlink" Target="https://youtu.be/cPv3Pz4gS-I?t=4734" TargetMode="External"/><Relationship Id="rId167" Type="http://schemas.openxmlformats.org/officeDocument/2006/relationships/hyperlink" Target="https://youtu.be/u56QbVLQp1k?t=3647" TargetMode="External"/><Relationship Id="rId288" Type="http://schemas.openxmlformats.org/officeDocument/2006/relationships/hyperlink" Target="https://youtu.be/Ut7zxAqwJr4?t=4408" TargetMode="External"/><Relationship Id="rId166" Type="http://schemas.openxmlformats.org/officeDocument/2006/relationships/hyperlink" Target="https://youtu.be/fODi8i1Yf1c?t=3649" TargetMode="External"/><Relationship Id="rId287" Type="http://schemas.openxmlformats.org/officeDocument/2006/relationships/hyperlink" Target="https://youtu.be/cPv3Pz4gS-I?t=3888" TargetMode="External"/><Relationship Id="rId51" Type="http://schemas.openxmlformats.org/officeDocument/2006/relationships/hyperlink" Target="https://youtu.be/VAGnXaSMJgg?t=4547" TargetMode="External"/><Relationship Id="rId50" Type="http://schemas.openxmlformats.org/officeDocument/2006/relationships/hyperlink" Target="https://youtu.be/loAwWym6a4Y?t=3356" TargetMode="External"/><Relationship Id="rId53" Type="http://schemas.openxmlformats.org/officeDocument/2006/relationships/hyperlink" Target="https://youtu.be/VAGnXaSMJgg?t=5338" TargetMode="External"/><Relationship Id="rId52" Type="http://schemas.openxmlformats.org/officeDocument/2006/relationships/hyperlink" Target="https://youtu.be/loAwWym6a4Y?t=4178" TargetMode="External"/><Relationship Id="rId55" Type="http://schemas.openxmlformats.org/officeDocument/2006/relationships/hyperlink" Target="https://youtu.be/VAGnXaSMJgg?t=6160" TargetMode="External"/><Relationship Id="rId161" Type="http://schemas.openxmlformats.org/officeDocument/2006/relationships/hyperlink" Target="https://youtu.be/u56QbVLQp1k?t=1030" TargetMode="External"/><Relationship Id="rId282" Type="http://schemas.openxmlformats.org/officeDocument/2006/relationships/hyperlink" Target="https://youtu.be/Ut7zxAqwJr4?t=1727" TargetMode="External"/><Relationship Id="rId54" Type="http://schemas.openxmlformats.org/officeDocument/2006/relationships/hyperlink" Target="https://youtu.be/loAwWym6a4Y?t=5005" TargetMode="External"/><Relationship Id="rId160" Type="http://schemas.openxmlformats.org/officeDocument/2006/relationships/hyperlink" Target="https://youtu.be/fODi8i1Yf1c?t=1028" TargetMode="External"/><Relationship Id="rId281" Type="http://schemas.openxmlformats.org/officeDocument/2006/relationships/hyperlink" Target="https://youtu.be/cPv3Pz4gS-I?t=1287" TargetMode="External"/><Relationship Id="rId57" Type="http://schemas.openxmlformats.org/officeDocument/2006/relationships/hyperlink" Target="https://youtu.be/VAGnXaSMJgg?t=6996" TargetMode="External"/><Relationship Id="rId280" Type="http://schemas.openxmlformats.org/officeDocument/2006/relationships/hyperlink" Target="https://youtu.be/Ut7zxAqwJr4?t=854" TargetMode="External"/><Relationship Id="rId56" Type="http://schemas.openxmlformats.org/officeDocument/2006/relationships/hyperlink" Target="https://youtu.be/loAwWym6a4Y?t=5841" TargetMode="External"/><Relationship Id="rId159" Type="http://schemas.openxmlformats.org/officeDocument/2006/relationships/hyperlink" Target="https://youtu.be/u56QbVLQp1k" TargetMode="External"/><Relationship Id="rId59" Type="http://schemas.openxmlformats.org/officeDocument/2006/relationships/hyperlink" Target="https://youtu.be/VAGnXaSMJgg?t=7823" TargetMode="External"/><Relationship Id="rId154" Type="http://schemas.openxmlformats.org/officeDocument/2006/relationships/hyperlink" Target="https://youtu.be/e4I47QZ7oWk?t=6900" TargetMode="External"/><Relationship Id="rId275" Type="http://schemas.openxmlformats.org/officeDocument/2006/relationships/hyperlink" Target="https://youtu.be/hM6LR5ciqts?t=6912" TargetMode="External"/><Relationship Id="rId58" Type="http://schemas.openxmlformats.org/officeDocument/2006/relationships/hyperlink" Target="https://youtu.be/loAwWym6a4Y?t=6655" TargetMode="External"/><Relationship Id="rId153" Type="http://schemas.openxmlformats.org/officeDocument/2006/relationships/hyperlink" Target="https://youtu.be/vGpW4CGdOsY?t=6103" TargetMode="External"/><Relationship Id="rId274" Type="http://schemas.openxmlformats.org/officeDocument/2006/relationships/hyperlink" Target="https://youtu.be/4-1fXPQljL0?t=6943" TargetMode="External"/><Relationship Id="rId152" Type="http://schemas.openxmlformats.org/officeDocument/2006/relationships/hyperlink" Target="https://youtu.be/e4I47QZ7oWk?t=6043" TargetMode="External"/><Relationship Id="rId273" Type="http://schemas.openxmlformats.org/officeDocument/2006/relationships/hyperlink" Target="https://youtu.be/hM6LR5ciqts?t=6070" TargetMode="External"/><Relationship Id="rId151" Type="http://schemas.openxmlformats.org/officeDocument/2006/relationships/hyperlink" Target="https://youtu.be/vGpW4CGdOsY?t=5228" TargetMode="External"/><Relationship Id="rId272" Type="http://schemas.openxmlformats.org/officeDocument/2006/relationships/hyperlink" Target="https://youtu.be/4-1fXPQljL0?t=6084" TargetMode="External"/><Relationship Id="rId158" Type="http://schemas.openxmlformats.org/officeDocument/2006/relationships/hyperlink" Target="https://youtu.be/fODi8i1Yf1c" TargetMode="External"/><Relationship Id="rId279" Type="http://schemas.openxmlformats.org/officeDocument/2006/relationships/hyperlink" Target="https://youtu.be/cPv3Pz4gS-I" TargetMode="External"/><Relationship Id="rId157" Type="http://schemas.openxmlformats.org/officeDocument/2006/relationships/hyperlink" Target="https://youtu.be/vGpW4CGdOsY?t=7794" TargetMode="External"/><Relationship Id="rId278" Type="http://schemas.openxmlformats.org/officeDocument/2006/relationships/hyperlink" Target="https://youtu.be/Ut7zxAqwJr4" TargetMode="External"/><Relationship Id="rId156" Type="http://schemas.openxmlformats.org/officeDocument/2006/relationships/hyperlink" Target="https://youtu.be/e4I47QZ7oWk?t=7781" TargetMode="External"/><Relationship Id="rId277" Type="http://schemas.openxmlformats.org/officeDocument/2006/relationships/hyperlink" Target="https://youtu.be/hM6LR5ciqts?t=7727" TargetMode="External"/><Relationship Id="rId155" Type="http://schemas.openxmlformats.org/officeDocument/2006/relationships/hyperlink" Target="https://youtu.be/vGpW4CGdOsY?t=6930" TargetMode="External"/><Relationship Id="rId276" Type="http://schemas.openxmlformats.org/officeDocument/2006/relationships/hyperlink" Target="https://youtu.be/4-1fXPQljL0?t=7773" TargetMode="External"/><Relationship Id="rId107" Type="http://schemas.openxmlformats.org/officeDocument/2006/relationships/hyperlink" Target="https://youtu.be/FzC13rNWTeM?t=1729" TargetMode="External"/><Relationship Id="rId228" Type="http://schemas.openxmlformats.org/officeDocument/2006/relationships/hyperlink" Target="https://youtu.be/J6bCSCBG2rA?t=3820" TargetMode="External"/><Relationship Id="rId106" Type="http://schemas.openxmlformats.org/officeDocument/2006/relationships/hyperlink" Target="https://youtu.be/wqtsnAZ3Z8E?t=1750" TargetMode="External"/><Relationship Id="rId227" Type="http://schemas.openxmlformats.org/officeDocument/2006/relationships/hyperlink" Target="https://youtu.be/q6iHtmJiBoE?t=4031" TargetMode="External"/><Relationship Id="rId105" Type="http://schemas.openxmlformats.org/officeDocument/2006/relationships/hyperlink" Target="https://youtu.be/FzC13rNWTeM?t=900" TargetMode="External"/><Relationship Id="rId226" Type="http://schemas.openxmlformats.org/officeDocument/2006/relationships/hyperlink" Target="https://youtu.be/J6bCSCBG2rA?t=2923" TargetMode="External"/><Relationship Id="rId104" Type="http://schemas.openxmlformats.org/officeDocument/2006/relationships/hyperlink" Target="https://youtu.be/wqtsnAZ3Z8E?t=905" TargetMode="External"/><Relationship Id="rId225" Type="http://schemas.openxmlformats.org/officeDocument/2006/relationships/hyperlink" Target="https://youtu.be/q6iHtmJiBoE?t=3131" TargetMode="External"/><Relationship Id="rId109" Type="http://schemas.openxmlformats.org/officeDocument/2006/relationships/hyperlink" Target="https://youtu.be/FzC13rNWTeM?t=2622" TargetMode="External"/><Relationship Id="rId108" Type="http://schemas.openxmlformats.org/officeDocument/2006/relationships/hyperlink" Target="https://youtu.be/wqtsnAZ3Z8E?t=2594" TargetMode="External"/><Relationship Id="rId229" Type="http://schemas.openxmlformats.org/officeDocument/2006/relationships/hyperlink" Target="https://youtu.be/q6iHtmJiBoE?t=4939" TargetMode="External"/><Relationship Id="rId220" Type="http://schemas.openxmlformats.org/officeDocument/2006/relationships/hyperlink" Target="https://youtu.be/J6bCSCBG2rA?t=98" TargetMode="External"/><Relationship Id="rId103" Type="http://schemas.openxmlformats.org/officeDocument/2006/relationships/hyperlink" Target="https://youtu.be/FzC13rNWTeM" TargetMode="External"/><Relationship Id="rId224" Type="http://schemas.openxmlformats.org/officeDocument/2006/relationships/hyperlink" Target="https://youtu.be/J6bCSCBG2rA?t=1998" TargetMode="External"/><Relationship Id="rId102" Type="http://schemas.openxmlformats.org/officeDocument/2006/relationships/hyperlink" Target="https://youtu.be/wqtsnAZ3Z8E" TargetMode="External"/><Relationship Id="rId223" Type="http://schemas.openxmlformats.org/officeDocument/2006/relationships/hyperlink" Target="https://youtu.be/q6iHtmJiBoE?t=2091" TargetMode="External"/><Relationship Id="rId101" Type="http://schemas.openxmlformats.org/officeDocument/2006/relationships/hyperlink" Target="https://youtu.be/ljeuANT4bxY" TargetMode="External"/><Relationship Id="rId222" Type="http://schemas.openxmlformats.org/officeDocument/2006/relationships/hyperlink" Target="https://youtu.be/J6bCSCBG2rA?t=1012" TargetMode="External"/><Relationship Id="rId100" Type="http://schemas.openxmlformats.org/officeDocument/2006/relationships/hyperlink" Target="https://youtu.be/HDCY-QKIST4?t=8663" TargetMode="External"/><Relationship Id="rId221" Type="http://schemas.openxmlformats.org/officeDocument/2006/relationships/hyperlink" Target="https://youtu.be/q6iHtmJiBoE?t=1118" TargetMode="External"/><Relationship Id="rId217" Type="http://schemas.openxmlformats.org/officeDocument/2006/relationships/hyperlink" Target="https://youtu.be/bibSI7GkUnw?t=7716" TargetMode="External"/><Relationship Id="rId216" Type="http://schemas.openxmlformats.org/officeDocument/2006/relationships/hyperlink" Target="https://youtu.be/FuHcQEqCBiw?t=7724" TargetMode="External"/><Relationship Id="rId337" Type="http://schemas.openxmlformats.org/officeDocument/2006/relationships/drawing" Target="../drawings/drawing33.xml"/><Relationship Id="rId215" Type="http://schemas.openxmlformats.org/officeDocument/2006/relationships/hyperlink" Target="https://youtu.be/bibSI7GkUnw?t=6827" TargetMode="External"/><Relationship Id="rId336" Type="http://schemas.openxmlformats.org/officeDocument/2006/relationships/hyperlink" Target="https://youtu.be/xu00ALM32rQ?t=7439" TargetMode="External"/><Relationship Id="rId214" Type="http://schemas.openxmlformats.org/officeDocument/2006/relationships/hyperlink" Target="https://youtu.be/FuHcQEqCBiw?t=6839" TargetMode="External"/><Relationship Id="rId335" Type="http://schemas.openxmlformats.org/officeDocument/2006/relationships/hyperlink" Target="https://youtu.be/yFNk3m3tNkY?t=6631" TargetMode="External"/><Relationship Id="rId219" Type="http://schemas.openxmlformats.org/officeDocument/2006/relationships/hyperlink" Target="https://youtu.be/q6iHtmJiBoE" TargetMode="External"/><Relationship Id="rId218" Type="http://schemas.openxmlformats.org/officeDocument/2006/relationships/hyperlink" Target="https://youtu.be/uRoWtxh2vF8" TargetMode="External"/><Relationship Id="rId330" Type="http://schemas.openxmlformats.org/officeDocument/2006/relationships/hyperlink" Target="https://youtu.be/xu00ALM32rQ?t=5009" TargetMode="External"/><Relationship Id="rId213" Type="http://schemas.openxmlformats.org/officeDocument/2006/relationships/hyperlink" Target="https://youtu.be/bibSI7GkUnw?t=5999" TargetMode="External"/><Relationship Id="rId334" Type="http://schemas.openxmlformats.org/officeDocument/2006/relationships/hyperlink" Target="https://youtu.be/xu00ALM32rQ?t=6644" TargetMode="External"/><Relationship Id="rId212" Type="http://schemas.openxmlformats.org/officeDocument/2006/relationships/hyperlink" Target="https://youtu.be/FuHcQEqCBiw?t=6008" TargetMode="External"/><Relationship Id="rId333" Type="http://schemas.openxmlformats.org/officeDocument/2006/relationships/hyperlink" Target="https://youtu.be/yFNk3m3tNkY?t=5802" TargetMode="External"/><Relationship Id="rId211" Type="http://schemas.openxmlformats.org/officeDocument/2006/relationships/hyperlink" Target="https://youtu.be/bibSI7GkUnw?t=5132" TargetMode="External"/><Relationship Id="rId332" Type="http://schemas.openxmlformats.org/officeDocument/2006/relationships/hyperlink" Target="https://youtu.be/xu00ALM32rQ?t=5795" TargetMode="External"/><Relationship Id="rId210" Type="http://schemas.openxmlformats.org/officeDocument/2006/relationships/hyperlink" Target="https://youtu.be/FuHcQEqCBiw?t=5169" TargetMode="External"/><Relationship Id="rId331" Type="http://schemas.openxmlformats.org/officeDocument/2006/relationships/hyperlink" Target="https://youtu.be/yFNk3m3tNkY?t=4982" TargetMode="External"/><Relationship Id="rId129" Type="http://schemas.openxmlformats.org/officeDocument/2006/relationships/hyperlink" Target="https://youtu.be/ysXkfQPxEis?t=3828" TargetMode="External"/><Relationship Id="rId128" Type="http://schemas.openxmlformats.org/officeDocument/2006/relationships/hyperlink" Target="https://youtu.be/A73MxeDAf3U?t=2930" TargetMode="External"/><Relationship Id="rId249" Type="http://schemas.openxmlformats.org/officeDocument/2006/relationships/hyperlink" Target="https://youtu.be/MPfZoesckEY?t=4859" TargetMode="External"/><Relationship Id="rId127" Type="http://schemas.openxmlformats.org/officeDocument/2006/relationships/hyperlink" Target="https://youtu.be/ysXkfQPxEis?t=2904" TargetMode="External"/><Relationship Id="rId248" Type="http://schemas.openxmlformats.org/officeDocument/2006/relationships/hyperlink" Target="https://youtu.be/zg4OeUb0_Zc?t=4866" TargetMode="External"/><Relationship Id="rId126" Type="http://schemas.openxmlformats.org/officeDocument/2006/relationships/hyperlink" Target="https://youtu.be/A73MxeDAf3U?t=1981" TargetMode="External"/><Relationship Id="rId247" Type="http://schemas.openxmlformats.org/officeDocument/2006/relationships/hyperlink" Target="https://youtu.be/MPfZoesckEY?t=3927" TargetMode="External"/><Relationship Id="rId121" Type="http://schemas.openxmlformats.org/officeDocument/2006/relationships/hyperlink" Target="https://youtu.be/ysXkfQPxEis" TargetMode="External"/><Relationship Id="rId242" Type="http://schemas.openxmlformats.org/officeDocument/2006/relationships/hyperlink" Target="https://youtu.be/zg4OeUb0_Zc?t=2059" TargetMode="External"/><Relationship Id="rId120" Type="http://schemas.openxmlformats.org/officeDocument/2006/relationships/hyperlink" Target="https://youtu.be/wqtsnAZ3Z8E?t=7646" TargetMode="External"/><Relationship Id="rId241" Type="http://schemas.openxmlformats.org/officeDocument/2006/relationships/hyperlink" Target="https://youtu.be/MPfZoesckEY?t=1095" TargetMode="External"/><Relationship Id="rId240" Type="http://schemas.openxmlformats.org/officeDocument/2006/relationships/hyperlink" Target="https://youtu.be/zg4OeUb0_Zc?t=1067" TargetMode="External"/><Relationship Id="rId125" Type="http://schemas.openxmlformats.org/officeDocument/2006/relationships/hyperlink" Target="https://youtu.be/ysXkfQPxEis?t=1936" TargetMode="External"/><Relationship Id="rId246" Type="http://schemas.openxmlformats.org/officeDocument/2006/relationships/hyperlink" Target="https://youtu.be/zg4OeUb0_Zc?t=3928" TargetMode="External"/><Relationship Id="rId124" Type="http://schemas.openxmlformats.org/officeDocument/2006/relationships/hyperlink" Target="https://youtu.be/A73MxeDAf3U?t=1030" TargetMode="External"/><Relationship Id="rId245" Type="http://schemas.openxmlformats.org/officeDocument/2006/relationships/hyperlink" Target="https://youtu.be/MPfZoesckEY?t=2984" TargetMode="External"/><Relationship Id="rId123" Type="http://schemas.openxmlformats.org/officeDocument/2006/relationships/hyperlink" Target="https://youtu.be/ysXkfQPxEis?t=943" TargetMode="External"/><Relationship Id="rId244" Type="http://schemas.openxmlformats.org/officeDocument/2006/relationships/hyperlink" Target="https://youtu.be/zg4OeUb0_Zc?t=2973" TargetMode="External"/><Relationship Id="rId122" Type="http://schemas.openxmlformats.org/officeDocument/2006/relationships/hyperlink" Target="https://youtu.be/A73MxeDAf3U?t=115" TargetMode="External"/><Relationship Id="rId243" Type="http://schemas.openxmlformats.org/officeDocument/2006/relationships/hyperlink" Target="https://youtu.be/MPfZoesckEY?t=2039" TargetMode="External"/><Relationship Id="rId95" Type="http://schemas.openxmlformats.org/officeDocument/2006/relationships/hyperlink" Target="https://youtu.be/Ad01DG_l4m4?t=5846" TargetMode="External"/><Relationship Id="rId94" Type="http://schemas.openxmlformats.org/officeDocument/2006/relationships/hyperlink" Target="https://youtu.be/HDCY-QKIST4?t=5715" TargetMode="External"/><Relationship Id="rId97" Type="http://schemas.openxmlformats.org/officeDocument/2006/relationships/hyperlink" Target="https://youtu.be/Ad01DG_l4m4?t=6798" TargetMode="External"/><Relationship Id="rId96" Type="http://schemas.openxmlformats.org/officeDocument/2006/relationships/hyperlink" Target="https://youtu.be/HDCY-QKIST4?t=6857" TargetMode="External"/><Relationship Id="rId99" Type="http://schemas.openxmlformats.org/officeDocument/2006/relationships/hyperlink" Target="https://youtu.be/Ad01DG_l4m4?t=7773" TargetMode="External"/><Relationship Id="rId98" Type="http://schemas.openxmlformats.org/officeDocument/2006/relationships/hyperlink" Target="https://youtu.be/HDCY-QKIST4?t=7743" TargetMode="External"/><Relationship Id="rId91" Type="http://schemas.openxmlformats.org/officeDocument/2006/relationships/hyperlink" Target="https://youtu.be/Ad01DG_l4m4?t=3951" TargetMode="External"/><Relationship Id="rId90" Type="http://schemas.openxmlformats.org/officeDocument/2006/relationships/hyperlink" Target="https://youtu.be/HDCY-QKIST4?t=3819" TargetMode="External"/><Relationship Id="rId93" Type="http://schemas.openxmlformats.org/officeDocument/2006/relationships/hyperlink" Target="https://youtu.be/Ad01DG_l4m4?t=4877" TargetMode="External"/><Relationship Id="rId92" Type="http://schemas.openxmlformats.org/officeDocument/2006/relationships/hyperlink" Target="https://youtu.be/HDCY-QKIST4?t=4784" TargetMode="External"/><Relationship Id="rId118" Type="http://schemas.openxmlformats.org/officeDocument/2006/relationships/hyperlink" Target="https://youtu.be/wqtsnAZ3Z8E?t=6780" TargetMode="External"/><Relationship Id="rId239" Type="http://schemas.openxmlformats.org/officeDocument/2006/relationships/hyperlink" Target="https://youtu.be/MPfZoesckEY" TargetMode="External"/><Relationship Id="rId117" Type="http://schemas.openxmlformats.org/officeDocument/2006/relationships/hyperlink" Target="https://youtu.be/FzC13rNWTeM?t=5965" TargetMode="External"/><Relationship Id="rId238" Type="http://schemas.openxmlformats.org/officeDocument/2006/relationships/hyperlink" Target="https://youtu.be/zg4OeUb0_Zc" TargetMode="External"/><Relationship Id="rId116" Type="http://schemas.openxmlformats.org/officeDocument/2006/relationships/hyperlink" Target="https://youtu.be/wqtsnAZ3Z8E?t=5946" TargetMode="External"/><Relationship Id="rId237" Type="http://schemas.openxmlformats.org/officeDocument/2006/relationships/hyperlink" Target="https://youtu.be/q6iHtmJiBoE?t=8654" TargetMode="External"/><Relationship Id="rId115" Type="http://schemas.openxmlformats.org/officeDocument/2006/relationships/hyperlink" Target="https://youtu.be/FzC13rNWTeM?t=5125" TargetMode="External"/><Relationship Id="rId236" Type="http://schemas.openxmlformats.org/officeDocument/2006/relationships/hyperlink" Target="https://youtu.be/J6bCSCBG2rA?t=7490" TargetMode="External"/><Relationship Id="rId119" Type="http://schemas.openxmlformats.org/officeDocument/2006/relationships/hyperlink" Target="https://youtu.be/FzC13rNWTeM?t=6830" TargetMode="External"/><Relationship Id="rId110" Type="http://schemas.openxmlformats.org/officeDocument/2006/relationships/hyperlink" Target="https://youtu.be/wqtsnAZ3Z8E?t=3437" TargetMode="External"/><Relationship Id="rId231" Type="http://schemas.openxmlformats.org/officeDocument/2006/relationships/hyperlink" Target="https://youtu.be/q6iHtmJiBoE?t=5855" TargetMode="External"/><Relationship Id="rId230" Type="http://schemas.openxmlformats.org/officeDocument/2006/relationships/hyperlink" Target="https://youtu.be/J6bCSCBG2rA?t=4724" TargetMode="External"/><Relationship Id="rId114" Type="http://schemas.openxmlformats.org/officeDocument/2006/relationships/hyperlink" Target="https://youtu.be/wqtsnAZ3Z8E?t=5089" TargetMode="External"/><Relationship Id="rId235" Type="http://schemas.openxmlformats.org/officeDocument/2006/relationships/hyperlink" Target="https://youtu.be/q6iHtmJiBoE?t=7689" TargetMode="External"/><Relationship Id="rId113" Type="http://schemas.openxmlformats.org/officeDocument/2006/relationships/hyperlink" Target="https://youtu.be/FzC13rNWTeM?t=4299" TargetMode="External"/><Relationship Id="rId234" Type="http://schemas.openxmlformats.org/officeDocument/2006/relationships/hyperlink" Target="https://youtu.be/J6bCSCBG2rA?t=6601" TargetMode="External"/><Relationship Id="rId112" Type="http://schemas.openxmlformats.org/officeDocument/2006/relationships/hyperlink" Target="https://youtu.be/wqtsnAZ3Z8E?t=4261" TargetMode="External"/><Relationship Id="rId233" Type="http://schemas.openxmlformats.org/officeDocument/2006/relationships/hyperlink" Target="https://youtu.be/q6iHtmJiBoE?t=6774" TargetMode="External"/><Relationship Id="rId111" Type="http://schemas.openxmlformats.org/officeDocument/2006/relationships/hyperlink" Target="https://youtu.be/FzC13rNWTeM?t=3458" TargetMode="External"/><Relationship Id="rId232" Type="http://schemas.openxmlformats.org/officeDocument/2006/relationships/hyperlink" Target="https://youtu.be/J6bCSCBG2rA?t=5610" TargetMode="External"/><Relationship Id="rId305" Type="http://schemas.openxmlformats.org/officeDocument/2006/relationships/hyperlink" Target="https://youtu.be/qSiEK2lUfL8?t=2908" TargetMode="External"/><Relationship Id="rId304" Type="http://schemas.openxmlformats.org/officeDocument/2006/relationships/hyperlink" Target="https://youtu.be/4Odez59W800?t=2916" TargetMode="External"/><Relationship Id="rId303" Type="http://schemas.openxmlformats.org/officeDocument/2006/relationships/hyperlink" Target="https://youtu.be/qSiEK2lUfL8?t=1950" TargetMode="External"/><Relationship Id="rId302" Type="http://schemas.openxmlformats.org/officeDocument/2006/relationships/hyperlink" Target="https://youtu.be/4Odez59W800?t=1957" TargetMode="External"/><Relationship Id="rId309" Type="http://schemas.openxmlformats.org/officeDocument/2006/relationships/hyperlink" Target="https://youtu.be/qSiEK2lUfL8?t=4864" TargetMode="External"/><Relationship Id="rId308" Type="http://schemas.openxmlformats.org/officeDocument/2006/relationships/hyperlink" Target="https://youtu.be/4Odez59W800?t=4817" TargetMode="External"/><Relationship Id="rId307" Type="http://schemas.openxmlformats.org/officeDocument/2006/relationships/hyperlink" Target="https://youtu.be/qSiEK2lUfL8?t=3888" TargetMode="External"/><Relationship Id="rId306" Type="http://schemas.openxmlformats.org/officeDocument/2006/relationships/hyperlink" Target="https://youtu.be/4Odez59W800?t=3879" TargetMode="External"/><Relationship Id="rId301" Type="http://schemas.openxmlformats.org/officeDocument/2006/relationships/hyperlink" Target="https://youtu.be/qSiEK2lUfL8?t=1016" TargetMode="External"/><Relationship Id="rId300" Type="http://schemas.openxmlformats.org/officeDocument/2006/relationships/hyperlink" Target="https://youtu.be/4Odez59W800?t=989" TargetMode="External"/><Relationship Id="rId206" Type="http://schemas.openxmlformats.org/officeDocument/2006/relationships/hyperlink" Target="https://youtu.be/FuHcQEqCBiw?t=3409" TargetMode="External"/><Relationship Id="rId327" Type="http://schemas.openxmlformats.org/officeDocument/2006/relationships/hyperlink" Target="https://youtu.be/yFNk3m3tNkY?t=3377" TargetMode="External"/><Relationship Id="rId205" Type="http://schemas.openxmlformats.org/officeDocument/2006/relationships/hyperlink" Target="https://youtu.be/bibSI7GkUnw?t=2546" TargetMode="External"/><Relationship Id="rId326" Type="http://schemas.openxmlformats.org/officeDocument/2006/relationships/hyperlink" Target="https://youtu.be/xu00ALM32rQ?t=3288" TargetMode="External"/><Relationship Id="rId204" Type="http://schemas.openxmlformats.org/officeDocument/2006/relationships/hyperlink" Target="https://youtu.be/FuHcQEqCBiw?t=2559" TargetMode="External"/><Relationship Id="rId325" Type="http://schemas.openxmlformats.org/officeDocument/2006/relationships/hyperlink" Target="https://youtu.be/yFNk3m3tNkY?t=2561" TargetMode="External"/><Relationship Id="rId203" Type="http://schemas.openxmlformats.org/officeDocument/2006/relationships/hyperlink" Target="https://youtu.be/bibSI7GkUnw?t=1749" TargetMode="External"/><Relationship Id="rId324" Type="http://schemas.openxmlformats.org/officeDocument/2006/relationships/hyperlink" Target="https://youtu.be/xu00ALM32rQ?t=2478" TargetMode="External"/><Relationship Id="rId209" Type="http://schemas.openxmlformats.org/officeDocument/2006/relationships/hyperlink" Target="https://youtu.be/bibSI7GkUnw?t=4237" TargetMode="External"/><Relationship Id="rId208" Type="http://schemas.openxmlformats.org/officeDocument/2006/relationships/hyperlink" Target="https://youtu.be/FuHcQEqCBiw?t=4261" TargetMode="External"/><Relationship Id="rId329" Type="http://schemas.openxmlformats.org/officeDocument/2006/relationships/hyperlink" Target="https://youtu.be/yFNk3m3tNkY?t=4205" TargetMode="External"/><Relationship Id="rId207" Type="http://schemas.openxmlformats.org/officeDocument/2006/relationships/hyperlink" Target="https://youtu.be/bibSI7GkUnw?t=3398" TargetMode="External"/><Relationship Id="rId328" Type="http://schemas.openxmlformats.org/officeDocument/2006/relationships/hyperlink" Target="https://youtu.be/xu00ALM32rQ?t=4248" TargetMode="External"/><Relationship Id="rId202" Type="http://schemas.openxmlformats.org/officeDocument/2006/relationships/hyperlink" Target="https://youtu.be/FuHcQEqCBiw?t=1726" TargetMode="External"/><Relationship Id="rId323" Type="http://schemas.openxmlformats.org/officeDocument/2006/relationships/hyperlink" Target="https://youtu.be/yFNk3m3tNkY?t=1775" TargetMode="External"/><Relationship Id="rId201" Type="http://schemas.openxmlformats.org/officeDocument/2006/relationships/hyperlink" Target="https://youtu.be/bibSI7GkUnw?t=898" TargetMode="External"/><Relationship Id="rId322" Type="http://schemas.openxmlformats.org/officeDocument/2006/relationships/hyperlink" Target="https://youtu.be/xu00ALM32rQ?t=1663" TargetMode="External"/><Relationship Id="rId200" Type="http://schemas.openxmlformats.org/officeDocument/2006/relationships/hyperlink" Target="https://youtu.be/FuHcQEqCBiw?t=863" TargetMode="External"/><Relationship Id="rId321" Type="http://schemas.openxmlformats.org/officeDocument/2006/relationships/hyperlink" Target="https://youtu.be/yFNk3m3tNkY?t=966" TargetMode="External"/><Relationship Id="rId320" Type="http://schemas.openxmlformats.org/officeDocument/2006/relationships/hyperlink" Target="https://youtu.be/xu00ALM32rQ?t=888" TargetMode="External"/><Relationship Id="rId316" Type="http://schemas.openxmlformats.org/officeDocument/2006/relationships/hyperlink" Target="https://youtu.be/4Odez59W800?t=8653" TargetMode="External"/><Relationship Id="rId315" Type="http://schemas.openxmlformats.org/officeDocument/2006/relationships/hyperlink" Target="https://youtu.be/qSiEK2lUfL8?t=7650" TargetMode="External"/><Relationship Id="rId314" Type="http://schemas.openxmlformats.org/officeDocument/2006/relationships/hyperlink" Target="https://youtu.be/4Odez59W800?t=7716" TargetMode="External"/><Relationship Id="rId313" Type="http://schemas.openxmlformats.org/officeDocument/2006/relationships/hyperlink" Target="https://youtu.be/qSiEK2lUfL8?t=6664" TargetMode="External"/><Relationship Id="rId319" Type="http://schemas.openxmlformats.org/officeDocument/2006/relationships/hyperlink" Target="https://youtu.be/yFNk3m3tNkY" TargetMode="External"/><Relationship Id="rId318" Type="http://schemas.openxmlformats.org/officeDocument/2006/relationships/hyperlink" Target="https://youtu.be/xu00ALM32rQ" TargetMode="External"/><Relationship Id="rId317" Type="http://schemas.openxmlformats.org/officeDocument/2006/relationships/hyperlink" Target="https://youtu.be/qSiEK2lUfL8?t=8578" TargetMode="External"/><Relationship Id="rId312" Type="http://schemas.openxmlformats.org/officeDocument/2006/relationships/hyperlink" Target="https://youtu.be/4Odez59W800?t=6741" TargetMode="External"/><Relationship Id="rId311" Type="http://schemas.openxmlformats.org/officeDocument/2006/relationships/hyperlink" Target="https://youtu.be/qSiEK2lUfL8?t=5768" TargetMode="External"/><Relationship Id="rId310" Type="http://schemas.openxmlformats.org/officeDocument/2006/relationships/hyperlink" Target="https://youtu.be/4Odez59W800?t=5779" TargetMode="External"/></Relationships>
</file>

<file path=xl/worksheets/_rels/sheet3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xziCvb8zbdo?t=8515" TargetMode="External"/><Relationship Id="rId190" Type="http://schemas.openxmlformats.org/officeDocument/2006/relationships/hyperlink" Target="https://youtu.be/ZUpnIFtBao8?t=3863" TargetMode="External"/><Relationship Id="rId42" Type="http://schemas.openxmlformats.org/officeDocument/2006/relationships/hyperlink" Target="https://youtu.be/dnfaL78TrS4?t=75" TargetMode="External"/><Relationship Id="rId41" Type="http://schemas.openxmlformats.org/officeDocument/2006/relationships/hyperlink" Target="https://youtu.be/cDI63EzK-ig" TargetMode="External"/><Relationship Id="rId44" Type="http://schemas.openxmlformats.org/officeDocument/2006/relationships/hyperlink" Target="https://youtu.be/dnfaL78TrS4?t=923" TargetMode="External"/><Relationship Id="rId194" Type="http://schemas.openxmlformats.org/officeDocument/2006/relationships/hyperlink" Target="https://youtu.be/ZUpnIFtBao8?t=5771" TargetMode="External"/><Relationship Id="rId43" Type="http://schemas.openxmlformats.org/officeDocument/2006/relationships/hyperlink" Target="https://youtu.be/cDI63EzK-ig?t=806" TargetMode="External"/><Relationship Id="rId193" Type="http://schemas.openxmlformats.org/officeDocument/2006/relationships/hyperlink" Target="https://youtu.be/Kcu4BQPjYe4?t=6074" TargetMode="External"/><Relationship Id="rId46" Type="http://schemas.openxmlformats.org/officeDocument/2006/relationships/hyperlink" Target="https://youtu.be/fywTCzHlgow?t=680" TargetMode="External"/><Relationship Id="rId192" Type="http://schemas.openxmlformats.org/officeDocument/2006/relationships/hyperlink" Target="https://youtu.be/ZUpnIFtBao8?t=4754" TargetMode="External"/><Relationship Id="rId45" Type="http://schemas.openxmlformats.org/officeDocument/2006/relationships/hyperlink" Target="https://youtu.be/cDI63EzK-ig?t=1651" TargetMode="External"/><Relationship Id="rId191" Type="http://schemas.openxmlformats.org/officeDocument/2006/relationships/hyperlink" Target="https://youtu.be/Kcu4BQPjYe4?t=5155" TargetMode="External"/><Relationship Id="rId48" Type="http://schemas.openxmlformats.org/officeDocument/2006/relationships/hyperlink" Target="https://youtu.be/fywTCzHlgow?t=1565" TargetMode="External"/><Relationship Id="rId187" Type="http://schemas.openxmlformats.org/officeDocument/2006/relationships/hyperlink" Target="https://youtu.be/Kcu4BQPjYe4?t=3158" TargetMode="External"/><Relationship Id="rId47" Type="http://schemas.openxmlformats.org/officeDocument/2006/relationships/hyperlink" Target="https://youtu.be/cDI63EzK-ig?t=2460" TargetMode="External"/><Relationship Id="rId186" Type="http://schemas.openxmlformats.org/officeDocument/2006/relationships/hyperlink" Target="https://youtu.be/ZUpnIFtBao8?t=1986" TargetMode="External"/><Relationship Id="rId185" Type="http://schemas.openxmlformats.org/officeDocument/2006/relationships/hyperlink" Target="https://youtu.be/Kcu4BQPjYe4?t=2244" TargetMode="External"/><Relationship Id="rId49" Type="http://schemas.openxmlformats.org/officeDocument/2006/relationships/hyperlink" Target="https://youtu.be/cDI63EzK-ig?t=3353" TargetMode="External"/><Relationship Id="rId184" Type="http://schemas.openxmlformats.org/officeDocument/2006/relationships/hyperlink" Target="https://youtu.be/ZUpnIFtBao8?t=1030" TargetMode="External"/><Relationship Id="rId189" Type="http://schemas.openxmlformats.org/officeDocument/2006/relationships/hyperlink" Target="https://youtu.be/Kcu4BQPjYe4?t=4145" TargetMode="External"/><Relationship Id="rId188" Type="http://schemas.openxmlformats.org/officeDocument/2006/relationships/hyperlink" Target="https://youtu.be/ZUpnIFtBao8?t=2941" TargetMode="External"/><Relationship Id="rId31" Type="http://schemas.openxmlformats.org/officeDocument/2006/relationships/hyperlink" Target="https://youtu.be/MzP7CGshP0g?t=3641" TargetMode="External"/><Relationship Id="rId30" Type="http://schemas.openxmlformats.org/officeDocument/2006/relationships/hyperlink" Target="https://youtu.be/xziCvb8zbdo?t=3968" TargetMode="External"/><Relationship Id="rId33" Type="http://schemas.openxmlformats.org/officeDocument/2006/relationships/hyperlink" Target="https://youtu.be/MzP7CGshP0g?t=4578" TargetMode="External"/><Relationship Id="rId183" Type="http://schemas.openxmlformats.org/officeDocument/2006/relationships/hyperlink" Target="https://youtu.be/Kcu4BQPjYe4?t=1289" TargetMode="External"/><Relationship Id="rId32" Type="http://schemas.openxmlformats.org/officeDocument/2006/relationships/hyperlink" Target="https://youtu.be/xziCvb8zbdo?t=4775" TargetMode="External"/><Relationship Id="rId182" Type="http://schemas.openxmlformats.org/officeDocument/2006/relationships/hyperlink" Target="https://youtu.be/ZUpnIFtBao8?t=87" TargetMode="External"/><Relationship Id="rId35" Type="http://schemas.openxmlformats.org/officeDocument/2006/relationships/hyperlink" Target="https://youtu.be/MzP7CGshP0g?t=5495" TargetMode="External"/><Relationship Id="rId181" Type="http://schemas.openxmlformats.org/officeDocument/2006/relationships/hyperlink" Target="https://youtu.be/Kcu4BQPjYe4?t=4" TargetMode="External"/><Relationship Id="rId34" Type="http://schemas.openxmlformats.org/officeDocument/2006/relationships/hyperlink" Target="https://youtu.be/xziCvb8zbdo?t=5713" TargetMode="External"/><Relationship Id="rId180" Type="http://schemas.openxmlformats.org/officeDocument/2006/relationships/hyperlink" Target="https://youtu.be/YnUjPzRvnBY?t=7624" TargetMode="External"/><Relationship Id="rId37" Type="http://schemas.openxmlformats.org/officeDocument/2006/relationships/hyperlink" Target="https://youtu.be/MzP7CGshP0g?t=6416" TargetMode="External"/><Relationship Id="rId176" Type="http://schemas.openxmlformats.org/officeDocument/2006/relationships/hyperlink" Target="https://youtu.be/YnUjPzRvnBY?t=5952" TargetMode="External"/><Relationship Id="rId297" Type="http://schemas.openxmlformats.org/officeDocument/2006/relationships/drawing" Target="../drawings/drawing34.xml"/><Relationship Id="rId36" Type="http://schemas.openxmlformats.org/officeDocument/2006/relationships/hyperlink" Target="https://youtu.be/xziCvb8zbdo?t=6679" TargetMode="External"/><Relationship Id="rId175" Type="http://schemas.openxmlformats.org/officeDocument/2006/relationships/hyperlink" Target="https://youtu.be/OBr1fw9wUTE?t=6025" TargetMode="External"/><Relationship Id="rId296" Type="http://schemas.openxmlformats.org/officeDocument/2006/relationships/hyperlink" Target="https://youtu.be/v7ecdPS9eQA?t=7721" TargetMode="External"/><Relationship Id="rId39" Type="http://schemas.openxmlformats.org/officeDocument/2006/relationships/hyperlink" Target="https://youtu.be/MzP7CGshP0g?t=7295" TargetMode="External"/><Relationship Id="rId174" Type="http://schemas.openxmlformats.org/officeDocument/2006/relationships/hyperlink" Target="https://youtu.be/YnUjPzRvnBY?t=5112" TargetMode="External"/><Relationship Id="rId295" Type="http://schemas.openxmlformats.org/officeDocument/2006/relationships/hyperlink" Target="https://youtu.be/Coygay08St0?t=7467" TargetMode="External"/><Relationship Id="rId38" Type="http://schemas.openxmlformats.org/officeDocument/2006/relationships/hyperlink" Target="https://youtu.be/xziCvb8zbdo?t=7621" TargetMode="External"/><Relationship Id="rId173" Type="http://schemas.openxmlformats.org/officeDocument/2006/relationships/hyperlink" Target="https://youtu.be/OBr1fw9wUTE?t=5165" TargetMode="External"/><Relationship Id="rId294" Type="http://schemas.openxmlformats.org/officeDocument/2006/relationships/hyperlink" Target="https://youtu.be/v7ecdPS9eQA?t=6905" TargetMode="External"/><Relationship Id="rId179" Type="http://schemas.openxmlformats.org/officeDocument/2006/relationships/hyperlink" Target="https://youtu.be/OBr1fw9wUTE?t=7684" TargetMode="External"/><Relationship Id="rId178" Type="http://schemas.openxmlformats.org/officeDocument/2006/relationships/hyperlink" Target="https://youtu.be/YnUjPzRvnBY?t=6770" TargetMode="External"/><Relationship Id="rId177" Type="http://schemas.openxmlformats.org/officeDocument/2006/relationships/hyperlink" Target="https://youtu.be/OBr1fw9wUTE?t=6852" TargetMode="External"/><Relationship Id="rId20" Type="http://schemas.openxmlformats.org/officeDocument/2006/relationships/hyperlink" Target="https://youtu.be/WsZsMcrKLz8?t=8606" TargetMode="External"/><Relationship Id="rId22" Type="http://schemas.openxmlformats.org/officeDocument/2006/relationships/hyperlink" Target="https://youtu.be/xziCvb8zbdo" TargetMode="External"/><Relationship Id="rId21" Type="http://schemas.openxmlformats.org/officeDocument/2006/relationships/hyperlink" Target="https://youtu.be/9dQu4C9I2SQ" TargetMode="External"/><Relationship Id="rId24" Type="http://schemas.openxmlformats.org/officeDocument/2006/relationships/hyperlink" Target="https://youtu.be/xziCvb8zbdo?t=1162" TargetMode="External"/><Relationship Id="rId23" Type="http://schemas.openxmlformats.org/officeDocument/2006/relationships/hyperlink" Target="https://youtu.be/MzP7CGshP0g?t=57" TargetMode="External"/><Relationship Id="rId26" Type="http://schemas.openxmlformats.org/officeDocument/2006/relationships/hyperlink" Target="https://youtu.be/xziCvb8zbdo?t=2101" TargetMode="External"/><Relationship Id="rId25" Type="http://schemas.openxmlformats.org/officeDocument/2006/relationships/hyperlink" Target="https://youtu.be/MzP7CGshP0g?t=874" TargetMode="External"/><Relationship Id="rId28" Type="http://schemas.openxmlformats.org/officeDocument/2006/relationships/hyperlink" Target="https://youtu.be/xziCvb8zbdo?t=3114" TargetMode="External"/><Relationship Id="rId27" Type="http://schemas.openxmlformats.org/officeDocument/2006/relationships/hyperlink" Target="https://youtu.be/MzP7CGshP0g?t=1802" TargetMode="External"/><Relationship Id="rId29" Type="http://schemas.openxmlformats.org/officeDocument/2006/relationships/hyperlink" Target="https://youtu.be/MzP7CGshP0g?t=2706" TargetMode="External"/><Relationship Id="rId11" Type="http://schemas.openxmlformats.org/officeDocument/2006/relationships/hyperlink" Target="https://youtu.be/2VxWbr2wyHg?t=4709" TargetMode="External"/><Relationship Id="rId10" Type="http://schemas.openxmlformats.org/officeDocument/2006/relationships/hyperlink" Target="https://youtu.be/WsZsMcrKLz8?t=3853" TargetMode="External"/><Relationship Id="rId13" Type="http://schemas.openxmlformats.org/officeDocument/2006/relationships/hyperlink" Target="https://youtu.be/2VxWbr2wyHg?t=5621" TargetMode="External"/><Relationship Id="rId12" Type="http://schemas.openxmlformats.org/officeDocument/2006/relationships/hyperlink" Target="https://youtu.be/WsZsMcrKLz8?t=4760" TargetMode="External"/><Relationship Id="rId15" Type="http://schemas.openxmlformats.org/officeDocument/2006/relationships/hyperlink" Target="https://youtu.be/2VxWbr2wyHg?t=6759" TargetMode="External"/><Relationship Id="rId198" Type="http://schemas.openxmlformats.org/officeDocument/2006/relationships/hyperlink" Target="https://youtu.be/ZUpnIFtBao8?t=7647" TargetMode="External"/><Relationship Id="rId14" Type="http://schemas.openxmlformats.org/officeDocument/2006/relationships/hyperlink" Target="https://youtu.be/WsZsMcrKLz8?t=5747" TargetMode="External"/><Relationship Id="rId197" Type="http://schemas.openxmlformats.org/officeDocument/2006/relationships/hyperlink" Target="https://youtu.be/Kcu4BQPjYe4?t=7890" TargetMode="External"/><Relationship Id="rId17" Type="http://schemas.openxmlformats.org/officeDocument/2006/relationships/hyperlink" Target="https://youtu.be/2VxWbr2wyHg?t=7615" TargetMode="External"/><Relationship Id="rId196" Type="http://schemas.openxmlformats.org/officeDocument/2006/relationships/hyperlink" Target="https://youtu.be/ZUpnIFtBao8?t=6706" TargetMode="External"/><Relationship Id="rId16" Type="http://schemas.openxmlformats.org/officeDocument/2006/relationships/hyperlink" Target="https://youtu.be/WsZsMcrKLz8?t=6715" TargetMode="External"/><Relationship Id="rId195" Type="http://schemas.openxmlformats.org/officeDocument/2006/relationships/hyperlink" Target="https://youtu.be/Kcu4BQPjYe4?t=6989" TargetMode="External"/><Relationship Id="rId19" Type="http://schemas.openxmlformats.org/officeDocument/2006/relationships/hyperlink" Target="https://youtu.be/2VxWbr2wyHg?t=8467" TargetMode="External"/><Relationship Id="rId18" Type="http://schemas.openxmlformats.org/officeDocument/2006/relationships/hyperlink" Target="https://youtu.be/WsZsMcrKLz8?t=7680" TargetMode="External"/><Relationship Id="rId199" Type="http://schemas.openxmlformats.org/officeDocument/2006/relationships/hyperlink" Target="https://youtu.be/Kcu4BQPjYe4?t=8853" TargetMode="External"/><Relationship Id="rId84" Type="http://schemas.openxmlformats.org/officeDocument/2006/relationships/hyperlink" Target="https://youtu.be/EovLVIsQaxw?t=971" TargetMode="External"/><Relationship Id="rId83" Type="http://schemas.openxmlformats.org/officeDocument/2006/relationships/hyperlink" Target="https://youtu.be/eVHBE0FB46E?t=899" TargetMode="External"/><Relationship Id="rId86" Type="http://schemas.openxmlformats.org/officeDocument/2006/relationships/hyperlink" Target="https://youtu.be/EovLVIsQaxw?t=1846" TargetMode="External"/><Relationship Id="rId85" Type="http://schemas.openxmlformats.org/officeDocument/2006/relationships/hyperlink" Target="https://youtu.be/eVHBE0FB46E?t=1844" TargetMode="External"/><Relationship Id="rId88" Type="http://schemas.openxmlformats.org/officeDocument/2006/relationships/hyperlink" Target="https://youtu.be/EovLVIsQaxw?t=2700" TargetMode="External"/><Relationship Id="rId150" Type="http://schemas.openxmlformats.org/officeDocument/2006/relationships/hyperlink" Target="https://youtu.be/S57JOxPDIDc?t=3567" TargetMode="External"/><Relationship Id="rId271" Type="http://schemas.openxmlformats.org/officeDocument/2006/relationships/hyperlink" Target="https://youtu.be/i1nNPQo-VWY?t=4908" TargetMode="External"/><Relationship Id="rId87" Type="http://schemas.openxmlformats.org/officeDocument/2006/relationships/hyperlink" Target="https://youtu.be/eVHBE0FB46E?t=2708" TargetMode="External"/><Relationship Id="rId270" Type="http://schemas.openxmlformats.org/officeDocument/2006/relationships/hyperlink" Target="https://youtu.be/bfIc2Iz6LCg?t=4887" TargetMode="External"/><Relationship Id="rId89" Type="http://schemas.openxmlformats.org/officeDocument/2006/relationships/hyperlink" Target="https://youtu.be/eVHBE0FB46E?t=3576" TargetMode="External"/><Relationship Id="rId80" Type="http://schemas.openxmlformats.org/officeDocument/2006/relationships/hyperlink" Target="https://youtu.be/hM19jNAUQqY?t=7515" TargetMode="External"/><Relationship Id="rId82" Type="http://schemas.openxmlformats.org/officeDocument/2006/relationships/hyperlink" Target="https://youtu.be/EovLVIsQaxw" TargetMode="External"/><Relationship Id="rId81" Type="http://schemas.openxmlformats.org/officeDocument/2006/relationships/hyperlink" Target="https://youtu.be/eVHBE0FB46E" TargetMode="External"/><Relationship Id="rId1" Type="http://schemas.openxmlformats.org/officeDocument/2006/relationships/hyperlink" Target="https://youtu.be/2VxWbr2wyHg" TargetMode="External"/><Relationship Id="rId2" Type="http://schemas.openxmlformats.org/officeDocument/2006/relationships/hyperlink" Target="https://youtu.be/WsZsMcrKLz8" TargetMode="External"/><Relationship Id="rId3" Type="http://schemas.openxmlformats.org/officeDocument/2006/relationships/hyperlink" Target="https://youtu.be/2VxWbr2wyHg?t=940" TargetMode="External"/><Relationship Id="rId149" Type="http://schemas.openxmlformats.org/officeDocument/2006/relationships/hyperlink" Target="https://youtu.be/yY8BL96HwWA?t=3498" TargetMode="External"/><Relationship Id="rId4" Type="http://schemas.openxmlformats.org/officeDocument/2006/relationships/hyperlink" Target="https://youtu.be/WsZsMcrKLz8?t=1061" TargetMode="External"/><Relationship Id="rId148" Type="http://schemas.openxmlformats.org/officeDocument/2006/relationships/hyperlink" Target="https://youtu.be/S57JOxPDIDc?t=2669" TargetMode="External"/><Relationship Id="rId269" Type="http://schemas.openxmlformats.org/officeDocument/2006/relationships/hyperlink" Target="https://youtu.be/i1nNPQo-VWY?t=3983" TargetMode="External"/><Relationship Id="rId9" Type="http://schemas.openxmlformats.org/officeDocument/2006/relationships/hyperlink" Target="https://youtu.be/2VxWbr2wyHg?t=3750" TargetMode="External"/><Relationship Id="rId143" Type="http://schemas.openxmlformats.org/officeDocument/2006/relationships/hyperlink" Target="https://youtu.be/yY8BL96HwWA?t=821" TargetMode="External"/><Relationship Id="rId264" Type="http://schemas.openxmlformats.org/officeDocument/2006/relationships/hyperlink" Target="https://youtu.be/bfIc2Iz6LCg?t=1948" TargetMode="External"/><Relationship Id="rId142" Type="http://schemas.openxmlformats.org/officeDocument/2006/relationships/hyperlink" Target="https://youtu.be/S57JOxPDIDc" TargetMode="External"/><Relationship Id="rId263" Type="http://schemas.openxmlformats.org/officeDocument/2006/relationships/hyperlink" Target="https://youtu.be/i1nNPQo-VWY?t=1083" TargetMode="External"/><Relationship Id="rId141" Type="http://schemas.openxmlformats.org/officeDocument/2006/relationships/hyperlink" Target="https://youtu.be/yY8BL96HwWA" TargetMode="External"/><Relationship Id="rId262" Type="http://schemas.openxmlformats.org/officeDocument/2006/relationships/hyperlink" Target="https://youtu.be/bfIc2Iz6LCg?t=1035" TargetMode="External"/><Relationship Id="rId140" Type="http://schemas.openxmlformats.org/officeDocument/2006/relationships/hyperlink" Target="https://youtu.be/OAO3tryB5lU?t=8073" TargetMode="External"/><Relationship Id="rId261" Type="http://schemas.openxmlformats.org/officeDocument/2006/relationships/hyperlink" Target="https://youtu.be/i1nNPQo-VWY" TargetMode="External"/><Relationship Id="rId5" Type="http://schemas.openxmlformats.org/officeDocument/2006/relationships/hyperlink" Target="https://youtu.be/2VxWbr2wyHg?t=1882" TargetMode="External"/><Relationship Id="rId147" Type="http://schemas.openxmlformats.org/officeDocument/2006/relationships/hyperlink" Target="https://youtu.be/yY8BL96HwWA?t=2603" TargetMode="External"/><Relationship Id="rId268" Type="http://schemas.openxmlformats.org/officeDocument/2006/relationships/hyperlink" Target="https://youtu.be/bfIc2Iz6LCg?t=3910" TargetMode="External"/><Relationship Id="rId6" Type="http://schemas.openxmlformats.org/officeDocument/2006/relationships/hyperlink" Target="https://youtu.be/WsZsMcrKLz8?t=2003" TargetMode="External"/><Relationship Id="rId146" Type="http://schemas.openxmlformats.org/officeDocument/2006/relationships/hyperlink" Target="https://youtu.be/S57JOxPDIDc?t=1764" TargetMode="External"/><Relationship Id="rId267" Type="http://schemas.openxmlformats.org/officeDocument/2006/relationships/hyperlink" Target="https://youtu.be/i1nNPQo-VWY?t=3036" TargetMode="External"/><Relationship Id="rId7" Type="http://schemas.openxmlformats.org/officeDocument/2006/relationships/hyperlink" Target="https://youtu.be/2VxWbr2wyHg?t=2837" TargetMode="External"/><Relationship Id="rId145" Type="http://schemas.openxmlformats.org/officeDocument/2006/relationships/hyperlink" Target="https://youtu.be/yY8BL96HwWA?t=1686" TargetMode="External"/><Relationship Id="rId266" Type="http://schemas.openxmlformats.org/officeDocument/2006/relationships/hyperlink" Target="https://youtu.be/bfIc2Iz6LCg?t=2925" TargetMode="External"/><Relationship Id="rId8" Type="http://schemas.openxmlformats.org/officeDocument/2006/relationships/hyperlink" Target="https://youtu.be/WsZsMcrKLz8?t=2934" TargetMode="External"/><Relationship Id="rId144" Type="http://schemas.openxmlformats.org/officeDocument/2006/relationships/hyperlink" Target="https://youtu.be/S57JOxPDIDc?t=912" TargetMode="External"/><Relationship Id="rId265" Type="http://schemas.openxmlformats.org/officeDocument/2006/relationships/hyperlink" Target="https://youtu.be/i1nNPQo-VWY?t=2077" TargetMode="External"/><Relationship Id="rId73" Type="http://schemas.openxmlformats.org/officeDocument/2006/relationships/hyperlink" Target="https://youtu.be/r-tlkYDU3JE?t=4966" TargetMode="External"/><Relationship Id="rId72" Type="http://schemas.openxmlformats.org/officeDocument/2006/relationships/hyperlink" Target="https://youtu.be/hM19jNAUQqY?t=4110" TargetMode="External"/><Relationship Id="rId75" Type="http://schemas.openxmlformats.org/officeDocument/2006/relationships/hyperlink" Target="https://youtu.be/r-tlkYDU3JE?t=5823" TargetMode="External"/><Relationship Id="rId74" Type="http://schemas.openxmlformats.org/officeDocument/2006/relationships/hyperlink" Target="https://youtu.be/hM19jNAUQqY?t=4945" TargetMode="External"/><Relationship Id="rId77" Type="http://schemas.openxmlformats.org/officeDocument/2006/relationships/hyperlink" Target="https://youtu.be/r-tlkYDU3JE?t=6672" TargetMode="External"/><Relationship Id="rId260" Type="http://schemas.openxmlformats.org/officeDocument/2006/relationships/hyperlink" Target="https://youtu.be/bfIc2Iz6LCg" TargetMode="External"/><Relationship Id="rId76" Type="http://schemas.openxmlformats.org/officeDocument/2006/relationships/hyperlink" Target="https://youtu.be/hM19jNAUQqY?t=5801" TargetMode="External"/><Relationship Id="rId79" Type="http://schemas.openxmlformats.org/officeDocument/2006/relationships/hyperlink" Target="https://youtu.be/r-tlkYDU3JE?t=7535" TargetMode="External"/><Relationship Id="rId78" Type="http://schemas.openxmlformats.org/officeDocument/2006/relationships/hyperlink" Target="https://youtu.be/hM19jNAUQqY?t=6681" TargetMode="External"/><Relationship Id="rId71" Type="http://schemas.openxmlformats.org/officeDocument/2006/relationships/hyperlink" Target="https://youtu.be/r-tlkYDU3JE?t=4103" TargetMode="External"/><Relationship Id="rId70" Type="http://schemas.openxmlformats.org/officeDocument/2006/relationships/hyperlink" Target="https://youtu.be/hM19jNAUQqY?t=3248" TargetMode="External"/><Relationship Id="rId139" Type="http://schemas.openxmlformats.org/officeDocument/2006/relationships/hyperlink" Target="https://youtu.be/V7F7k_Fw9Lo?t=8218" TargetMode="External"/><Relationship Id="rId138" Type="http://schemas.openxmlformats.org/officeDocument/2006/relationships/hyperlink" Target="https://youtu.be/OAO3tryB5lU?t=7169" TargetMode="External"/><Relationship Id="rId259" Type="http://schemas.openxmlformats.org/officeDocument/2006/relationships/hyperlink" Target="https://youtu.be/--uX4Zrrzlk?t=7739" TargetMode="External"/><Relationship Id="rId137" Type="http://schemas.openxmlformats.org/officeDocument/2006/relationships/hyperlink" Target="https://youtu.be/V7F7k_Fw9Lo?t=7399" TargetMode="External"/><Relationship Id="rId258" Type="http://schemas.openxmlformats.org/officeDocument/2006/relationships/hyperlink" Target="https://youtu.be/Y-bq4hyN-is?t=7663" TargetMode="External"/><Relationship Id="rId132" Type="http://schemas.openxmlformats.org/officeDocument/2006/relationships/hyperlink" Target="https://youtu.be/OAO3tryB5lU?t=4595" TargetMode="External"/><Relationship Id="rId253" Type="http://schemas.openxmlformats.org/officeDocument/2006/relationships/hyperlink" Target="https://youtu.be/--uX4Zrrzlk?t=5234" TargetMode="External"/><Relationship Id="rId131" Type="http://schemas.openxmlformats.org/officeDocument/2006/relationships/hyperlink" Target="https://youtu.be/V7F7k_Fw9Lo?t=4889" TargetMode="External"/><Relationship Id="rId252" Type="http://schemas.openxmlformats.org/officeDocument/2006/relationships/hyperlink" Target="https://youtu.be/Y-bq4hyN-is?t=5252" TargetMode="External"/><Relationship Id="rId130" Type="http://schemas.openxmlformats.org/officeDocument/2006/relationships/hyperlink" Target="https://youtu.be/OAO3tryB5lU?t=3711" TargetMode="External"/><Relationship Id="rId251" Type="http://schemas.openxmlformats.org/officeDocument/2006/relationships/hyperlink" Target="https://youtu.be/--uX4Zrrzlk?t=4208" TargetMode="External"/><Relationship Id="rId250" Type="http://schemas.openxmlformats.org/officeDocument/2006/relationships/hyperlink" Target="https://youtu.be/Y-bq4hyN-is?t=4240" TargetMode="External"/><Relationship Id="rId136" Type="http://schemas.openxmlformats.org/officeDocument/2006/relationships/hyperlink" Target="https://youtu.be/OAO3tryB5lU?t=6306" TargetMode="External"/><Relationship Id="rId257" Type="http://schemas.openxmlformats.org/officeDocument/2006/relationships/hyperlink" Target="https://youtu.be/--uX4Zrrzlk?t=6910" TargetMode="External"/><Relationship Id="rId135" Type="http://schemas.openxmlformats.org/officeDocument/2006/relationships/hyperlink" Target="https://youtu.be/V7F7k_Fw9Lo?t=6591" TargetMode="External"/><Relationship Id="rId256" Type="http://schemas.openxmlformats.org/officeDocument/2006/relationships/hyperlink" Target="https://youtu.be/Y-bq4hyN-is?t=6834" TargetMode="External"/><Relationship Id="rId134" Type="http://schemas.openxmlformats.org/officeDocument/2006/relationships/hyperlink" Target="https://youtu.be/OAO3tryB5lU?t=5441" TargetMode="External"/><Relationship Id="rId255" Type="http://schemas.openxmlformats.org/officeDocument/2006/relationships/hyperlink" Target="https://youtu.be/--uX4Zrrzlk?t=6071" TargetMode="External"/><Relationship Id="rId133" Type="http://schemas.openxmlformats.org/officeDocument/2006/relationships/hyperlink" Target="https://youtu.be/V7F7k_Fw9Lo?t=5755" TargetMode="External"/><Relationship Id="rId254" Type="http://schemas.openxmlformats.org/officeDocument/2006/relationships/hyperlink" Target="https://youtu.be/Y-bq4hyN-is?t=6047" TargetMode="External"/><Relationship Id="rId62" Type="http://schemas.openxmlformats.org/officeDocument/2006/relationships/hyperlink" Target="https://youtu.be/hM19jNAUQqY" TargetMode="External"/><Relationship Id="rId61" Type="http://schemas.openxmlformats.org/officeDocument/2006/relationships/hyperlink" Target="https://youtu.be/r-tlkYDU3JE" TargetMode="External"/><Relationship Id="rId64" Type="http://schemas.openxmlformats.org/officeDocument/2006/relationships/hyperlink" Target="https://youtu.be/hM19jNAUQqY?t=859" TargetMode="External"/><Relationship Id="rId63" Type="http://schemas.openxmlformats.org/officeDocument/2006/relationships/hyperlink" Target="https://youtu.be/r-tlkYDU3JE?t=871" TargetMode="External"/><Relationship Id="rId66" Type="http://schemas.openxmlformats.org/officeDocument/2006/relationships/hyperlink" Target="https://youtu.be/hM19jNAUQqY?t=1661" TargetMode="External"/><Relationship Id="rId172" Type="http://schemas.openxmlformats.org/officeDocument/2006/relationships/hyperlink" Target="https://youtu.be/YnUjPzRvnBY?t=4249" TargetMode="External"/><Relationship Id="rId293" Type="http://schemas.openxmlformats.org/officeDocument/2006/relationships/hyperlink" Target="https://youtu.be/Coygay08St0?t=6629" TargetMode="External"/><Relationship Id="rId65" Type="http://schemas.openxmlformats.org/officeDocument/2006/relationships/hyperlink" Target="https://youtu.be/r-tlkYDU3JE?t=1677" TargetMode="External"/><Relationship Id="rId171" Type="http://schemas.openxmlformats.org/officeDocument/2006/relationships/hyperlink" Target="https://youtu.be/OBr1fw9wUTE?t=4300" TargetMode="External"/><Relationship Id="rId292" Type="http://schemas.openxmlformats.org/officeDocument/2006/relationships/hyperlink" Target="https://youtu.be/v7ecdPS9eQA?t=6067" TargetMode="External"/><Relationship Id="rId68" Type="http://schemas.openxmlformats.org/officeDocument/2006/relationships/hyperlink" Target="https://youtu.be/hM19jNAUQqY?t=2443" TargetMode="External"/><Relationship Id="rId170" Type="http://schemas.openxmlformats.org/officeDocument/2006/relationships/hyperlink" Target="https://youtu.be/YnUjPzRvnBY?t=3418" TargetMode="External"/><Relationship Id="rId291" Type="http://schemas.openxmlformats.org/officeDocument/2006/relationships/hyperlink" Target="https://youtu.be/Coygay08St0?t=5863" TargetMode="External"/><Relationship Id="rId67" Type="http://schemas.openxmlformats.org/officeDocument/2006/relationships/hyperlink" Target="https://youtu.be/r-tlkYDU3JE?t=2502" TargetMode="External"/><Relationship Id="rId290" Type="http://schemas.openxmlformats.org/officeDocument/2006/relationships/hyperlink" Target="https://youtu.be/v7ecdPS9eQA?t=5257" TargetMode="External"/><Relationship Id="rId60" Type="http://schemas.openxmlformats.org/officeDocument/2006/relationships/hyperlink" Target="https://youtu.be/fywTCzHlgow?t=6659" TargetMode="External"/><Relationship Id="rId165" Type="http://schemas.openxmlformats.org/officeDocument/2006/relationships/hyperlink" Target="https://youtu.be/OBr1fw9wUTE?t=1753" TargetMode="External"/><Relationship Id="rId286" Type="http://schemas.openxmlformats.org/officeDocument/2006/relationships/hyperlink" Target="https://youtu.be/v7ecdPS9eQA?t=3477" TargetMode="External"/><Relationship Id="rId69" Type="http://schemas.openxmlformats.org/officeDocument/2006/relationships/hyperlink" Target="https://youtu.be/r-tlkYDU3JE?t=3270" TargetMode="External"/><Relationship Id="rId164" Type="http://schemas.openxmlformats.org/officeDocument/2006/relationships/hyperlink" Target="https://youtu.be/YnUjPzRvnBY?t=897" TargetMode="External"/><Relationship Id="rId285" Type="http://schemas.openxmlformats.org/officeDocument/2006/relationships/hyperlink" Target="https://youtu.be/Coygay08St0?t=3095" TargetMode="External"/><Relationship Id="rId163" Type="http://schemas.openxmlformats.org/officeDocument/2006/relationships/hyperlink" Target="https://youtu.be/OBr1fw9wUTE?t=908" TargetMode="External"/><Relationship Id="rId284" Type="http://schemas.openxmlformats.org/officeDocument/2006/relationships/hyperlink" Target="https://youtu.be/v7ecdPS9eQA?t=2630" TargetMode="External"/><Relationship Id="rId162" Type="http://schemas.openxmlformats.org/officeDocument/2006/relationships/hyperlink" Target="https://youtu.be/YnUjPzRvnBY" TargetMode="External"/><Relationship Id="rId283" Type="http://schemas.openxmlformats.org/officeDocument/2006/relationships/hyperlink" Target="https://youtu.be/v7ecdPS9eQA?t=1786" TargetMode="External"/><Relationship Id="rId169" Type="http://schemas.openxmlformats.org/officeDocument/2006/relationships/hyperlink" Target="https://youtu.be/OBr1fw9wUTE?t=3382" TargetMode="External"/><Relationship Id="rId168" Type="http://schemas.openxmlformats.org/officeDocument/2006/relationships/hyperlink" Target="https://youtu.be/YnUjPzRvnBY?t=2577" TargetMode="External"/><Relationship Id="rId289" Type="http://schemas.openxmlformats.org/officeDocument/2006/relationships/hyperlink" Target="https://youtu.be/Coygay08St0?t=5064" TargetMode="External"/><Relationship Id="rId167" Type="http://schemas.openxmlformats.org/officeDocument/2006/relationships/hyperlink" Target="https://youtu.be/OBr1fw9wUTE?t=2565" TargetMode="External"/><Relationship Id="rId288" Type="http://schemas.openxmlformats.org/officeDocument/2006/relationships/hyperlink" Target="https://youtu.be/v7ecdPS9eQA?t=4389" TargetMode="External"/><Relationship Id="rId166" Type="http://schemas.openxmlformats.org/officeDocument/2006/relationships/hyperlink" Target="https://youtu.be/YnUjPzRvnBY?t=1735" TargetMode="External"/><Relationship Id="rId287" Type="http://schemas.openxmlformats.org/officeDocument/2006/relationships/hyperlink" Target="https://youtu.be/Coygay08St0?t=4201" TargetMode="External"/><Relationship Id="rId51" Type="http://schemas.openxmlformats.org/officeDocument/2006/relationships/hyperlink" Target="https://youtu.be/cDI63EzK-ig?t=4282" TargetMode="External"/><Relationship Id="rId50" Type="http://schemas.openxmlformats.org/officeDocument/2006/relationships/hyperlink" Target="https://youtu.be/fywTCzHlgow?t=2418" TargetMode="External"/><Relationship Id="rId53" Type="http://schemas.openxmlformats.org/officeDocument/2006/relationships/hyperlink" Target="https://youtu.be/cDI63EzK-ig?t=5090" TargetMode="External"/><Relationship Id="rId52" Type="http://schemas.openxmlformats.org/officeDocument/2006/relationships/hyperlink" Target="https://youtu.be/fywTCzHlgow?t=3256" TargetMode="External"/><Relationship Id="rId55" Type="http://schemas.openxmlformats.org/officeDocument/2006/relationships/hyperlink" Target="https://youtu.be/cDI63EzK-ig?t=5934" TargetMode="External"/><Relationship Id="rId161" Type="http://schemas.openxmlformats.org/officeDocument/2006/relationships/hyperlink" Target="https://youtu.be/OBr1fw9wUTE" TargetMode="External"/><Relationship Id="rId282" Type="http://schemas.openxmlformats.org/officeDocument/2006/relationships/hyperlink" Target="https://youtu.be/v7ecdPS9eQA?t=963" TargetMode="External"/><Relationship Id="rId54" Type="http://schemas.openxmlformats.org/officeDocument/2006/relationships/hyperlink" Target="https://youtu.be/fywTCzHlgow?t=4124" TargetMode="External"/><Relationship Id="rId160" Type="http://schemas.openxmlformats.org/officeDocument/2006/relationships/hyperlink" Target="https://youtu.be/S57JOxPDIDc?t=8450" TargetMode="External"/><Relationship Id="rId281" Type="http://schemas.openxmlformats.org/officeDocument/2006/relationships/hyperlink" Target="https://youtu.be/v7ecdPS9eQA" TargetMode="External"/><Relationship Id="rId57" Type="http://schemas.openxmlformats.org/officeDocument/2006/relationships/hyperlink" Target="https://youtu.be/cDI63EzK-ig?t=5934" TargetMode="External"/><Relationship Id="rId280" Type="http://schemas.openxmlformats.org/officeDocument/2006/relationships/hyperlink" Target="https://youtu.be/Coygay08St0" TargetMode="External"/><Relationship Id="rId56" Type="http://schemas.openxmlformats.org/officeDocument/2006/relationships/hyperlink" Target="https://youtu.be/fywTCzHlgow?t=4966" TargetMode="External"/><Relationship Id="rId159" Type="http://schemas.openxmlformats.org/officeDocument/2006/relationships/hyperlink" Target="https://youtu.be/yY8BL96HwWA?t=8055" TargetMode="External"/><Relationship Id="rId59" Type="http://schemas.openxmlformats.org/officeDocument/2006/relationships/hyperlink" Target="https://youtu.be/cDI63EzK-ig?t=7666" TargetMode="External"/><Relationship Id="rId154" Type="http://schemas.openxmlformats.org/officeDocument/2006/relationships/hyperlink" Target="https://youtu.be/S57JOxPDIDc?t=5328" TargetMode="External"/><Relationship Id="rId275" Type="http://schemas.openxmlformats.org/officeDocument/2006/relationships/hyperlink" Target="https://youtu.be/i1nNPQo-VWY?t=6811" TargetMode="External"/><Relationship Id="rId58" Type="http://schemas.openxmlformats.org/officeDocument/2006/relationships/hyperlink" Target="https://youtu.be/fywTCzHlgow?t=5831" TargetMode="External"/><Relationship Id="rId153" Type="http://schemas.openxmlformats.org/officeDocument/2006/relationships/hyperlink" Target="https://youtu.be/yY8BL96HwWA?t=5460" TargetMode="External"/><Relationship Id="rId274" Type="http://schemas.openxmlformats.org/officeDocument/2006/relationships/hyperlink" Target="https://youtu.be/bfIc2Iz6LCg?t=6872" TargetMode="External"/><Relationship Id="rId152" Type="http://schemas.openxmlformats.org/officeDocument/2006/relationships/hyperlink" Target="https://youtu.be/S57JOxPDIDc?t=4440" TargetMode="External"/><Relationship Id="rId273" Type="http://schemas.openxmlformats.org/officeDocument/2006/relationships/hyperlink" Target="https://youtu.be/i1nNPQo-VWY?t=5871" TargetMode="External"/><Relationship Id="rId151" Type="http://schemas.openxmlformats.org/officeDocument/2006/relationships/hyperlink" Target="https://youtu.be/yY8BL96HwWA?t=4334" TargetMode="External"/><Relationship Id="rId272" Type="http://schemas.openxmlformats.org/officeDocument/2006/relationships/hyperlink" Target="https://youtu.be/bfIc2Iz6LCg?t=5885" TargetMode="External"/><Relationship Id="rId158" Type="http://schemas.openxmlformats.org/officeDocument/2006/relationships/hyperlink" Target="https://youtu.be/S57JOxPDIDc?t=7231" TargetMode="External"/><Relationship Id="rId279" Type="http://schemas.openxmlformats.org/officeDocument/2006/relationships/hyperlink" Target="https://youtu.be/i1nNPQo-VWY?t=8688" TargetMode="External"/><Relationship Id="rId157" Type="http://schemas.openxmlformats.org/officeDocument/2006/relationships/hyperlink" Target="https://youtu.be/yY8BL96HwWA?t=7121" TargetMode="External"/><Relationship Id="rId278" Type="http://schemas.openxmlformats.org/officeDocument/2006/relationships/hyperlink" Target="https://youtu.be/bfIc2Iz6LCg?t=8704" TargetMode="External"/><Relationship Id="rId156" Type="http://schemas.openxmlformats.org/officeDocument/2006/relationships/hyperlink" Target="https://youtu.be/S57JOxPDIDc?t=6362" TargetMode="External"/><Relationship Id="rId277" Type="http://schemas.openxmlformats.org/officeDocument/2006/relationships/hyperlink" Target="https://youtu.be/i1nNPQo-VWY?t=7792" TargetMode="External"/><Relationship Id="rId155" Type="http://schemas.openxmlformats.org/officeDocument/2006/relationships/hyperlink" Target="https://youtu.be/yY8BL96HwWA?t=6250" TargetMode="External"/><Relationship Id="rId276" Type="http://schemas.openxmlformats.org/officeDocument/2006/relationships/hyperlink" Target="https://youtu.be/bfIc2Iz6LCg?t=7771" TargetMode="External"/><Relationship Id="rId107" Type="http://schemas.openxmlformats.org/officeDocument/2006/relationships/hyperlink" Target="https://youtu.be/JR48fxcXxyE" TargetMode="External"/><Relationship Id="rId228" Type="http://schemas.openxmlformats.org/officeDocument/2006/relationships/hyperlink" Target="https://youtu.be/G9izothFLdE?t=2617" TargetMode="External"/><Relationship Id="rId106" Type="http://schemas.openxmlformats.org/officeDocument/2006/relationships/hyperlink" Target="https://youtu.be/3gNej0e1Mps?t=1655" TargetMode="External"/><Relationship Id="rId227" Type="http://schemas.openxmlformats.org/officeDocument/2006/relationships/hyperlink" Target="https://youtu.be/FYEoOjwFv_8?t=2617" TargetMode="External"/><Relationship Id="rId105" Type="http://schemas.openxmlformats.org/officeDocument/2006/relationships/hyperlink" Target="https://youtu.be/AsPIPo7YmLQ?t=1658" TargetMode="External"/><Relationship Id="rId226" Type="http://schemas.openxmlformats.org/officeDocument/2006/relationships/hyperlink" Target="https://youtu.be/G9izothFLdE?t=1744" TargetMode="External"/><Relationship Id="rId104" Type="http://schemas.openxmlformats.org/officeDocument/2006/relationships/hyperlink" Target="https://youtu.be/3gNej0e1Mps?t=734" TargetMode="External"/><Relationship Id="rId225" Type="http://schemas.openxmlformats.org/officeDocument/2006/relationships/hyperlink" Target="https://youtu.be/FYEoOjwFv_8?t=1759" TargetMode="External"/><Relationship Id="rId109" Type="http://schemas.openxmlformats.org/officeDocument/2006/relationships/hyperlink" Target="https://youtu.be/JR48fxcXxyE?t=1014" TargetMode="External"/><Relationship Id="rId108" Type="http://schemas.openxmlformats.org/officeDocument/2006/relationships/hyperlink" Target="https://youtu.be/3gNej0e1Mps?t=2528" TargetMode="External"/><Relationship Id="rId229" Type="http://schemas.openxmlformats.org/officeDocument/2006/relationships/hyperlink" Target="https://youtu.be/FYEoOjwFv_8?t=3466" TargetMode="External"/><Relationship Id="rId220" Type="http://schemas.openxmlformats.org/officeDocument/2006/relationships/hyperlink" Target="https://youtu.be/6zEirbAPWAU?t=7794" TargetMode="External"/><Relationship Id="rId103" Type="http://schemas.openxmlformats.org/officeDocument/2006/relationships/hyperlink" Target="https://youtu.be/AsPIPo7YmLQ?t=784" TargetMode="External"/><Relationship Id="rId224" Type="http://schemas.openxmlformats.org/officeDocument/2006/relationships/hyperlink" Target="https://youtu.be/G9izothFLdE?t=899" TargetMode="External"/><Relationship Id="rId102" Type="http://schemas.openxmlformats.org/officeDocument/2006/relationships/hyperlink" Target="https://youtu.be/3gNej0e1Mps" TargetMode="External"/><Relationship Id="rId223" Type="http://schemas.openxmlformats.org/officeDocument/2006/relationships/hyperlink" Target="https://youtu.be/FYEoOjwFv_8?t=899" TargetMode="External"/><Relationship Id="rId101" Type="http://schemas.openxmlformats.org/officeDocument/2006/relationships/hyperlink" Target="https://youtu.be/AsPIPo7YmLQ" TargetMode="External"/><Relationship Id="rId222" Type="http://schemas.openxmlformats.org/officeDocument/2006/relationships/hyperlink" Target="https://youtu.be/G9izothFLdE" TargetMode="External"/><Relationship Id="rId100" Type="http://schemas.openxmlformats.org/officeDocument/2006/relationships/hyperlink" Target="https://youtu.be/EovLVIsQaxw?t=7838" TargetMode="External"/><Relationship Id="rId221" Type="http://schemas.openxmlformats.org/officeDocument/2006/relationships/hyperlink" Target="https://youtu.be/FYEoOjwFv_8" TargetMode="External"/><Relationship Id="rId217" Type="http://schemas.openxmlformats.org/officeDocument/2006/relationships/hyperlink" Target="https://youtu.be/LmORiB7MC5E?t=7239" TargetMode="External"/><Relationship Id="rId216" Type="http://schemas.openxmlformats.org/officeDocument/2006/relationships/hyperlink" Target="https://youtu.be/6zEirbAPWAU?t=5918" TargetMode="External"/><Relationship Id="rId215" Type="http://schemas.openxmlformats.org/officeDocument/2006/relationships/hyperlink" Target="https://youtu.be/LmORiB7MC5E?t=6323" TargetMode="External"/><Relationship Id="rId214" Type="http://schemas.openxmlformats.org/officeDocument/2006/relationships/hyperlink" Target="https://youtu.be/6zEirbAPWAU?t=5001" TargetMode="External"/><Relationship Id="rId219" Type="http://schemas.openxmlformats.org/officeDocument/2006/relationships/hyperlink" Target="https://youtu.be/LmORiB7MC5E?t=8128" TargetMode="External"/><Relationship Id="rId218" Type="http://schemas.openxmlformats.org/officeDocument/2006/relationships/hyperlink" Target="https://youtu.be/6zEirbAPWAU?t=6910" TargetMode="External"/><Relationship Id="rId213" Type="http://schemas.openxmlformats.org/officeDocument/2006/relationships/hyperlink" Target="https://youtu.be/LmORiB7MC5E?t=5388" TargetMode="External"/><Relationship Id="rId212" Type="http://schemas.openxmlformats.org/officeDocument/2006/relationships/hyperlink" Target="https://youtu.be/6zEirbAPWAU?t=4169" TargetMode="External"/><Relationship Id="rId211" Type="http://schemas.openxmlformats.org/officeDocument/2006/relationships/hyperlink" Target="https://youtu.be/LmORiB7MC5E?t=4538" TargetMode="External"/><Relationship Id="rId210" Type="http://schemas.openxmlformats.org/officeDocument/2006/relationships/hyperlink" Target="https://youtu.be/6zEirbAPWAU?t=3334" TargetMode="External"/><Relationship Id="rId129" Type="http://schemas.openxmlformats.org/officeDocument/2006/relationships/hyperlink" Target="https://youtu.be/V7F7k_Fw9Lo?t=3711" TargetMode="External"/><Relationship Id="rId128" Type="http://schemas.openxmlformats.org/officeDocument/2006/relationships/hyperlink" Target="https://youtu.be/OAO3tryB5lU?t=2824" TargetMode="External"/><Relationship Id="rId249" Type="http://schemas.openxmlformats.org/officeDocument/2006/relationships/hyperlink" Target="https://youtu.be/--uX4Zrrzlk?t=3405" TargetMode="External"/><Relationship Id="rId127" Type="http://schemas.openxmlformats.org/officeDocument/2006/relationships/hyperlink" Target="https://youtu.be/V7F7k_Fw9Lo?t=2891" TargetMode="External"/><Relationship Id="rId248" Type="http://schemas.openxmlformats.org/officeDocument/2006/relationships/hyperlink" Target="https://youtu.be/Y-bq4hyN-is?t=3342" TargetMode="External"/><Relationship Id="rId126" Type="http://schemas.openxmlformats.org/officeDocument/2006/relationships/hyperlink" Target="https://youtu.be/OAO3tryB5lU?t=1942" TargetMode="External"/><Relationship Id="rId247" Type="http://schemas.openxmlformats.org/officeDocument/2006/relationships/hyperlink" Target="https://youtu.be/--uX4Zrrzlk?t=2542" TargetMode="External"/><Relationship Id="rId121" Type="http://schemas.openxmlformats.org/officeDocument/2006/relationships/hyperlink" Target="https://youtu.be/V7F7k_Fw9Lo" TargetMode="External"/><Relationship Id="rId242" Type="http://schemas.openxmlformats.org/officeDocument/2006/relationships/hyperlink" Target="https://youtu.be/Y-bq4hyN-is?t=860" TargetMode="External"/><Relationship Id="rId120" Type="http://schemas.openxmlformats.org/officeDocument/2006/relationships/hyperlink" Target="https://youtu.be/3gNej0e1Mps?t=7822" TargetMode="External"/><Relationship Id="rId241" Type="http://schemas.openxmlformats.org/officeDocument/2006/relationships/hyperlink" Target="https://youtu.be/--uX4Zrrzlk?t=60" TargetMode="External"/><Relationship Id="rId240" Type="http://schemas.openxmlformats.org/officeDocument/2006/relationships/hyperlink" Target="https://youtu.be/Y-bq4hyN-is" TargetMode="External"/><Relationship Id="rId125" Type="http://schemas.openxmlformats.org/officeDocument/2006/relationships/hyperlink" Target="https://youtu.be/V7F7k_Fw9Lo?t=2032" TargetMode="External"/><Relationship Id="rId246" Type="http://schemas.openxmlformats.org/officeDocument/2006/relationships/hyperlink" Target="https://youtu.be/Y-bq4hyN-is?t=2494" TargetMode="External"/><Relationship Id="rId124" Type="http://schemas.openxmlformats.org/officeDocument/2006/relationships/hyperlink" Target="https://youtu.be/OAO3tryB5lU?t=974" TargetMode="External"/><Relationship Id="rId245" Type="http://schemas.openxmlformats.org/officeDocument/2006/relationships/hyperlink" Target="https://youtu.be/--uX4Zrrzlk?t=1700" TargetMode="External"/><Relationship Id="rId123" Type="http://schemas.openxmlformats.org/officeDocument/2006/relationships/hyperlink" Target="https://youtu.be/V7F7k_Fw9Lo?t=1126" TargetMode="External"/><Relationship Id="rId244" Type="http://schemas.openxmlformats.org/officeDocument/2006/relationships/hyperlink" Target="https://youtu.be/Y-bq4hyN-is?t=1660" TargetMode="External"/><Relationship Id="rId122" Type="http://schemas.openxmlformats.org/officeDocument/2006/relationships/hyperlink" Target="https://youtu.be/OAO3tryB5lU" TargetMode="External"/><Relationship Id="rId243" Type="http://schemas.openxmlformats.org/officeDocument/2006/relationships/hyperlink" Target="https://youtu.be/--uX4Zrrzlk?t=895" TargetMode="External"/><Relationship Id="rId95" Type="http://schemas.openxmlformats.org/officeDocument/2006/relationships/hyperlink" Target="https://youtu.be/eVHBE0FB46E?t=6197" TargetMode="External"/><Relationship Id="rId94" Type="http://schemas.openxmlformats.org/officeDocument/2006/relationships/hyperlink" Target="https://youtu.be/EovLVIsQaxw?t=5254" TargetMode="External"/><Relationship Id="rId97" Type="http://schemas.openxmlformats.org/officeDocument/2006/relationships/hyperlink" Target="https://youtu.be/eVHBE0FB46E?t=7030" TargetMode="External"/><Relationship Id="rId96" Type="http://schemas.openxmlformats.org/officeDocument/2006/relationships/hyperlink" Target="https://youtu.be/EovLVIsQaxw?t=6135" TargetMode="External"/><Relationship Id="rId99" Type="http://schemas.openxmlformats.org/officeDocument/2006/relationships/hyperlink" Target="https://youtu.be/eVHBE0FB46E?t=7888" TargetMode="External"/><Relationship Id="rId98" Type="http://schemas.openxmlformats.org/officeDocument/2006/relationships/hyperlink" Target="https://youtu.be/EovLVIsQaxw?t=6992" TargetMode="External"/><Relationship Id="rId91" Type="http://schemas.openxmlformats.org/officeDocument/2006/relationships/hyperlink" Target="https://youtu.be/eVHBE0FB46E?t=4506" TargetMode="External"/><Relationship Id="rId90" Type="http://schemas.openxmlformats.org/officeDocument/2006/relationships/hyperlink" Target="https://youtu.be/EovLVIsQaxw?t=3584" TargetMode="External"/><Relationship Id="rId93" Type="http://schemas.openxmlformats.org/officeDocument/2006/relationships/hyperlink" Target="https://youtu.be/eVHBE0FB46E?t=5226" TargetMode="External"/><Relationship Id="rId92" Type="http://schemas.openxmlformats.org/officeDocument/2006/relationships/hyperlink" Target="https://youtu.be/EovLVIsQaxw?t=4439" TargetMode="External"/><Relationship Id="rId118" Type="http://schemas.openxmlformats.org/officeDocument/2006/relationships/hyperlink" Target="https://youtu.be/3gNej0e1Mps?t=6880" TargetMode="External"/><Relationship Id="rId239" Type="http://schemas.openxmlformats.org/officeDocument/2006/relationships/hyperlink" Target="https://youtu.be/G9izothFLdE?t=7696" TargetMode="External"/><Relationship Id="rId117" Type="http://schemas.openxmlformats.org/officeDocument/2006/relationships/hyperlink" Target="https://youtu.be/JR48fxcXxyE?t=4517" TargetMode="External"/><Relationship Id="rId238" Type="http://schemas.openxmlformats.org/officeDocument/2006/relationships/hyperlink" Target="https://youtu.be/FYEoOjwFv_8?t=7612" TargetMode="External"/><Relationship Id="rId116" Type="http://schemas.openxmlformats.org/officeDocument/2006/relationships/hyperlink" Target="https://youtu.be/3gNej0e1Mps?t=6029" TargetMode="External"/><Relationship Id="rId237" Type="http://schemas.openxmlformats.org/officeDocument/2006/relationships/hyperlink" Target="https://youtu.be/FYEoOjwFv_8?t=6792" TargetMode="External"/><Relationship Id="rId115" Type="http://schemas.openxmlformats.org/officeDocument/2006/relationships/hyperlink" Target="https://youtu.be/JR48fxcXxyE?t=3624" TargetMode="External"/><Relationship Id="rId236" Type="http://schemas.openxmlformats.org/officeDocument/2006/relationships/hyperlink" Target="https://youtu.be/G9izothFLdE?t=6061" TargetMode="External"/><Relationship Id="rId119" Type="http://schemas.openxmlformats.org/officeDocument/2006/relationships/hyperlink" Target="https://youtu.be/JR48fxcXxyE?t=5430" TargetMode="External"/><Relationship Id="rId110" Type="http://schemas.openxmlformats.org/officeDocument/2006/relationships/hyperlink" Target="https://youtu.be/3gNej0e1Mps?t=3397" TargetMode="External"/><Relationship Id="rId231" Type="http://schemas.openxmlformats.org/officeDocument/2006/relationships/hyperlink" Target="https://youtu.be/FYEoOjwFv_8?t=4352" TargetMode="External"/><Relationship Id="rId230" Type="http://schemas.openxmlformats.org/officeDocument/2006/relationships/hyperlink" Target="https://youtu.be/G9izothFLdE?t=3458" TargetMode="External"/><Relationship Id="rId114" Type="http://schemas.openxmlformats.org/officeDocument/2006/relationships/hyperlink" Target="https://youtu.be/3gNej0e1Mps?t=5137" TargetMode="External"/><Relationship Id="rId235" Type="http://schemas.openxmlformats.org/officeDocument/2006/relationships/hyperlink" Target="https://youtu.be/FYEoOjwFv_8?t=5987" TargetMode="External"/><Relationship Id="rId113" Type="http://schemas.openxmlformats.org/officeDocument/2006/relationships/hyperlink" Target="https://youtu.be/JR48fxcXxyE?t=2766" TargetMode="External"/><Relationship Id="rId234" Type="http://schemas.openxmlformats.org/officeDocument/2006/relationships/hyperlink" Target="https://youtu.be/G9izothFLdE?t=5207" TargetMode="External"/><Relationship Id="rId112" Type="http://schemas.openxmlformats.org/officeDocument/2006/relationships/hyperlink" Target="https://youtu.be/3gNej0e1Mps?t=4281" TargetMode="External"/><Relationship Id="rId233" Type="http://schemas.openxmlformats.org/officeDocument/2006/relationships/hyperlink" Target="https://youtu.be/FYEoOjwFv_8?t=5171" TargetMode="External"/><Relationship Id="rId111" Type="http://schemas.openxmlformats.org/officeDocument/2006/relationships/hyperlink" Target="https://youtu.be/JR48fxcXxyE?t=1862" TargetMode="External"/><Relationship Id="rId232" Type="http://schemas.openxmlformats.org/officeDocument/2006/relationships/hyperlink" Target="https://youtu.be/G9izothFLdE?t=4331" TargetMode="External"/><Relationship Id="rId206" Type="http://schemas.openxmlformats.org/officeDocument/2006/relationships/hyperlink" Target="https://youtu.be/6zEirbAPWAU?t=1703" TargetMode="External"/><Relationship Id="rId205" Type="http://schemas.openxmlformats.org/officeDocument/2006/relationships/hyperlink" Target="https://youtu.be/LmORiB7MC5E?t=2033" TargetMode="External"/><Relationship Id="rId204" Type="http://schemas.openxmlformats.org/officeDocument/2006/relationships/hyperlink" Target="https://youtu.be/6zEirbAPWAU?t=880" TargetMode="External"/><Relationship Id="rId203" Type="http://schemas.openxmlformats.org/officeDocument/2006/relationships/hyperlink" Target="https://youtu.be/LmORiB7MC5E?t=1155" TargetMode="External"/><Relationship Id="rId209" Type="http://schemas.openxmlformats.org/officeDocument/2006/relationships/hyperlink" Target="https://youtu.be/LmORiB7MC5E?t=3700" TargetMode="External"/><Relationship Id="rId208" Type="http://schemas.openxmlformats.org/officeDocument/2006/relationships/hyperlink" Target="https://youtu.be/6zEirbAPWAU?t=2504" TargetMode="External"/><Relationship Id="rId207" Type="http://schemas.openxmlformats.org/officeDocument/2006/relationships/hyperlink" Target="https://youtu.be/LmORiB7MC5E?t=2849" TargetMode="External"/><Relationship Id="rId202" Type="http://schemas.openxmlformats.org/officeDocument/2006/relationships/hyperlink" Target="https://youtu.be/6zEirbAPWAU" TargetMode="External"/><Relationship Id="rId201" Type="http://schemas.openxmlformats.org/officeDocument/2006/relationships/hyperlink" Target="https://youtu.be/LmORiB7MC5E" TargetMode="External"/><Relationship Id="rId200" Type="http://schemas.openxmlformats.org/officeDocument/2006/relationships/hyperlink" Target="https://youtu.be/ZUpnIFtBao8?t=8598" TargetMode="External"/></Relationships>
</file>

<file path=xl/worksheets/_rels/sheet3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vKL7HQ_Rri4?t=8532" TargetMode="External"/><Relationship Id="rId190" Type="http://schemas.openxmlformats.org/officeDocument/2006/relationships/hyperlink" Target="https://youtu.be/kJzEGIhG-sM?t=8590" TargetMode="External"/><Relationship Id="rId42" Type="http://schemas.openxmlformats.org/officeDocument/2006/relationships/hyperlink" Target="https://youtu.be/YBOSP1EGxsM" TargetMode="External"/><Relationship Id="rId41" Type="http://schemas.openxmlformats.org/officeDocument/2006/relationships/hyperlink" Target="https://youtu.be/Zl-_Ps0BYOA" TargetMode="External"/><Relationship Id="rId44" Type="http://schemas.openxmlformats.org/officeDocument/2006/relationships/hyperlink" Target="https://youtu.be/YBOSP1EGxsM?t=948" TargetMode="External"/><Relationship Id="rId194" Type="http://schemas.openxmlformats.org/officeDocument/2006/relationships/hyperlink" Target="https://youtu.be/8bT70xNUUz0?t=945" TargetMode="External"/><Relationship Id="rId43" Type="http://schemas.openxmlformats.org/officeDocument/2006/relationships/hyperlink" Target="https://youtu.be/Zl-_Ps0BYOA?t=1009" TargetMode="External"/><Relationship Id="rId193" Type="http://schemas.openxmlformats.org/officeDocument/2006/relationships/hyperlink" Target="https://youtu.be/OJMb0SOYVs8" TargetMode="External"/><Relationship Id="rId46" Type="http://schemas.openxmlformats.org/officeDocument/2006/relationships/hyperlink" Target="https://youtu.be/YBOSP1EGxsM?t=1842" TargetMode="External"/><Relationship Id="rId192" Type="http://schemas.openxmlformats.org/officeDocument/2006/relationships/hyperlink" Target="https://youtu.be/8bT70xNUUz0" TargetMode="External"/><Relationship Id="rId45" Type="http://schemas.openxmlformats.org/officeDocument/2006/relationships/hyperlink" Target="https://youtu.be/Zl-_Ps0BYOA?t=1944" TargetMode="External"/><Relationship Id="rId191" Type="http://schemas.openxmlformats.org/officeDocument/2006/relationships/hyperlink" Target="https://youtu.be/8LGlBe04dos?t=7677" TargetMode="External"/><Relationship Id="rId48" Type="http://schemas.openxmlformats.org/officeDocument/2006/relationships/hyperlink" Target="https://youtu.be/YBOSP1EGxsM?t=2774" TargetMode="External"/><Relationship Id="rId187" Type="http://schemas.openxmlformats.org/officeDocument/2006/relationships/hyperlink" Target="https://youtu.be/8LGlBe04dos?t=5887" TargetMode="External"/><Relationship Id="rId47" Type="http://schemas.openxmlformats.org/officeDocument/2006/relationships/hyperlink" Target="https://youtu.be/Zl-_Ps0BYOA?t=2874" TargetMode="External"/><Relationship Id="rId186" Type="http://schemas.openxmlformats.org/officeDocument/2006/relationships/hyperlink" Target="https://youtu.be/kJzEGIhG-sM?t=6770" TargetMode="External"/><Relationship Id="rId185" Type="http://schemas.openxmlformats.org/officeDocument/2006/relationships/hyperlink" Target="https://youtu.be/8LGlBe04dos?t=4886" TargetMode="External"/><Relationship Id="rId49" Type="http://schemas.openxmlformats.org/officeDocument/2006/relationships/hyperlink" Target="https://youtu.be/Zl-_Ps0BYOA?t=3822" TargetMode="External"/><Relationship Id="rId184" Type="http://schemas.openxmlformats.org/officeDocument/2006/relationships/hyperlink" Target="https://youtu.be/kJzEGIhG-sM?t=5820" TargetMode="External"/><Relationship Id="rId189" Type="http://schemas.openxmlformats.org/officeDocument/2006/relationships/hyperlink" Target="https://youtu.be/8LGlBe04dos?t=6774" TargetMode="External"/><Relationship Id="rId188" Type="http://schemas.openxmlformats.org/officeDocument/2006/relationships/hyperlink" Target="https://youtu.be/kJzEGIhG-sM?t=7690" TargetMode="External"/><Relationship Id="rId31" Type="http://schemas.openxmlformats.org/officeDocument/2006/relationships/hyperlink" Target="https://youtu.be/-Cc7XxIRJzo?t=4720" TargetMode="External"/><Relationship Id="rId30" Type="http://schemas.openxmlformats.org/officeDocument/2006/relationships/hyperlink" Target="https://youtu.be/vKL7HQ_Rri4?t=3958" TargetMode="External"/><Relationship Id="rId33" Type="http://schemas.openxmlformats.org/officeDocument/2006/relationships/hyperlink" Target="https://youtu.be/-Cc7XxIRJzo?t=5654" TargetMode="External"/><Relationship Id="rId183" Type="http://schemas.openxmlformats.org/officeDocument/2006/relationships/hyperlink" Target="https://youtu.be/8LGlBe04dos?t=3913" TargetMode="External"/><Relationship Id="rId32" Type="http://schemas.openxmlformats.org/officeDocument/2006/relationships/hyperlink" Target="https://youtu.be/vKL7HQ_Rri4?t=4868" TargetMode="External"/><Relationship Id="rId182" Type="http://schemas.openxmlformats.org/officeDocument/2006/relationships/hyperlink" Target="https://youtu.be/kJzEGIhG-sM?t=4854" TargetMode="External"/><Relationship Id="rId35" Type="http://schemas.openxmlformats.org/officeDocument/2006/relationships/hyperlink" Target="https://youtu.be/-Cc7XxIRJzo?t=6583" TargetMode="External"/><Relationship Id="rId181" Type="http://schemas.openxmlformats.org/officeDocument/2006/relationships/hyperlink" Target="https://youtu.be/8LGlBe04dos?t=2950" TargetMode="External"/><Relationship Id="rId34" Type="http://schemas.openxmlformats.org/officeDocument/2006/relationships/hyperlink" Target="https://youtu.be/vKL7HQ_Rri4?t=5814" TargetMode="External"/><Relationship Id="rId180" Type="http://schemas.openxmlformats.org/officeDocument/2006/relationships/hyperlink" Target="https://youtu.be/kJzEGIhG-sM?t=3833" TargetMode="External"/><Relationship Id="rId37" Type="http://schemas.openxmlformats.org/officeDocument/2006/relationships/hyperlink" Target="https://youtu.be/-Cc7XxIRJzo?t=7569" TargetMode="External"/><Relationship Id="rId176" Type="http://schemas.openxmlformats.org/officeDocument/2006/relationships/hyperlink" Target="https://youtu.be/kJzEGIhG-sM?t=1966" TargetMode="External"/><Relationship Id="rId36" Type="http://schemas.openxmlformats.org/officeDocument/2006/relationships/hyperlink" Target="https://youtu.be/vKL7HQ_Rri4?t=6707" TargetMode="External"/><Relationship Id="rId175" Type="http://schemas.openxmlformats.org/officeDocument/2006/relationships/hyperlink" Target="https://youtu.be/8LGlBe04dos" TargetMode="External"/><Relationship Id="rId39" Type="http://schemas.openxmlformats.org/officeDocument/2006/relationships/hyperlink" Target="https://youtu.be/-Cc7XxIRJzo?t=8470" TargetMode="External"/><Relationship Id="rId174" Type="http://schemas.openxmlformats.org/officeDocument/2006/relationships/hyperlink" Target="https://youtu.be/kJzEGIhG-sM?t=1066" TargetMode="External"/><Relationship Id="rId38" Type="http://schemas.openxmlformats.org/officeDocument/2006/relationships/hyperlink" Target="https://youtu.be/vKL7HQ_Rri4?t=7628" TargetMode="External"/><Relationship Id="rId173" Type="http://schemas.openxmlformats.org/officeDocument/2006/relationships/hyperlink" Target="https://youtu.be/IulyA8bRspA" TargetMode="External"/><Relationship Id="rId179" Type="http://schemas.openxmlformats.org/officeDocument/2006/relationships/hyperlink" Target="https://youtu.be/8LGlBe04dos?t=2018" TargetMode="External"/><Relationship Id="rId178" Type="http://schemas.openxmlformats.org/officeDocument/2006/relationships/hyperlink" Target="https://youtu.be/kJzEGIhG-sM?t=2902" TargetMode="External"/><Relationship Id="rId177" Type="http://schemas.openxmlformats.org/officeDocument/2006/relationships/hyperlink" Target="https://youtu.be/8LGlBe04dos?t=1047" TargetMode="External"/><Relationship Id="rId20" Type="http://schemas.openxmlformats.org/officeDocument/2006/relationships/hyperlink" Target="https://youtu.be/0k_IzGA5Krw?t=8327" TargetMode="External"/><Relationship Id="rId22" Type="http://schemas.openxmlformats.org/officeDocument/2006/relationships/hyperlink" Target="https://youtu.be/vKL7HQ_Rri4" TargetMode="External"/><Relationship Id="rId21" Type="http://schemas.openxmlformats.org/officeDocument/2006/relationships/hyperlink" Target="https://youtu.be/-Cc7XxIRJzo" TargetMode="External"/><Relationship Id="rId24" Type="http://schemas.openxmlformats.org/officeDocument/2006/relationships/hyperlink" Target="https://youtu.be/vKL7HQ_Rri4?t=1084" TargetMode="External"/><Relationship Id="rId23" Type="http://schemas.openxmlformats.org/officeDocument/2006/relationships/hyperlink" Target="https://youtu.be/-Cc7XxIRJzo?t=937" TargetMode="External"/><Relationship Id="rId26" Type="http://schemas.openxmlformats.org/officeDocument/2006/relationships/hyperlink" Target="https://youtu.be/vKL7HQ_Rri4?t=2013" TargetMode="External"/><Relationship Id="rId25" Type="http://schemas.openxmlformats.org/officeDocument/2006/relationships/hyperlink" Target="https://youtu.be/-Cc7XxIRJzo?t=1856" TargetMode="External"/><Relationship Id="rId28" Type="http://schemas.openxmlformats.org/officeDocument/2006/relationships/hyperlink" Target="https://youtu.be/vKL7HQ_Rri4?t=2966" TargetMode="External"/><Relationship Id="rId27" Type="http://schemas.openxmlformats.org/officeDocument/2006/relationships/hyperlink" Target="https://youtu.be/-Cc7XxIRJzo?t=2772" TargetMode="External"/><Relationship Id="rId29" Type="http://schemas.openxmlformats.org/officeDocument/2006/relationships/hyperlink" Target="https://youtu.be/-Cc7XxIRJzo?t=3765" TargetMode="External"/><Relationship Id="rId11" Type="http://schemas.openxmlformats.org/officeDocument/2006/relationships/hyperlink" Target="https://youtu.be/_EpYn1JoxhM?t=4660" TargetMode="External"/><Relationship Id="rId10" Type="http://schemas.openxmlformats.org/officeDocument/2006/relationships/hyperlink" Target="https://youtu.be/0k_IzGA5Krw?t=3823" TargetMode="External"/><Relationship Id="rId13" Type="http://schemas.openxmlformats.org/officeDocument/2006/relationships/hyperlink" Target="https://youtu.be/_EpYn1JoxhM?t=5595" TargetMode="External"/><Relationship Id="rId12" Type="http://schemas.openxmlformats.org/officeDocument/2006/relationships/hyperlink" Target="https://youtu.be/0k_IzGA5Krw?t=4753" TargetMode="External"/><Relationship Id="rId15" Type="http://schemas.openxmlformats.org/officeDocument/2006/relationships/hyperlink" Target="https://youtu.be/_EpYn1JoxhM?t=6495" TargetMode="External"/><Relationship Id="rId198" Type="http://schemas.openxmlformats.org/officeDocument/2006/relationships/hyperlink" Target="https://youtu.be/8bT70xNUUz0?t=2755" TargetMode="External"/><Relationship Id="rId14" Type="http://schemas.openxmlformats.org/officeDocument/2006/relationships/hyperlink" Target="https://youtu.be/0k_IzGA5Krw?t=5691" TargetMode="External"/><Relationship Id="rId197" Type="http://schemas.openxmlformats.org/officeDocument/2006/relationships/hyperlink" Target="https://youtu.be/OJMb0SOYVs8?t=1886" TargetMode="External"/><Relationship Id="rId17" Type="http://schemas.openxmlformats.org/officeDocument/2006/relationships/hyperlink" Target="https://youtu.be/_EpYn1JoxhM?t=7391" TargetMode="External"/><Relationship Id="rId196" Type="http://schemas.openxmlformats.org/officeDocument/2006/relationships/hyperlink" Target="https://youtu.be/8bT70xNUUz0?t=1855" TargetMode="External"/><Relationship Id="rId16" Type="http://schemas.openxmlformats.org/officeDocument/2006/relationships/hyperlink" Target="https://youtu.be/0k_IzGA5Krw?t=6612" TargetMode="External"/><Relationship Id="rId195" Type="http://schemas.openxmlformats.org/officeDocument/2006/relationships/hyperlink" Target="https://youtu.be/OJMb0SOYVs8?t=978" TargetMode="External"/><Relationship Id="rId19" Type="http://schemas.openxmlformats.org/officeDocument/2006/relationships/hyperlink" Target="https://youtu.be/_EpYn1JoxhM?t=8330" TargetMode="External"/><Relationship Id="rId18" Type="http://schemas.openxmlformats.org/officeDocument/2006/relationships/hyperlink" Target="https://youtu.be/0k_IzGA5Krw?t=7478" TargetMode="External"/><Relationship Id="rId199" Type="http://schemas.openxmlformats.org/officeDocument/2006/relationships/hyperlink" Target="https://youtu.be/OJMb0SOYVs8?t=2766" TargetMode="External"/><Relationship Id="rId84" Type="http://schemas.openxmlformats.org/officeDocument/2006/relationships/hyperlink" Target="https://youtu.be/-RHUn2xh2iE?t=1061" TargetMode="External"/><Relationship Id="rId83" Type="http://schemas.openxmlformats.org/officeDocument/2006/relationships/hyperlink" Target="https://youtu.be/NSoGwpk87nQ?t=1071" TargetMode="External"/><Relationship Id="rId86" Type="http://schemas.openxmlformats.org/officeDocument/2006/relationships/hyperlink" Target="https://youtu.be/-RHUn2xh2iE?t=1972" TargetMode="External"/><Relationship Id="rId85" Type="http://schemas.openxmlformats.org/officeDocument/2006/relationships/hyperlink" Target="https://youtu.be/NSoGwpk87nQ?t=2063" TargetMode="External"/><Relationship Id="rId88" Type="http://schemas.openxmlformats.org/officeDocument/2006/relationships/hyperlink" Target="https://youtu.be/-RHUn2xh2iE?t=2996" TargetMode="External"/><Relationship Id="rId150" Type="http://schemas.openxmlformats.org/officeDocument/2006/relationships/hyperlink" Target="https://youtu.be/OwrE0GzUBJQ?t=3653" TargetMode="External"/><Relationship Id="rId87" Type="http://schemas.openxmlformats.org/officeDocument/2006/relationships/hyperlink" Target="https://youtu.be/NSoGwpk87nQ?t=3057" TargetMode="External"/><Relationship Id="rId89" Type="http://schemas.openxmlformats.org/officeDocument/2006/relationships/hyperlink" Target="https://youtu.be/NSoGwpk87nQ?t=4028" TargetMode="External"/><Relationship Id="rId80" Type="http://schemas.openxmlformats.org/officeDocument/2006/relationships/hyperlink" Target="https://youtu.be/0t094TPD2Aw?t=8512" TargetMode="External"/><Relationship Id="rId82" Type="http://schemas.openxmlformats.org/officeDocument/2006/relationships/hyperlink" Target="https://youtu.be/-RHUn2xh2iE" TargetMode="External"/><Relationship Id="rId81" Type="http://schemas.openxmlformats.org/officeDocument/2006/relationships/hyperlink" Target="https://youtu.be/NSoGwpk87nQ" TargetMode="External"/><Relationship Id="rId1" Type="http://schemas.openxmlformats.org/officeDocument/2006/relationships/hyperlink" Target="https://youtu.be/_EpYn1JoxhM" TargetMode="External"/><Relationship Id="rId2" Type="http://schemas.openxmlformats.org/officeDocument/2006/relationships/hyperlink" Target="https://youtu.be/0k_IzGA5Krw" TargetMode="External"/><Relationship Id="rId3" Type="http://schemas.openxmlformats.org/officeDocument/2006/relationships/hyperlink" Target="https://youtu.be/_EpYn1JoxhM?t=1013" TargetMode="External"/><Relationship Id="rId149" Type="http://schemas.openxmlformats.org/officeDocument/2006/relationships/hyperlink" Target="https://youtu.be/0Wzt7QU7xBA?t=3664" TargetMode="External"/><Relationship Id="rId4" Type="http://schemas.openxmlformats.org/officeDocument/2006/relationships/hyperlink" Target="https://youtu.be/0k_IzGA5Krw?t=1056" TargetMode="External"/><Relationship Id="rId148" Type="http://schemas.openxmlformats.org/officeDocument/2006/relationships/hyperlink" Target="https://youtu.be/OwrE0GzUBJQ?t=2793" TargetMode="External"/><Relationship Id="rId9" Type="http://schemas.openxmlformats.org/officeDocument/2006/relationships/hyperlink" Target="https://youtu.be/_EpYn1JoxhM?t=3834" TargetMode="External"/><Relationship Id="rId143" Type="http://schemas.openxmlformats.org/officeDocument/2006/relationships/hyperlink" Target="https://youtu.be/0Wzt7QU7xBA?t=953" TargetMode="External"/><Relationship Id="rId142" Type="http://schemas.openxmlformats.org/officeDocument/2006/relationships/hyperlink" Target="https://youtu.be/OwrE0GzUBJQ" TargetMode="External"/><Relationship Id="rId141" Type="http://schemas.openxmlformats.org/officeDocument/2006/relationships/hyperlink" Target="https://youtu.be/0Wzt7QU7xBA" TargetMode="External"/><Relationship Id="rId140" Type="http://schemas.openxmlformats.org/officeDocument/2006/relationships/hyperlink" Target="https://youtu.be/5vBKrf0vEjA?t=7961" TargetMode="External"/><Relationship Id="rId5" Type="http://schemas.openxmlformats.org/officeDocument/2006/relationships/hyperlink" Target="https://youtu.be/_EpYn1JoxhM?t=1900" TargetMode="External"/><Relationship Id="rId147" Type="http://schemas.openxmlformats.org/officeDocument/2006/relationships/hyperlink" Target="https://youtu.be/0Wzt7QU7xBA?t=2780" TargetMode="External"/><Relationship Id="rId6" Type="http://schemas.openxmlformats.org/officeDocument/2006/relationships/hyperlink" Target="https://youtu.be/0k_IzGA5Krw?t=1968" TargetMode="External"/><Relationship Id="rId146" Type="http://schemas.openxmlformats.org/officeDocument/2006/relationships/hyperlink" Target="https://youtu.be/OwrE0GzUBJQ?t=1884" TargetMode="External"/><Relationship Id="rId7" Type="http://schemas.openxmlformats.org/officeDocument/2006/relationships/hyperlink" Target="https://youtu.be/_EpYn1JoxhM?t=2797" TargetMode="External"/><Relationship Id="rId145" Type="http://schemas.openxmlformats.org/officeDocument/2006/relationships/hyperlink" Target="https://youtu.be/0Wzt7QU7xBA?t=1852" TargetMode="External"/><Relationship Id="rId8" Type="http://schemas.openxmlformats.org/officeDocument/2006/relationships/hyperlink" Target="https://youtu.be/0k_IzGA5Krw?t=2881" TargetMode="External"/><Relationship Id="rId144" Type="http://schemas.openxmlformats.org/officeDocument/2006/relationships/hyperlink" Target="https://youtu.be/OwrE0GzUBJQ?t=997" TargetMode="External"/><Relationship Id="rId73" Type="http://schemas.openxmlformats.org/officeDocument/2006/relationships/hyperlink" Target="https://youtu.be/P4HGsX4wYxc?t=5751" TargetMode="External"/><Relationship Id="rId72" Type="http://schemas.openxmlformats.org/officeDocument/2006/relationships/hyperlink" Target="https://youtu.be/0t094TPD2Aw?t=4813" TargetMode="External"/><Relationship Id="rId75" Type="http://schemas.openxmlformats.org/officeDocument/2006/relationships/hyperlink" Target="https://youtu.be/P4HGsX4wYxc?t=6652" TargetMode="External"/><Relationship Id="rId74" Type="http://schemas.openxmlformats.org/officeDocument/2006/relationships/hyperlink" Target="https://youtu.be/0t094TPD2Aw?t=5693" TargetMode="External"/><Relationship Id="rId77" Type="http://schemas.openxmlformats.org/officeDocument/2006/relationships/hyperlink" Target="https://youtu.be/P4HGsX4wYxc?t=7559" TargetMode="External"/><Relationship Id="rId76" Type="http://schemas.openxmlformats.org/officeDocument/2006/relationships/hyperlink" Target="https://youtu.be/0t094TPD2Aw?t=6618" TargetMode="External"/><Relationship Id="rId79" Type="http://schemas.openxmlformats.org/officeDocument/2006/relationships/hyperlink" Target="https://youtu.be/P4HGsX4wYxc?t=8434" TargetMode="External"/><Relationship Id="rId78" Type="http://schemas.openxmlformats.org/officeDocument/2006/relationships/hyperlink" Target="https://youtu.be/0t094TPD2Aw?t=7595" TargetMode="External"/><Relationship Id="rId71" Type="http://schemas.openxmlformats.org/officeDocument/2006/relationships/hyperlink" Target="https://youtu.be/P4HGsX4wYxc?t=4774" TargetMode="External"/><Relationship Id="rId70" Type="http://schemas.openxmlformats.org/officeDocument/2006/relationships/hyperlink" Target="https://youtu.be/0t094TPD2Aw?t=3947" TargetMode="External"/><Relationship Id="rId139" Type="http://schemas.openxmlformats.org/officeDocument/2006/relationships/hyperlink" Target="https://youtu.be/Sn1je9wNLiQ?t=7893" TargetMode="External"/><Relationship Id="rId138" Type="http://schemas.openxmlformats.org/officeDocument/2006/relationships/hyperlink" Target="https://youtu.be/5vBKrf0vEjA?t=7110" TargetMode="External"/><Relationship Id="rId137" Type="http://schemas.openxmlformats.org/officeDocument/2006/relationships/hyperlink" Target="https://youtu.be/Sn1je9wNLiQ?t=7040" TargetMode="External"/><Relationship Id="rId132" Type="http://schemas.openxmlformats.org/officeDocument/2006/relationships/hyperlink" Target="https://youtu.be/5vBKrf0vEjA?t=4456" TargetMode="External"/><Relationship Id="rId131" Type="http://schemas.openxmlformats.org/officeDocument/2006/relationships/hyperlink" Target="https://youtu.be/Sn1je9wNLiQ?t=4481" TargetMode="External"/><Relationship Id="rId130" Type="http://schemas.openxmlformats.org/officeDocument/2006/relationships/hyperlink" Target="https://youtu.be/5vBKrf0vEjA?t=3621" TargetMode="External"/><Relationship Id="rId136" Type="http://schemas.openxmlformats.org/officeDocument/2006/relationships/hyperlink" Target="https://youtu.be/5vBKrf0vEjA?t=6214" TargetMode="External"/><Relationship Id="rId135" Type="http://schemas.openxmlformats.org/officeDocument/2006/relationships/hyperlink" Target="https://youtu.be/Sn1je9wNLiQ?t=6163" TargetMode="External"/><Relationship Id="rId134" Type="http://schemas.openxmlformats.org/officeDocument/2006/relationships/hyperlink" Target="https://youtu.be/5vBKrf0vEjA?t=5353" TargetMode="External"/><Relationship Id="rId133" Type="http://schemas.openxmlformats.org/officeDocument/2006/relationships/hyperlink" Target="https://youtu.be/Sn1je9wNLiQ?t=5344" TargetMode="External"/><Relationship Id="rId62" Type="http://schemas.openxmlformats.org/officeDocument/2006/relationships/hyperlink" Target="https://www.youtube.com/watch?v=0t094TPD2Aw&amp;feature=youtu.be" TargetMode="External"/><Relationship Id="rId61" Type="http://schemas.openxmlformats.org/officeDocument/2006/relationships/hyperlink" Target="https://youtu.be/P4HGsX4wYxc" TargetMode="External"/><Relationship Id="rId64" Type="http://schemas.openxmlformats.org/officeDocument/2006/relationships/hyperlink" Target="https://youtu.be/0t094TPD2Aw?t=1029" TargetMode="External"/><Relationship Id="rId63" Type="http://schemas.openxmlformats.org/officeDocument/2006/relationships/hyperlink" Target="https://youtu.be/P4HGsX4wYxc?t=973" TargetMode="External"/><Relationship Id="rId66" Type="http://schemas.openxmlformats.org/officeDocument/2006/relationships/hyperlink" Target="https://youtu.be/0t094TPD2Aw?t=1944" TargetMode="External"/><Relationship Id="rId172" Type="http://schemas.openxmlformats.org/officeDocument/2006/relationships/hyperlink" Target="https://youtu.be/kJzEGIhG-sM" TargetMode="External"/><Relationship Id="rId65" Type="http://schemas.openxmlformats.org/officeDocument/2006/relationships/hyperlink" Target="https://youtu.be/P4HGsX4wYxc?t=1973" TargetMode="External"/><Relationship Id="rId171" Type="http://schemas.openxmlformats.org/officeDocument/2006/relationships/hyperlink" Target="https://youtu.be/ykmR5MquFd4?t=9616" TargetMode="External"/><Relationship Id="rId68" Type="http://schemas.openxmlformats.org/officeDocument/2006/relationships/hyperlink" Target="https://youtu.be/0t094TPD2Aw?t=2961" TargetMode="External"/><Relationship Id="rId170" Type="http://schemas.openxmlformats.org/officeDocument/2006/relationships/hyperlink" Target="https://youtu.be/ykmR5MquFd4?t=7779" TargetMode="External"/><Relationship Id="rId67" Type="http://schemas.openxmlformats.org/officeDocument/2006/relationships/hyperlink" Target="https://youtu.be/P4HGsX4wYxc?t=2914" TargetMode="External"/><Relationship Id="rId60" Type="http://schemas.openxmlformats.org/officeDocument/2006/relationships/hyperlink" Target="https://youtu.be/YBOSP1EGxsM?t=8496" TargetMode="External"/><Relationship Id="rId165" Type="http://schemas.openxmlformats.org/officeDocument/2006/relationships/hyperlink" Target="https://youtu.be/ykmR5MquFd4?t=2960" TargetMode="External"/><Relationship Id="rId69" Type="http://schemas.openxmlformats.org/officeDocument/2006/relationships/hyperlink" Target="https://youtu.be/P4HGsX4wYxc?t=3864" TargetMode="External"/><Relationship Id="rId164" Type="http://schemas.openxmlformats.org/officeDocument/2006/relationships/hyperlink" Target="https://youtu.be/ykmR5MquFd4?t=2032" TargetMode="External"/><Relationship Id="rId163" Type="http://schemas.openxmlformats.org/officeDocument/2006/relationships/hyperlink" Target="https://youtu.be/ykmR5MquFd4?t=1065" TargetMode="External"/><Relationship Id="rId162" Type="http://schemas.openxmlformats.org/officeDocument/2006/relationships/hyperlink" Target="https://youtu.be/ykmR5MquFd4" TargetMode="External"/><Relationship Id="rId169" Type="http://schemas.openxmlformats.org/officeDocument/2006/relationships/hyperlink" Target="https://youtu.be/ykmR5MquFd4?t=6782" TargetMode="External"/><Relationship Id="rId168" Type="http://schemas.openxmlformats.org/officeDocument/2006/relationships/hyperlink" Target="https://youtu.be/ykmR5MquFd4?t=5809" TargetMode="External"/><Relationship Id="rId167" Type="http://schemas.openxmlformats.org/officeDocument/2006/relationships/hyperlink" Target="https://youtu.be/ykmR5MquFd4?t=4814" TargetMode="External"/><Relationship Id="rId166" Type="http://schemas.openxmlformats.org/officeDocument/2006/relationships/hyperlink" Target="https://youtu.be/ykmR5MquFd4?t=3879" TargetMode="External"/><Relationship Id="rId51" Type="http://schemas.openxmlformats.org/officeDocument/2006/relationships/hyperlink" Target="https://youtu.be/Zl-_Ps0BYOA?t=4716" TargetMode="External"/><Relationship Id="rId50" Type="http://schemas.openxmlformats.org/officeDocument/2006/relationships/hyperlink" Target="https://youtu.be/YBOSP1EGxsM?t=3742" TargetMode="External"/><Relationship Id="rId53" Type="http://schemas.openxmlformats.org/officeDocument/2006/relationships/hyperlink" Target="https://youtu.be/Zl-_Ps0BYOA?t=5634" TargetMode="External"/><Relationship Id="rId52" Type="http://schemas.openxmlformats.org/officeDocument/2006/relationships/hyperlink" Target="https://youtu.be/YBOSP1EGxsM?t=4640" TargetMode="External"/><Relationship Id="rId55" Type="http://schemas.openxmlformats.org/officeDocument/2006/relationships/hyperlink" Target="https://youtu.be/Zl-_Ps0BYOA?t=6588" TargetMode="External"/><Relationship Id="rId161" Type="http://schemas.openxmlformats.org/officeDocument/2006/relationships/hyperlink" Target="https://youtu.be/x7IFjocvuys" TargetMode="External"/><Relationship Id="rId54" Type="http://schemas.openxmlformats.org/officeDocument/2006/relationships/hyperlink" Target="https://youtu.be/YBOSP1EGxsM?t=5524" TargetMode="External"/><Relationship Id="rId160" Type="http://schemas.openxmlformats.org/officeDocument/2006/relationships/hyperlink" Target="https://youtu.be/OwrE0GzUBJQ?t=8162" TargetMode="External"/><Relationship Id="rId57" Type="http://schemas.openxmlformats.org/officeDocument/2006/relationships/hyperlink" Target="https://youtu.be/Zl-_Ps0BYOA?t=7474" TargetMode="External"/><Relationship Id="rId56" Type="http://schemas.openxmlformats.org/officeDocument/2006/relationships/hyperlink" Target="https://youtu.be/YBOSP1EGxsM?t=6503" TargetMode="External"/><Relationship Id="rId159" Type="http://schemas.openxmlformats.org/officeDocument/2006/relationships/hyperlink" Target="https://youtu.be/0Wzt7QU7xBA?t=8226" TargetMode="External"/><Relationship Id="rId59" Type="http://schemas.openxmlformats.org/officeDocument/2006/relationships/hyperlink" Target="https://youtu.be/Zl-_Ps0BYOA?t=8331" TargetMode="External"/><Relationship Id="rId154" Type="http://schemas.openxmlformats.org/officeDocument/2006/relationships/hyperlink" Target="https://youtu.be/OwrE0GzUBJQ?t=5427" TargetMode="External"/><Relationship Id="rId58" Type="http://schemas.openxmlformats.org/officeDocument/2006/relationships/hyperlink" Target="https://youtu.be/YBOSP1EGxsM?t=7618" TargetMode="External"/><Relationship Id="rId153" Type="http://schemas.openxmlformats.org/officeDocument/2006/relationships/hyperlink" Target="https://youtu.be/0Wzt7QU7xBA?t=5456" TargetMode="External"/><Relationship Id="rId152" Type="http://schemas.openxmlformats.org/officeDocument/2006/relationships/hyperlink" Target="https://youtu.be/OwrE0GzUBJQ?t=4587" TargetMode="External"/><Relationship Id="rId151" Type="http://schemas.openxmlformats.org/officeDocument/2006/relationships/hyperlink" Target="https://youtu.be/0Wzt7QU7xBA?t=4548" TargetMode="External"/><Relationship Id="rId158" Type="http://schemas.openxmlformats.org/officeDocument/2006/relationships/hyperlink" Target="https://youtu.be/OwrE0GzUBJQ?t=7280" TargetMode="External"/><Relationship Id="rId157" Type="http://schemas.openxmlformats.org/officeDocument/2006/relationships/hyperlink" Target="https://youtu.be/0Wzt7QU7xBA?t=7326" TargetMode="External"/><Relationship Id="rId156" Type="http://schemas.openxmlformats.org/officeDocument/2006/relationships/hyperlink" Target="https://youtu.be/OwrE0GzUBJQ?t=6262" TargetMode="External"/><Relationship Id="rId155" Type="http://schemas.openxmlformats.org/officeDocument/2006/relationships/hyperlink" Target="https://youtu.be/0Wzt7QU7xBA?t=6356" TargetMode="External"/><Relationship Id="rId107" Type="http://schemas.openxmlformats.org/officeDocument/2006/relationships/hyperlink" Target="https://youtu.be/vPeugkNAfW8?t=2979" TargetMode="External"/><Relationship Id="rId228" Type="http://schemas.openxmlformats.org/officeDocument/2006/relationships/hyperlink" Target="https://youtu.be/8w1NzB3GUGg?t=7584" TargetMode="External"/><Relationship Id="rId106" Type="http://schemas.openxmlformats.org/officeDocument/2006/relationships/hyperlink" Target="https://youtu.be/2X_xTLHpvN0" TargetMode="External"/><Relationship Id="rId227" Type="http://schemas.openxmlformats.org/officeDocument/2006/relationships/hyperlink" Target="https://youtu.be/fT7hn0xwi8A?t=6801" TargetMode="External"/><Relationship Id="rId105" Type="http://schemas.openxmlformats.org/officeDocument/2006/relationships/hyperlink" Target="https://youtu.be/vPeugkNAfW8?t=1986" TargetMode="External"/><Relationship Id="rId226" Type="http://schemas.openxmlformats.org/officeDocument/2006/relationships/hyperlink" Target="https://youtu.be/8w1NzB3GUGg?t=6661" TargetMode="External"/><Relationship Id="rId104" Type="http://schemas.openxmlformats.org/officeDocument/2006/relationships/hyperlink" Target="https://youtu.be/icymDE9KtG0?t=977" TargetMode="External"/><Relationship Id="rId225" Type="http://schemas.openxmlformats.org/officeDocument/2006/relationships/hyperlink" Target="https://youtu.be/fT7hn0xwi8A?t=5842" TargetMode="External"/><Relationship Id="rId109" Type="http://schemas.openxmlformats.org/officeDocument/2006/relationships/hyperlink" Target="https://youtu.be/vPeugkNAfW8?t=3985" TargetMode="External"/><Relationship Id="rId108" Type="http://schemas.openxmlformats.org/officeDocument/2006/relationships/hyperlink" Target="https://youtu.be/2X_xTLHpvN0?t=977" TargetMode="External"/><Relationship Id="rId229" Type="http://schemas.openxmlformats.org/officeDocument/2006/relationships/hyperlink" Target="https://youtu.be/fT7hn0xwi8A?t=7723" TargetMode="External"/><Relationship Id="rId220" Type="http://schemas.openxmlformats.org/officeDocument/2006/relationships/hyperlink" Target="https://youtu.be/8w1NzB3GUGg?t=3809" TargetMode="External"/><Relationship Id="rId103" Type="http://schemas.openxmlformats.org/officeDocument/2006/relationships/hyperlink" Target="https://youtu.be/vPeugkNAfW8?t=1080" TargetMode="External"/><Relationship Id="rId224" Type="http://schemas.openxmlformats.org/officeDocument/2006/relationships/hyperlink" Target="https://youtu.be/8w1NzB3GUGg?t=5697" TargetMode="External"/><Relationship Id="rId102" Type="http://schemas.openxmlformats.org/officeDocument/2006/relationships/hyperlink" Target="https://youtu.be/icymDE9KtG0" TargetMode="External"/><Relationship Id="rId223" Type="http://schemas.openxmlformats.org/officeDocument/2006/relationships/hyperlink" Target="https://youtu.be/fT7hn0xwi8A?t=4884" TargetMode="External"/><Relationship Id="rId101" Type="http://schemas.openxmlformats.org/officeDocument/2006/relationships/hyperlink" Target="https://youtu.be/vPeugkNAfW8" TargetMode="External"/><Relationship Id="rId222" Type="http://schemas.openxmlformats.org/officeDocument/2006/relationships/hyperlink" Target="https://youtu.be/8w1NzB3GUGg?t=4756" TargetMode="External"/><Relationship Id="rId100" Type="http://schemas.openxmlformats.org/officeDocument/2006/relationships/hyperlink" Target="https://youtu.be/-RHUn2xh2iE?t=8469" TargetMode="External"/><Relationship Id="rId221" Type="http://schemas.openxmlformats.org/officeDocument/2006/relationships/hyperlink" Target="https://youtu.be/fT7hn0xwi8A?t=3949" TargetMode="External"/><Relationship Id="rId217" Type="http://schemas.openxmlformats.org/officeDocument/2006/relationships/hyperlink" Target="https://youtu.be/fT7hn0xwi8A?t=2103" TargetMode="External"/><Relationship Id="rId216" Type="http://schemas.openxmlformats.org/officeDocument/2006/relationships/hyperlink" Target="https://youtu.be/8w1NzB3GUGg?t=1926" TargetMode="External"/><Relationship Id="rId215" Type="http://schemas.openxmlformats.org/officeDocument/2006/relationships/hyperlink" Target="https://youtu.be/fT7hn0xwi8A?t=1160" TargetMode="External"/><Relationship Id="rId214" Type="http://schemas.openxmlformats.org/officeDocument/2006/relationships/hyperlink" Target="https://youtu.be/8w1NzB3GUGg?t=966" TargetMode="External"/><Relationship Id="rId219" Type="http://schemas.openxmlformats.org/officeDocument/2006/relationships/hyperlink" Target="https://youtu.be/fT7hn0xwi8A?t=3026" TargetMode="External"/><Relationship Id="rId218" Type="http://schemas.openxmlformats.org/officeDocument/2006/relationships/hyperlink" Target="https://youtu.be/8w1NzB3GUGg?t=2878" TargetMode="External"/><Relationship Id="rId213" Type="http://schemas.openxmlformats.org/officeDocument/2006/relationships/hyperlink" Target="https://youtu.be/fT7hn0xwi8A" TargetMode="External"/><Relationship Id="rId212" Type="http://schemas.openxmlformats.org/officeDocument/2006/relationships/hyperlink" Target="https://youtu.be/8w1NzB3GUGg" TargetMode="External"/><Relationship Id="rId211" Type="http://schemas.openxmlformats.org/officeDocument/2006/relationships/hyperlink" Target="https://youtu.be/OJMb0SOYVs8?t=8487" TargetMode="External"/><Relationship Id="rId210" Type="http://schemas.openxmlformats.org/officeDocument/2006/relationships/hyperlink" Target="https://youtu.be/8bT70xNUUz0?t=8322" TargetMode="External"/><Relationship Id="rId129" Type="http://schemas.openxmlformats.org/officeDocument/2006/relationships/hyperlink" Target="https://youtu.be/Sn1je9wNLiQ?t=3535" TargetMode="External"/><Relationship Id="rId128" Type="http://schemas.openxmlformats.org/officeDocument/2006/relationships/hyperlink" Target="https://youtu.be/5vBKrf0vEjA?t=2689" TargetMode="External"/><Relationship Id="rId127" Type="http://schemas.openxmlformats.org/officeDocument/2006/relationships/hyperlink" Target="https://youtu.be/Sn1je9wNLiQ?t=2675" TargetMode="External"/><Relationship Id="rId126" Type="http://schemas.openxmlformats.org/officeDocument/2006/relationships/hyperlink" Target="https://youtu.be/5vBKrf0vEjA?t=1818" TargetMode="External"/><Relationship Id="rId121" Type="http://schemas.openxmlformats.org/officeDocument/2006/relationships/hyperlink" Target="https://youtu.be/Sn1je9wNLiQ" TargetMode="External"/><Relationship Id="rId120" Type="http://schemas.openxmlformats.org/officeDocument/2006/relationships/hyperlink" Target="https://youtu.be/2X_xTLHpvN0?t=6669" TargetMode="External"/><Relationship Id="rId125" Type="http://schemas.openxmlformats.org/officeDocument/2006/relationships/hyperlink" Target="https://youtu.be/Sn1je9wNLiQ?t=1840" TargetMode="External"/><Relationship Id="rId124" Type="http://schemas.openxmlformats.org/officeDocument/2006/relationships/hyperlink" Target="https://youtu.be/5vBKrf0vEjA?t=922" TargetMode="External"/><Relationship Id="rId123" Type="http://schemas.openxmlformats.org/officeDocument/2006/relationships/hyperlink" Target="https://youtu.be/Sn1je9wNLiQ?t=937" TargetMode="External"/><Relationship Id="rId122" Type="http://schemas.openxmlformats.org/officeDocument/2006/relationships/hyperlink" Target="https://youtu.be/5vBKrf0vEjA" TargetMode="External"/><Relationship Id="rId95" Type="http://schemas.openxmlformats.org/officeDocument/2006/relationships/hyperlink" Target="https://youtu.be/NSoGwpk87nQ?t=6710" TargetMode="External"/><Relationship Id="rId94" Type="http://schemas.openxmlformats.org/officeDocument/2006/relationships/hyperlink" Target="https://youtu.be/-RHUn2xh2iE?t=5629" TargetMode="External"/><Relationship Id="rId97" Type="http://schemas.openxmlformats.org/officeDocument/2006/relationships/hyperlink" Target="https://youtu.be/NSoGwpk87nQ?t=7579" TargetMode="External"/><Relationship Id="rId96" Type="http://schemas.openxmlformats.org/officeDocument/2006/relationships/hyperlink" Target="https://youtu.be/-RHUn2xh2iE?t=6596" TargetMode="External"/><Relationship Id="rId99" Type="http://schemas.openxmlformats.org/officeDocument/2006/relationships/hyperlink" Target="https://youtu.be/NSoGwpk87nQ?t=8716" TargetMode="External"/><Relationship Id="rId98" Type="http://schemas.openxmlformats.org/officeDocument/2006/relationships/hyperlink" Target="https://youtu.be/-RHUn2xh2iE?t=7519" TargetMode="External"/><Relationship Id="rId91" Type="http://schemas.openxmlformats.org/officeDocument/2006/relationships/hyperlink" Target="https://youtu.be/NSoGwpk87nQ?t=4947" TargetMode="External"/><Relationship Id="rId90" Type="http://schemas.openxmlformats.org/officeDocument/2006/relationships/hyperlink" Target="https://youtu.be/-RHUn2xh2iE?t=3797" TargetMode="External"/><Relationship Id="rId93" Type="http://schemas.openxmlformats.org/officeDocument/2006/relationships/hyperlink" Target="https://youtu.be/NSoGwpk87nQ?t=5831" TargetMode="External"/><Relationship Id="rId92" Type="http://schemas.openxmlformats.org/officeDocument/2006/relationships/hyperlink" Target="https://youtu.be/-RHUn2xh2iE?t=4691" TargetMode="External"/><Relationship Id="rId118" Type="http://schemas.openxmlformats.org/officeDocument/2006/relationships/hyperlink" Target="https://youtu.be/2X_xTLHpvN0?t=5716" TargetMode="External"/><Relationship Id="rId117" Type="http://schemas.openxmlformats.org/officeDocument/2006/relationships/hyperlink" Target="https://youtu.be/vPeugkNAfW8?t=7784" TargetMode="External"/><Relationship Id="rId116" Type="http://schemas.openxmlformats.org/officeDocument/2006/relationships/hyperlink" Target="https://youtu.be/2X_xTLHpvN0?t=4755" TargetMode="External"/><Relationship Id="rId115" Type="http://schemas.openxmlformats.org/officeDocument/2006/relationships/hyperlink" Target="https://youtu.be/vPeugkNAfW8?t=6854" TargetMode="External"/><Relationship Id="rId119" Type="http://schemas.openxmlformats.org/officeDocument/2006/relationships/hyperlink" Target="https://youtu.be/vPeugkNAfW8?t=8703" TargetMode="External"/><Relationship Id="rId110" Type="http://schemas.openxmlformats.org/officeDocument/2006/relationships/hyperlink" Target="https://youtu.be/2X_xTLHpvN0?t=1888" TargetMode="External"/><Relationship Id="rId231" Type="http://schemas.openxmlformats.org/officeDocument/2006/relationships/hyperlink" Target="https://youtu.be/fT7hn0xwi8A?t=8612" TargetMode="External"/><Relationship Id="rId230" Type="http://schemas.openxmlformats.org/officeDocument/2006/relationships/hyperlink" Target="https://youtu.be/8w1NzB3GUGg?t=8508" TargetMode="External"/><Relationship Id="rId114" Type="http://schemas.openxmlformats.org/officeDocument/2006/relationships/hyperlink" Target="https://youtu.be/2X_xTLHpvN0?t=3826" TargetMode="External"/><Relationship Id="rId113" Type="http://schemas.openxmlformats.org/officeDocument/2006/relationships/hyperlink" Target="https://youtu.be/vPeugkNAfW8?t=5925" TargetMode="External"/><Relationship Id="rId112" Type="http://schemas.openxmlformats.org/officeDocument/2006/relationships/hyperlink" Target="https://youtu.be/2X_xTLHpvN0?t=2917" TargetMode="External"/><Relationship Id="rId111" Type="http://schemas.openxmlformats.org/officeDocument/2006/relationships/hyperlink" Target="https://youtu.be/vPeugkNAfW8?t=4937" TargetMode="External"/><Relationship Id="rId232" Type="http://schemas.openxmlformats.org/officeDocument/2006/relationships/drawing" Target="../drawings/drawing35.xml"/><Relationship Id="rId206" Type="http://schemas.openxmlformats.org/officeDocument/2006/relationships/hyperlink" Target="https://youtu.be/8bT70xNUUz0?t=6478" TargetMode="External"/><Relationship Id="rId205" Type="http://schemas.openxmlformats.org/officeDocument/2006/relationships/hyperlink" Target="https://youtu.be/OJMb0SOYVs8?t=5584" TargetMode="External"/><Relationship Id="rId204" Type="http://schemas.openxmlformats.org/officeDocument/2006/relationships/hyperlink" Target="https://youtu.be/8bT70xNUUz0?t=5551" TargetMode="External"/><Relationship Id="rId203" Type="http://schemas.openxmlformats.org/officeDocument/2006/relationships/hyperlink" Target="https://youtu.be/OJMb0SOYVs8?t=4638" TargetMode="External"/><Relationship Id="rId209" Type="http://schemas.openxmlformats.org/officeDocument/2006/relationships/hyperlink" Target="https://youtu.be/OJMb0SOYVs8?t=7527" TargetMode="External"/><Relationship Id="rId208" Type="http://schemas.openxmlformats.org/officeDocument/2006/relationships/hyperlink" Target="https://youtu.be/8bT70xNUUz0?t=7396" TargetMode="External"/><Relationship Id="rId207" Type="http://schemas.openxmlformats.org/officeDocument/2006/relationships/hyperlink" Target="https://youtu.be/OJMb0SOYVs8?t=6534" TargetMode="External"/><Relationship Id="rId202" Type="http://schemas.openxmlformats.org/officeDocument/2006/relationships/hyperlink" Target="https://youtu.be/8bT70xNUUz0?t=4658" TargetMode="External"/><Relationship Id="rId201" Type="http://schemas.openxmlformats.org/officeDocument/2006/relationships/hyperlink" Target="https://youtu.be/OJMb0SOYVs8?t=3721" TargetMode="External"/><Relationship Id="rId200" Type="http://schemas.openxmlformats.org/officeDocument/2006/relationships/hyperlink" Target="https://youtu.be/8bT70xNUUz0?t=3687" TargetMode="External"/></Relationships>
</file>

<file path=xl/worksheets/_rels/sheet3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bq4vARi_Aes?t=3457" TargetMode="External"/><Relationship Id="rId190" Type="http://schemas.openxmlformats.org/officeDocument/2006/relationships/hyperlink" Target="https://youtu.be/cXUXzpcmPdQ?t=4512" TargetMode="External"/><Relationship Id="rId42" Type="http://schemas.openxmlformats.org/officeDocument/2006/relationships/hyperlink" Target="https://youtu.be/bq4vARi_Aes?t=4264" TargetMode="External"/><Relationship Id="rId41" Type="http://schemas.openxmlformats.org/officeDocument/2006/relationships/hyperlink" Target="https://youtu.be/ASE50K1NR-I?t=3325" TargetMode="External"/><Relationship Id="rId44" Type="http://schemas.openxmlformats.org/officeDocument/2006/relationships/hyperlink" Target="https://youtu.be/bq4vARi_Aes?t=5135" TargetMode="External"/><Relationship Id="rId194" Type="http://schemas.openxmlformats.org/officeDocument/2006/relationships/hyperlink" Target="https://youtu.be/cXUXzpcmPdQ?t=6427" TargetMode="External"/><Relationship Id="rId43" Type="http://schemas.openxmlformats.org/officeDocument/2006/relationships/hyperlink" Target="https://youtu.be/ASE50K1NR-I?t=4138" TargetMode="External"/><Relationship Id="rId193" Type="http://schemas.openxmlformats.org/officeDocument/2006/relationships/hyperlink" Target="https://youtu.be/_4WT5tS_pJI?t=5852" TargetMode="External"/><Relationship Id="rId46" Type="http://schemas.openxmlformats.org/officeDocument/2006/relationships/hyperlink" Target="https://youtu.be/bq4vARi_Aes?t=6000" TargetMode="External"/><Relationship Id="rId192" Type="http://schemas.openxmlformats.org/officeDocument/2006/relationships/hyperlink" Target="https://youtu.be/cXUXzpcmPdQ?t=5497" TargetMode="External"/><Relationship Id="rId45" Type="http://schemas.openxmlformats.org/officeDocument/2006/relationships/hyperlink" Target="https://youtu.be/ASE50K1NR-I?t=5001" TargetMode="External"/><Relationship Id="rId191" Type="http://schemas.openxmlformats.org/officeDocument/2006/relationships/hyperlink" Target="https://youtu.be/_4WT5tS_pJI?t=4909" TargetMode="External"/><Relationship Id="rId48" Type="http://schemas.openxmlformats.org/officeDocument/2006/relationships/hyperlink" Target="https://youtu.be/bq4vARi_Aes?t=6807" TargetMode="External"/><Relationship Id="rId187" Type="http://schemas.openxmlformats.org/officeDocument/2006/relationships/hyperlink" Target="https://youtu.be/_4WT5tS_pJI?t=3019" TargetMode="External"/><Relationship Id="rId47" Type="http://schemas.openxmlformats.org/officeDocument/2006/relationships/hyperlink" Target="https://youtu.be/ASE50K1NR-I?t=5880" TargetMode="External"/><Relationship Id="rId186" Type="http://schemas.openxmlformats.org/officeDocument/2006/relationships/hyperlink" Target="https://youtu.be/cXUXzpcmPdQ?t=2706" TargetMode="External"/><Relationship Id="rId185" Type="http://schemas.openxmlformats.org/officeDocument/2006/relationships/hyperlink" Target="https://youtu.be/_4WT5tS_pJI?t=2099" TargetMode="External"/><Relationship Id="rId49" Type="http://schemas.openxmlformats.org/officeDocument/2006/relationships/hyperlink" Target="https://youtu.be/ASE50K1NR-I?t=6711" TargetMode="External"/><Relationship Id="rId184" Type="http://schemas.openxmlformats.org/officeDocument/2006/relationships/hyperlink" Target="https://youtu.be/cXUXzpcmPdQ?t=1772" TargetMode="External"/><Relationship Id="rId189" Type="http://schemas.openxmlformats.org/officeDocument/2006/relationships/hyperlink" Target="https://youtu.be/_4WT5tS_pJI?t=3963" TargetMode="External"/><Relationship Id="rId188" Type="http://schemas.openxmlformats.org/officeDocument/2006/relationships/hyperlink" Target="https://youtu.be/cXUXzpcmPdQ?t=3593" TargetMode="External"/><Relationship Id="rId31" Type="http://schemas.openxmlformats.org/officeDocument/2006/relationships/hyperlink" Target="https://youtu.be/9h-9mdYtcqU?t=8506" TargetMode="External"/><Relationship Id="rId30" Type="http://schemas.openxmlformats.org/officeDocument/2006/relationships/hyperlink" Target="https://youtu.be/CfURk5NC3bM?t=8529" TargetMode="External"/><Relationship Id="rId33" Type="http://schemas.openxmlformats.org/officeDocument/2006/relationships/hyperlink" Target="https://youtu.be/ASE50K1NR-I" TargetMode="External"/><Relationship Id="rId183" Type="http://schemas.openxmlformats.org/officeDocument/2006/relationships/hyperlink" Target="https://youtu.be/_4WT5tS_pJI?t=1234" TargetMode="External"/><Relationship Id="rId32" Type="http://schemas.openxmlformats.org/officeDocument/2006/relationships/hyperlink" Target="https://youtu.be/bq4vARi_Aes" TargetMode="External"/><Relationship Id="rId182" Type="http://schemas.openxmlformats.org/officeDocument/2006/relationships/hyperlink" Target="https://youtu.be/cXUXzpcmPdQ?t=902" TargetMode="External"/><Relationship Id="rId35" Type="http://schemas.openxmlformats.org/officeDocument/2006/relationships/hyperlink" Target="https://youtu.be/ASE50K1NR-I?t=851" TargetMode="External"/><Relationship Id="rId181" Type="http://schemas.openxmlformats.org/officeDocument/2006/relationships/hyperlink" Target="https://youtu.be/_4WT5tS_pJI" TargetMode="External"/><Relationship Id="rId34" Type="http://schemas.openxmlformats.org/officeDocument/2006/relationships/hyperlink" Target="https://youtu.be/bq4vARi_Aes?t=909" TargetMode="External"/><Relationship Id="rId180" Type="http://schemas.openxmlformats.org/officeDocument/2006/relationships/hyperlink" Target="https://youtu.be/cXUXzpcmPdQ" TargetMode="External"/><Relationship Id="rId37" Type="http://schemas.openxmlformats.org/officeDocument/2006/relationships/hyperlink" Target="https://youtu.be/ASE50K1NR-I?t=1657" TargetMode="External"/><Relationship Id="rId176" Type="http://schemas.openxmlformats.org/officeDocument/2006/relationships/hyperlink" Target="https://youtu.be/qNWISo7fg1w?t=6878" TargetMode="External"/><Relationship Id="rId36" Type="http://schemas.openxmlformats.org/officeDocument/2006/relationships/hyperlink" Target="https://youtu.be/bq4vARi_Aes?t=1789" TargetMode="External"/><Relationship Id="rId175" Type="http://schemas.openxmlformats.org/officeDocument/2006/relationships/hyperlink" Target="https://youtu.be/bwuLfq_tdbQ?t=6120" TargetMode="External"/><Relationship Id="rId39" Type="http://schemas.openxmlformats.org/officeDocument/2006/relationships/hyperlink" Target="https://youtu.be/ASE50K1NR-I?t=2479" TargetMode="External"/><Relationship Id="rId174" Type="http://schemas.openxmlformats.org/officeDocument/2006/relationships/hyperlink" Target="https://youtu.be/qNWISo7fg1w?t=6033" TargetMode="External"/><Relationship Id="rId38" Type="http://schemas.openxmlformats.org/officeDocument/2006/relationships/hyperlink" Target="https://youtu.be/bq4vARi_Aes?t=2591" TargetMode="External"/><Relationship Id="rId173" Type="http://schemas.openxmlformats.org/officeDocument/2006/relationships/hyperlink" Target="https://youtu.be/bwuLfq_tdbQ?t=5300" TargetMode="External"/><Relationship Id="rId179" Type="http://schemas.openxmlformats.org/officeDocument/2006/relationships/hyperlink" Target="https://youtu.be/bwuLfq_tdbQ?t=7794" TargetMode="External"/><Relationship Id="rId178" Type="http://schemas.openxmlformats.org/officeDocument/2006/relationships/hyperlink" Target="https://youtu.be/qNWISo7fg1w?t=7733" TargetMode="External"/><Relationship Id="rId177" Type="http://schemas.openxmlformats.org/officeDocument/2006/relationships/hyperlink" Target="https://youtu.be/bwuLfq_tdbQ?t=6937" TargetMode="External"/><Relationship Id="rId20" Type="http://schemas.openxmlformats.org/officeDocument/2006/relationships/hyperlink" Target="https://youtu.be/CfURk5NC3bM?t=3816" TargetMode="External"/><Relationship Id="rId22" Type="http://schemas.openxmlformats.org/officeDocument/2006/relationships/hyperlink" Target="https://youtu.be/CfURk5NC3bM?t=4837" TargetMode="External"/><Relationship Id="rId21" Type="http://schemas.openxmlformats.org/officeDocument/2006/relationships/hyperlink" Target="https://youtu.be/9h-9mdYtcqU?t=3883" TargetMode="External"/><Relationship Id="rId24" Type="http://schemas.openxmlformats.org/officeDocument/2006/relationships/hyperlink" Target="https://youtu.be/CfURk5NC3bM?t=5753" TargetMode="External"/><Relationship Id="rId23" Type="http://schemas.openxmlformats.org/officeDocument/2006/relationships/hyperlink" Target="https://youtu.be/9h-9mdYtcqU?t=4803" TargetMode="External"/><Relationship Id="rId26" Type="http://schemas.openxmlformats.org/officeDocument/2006/relationships/hyperlink" Target="https://youtu.be/CfURk5NC3bM?t=6672" TargetMode="External"/><Relationship Id="rId25" Type="http://schemas.openxmlformats.org/officeDocument/2006/relationships/hyperlink" Target="https://youtu.be/9h-9mdYtcqU?t=5741" TargetMode="External"/><Relationship Id="rId28" Type="http://schemas.openxmlformats.org/officeDocument/2006/relationships/hyperlink" Target="https://youtu.be/CfURk5NC3bM?t=7603" TargetMode="External"/><Relationship Id="rId27" Type="http://schemas.openxmlformats.org/officeDocument/2006/relationships/hyperlink" Target="https://youtu.be/9h-9mdYtcqU?t=6677" TargetMode="External"/><Relationship Id="rId29" Type="http://schemas.openxmlformats.org/officeDocument/2006/relationships/hyperlink" Target="https://youtu.be/9h-9mdYtcqU?t=7605" TargetMode="External"/><Relationship Id="rId11" Type="http://schemas.openxmlformats.org/officeDocument/2006/relationships/hyperlink" Target="https://youtu.be/QsO0vwr8GV0?t=8202" TargetMode="External"/><Relationship Id="rId10" Type="http://schemas.openxmlformats.org/officeDocument/2006/relationships/hyperlink" Target="https://youtu.be/QsO0vwr8GV0?t=7279" TargetMode="External"/><Relationship Id="rId13" Type="http://schemas.openxmlformats.org/officeDocument/2006/relationships/hyperlink" Target="https://youtu.be/9h-9mdYtcqU" TargetMode="External"/><Relationship Id="rId12" Type="http://schemas.openxmlformats.org/officeDocument/2006/relationships/hyperlink" Target="https://youtu.be/CfURk5NC3bM" TargetMode="External"/><Relationship Id="rId15" Type="http://schemas.openxmlformats.org/officeDocument/2006/relationships/hyperlink" Target="https://youtu.be/9h-9mdYtcqU?t=1076" TargetMode="External"/><Relationship Id="rId198" Type="http://schemas.openxmlformats.org/officeDocument/2006/relationships/hyperlink" Target="https://youtu.be/cXUXzpcmPdQ?t=8276" TargetMode="External"/><Relationship Id="rId14" Type="http://schemas.openxmlformats.org/officeDocument/2006/relationships/hyperlink" Target="https://youtu.be/CfURk5NC3bM?t=1013" TargetMode="External"/><Relationship Id="rId197" Type="http://schemas.openxmlformats.org/officeDocument/2006/relationships/hyperlink" Target="https://youtu.be/_4WT5tS_pJI?t=7672" TargetMode="External"/><Relationship Id="rId17" Type="http://schemas.openxmlformats.org/officeDocument/2006/relationships/hyperlink" Target="https://youtu.be/9h-9mdYtcqU?t=2053" TargetMode="External"/><Relationship Id="rId196" Type="http://schemas.openxmlformats.org/officeDocument/2006/relationships/hyperlink" Target="https://youtu.be/cXUXzpcmPdQ?t=7371" TargetMode="External"/><Relationship Id="rId16" Type="http://schemas.openxmlformats.org/officeDocument/2006/relationships/hyperlink" Target="https://youtu.be/CfURk5NC3bM?t=1956" TargetMode="External"/><Relationship Id="rId195" Type="http://schemas.openxmlformats.org/officeDocument/2006/relationships/hyperlink" Target="https://youtu.be/_4WT5tS_pJI?t=6778" TargetMode="External"/><Relationship Id="rId19" Type="http://schemas.openxmlformats.org/officeDocument/2006/relationships/hyperlink" Target="https://youtu.be/9h-9mdYtcqU?t=2971" TargetMode="External"/><Relationship Id="rId18" Type="http://schemas.openxmlformats.org/officeDocument/2006/relationships/hyperlink" Target="https://youtu.be/CfURk5NC3bM?t=2899" TargetMode="External"/><Relationship Id="rId199" Type="http://schemas.openxmlformats.org/officeDocument/2006/relationships/hyperlink" Target="https://youtu.be/_4WT5tS_pJI?t=8670" TargetMode="External"/><Relationship Id="rId84" Type="http://schemas.openxmlformats.org/officeDocument/2006/relationships/hyperlink" Target="https://youtu.be/oUPHZ_qK1kw" TargetMode="External"/><Relationship Id="rId83" Type="http://schemas.openxmlformats.org/officeDocument/2006/relationships/hyperlink" Target="https://youtu.be/WPFOEBAjf9I?t=8655" TargetMode="External"/><Relationship Id="rId86" Type="http://schemas.openxmlformats.org/officeDocument/2006/relationships/hyperlink" Target="https://youtu.be/i7gCIMA19o8" TargetMode="External"/><Relationship Id="rId85" Type="http://schemas.openxmlformats.org/officeDocument/2006/relationships/hyperlink" Target="https://youtu.be/oUPHZ_qK1kw?t=999" TargetMode="External"/><Relationship Id="rId88" Type="http://schemas.openxmlformats.org/officeDocument/2006/relationships/hyperlink" Target="https://youtu.be/oUPHZ_qK1kw?t=2913" TargetMode="External"/><Relationship Id="rId150" Type="http://schemas.openxmlformats.org/officeDocument/2006/relationships/hyperlink" Target="https://youtu.be/EeH8DjngIGI" TargetMode="External"/><Relationship Id="rId87" Type="http://schemas.openxmlformats.org/officeDocument/2006/relationships/hyperlink" Target="https://youtu.be/i7gCIMA19o8?t=1012" TargetMode="External"/><Relationship Id="rId89" Type="http://schemas.openxmlformats.org/officeDocument/2006/relationships/hyperlink" Target="https://youtu.be/oUPHZ_qK1kw?t=3847" TargetMode="External"/><Relationship Id="rId80" Type="http://schemas.openxmlformats.org/officeDocument/2006/relationships/hyperlink" Target="https://youtu.be/ddq3RiwOE3o?t=4616" TargetMode="External"/><Relationship Id="rId82" Type="http://schemas.openxmlformats.org/officeDocument/2006/relationships/hyperlink" Target="https://youtu.be/WPFOEBAjf9I?t=7702" TargetMode="External"/><Relationship Id="rId81" Type="http://schemas.openxmlformats.org/officeDocument/2006/relationships/hyperlink" Target="https://youtu.be/ddq3RiwOE3o?t=5639" TargetMode="External"/><Relationship Id="rId1" Type="http://schemas.openxmlformats.org/officeDocument/2006/relationships/hyperlink" Target="https://youtu.be/OjtblBqLRzU" TargetMode="External"/><Relationship Id="rId2" Type="http://schemas.openxmlformats.org/officeDocument/2006/relationships/hyperlink" Target="https://youtu.be/QsO0vwr8GV0" TargetMode="External"/><Relationship Id="rId3" Type="http://schemas.openxmlformats.org/officeDocument/2006/relationships/hyperlink" Target="https://youtu.be/QsO0vwr8GV0?t=957" TargetMode="External"/><Relationship Id="rId149" Type="http://schemas.openxmlformats.org/officeDocument/2006/relationships/hyperlink" Target="https://youtu.be/38tbuctBgYQ?t=1931" TargetMode="External"/><Relationship Id="rId4" Type="http://schemas.openxmlformats.org/officeDocument/2006/relationships/hyperlink" Target="https://youtu.be/QsO0vwr8GV0?t=1830" TargetMode="External"/><Relationship Id="rId148" Type="http://schemas.openxmlformats.org/officeDocument/2006/relationships/hyperlink" Target="https://youtu.be/38tbuctBgYQ" TargetMode="External"/><Relationship Id="rId9" Type="http://schemas.openxmlformats.org/officeDocument/2006/relationships/hyperlink" Target="https://youtu.be/QsO0vwr8GV0?t=6305" TargetMode="External"/><Relationship Id="rId143" Type="http://schemas.openxmlformats.org/officeDocument/2006/relationships/hyperlink" Target="https://youtu.be/ERPQ9p6JjLM?t=6781" TargetMode="External"/><Relationship Id="rId142" Type="http://schemas.openxmlformats.org/officeDocument/2006/relationships/hyperlink" Target="https://youtu.be/ERPQ9p6JjLM?t=5816" TargetMode="External"/><Relationship Id="rId141" Type="http://schemas.openxmlformats.org/officeDocument/2006/relationships/hyperlink" Target="https://youtu.be/ERPQ9p6JjLM?t=4891" TargetMode="External"/><Relationship Id="rId140" Type="http://schemas.openxmlformats.org/officeDocument/2006/relationships/hyperlink" Target="https://youtu.be/ERPQ9p6JjLM?t=3963" TargetMode="External"/><Relationship Id="rId5" Type="http://schemas.openxmlformats.org/officeDocument/2006/relationships/hyperlink" Target="https://youtu.be/QsO0vwr8GV0?t=2697" TargetMode="External"/><Relationship Id="rId147" Type="http://schemas.openxmlformats.org/officeDocument/2006/relationships/hyperlink" Target="https://youtu.be/ERPQ9p6JjLM?t=9600" TargetMode="External"/><Relationship Id="rId6" Type="http://schemas.openxmlformats.org/officeDocument/2006/relationships/hyperlink" Target="https://youtu.be/QsO0vwr8GV0?t=3525" TargetMode="External"/><Relationship Id="rId146" Type="http://schemas.openxmlformats.org/officeDocument/2006/relationships/hyperlink" Target="https://youtu.be/ERPQ9p6JjLM?t=8704" TargetMode="External"/><Relationship Id="rId7" Type="http://schemas.openxmlformats.org/officeDocument/2006/relationships/hyperlink" Target="https://youtu.be/QsO0vwr8GV0?t=4380" TargetMode="External"/><Relationship Id="rId145" Type="http://schemas.openxmlformats.org/officeDocument/2006/relationships/hyperlink" Target="https://youtu.be/SNoMgQFPeZ4?t=5874" TargetMode="External"/><Relationship Id="rId8" Type="http://schemas.openxmlformats.org/officeDocument/2006/relationships/hyperlink" Target="https://youtu.be/QsO0vwr8GV0?t=5366" TargetMode="External"/><Relationship Id="rId144" Type="http://schemas.openxmlformats.org/officeDocument/2006/relationships/hyperlink" Target="https://youtu.be/SNoMgQFPeZ4?t=4810" TargetMode="External"/><Relationship Id="rId73" Type="http://schemas.openxmlformats.org/officeDocument/2006/relationships/hyperlink" Target="https://youtu.be/WPFOEBAjf9I?t=1033" TargetMode="External"/><Relationship Id="rId72" Type="http://schemas.openxmlformats.org/officeDocument/2006/relationships/hyperlink" Target="https://youtu.be/WPFOEBAjf9I" TargetMode="External"/><Relationship Id="rId75" Type="http://schemas.openxmlformats.org/officeDocument/2006/relationships/hyperlink" Target="https://youtu.be/ddq3RiwOE3o?t=977" TargetMode="External"/><Relationship Id="rId74" Type="http://schemas.openxmlformats.org/officeDocument/2006/relationships/hyperlink" Target="https://youtu.be/ddq3RiwOE3o?t=1" TargetMode="External"/><Relationship Id="rId77" Type="http://schemas.openxmlformats.org/officeDocument/2006/relationships/hyperlink" Target="https://youtu.be/WPFOEBAjf9I?t=3868" TargetMode="External"/><Relationship Id="rId76" Type="http://schemas.openxmlformats.org/officeDocument/2006/relationships/hyperlink" Target="https://youtu.be/WPFOEBAjf9I?t=2895" TargetMode="External"/><Relationship Id="rId79" Type="http://schemas.openxmlformats.org/officeDocument/2006/relationships/hyperlink" Target="https://youtu.be/WPFOEBAjf9I?t=5771" TargetMode="External"/><Relationship Id="rId78" Type="http://schemas.openxmlformats.org/officeDocument/2006/relationships/hyperlink" Target="https://youtu.be/WPFOEBAjf9I?t=4812" TargetMode="External"/><Relationship Id="rId71" Type="http://schemas.openxmlformats.org/officeDocument/2006/relationships/hyperlink" Target="https://youtu.be/EwdG7bXpv3k?t=7998" TargetMode="External"/><Relationship Id="rId70" Type="http://schemas.openxmlformats.org/officeDocument/2006/relationships/hyperlink" Target="https://youtu.be/iI7XZ2jxWoo?t=8108" TargetMode="External"/><Relationship Id="rId139" Type="http://schemas.openxmlformats.org/officeDocument/2006/relationships/hyperlink" Target="https://youtu.be/SNoMgQFPeZ4?t=1008" TargetMode="External"/><Relationship Id="rId138" Type="http://schemas.openxmlformats.org/officeDocument/2006/relationships/hyperlink" Target="https://youtu.be/SNoMgQFPeZ4?t=5" TargetMode="External"/><Relationship Id="rId137" Type="http://schemas.openxmlformats.org/officeDocument/2006/relationships/hyperlink" Target="https://youtu.be/ERPQ9p6JjLM?t=2005" TargetMode="External"/><Relationship Id="rId132" Type="http://schemas.openxmlformats.org/officeDocument/2006/relationships/hyperlink" Target="https://youtu.be/QsQjaIbRk2M?t=7543" TargetMode="External"/><Relationship Id="rId131" Type="http://schemas.openxmlformats.org/officeDocument/2006/relationships/hyperlink" Target="https://youtu.be/UzVdDKK4mDk?t=6638" TargetMode="External"/><Relationship Id="rId130" Type="http://schemas.openxmlformats.org/officeDocument/2006/relationships/hyperlink" Target="https://youtu.be/QsQjaIbRk2M?t=6600" TargetMode="External"/><Relationship Id="rId136" Type="http://schemas.openxmlformats.org/officeDocument/2006/relationships/hyperlink" Target="https://youtu.be/ERPQ9p6JjLM" TargetMode="External"/><Relationship Id="rId135" Type="http://schemas.openxmlformats.org/officeDocument/2006/relationships/hyperlink" Target="https://youtu.be/UzVdDKK4mDk?t=8470" TargetMode="External"/><Relationship Id="rId134" Type="http://schemas.openxmlformats.org/officeDocument/2006/relationships/hyperlink" Target="https://youtu.be/QsQjaIbRk2M?t=8469" TargetMode="External"/><Relationship Id="rId133" Type="http://schemas.openxmlformats.org/officeDocument/2006/relationships/hyperlink" Target="https://youtu.be/UzVdDKK4mDk?t=7653" TargetMode="External"/><Relationship Id="rId62" Type="http://schemas.openxmlformats.org/officeDocument/2006/relationships/hyperlink" Target="https://youtu.be/iI7XZ2jxWoo?t=4539" TargetMode="External"/><Relationship Id="rId61" Type="http://schemas.openxmlformats.org/officeDocument/2006/relationships/hyperlink" Target="https://youtu.be/EwdG7bXpv3k?t=3585" TargetMode="External"/><Relationship Id="rId64" Type="http://schemas.openxmlformats.org/officeDocument/2006/relationships/hyperlink" Target="https://youtu.be/iI7XZ2jxWoo?t=5453" TargetMode="External"/><Relationship Id="rId63" Type="http://schemas.openxmlformats.org/officeDocument/2006/relationships/hyperlink" Target="https://youtu.be/EwdG7bXpv3k?t=4420" TargetMode="External"/><Relationship Id="rId66" Type="http://schemas.openxmlformats.org/officeDocument/2006/relationships/hyperlink" Target="https://youtu.be/iI7XZ2jxWoo?t=6342" TargetMode="External"/><Relationship Id="rId172" Type="http://schemas.openxmlformats.org/officeDocument/2006/relationships/hyperlink" Target="https://youtu.be/qNWISo7fg1w?t=5144" TargetMode="External"/><Relationship Id="rId65" Type="http://schemas.openxmlformats.org/officeDocument/2006/relationships/hyperlink" Target="https://youtu.be/EwdG7bXpv3k?t=5353" TargetMode="External"/><Relationship Id="rId171" Type="http://schemas.openxmlformats.org/officeDocument/2006/relationships/hyperlink" Target="https://youtu.be/bwuLfq_tdbQ?t=4396" TargetMode="External"/><Relationship Id="rId68" Type="http://schemas.openxmlformats.org/officeDocument/2006/relationships/hyperlink" Target="https://youtu.be/iI7XZ2jxWoo?t=7200" TargetMode="External"/><Relationship Id="rId170" Type="http://schemas.openxmlformats.org/officeDocument/2006/relationships/hyperlink" Target="https://youtu.be/qNWISo7fg1w?t=4304" TargetMode="External"/><Relationship Id="rId67" Type="http://schemas.openxmlformats.org/officeDocument/2006/relationships/hyperlink" Target="https://youtu.be/EwdG7bXpv3k?t=6265" TargetMode="External"/><Relationship Id="rId60" Type="http://schemas.openxmlformats.org/officeDocument/2006/relationships/hyperlink" Target="https://youtu.be/iI7XZ2jxWoo?t=3709" TargetMode="External"/><Relationship Id="rId165" Type="http://schemas.openxmlformats.org/officeDocument/2006/relationships/hyperlink" Target="https://youtu.be/bwuLfq_tdbQ?t=1824" TargetMode="External"/><Relationship Id="rId69" Type="http://schemas.openxmlformats.org/officeDocument/2006/relationships/hyperlink" Target="https://youtu.be/EwdG7bXpv3k?t=7135" TargetMode="External"/><Relationship Id="rId164" Type="http://schemas.openxmlformats.org/officeDocument/2006/relationships/hyperlink" Target="https://youtu.be/qNWISo7fg1w?t=1771" TargetMode="External"/><Relationship Id="rId163" Type="http://schemas.openxmlformats.org/officeDocument/2006/relationships/hyperlink" Target="https://youtu.be/bwuLfq_tdbQ?t=975" TargetMode="External"/><Relationship Id="rId162" Type="http://schemas.openxmlformats.org/officeDocument/2006/relationships/hyperlink" Target="https://youtu.be/qNWISo7fg1w?t=899" TargetMode="External"/><Relationship Id="rId169" Type="http://schemas.openxmlformats.org/officeDocument/2006/relationships/hyperlink" Target="https://youtu.be/bwuLfq_tdbQ?t=3554" TargetMode="External"/><Relationship Id="rId168" Type="http://schemas.openxmlformats.org/officeDocument/2006/relationships/hyperlink" Target="https://youtu.be/qNWISo7fg1w?t=3485" TargetMode="External"/><Relationship Id="rId167" Type="http://schemas.openxmlformats.org/officeDocument/2006/relationships/hyperlink" Target="https://youtu.be/bwuLfq_tdbQ?t=2684" TargetMode="External"/><Relationship Id="rId166" Type="http://schemas.openxmlformats.org/officeDocument/2006/relationships/hyperlink" Target="https://youtu.be/qNWISo7fg1w?t=2656" TargetMode="External"/><Relationship Id="rId51" Type="http://schemas.openxmlformats.org/officeDocument/2006/relationships/hyperlink" Target="https://youtu.be/ASE50K1NR-I?t=7603" TargetMode="External"/><Relationship Id="rId50" Type="http://schemas.openxmlformats.org/officeDocument/2006/relationships/hyperlink" Target="https://youtu.be/bq4vARi_Aes?t=7719" TargetMode="External"/><Relationship Id="rId53" Type="http://schemas.openxmlformats.org/officeDocument/2006/relationships/hyperlink" Target="https://youtu.be/EwdG7bXpv3k" TargetMode="External"/><Relationship Id="rId52" Type="http://schemas.openxmlformats.org/officeDocument/2006/relationships/hyperlink" Target="https://youtu.be/iI7XZ2jxWoo" TargetMode="External"/><Relationship Id="rId55" Type="http://schemas.openxmlformats.org/officeDocument/2006/relationships/hyperlink" Target="https://youtu.be/EwdG7bXpv3k?t=884" TargetMode="External"/><Relationship Id="rId161" Type="http://schemas.openxmlformats.org/officeDocument/2006/relationships/hyperlink" Target="https://youtu.be/bwuLfq_tdbQ" TargetMode="External"/><Relationship Id="rId54" Type="http://schemas.openxmlformats.org/officeDocument/2006/relationships/hyperlink" Target="https://youtu.be/iI7XZ2jxWoo?t=989" TargetMode="External"/><Relationship Id="rId160" Type="http://schemas.openxmlformats.org/officeDocument/2006/relationships/hyperlink" Target="https://youtu.be/qNWISo7fg1w" TargetMode="External"/><Relationship Id="rId57" Type="http://schemas.openxmlformats.org/officeDocument/2006/relationships/hyperlink" Target="https://youtu.be/EwdG7bXpv3k?t=1754" TargetMode="External"/><Relationship Id="rId56" Type="http://schemas.openxmlformats.org/officeDocument/2006/relationships/hyperlink" Target="https://youtu.be/iI7XZ2jxWoo?t=1866" TargetMode="External"/><Relationship Id="rId159" Type="http://schemas.openxmlformats.org/officeDocument/2006/relationships/hyperlink" Target="https://youtu.be/38tbuctBgYQ?t=9647" TargetMode="External"/><Relationship Id="rId59" Type="http://schemas.openxmlformats.org/officeDocument/2006/relationships/hyperlink" Target="https://youtu.be/EwdG7bXpv3k?t=2701" TargetMode="External"/><Relationship Id="rId154" Type="http://schemas.openxmlformats.org/officeDocument/2006/relationships/hyperlink" Target="https://youtu.be/38tbuctBgYQ?t=5803" TargetMode="External"/><Relationship Id="rId58" Type="http://schemas.openxmlformats.org/officeDocument/2006/relationships/hyperlink" Target="https://youtu.be/iI7XZ2jxWoo?t=2782" TargetMode="External"/><Relationship Id="rId153" Type="http://schemas.openxmlformats.org/officeDocument/2006/relationships/hyperlink" Target="https://youtu.be/38tbuctBgYQ?t=4856" TargetMode="External"/><Relationship Id="rId152" Type="http://schemas.openxmlformats.org/officeDocument/2006/relationships/hyperlink" Target="https://youtu.be/38tbuctBgYQ?t=3877" TargetMode="External"/><Relationship Id="rId151" Type="http://schemas.openxmlformats.org/officeDocument/2006/relationships/hyperlink" Target="https://youtu.be/EeH8DjngIGI?t=1026" TargetMode="External"/><Relationship Id="rId158" Type="http://schemas.openxmlformats.org/officeDocument/2006/relationships/hyperlink" Target="https://youtu.be/38tbuctBgYQ?t=8644" TargetMode="External"/><Relationship Id="rId157" Type="http://schemas.openxmlformats.org/officeDocument/2006/relationships/hyperlink" Target="https://youtu.be/EeH8DjngIGI?t=5854" TargetMode="External"/><Relationship Id="rId156" Type="http://schemas.openxmlformats.org/officeDocument/2006/relationships/hyperlink" Target="https://youtu.be/EeH8DjngIGI?t=4849" TargetMode="External"/><Relationship Id="rId155" Type="http://schemas.openxmlformats.org/officeDocument/2006/relationships/hyperlink" Target="https://youtu.be/38tbuctBgYQ?t=6764" TargetMode="External"/><Relationship Id="rId107" Type="http://schemas.openxmlformats.org/officeDocument/2006/relationships/hyperlink" Target="https://youtu.be/-oC_cYWMWPw?t=4582" TargetMode="External"/><Relationship Id="rId106" Type="http://schemas.openxmlformats.org/officeDocument/2006/relationships/hyperlink" Target="https://youtu.be/vNQIyXb0Ruo?t=4739" TargetMode="External"/><Relationship Id="rId105" Type="http://schemas.openxmlformats.org/officeDocument/2006/relationships/hyperlink" Target="https://youtu.be/-oC_cYWMWPw?t=3694" TargetMode="External"/><Relationship Id="rId104" Type="http://schemas.openxmlformats.org/officeDocument/2006/relationships/hyperlink" Target="https://youtu.be/vNQIyXb0Ruo?t=3811" TargetMode="External"/><Relationship Id="rId109" Type="http://schemas.openxmlformats.org/officeDocument/2006/relationships/hyperlink" Target="https://youtu.be/-oC_cYWMWPw?t=5513" TargetMode="External"/><Relationship Id="rId108" Type="http://schemas.openxmlformats.org/officeDocument/2006/relationships/hyperlink" Target="https://youtu.be/vNQIyXb0Ruo?t=5628" TargetMode="External"/><Relationship Id="rId103" Type="http://schemas.openxmlformats.org/officeDocument/2006/relationships/hyperlink" Target="https://youtu.be/-oC_cYWMWPw?t=2791" TargetMode="External"/><Relationship Id="rId102" Type="http://schemas.openxmlformats.org/officeDocument/2006/relationships/hyperlink" Target="https://youtu.be/vNQIyXb0Ruo?t=2814" TargetMode="External"/><Relationship Id="rId101" Type="http://schemas.openxmlformats.org/officeDocument/2006/relationships/hyperlink" Target="https://youtu.be/-oC_cYWMWPw?t=1929" TargetMode="External"/><Relationship Id="rId100" Type="http://schemas.openxmlformats.org/officeDocument/2006/relationships/hyperlink" Target="https://youtu.be/vNQIyXb0Ruo?t=1912" TargetMode="External"/><Relationship Id="rId129" Type="http://schemas.openxmlformats.org/officeDocument/2006/relationships/hyperlink" Target="https://youtu.be/UzVdDKK4mDk?t=5639" TargetMode="External"/><Relationship Id="rId128" Type="http://schemas.openxmlformats.org/officeDocument/2006/relationships/hyperlink" Target="https://youtu.be/QsQjaIbRk2M?t=5686" TargetMode="External"/><Relationship Id="rId127" Type="http://schemas.openxmlformats.org/officeDocument/2006/relationships/hyperlink" Target="https://youtu.be/UzVdDKK4mDk?t=4773" TargetMode="External"/><Relationship Id="rId126" Type="http://schemas.openxmlformats.org/officeDocument/2006/relationships/hyperlink" Target="https://youtu.be/QsQjaIbRk2M?t=4762" TargetMode="External"/><Relationship Id="rId121" Type="http://schemas.openxmlformats.org/officeDocument/2006/relationships/hyperlink" Target="https://youtu.be/UzVdDKK4mDk?t=2062" TargetMode="External"/><Relationship Id="rId120" Type="http://schemas.openxmlformats.org/officeDocument/2006/relationships/hyperlink" Target="https://youtu.be/QsQjaIbRk2M?t=1945" TargetMode="External"/><Relationship Id="rId125" Type="http://schemas.openxmlformats.org/officeDocument/2006/relationships/hyperlink" Target="https://youtu.be/UzVdDKK4mDk?t=3862" TargetMode="External"/><Relationship Id="rId124" Type="http://schemas.openxmlformats.org/officeDocument/2006/relationships/hyperlink" Target="https://youtu.be/QsQjaIbRk2M?t=3758" TargetMode="External"/><Relationship Id="rId123" Type="http://schemas.openxmlformats.org/officeDocument/2006/relationships/hyperlink" Target="https://youtu.be/UzVdDKK4mDk?t=3012" TargetMode="External"/><Relationship Id="rId122" Type="http://schemas.openxmlformats.org/officeDocument/2006/relationships/hyperlink" Target="https://youtu.be/QsQjaIbRk2M?t=2837" TargetMode="External"/><Relationship Id="rId95" Type="http://schemas.openxmlformats.org/officeDocument/2006/relationships/hyperlink" Target="https://youtu.be/oUPHZ_qK1kw?t=8651" TargetMode="External"/><Relationship Id="rId94" Type="http://schemas.openxmlformats.org/officeDocument/2006/relationships/hyperlink" Target="https://youtu.be/oUPHZ_qK1kw?t=7678" TargetMode="External"/><Relationship Id="rId97" Type="http://schemas.openxmlformats.org/officeDocument/2006/relationships/hyperlink" Target="https://youtu.be/-oC_cYWMWPw" TargetMode="External"/><Relationship Id="rId96" Type="http://schemas.openxmlformats.org/officeDocument/2006/relationships/hyperlink" Target="https://youtu.be/vNQIyXb0Ruo" TargetMode="External"/><Relationship Id="rId99" Type="http://schemas.openxmlformats.org/officeDocument/2006/relationships/hyperlink" Target="https://youtu.be/-oC_cYWMWPw?t=1047" TargetMode="External"/><Relationship Id="rId98" Type="http://schemas.openxmlformats.org/officeDocument/2006/relationships/hyperlink" Target="https://youtu.be/vNQIyXb0Ruo?t=959" TargetMode="External"/><Relationship Id="rId91" Type="http://schemas.openxmlformats.org/officeDocument/2006/relationships/hyperlink" Target="https://youtu.be/oUPHZ_qK1kw?t=5767" TargetMode="External"/><Relationship Id="rId90" Type="http://schemas.openxmlformats.org/officeDocument/2006/relationships/hyperlink" Target="https://youtu.be/oUPHZ_qK1kw?t=4779" TargetMode="External"/><Relationship Id="rId93" Type="http://schemas.openxmlformats.org/officeDocument/2006/relationships/hyperlink" Target="https://youtu.be/i7gCIMA19o8?t=5831" TargetMode="External"/><Relationship Id="rId92" Type="http://schemas.openxmlformats.org/officeDocument/2006/relationships/hyperlink" Target="https://youtu.be/i7gCIMA19o8?t=4855" TargetMode="External"/><Relationship Id="rId118" Type="http://schemas.openxmlformats.org/officeDocument/2006/relationships/hyperlink" Target="https://youtu.be/QsQjaIbRk2M?t=999" TargetMode="External"/><Relationship Id="rId117" Type="http://schemas.openxmlformats.org/officeDocument/2006/relationships/hyperlink" Target="https://youtu.be/UzVdDKK4mDk" TargetMode="External"/><Relationship Id="rId116" Type="http://schemas.openxmlformats.org/officeDocument/2006/relationships/hyperlink" Target="https://youtu.be/QsQjaIbRk2M" TargetMode="External"/><Relationship Id="rId115" Type="http://schemas.openxmlformats.org/officeDocument/2006/relationships/hyperlink" Target="https://youtu.be/-oC_cYWMWPw?t=8304" TargetMode="External"/><Relationship Id="rId119" Type="http://schemas.openxmlformats.org/officeDocument/2006/relationships/hyperlink" Target="https://youtu.be/UzVdDKK4mDk?t=1031" TargetMode="External"/><Relationship Id="rId110" Type="http://schemas.openxmlformats.org/officeDocument/2006/relationships/hyperlink" Target="https://youtu.be/vNQIyXb0Ruo?t=6528" TargetMode="External"/><Relationship Id="rId114" Type="http://schemas.openxmlformats.org/officeDocument/2006/relationships/hyperlink" Target="https://youtu.be/vNQIyXb0Ruo?t=8384" TargetMode="External"/><Relationship Id="rId113" Type="http://schemas.openxmlformats.org/officeDocument/2006/relationships/hyperlink" Target="https://youtu.be/-oC_cYWMWPw?t=7410" TargetMode="External"/><Relationship Id="rId112" Type="http://schemas.openxmlformats.org/officeDocument/2006/relationships/hyperlink" Target="https://youtu.be/vNQIyXb0Ruo?t=7424" TargetMode="External"/><Relationship Id="rId111" Type="http://schemas.openxmlformats.org/officeDocument/2006/relationships/hyperlink" Target="https://youtu.be/-oC_cYWMWPw?t=6400" TargetMode="External"/><Relationship Id="rId200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89ROg5S0M_c?t=8588" TargetMode="External"/><Relationship Id="rId190" Type="http://schemas.openxmlformats.org/officeDocument/2006/relationships/hyperlink" Target="https://youtu.be/ztWtyfMoQG4?t=3803" TargetMode="External"/><Relationship Id="rId42" Type="http://schemas.openxmlformats.org/officeDocument/2006/relationships/hyperlink" Target="https://youtu.be/DIhsfqZ3f34" TargetMode="External"/><Relationship Id="rId41" Type="http://schemas.openxmlformats.org/officeDocument/2006/relationships/hyperlink" Target="https://youtu.be/iIZgLg7Oc-U" TargetMode="External"/><Relationship Id="rId44" Type="http://schemas.openxmlformats.org/officeDocument/2006/relationships/hyperlink" Target="https://youtu.be/DIhsfqZ3f34?t=1357" TargetMode="External"/><Relationship Id="rId194" Type="http://schemas.openxmlformats.org/officeDocument/2006/relationships/hyperlink" Target="https://youtu.be/ztWtyfMoQG4?t=5692" TargetMode="External"/><Relationship Id="rId43" Type="http://schemas.openxmlformats.org/officeDocument/2006/relationships/hyperlink" Target="https://youtu.be/iIZgLg7Oc-U?t=913" TargetMode="External"/><Relationship Id="rId193" Type="http://schemas.openxmlformats.org/officeDocument/2006/relationships/hyperlink" Target="https://youtu.be/ST3rKGGruEY?t=5917" TargetMode="External"/><Relationship Id="rId46" Type="http://schemas.openxmlformats.org/officeDocument/2006/relationships/hyperlink" Target="https://youtu.be/DIhsfqZ3f34?t=2248" TargetMode="External"/><Relationship Id="rId192" Type="http://schemas.openxmlformats.org/officeDocument/2006/relationships/hyperlink" Target="https://youtu.be/ztWtyfMoQG4?t=4729" TargetMode="External"/><Relationship Id="rId45" Type="http://schemas.openxmlformats.org/officeDocument/2006/relationships/hyperlink" Target="https://youtu.be/iIZgLg7Oc-U?t=1797" TargetMode="External"/><Relationship Id="rId191" Type="http://schemas.openxmlformats.org/officeDocument/2006/relationships/hyperlink" Target="https://youtu.be/ST3rKGGruEY?t=4908" TargetMode="External"/><Relationship Id="rId48" Type="http://schemas.openxmlformats.org/officeDocument/2006/relationships/hyperlink" Target="https://youtu.be/DIhsfqZ3f34?t=3158" TargetMode="External"/><Relationship Id="rId187" Type="http://schemas.openxmlformats.org/officeDocument/2006/relationships/hyperlink" Target="https://youtu.be/ST3rKGGruEY?t=2991" TargetMode="External"/><Relationship Id="rId47" Type="http://schemas.openxmlformats.org/officeDocument/2006/relationships/hyperlink" Target="https://youtu.be/iIZgLg7Oc-U?t=2689" TargetMode="External"/><Relationship Id="rId186" Type="http://schemas.openxmlformats.org/officeDocument/2006/relationships/hyperlink" Target="https://youtu.be/ztWtyfMoQG4?t=1943" TargetMode="External"/><Relationship Id="rId185" Type="http://schemas.openxmlformats.org/officeDocument/2006/relationships/hyperlink" Target="https://youtu.be/ST3rKGGruEY?t=1979" TargetMode="External"/><Relationship Id="rId49" Type="http://schemas.openxmlformats.org/officeDocument/2006/relationships/hyperlink" Target="https://youtu.be/iIZgLg7Oc-U?t=3497" TargetMode="External"/><Relationship Id="rId184" Type="http://schemas.openxmlformats.org/officeDocument/2006/relationships/hyperlink" Target="https://youtu.be/ztWtyfMoQG4?t=974" TargetMode="External"/><Relationship Id="rId189" Type="http://schemas.openxmlformats.org/officeDocument/2006/relationships/hyperlink" Target="https://youtu.be/ST3rKGGruEY?t=3922" TargetMode="External"/><Relationship Id="rId188" Type="http://schemas.openxmlformats.org/officeDocument/2006/relationships/hyperlink" Target="https://youtu.be/ztWtyfMoQG4?t=2901" TargetMode="External"/><Relationship Id="rId31" Type="http://schemas.openxmlformats.org/officeDocument/2006/relationships/hyperlink" Target="https://youtu.be/47ThYDYMiDY?t=4834" TargetMode="External"/><Relationship Id="rId30" Type="http://schemas.openxmlformats.org/officeDocument/2006/relationships/hyperlink" Target="https://youtu.be/89ROg5S0M_c?t=3927" TargetMode="External"/><Relationship Id="rId33" Type="http://schemas.openxmlformats.org/officeDocument/2006/relationships/hyperlink" Target="https://youtu.be/47ThYDYMiDY?t=5779" TargetMode="External"/><Relationship Id="rId183" Type="http://schemas.openxmlformats.org/officeDocument/2006/relationships/hyperlink" Target="https://youtu.be/ST3rKGGruEY?t=1038" TargetMode="External"/><Relationship Id="rId32" Type="http://schemas.openxmlformats.org/officeDocument/2006/relationships/hyperlink" Target="https://youtu.be/89ROg5S0M_c?t=4898" TargetMode="External"/><Relationship Id="rId182" Type="http://schemas.openxmlformats.org/officeDocument/2006/relationships/hyperlink" Target="https://youtu.be/ztWtyfMoQG4" TargetMode="External"/><Relationship Id="rId35" Type="http://schemas.openxmlformats.org/officeDocument/2006/relationships/hyperlink" Target="https://youtu.be/47ThYDYMiDY?t=6675" TargetMode="External"/><Relationship Id="rId181" Type="http://schemas.openxmlformats.org/officeDocument/2006/relationships/hyperlink" Target="https://youtu.be/ST3rKGGruEY" TargetMode="External"/><Relationship Id="rId34" Type="http://schemas.openxmlformats.org/officeDocument/2006/relationships/hyperlink" Target="https://youtu.be/89ROg5S0M_c?t=5844" TargetMode="External"/><Relationship Id="rId180" Type="http://schemas.openxmlformats.org/officeDocument/2006/relationships/hyperlink" Target="https://youtu.be/SXaAoql3Lw4?t=8639" TargetMode="External"/><Relationship Id="rId37" Type="http://schemas.openxmlformats.org/officeDocument/2006/relationships/hyperlink" Target="https://youtu.be/47ThYDYMiDY?t=7663" TargetMode="External"/><Relationship Id="rId176" Type="http://schemas.openxmlformats.org/officeDocument/2006/relationships/hyperlink" Target="https://youtu.be/SXaAoql3Lw4?t=6849" TargetMode="External"/><Relationship Id="rId36" Type="http://schemas.openxmlformats.org/officeDocument/2006/relationships/hyperlink" Target="https://youtu.be/89ROg5S0M_c?t=6724" TargetMode="External"/><Relationship Id="rId175" Type="http://schemas.openxmlformats.org/officeDocument/2006/relationships/hyperlink" Target="https://youtu.be/s0joP7i1u5M?t=6821" TargetMode="External"/><Relationship Id="rId39" Type="http://schemas.openxmlformats.org/officeDocument/2006/relationships/hyperlink" Target="https://youtu.be/47ThYDYMiDY?t=8533" TargetMode="External"/><Relationship Id="rId174" Type="http://schemas.openxmlformats.org/officeDocument/2006/relationships/hyperlink" Target="https://youtu.be/SXaAoql3Lw4?t=5894" TargetMode="External"/><Relationship Id="rId38" Type="http://schemas.openxmlformats.org/officeDocument/2006/relationships/hyperlink" Target="https://youtu.be/89ROg5S0M_c?t=7664" TargetMode="External"/><Relationship Id="rId173" Type="http://schemas.openxmlformats.org/officeDocument/2006/relationships/hyperlink" Target="https://youtu.be/s0joP7i1u5M?t=5908" TargetMode="External"/><Relationship Id="rId179" Type="http://schemas.openxmlformats.org/officeDocument/2006/relationships/hyperlink" Target="https://youtu.be/s0joP7i1u5M?t=8751" TargetMode="External"/><Relationship Id="rId178" Type="http://schemas.openxmlformats.org/officeDocument/2006/relationships/hyperlink" Target="https://youtu.be/SXaAoql3Lw4?t=7768" TargetMode="External"/><Relationship Id="rId177" Type="http://schemas.openxmlformats.org/officeDocument/2006/relationships/hyperlink" Target="https://youtu.be/s0joP7i1u5M?t=7764" TargetMode="External"/><Relationship Id="rId20" Type="http://schemas.openxmlformats.org/officeDocument/2006/relationships/hyperlink" Target="https://youtu.be/nChQpB5KR-o?t=8583" TargetMode="External"/><Relationship Id="rId22" Type="http://schemas.openxmlformats.org/officeDocument/2006/relationships/hyperlink" Target="https://youtu.be/89ROg5S0M_c" TargetMode="External"/><Relationship Id="rId21" Type="http://schemas.openxmlformats.org/officeDocument/2006/relationships/hyperlink" Target="https://youtu.be/47ThYDYMiDY" TargetMode="External"/><Relationship Id="rId24" Type="http://schemas.openxmlformats.org/officeDocument/2006/relationships/hyperlink" Target="https://youtu.be/89ROg5S0M_c?t=1061" TargetMode="External"/><Relationship Id="rId23" Type="http://schemas.openxmlformats.org/officeDocument/2006/relationships/hyperlink" Target="https://youtu.be/47ThYDYMiDY?t=1030" TargetMode="External"/><Relationship Id="rId26" Type="http://schemas.openxmlformats.org/officeDocument/2006/relationships/hyperlink" Target="https://youtu.be/89ROg5S0M_c?t=2042" TargetMode="External"/><Relationship Id="rId25" Type="http://schemas.openxmlformats.org/officeDocument/2006/relationships/hyperlink" Target="https://youtu.be/47ThYDYMiDY?t=1995" TargetMode="External"/><Relationship Id="rId28" Type="http://schemas.openxmlformats.org/officeDocument/2006/relationships/hyperlink" Target="https://youtu.be/89ROg5S0M_c?t=2970" TargetMode="External"/><Relationship Id="rId27" Type="http://schemas.openxmlformats.org/officeDocument/2006/relationships/hyperlink" Target="https://youtu.be/47ThYDYMiDY?t=2979" TargetMode="External"/><Relationship Id="rId29" Type="http://schemas.openxmlformats.org/officeDocument/2006/relationships/hyperlink" Target="https://youtu.be/47ThYDYMiDY?t=3922" TargetMode="External"/><Relationship Id="rId11" Type="http://schemas.openxmlformats.org/officeDocument/2006/relationships/hyperlink" Target="https://youtu.be/Cw4fOsaktho?t=4711" TargetMode="External"/><Relationship Id="rId10" Type="http://schemas.openxmlformats.org/officeDocument/2006/relationships/hyperlink" Target="https://youtu.be/nChQpB5KR-o?t=3849" TargetMode="External"/><Relationship Id="rId13" Type="http://schemas.openxmlformats.org/officeDocument/2006/relationships/hyperlink" Target="https://youtu.be/Cw4fOsaktho?t=5648" TargetMode="External"/><Relationship Id="rId12" Type="http://schemas.openxmlformats.org/officeDocument/2006/relationships/hyperlink" Target="https://youtu.be/nChQpB5KR-o?t=4787" TargetMode="External"/><Relationship Id="rId15" Type="http://schemas.openxmlformats.org/officeDocument/2006/relationships/hyperlink" Target="https://youtu.be/Cw4fOsaktho?t=6625" TargetMode="External"/><Relationship Id="rId198" Type="http://schemas.openxmlformats.org/officeDocument/2006/relationships/hyperlink" Target="https://youtu.be/ztWtyfMoQG4?t=7707" TargetMode="External"/><Relationship Id="rId14" Type="http://schemas.openxmlformats.org/officeDocument/2006/relationships/hyperlink" Target="https://youtu.be/nChQpB5KR-o?t=5741" TargetMode="External"/><Relationship Id="rId197" Type="http://schemas.openxmlformats.org/officeDocument/2006/relationships/hyperlink" Target="https://youtu.be/ST3rKGGruEY?t=7804" TargetMode="External"/><Relationship Id="rId17" Type="http://schemas.openxmlformats.org/officeDocument/2006/relationships/hyperlink" Target="https://youtu.be/Cw4fOsaktho?t=7564" TargetMode="External"/><Relationship Id="rId196" Type="http://schemas.openxmlformats.org/officeDocument/2006/relationships/hyperlink" Target="https://youtu.be/ztWtyfMoQG4?t=6656" TargetMode="External"/><Relationship Id="rId16" Type="http://schemas.openxmlformats.org/officeDocument/2006/relationships/hyperlink" Target="https://youtu.be/nChQpB5KR-o?t=6706" TargetMode="External"/><Relationship Id="rId195" Type="http://schemas.openxmlformats.org/officeDocument/2006/relationships/hyperlink" Target="https://youtu.be/ST3rKGGruEY?t=6848" TargetMode="External"/><Relationship Id="rId19" Type="http://schemas.openxmlformats.org/officeDocument/2006/relationships/hyperlink" Target="https://youtu.be/Cw4fOsaktho?t=8559" TargetMode="External"/><Relationship Id="rId18" Type="http://schemas.openxmlformats.org/officeDocument/2006/relationships/hyperlink" Target="https://youtu.be/nChQpB5KR-o?t=7683" TargetMode="External"/><Relationship Id="rId199" Type="http://schemas.openxmlformats.org/officeDocument/2006/relationships/hyperlink" Target="https://youtu.be/ST3rKGGruEY?t=8740" TargetMode="External"/><Relationship Id="rId84" Type="http://schemas.openxmlformats.org/officeDocument/2006/relationships/hyperlink" Target="https://youtu.be/zCCcbna3wEM?t=980" TargetMode="External"/><Relationship Id="rId83" Type="http://schemas.openxmlformats.org/officeDocument/2006/relationships/hyperlink" Target="https://youtu.be/sbkfvLwZt-o?t=1077" TargetMode="External"/><Relationship Id="rId86" Type="http://schemas.openxmlformats.org/officeDocument/2006/relationships/hyperlink" Target="https://youtu.be/zCCcbna3wEM?t=1945" TargetMode="External"/><Relationship Id="rId85" Type="http://schemas.openxmlformats.org/officeDocument/2006/relationships/hyperlink" Target="https://youtu.be/sbkfvLwZt-o?t=2042" TargetMode="External"/><Relationship Id="rId88" Type="http://schemas.openxmlformats.org/officeDocument/2006/relationships/hyperlink" Target="https://youtu.be/zCCcbna3wEM?t=2879" TargetMode="External"/><Relationship Id="rId150" Type="http://schemas.openxmlformats.org/officeDocument/2006/relationships/hyperlink" Target="https://youtu.be/fq0TtXwbPtE?t=3662" TargetMode="External"/><Relationship Id="rId87" Type="http://schemas.openxmlformats.org/officeDocument/2006/relationships/hyperlink" Target="https://youtu.be/sbkfvLwZt-o?t=2967" TargetMode="External"/><Relationship Id="rId89" Type="http://schemas.openxmlformats.org/officeDocument/2006/relationships/hyperlink" Target="https://youtu.be/sbkfvLwZt-o?t=3887" TargetMode="External"/><Relationship Id="rId80" Type="http://schemas.openxmlformats.org/officeDocument/2006/relationships/hyperlink" Target="https://youtu.be/9PaLDj1RZhE?t=8563" TargetMode="External"/><Relationship Id="rId82" Type="http://schemas.openxmlformats.org/officeDocument/2006/relationships/hyperlink" Target="https://youtu.be/zCCcbna3wEM" TargetMode="External"/><Relationship Id="rId81" Type="http://schemas.openxmlformats.org/officeDocument/2006/relationships/hyperlink" Target="https://youtu.be/sbkfvLwZt-o" TargetMode="External"/><Relationship Id="rId1" Type="http://schemas.openxmlformats.org/officeDocument/2006/relationships/hyperlink" Target="https://youtu.be/Cw4fOsaktho" TargetMode="External"/><Relationship Id="rId2" Type="http://schemas.openxmlformats.org/officeDocument/2006/relationships/hyperlink" Target="https://youtu.be/nChQpB5KR-o" TargetMode="External"/><Relationship Id="rId3" Type="http://schemas.openxmlformats.org/officeDocument/2006/relationships/hyperlink" Target="https://youtu.be/Cw4fOsaktho?t=1067" TargetMode="External"/><Relationship Id="rId149" Type="http://schemas.openxmlformats.org/officeDocument/2006/relationships/hyperlink" Target="https://youtu.be/gIQ-t1Ymw9U?t=3803" TargetMode="External"/><Relationship Id="rId4" Type="http://schemas.openxmlformats.org/officeDocument/2006/relationships/hyperlink" Target="https://youtu.be/nChQpB5KR-o?t=1075" TargetMode="External"/><Relationship Id="rId148" Type="http://schemas.openxmlformats.org/officeDocument/2006/relationships/hyperlink" Target="https://youtu.be/fq0TtXwbPtE?t=2765" TargetMode="External"/><Relationship Id="rId9" Type="http://schemas.openxmlformats.org/officeDocument/2006/relationships/hyperlink" Target="https://youtu.be/Cw4fOsaktho?t=3789" TargetMode="External"/><Relationship Id="rId143" Type="http://schemas.openxmlformats.org/officeDocument/2006/relationships/hyperlink" Target="https://youtu.be/gIQ-t1Ymw9U?t=1003" TargetMode="External"/><Relationship Id="rId142" Type="http://schemas.openxmlformats.org/officeDocument/2006/relationships/hyperlink" Target="https://youtu.be/fq0TtXwbPtE" TargetMode="External"/><Relationship Id="rId141" Type="http://schemas.openxmlformats.org/officeDocument/2006/relationships/hyperlink" Target="https://youtu.be/gIQ-t1Ymw9U" TargetMode="External"/><Relationship Id="rId140" Type="http://schemas.openxmlformats.org/officeDocument/2006/relationships/hyperlink" Target="https://youtu.be/qA9c12RAcgY?t=7827" TargetMode="External"/><Relationship Id="rId5" Type="http://schemas.openxmlformats.org/officeDocument/2006/relationships/hyperlink" Target="https://youtu.be/Cw4fOsaktho?t=1983" TargetMode="External"/><Relationship Id="rId147" Type="http://schemas.openxmlformats.org/officeDocument/2006/relationships/hyperlink" Target="https://youtu.be/gIQ-t1Ymw9U?t=2881" TargetMode="External"/><Relationship Id="rId6" Type="http://schemas.openxmlformats.org/officeDocument/2006/relationships/hyperlink" Target="https://youtu.be/nChQpB5KR-o?t=2000" TargetMode="External"/><Relationship Id="rId146" Type="http://schemas.openxmlformats.org/officeDocument/2006/relationships/hyperlink" Target="https://youtu.be/fq0TtXwbPtE?t=1874" TargetMode="External"/><Relationship Id="rId7" Type="http://schemas.openxmlformats.org/officeDocument/2006/relationships/hyperlink" Target="https://youtu.be/Cw4fOsaktho?t=2880" TargetMode="External"/><Relationship Id="rId145" Type="http://schemas.openxmlformats.org/officeDocument/2006/relationships/hyperlink" Target="https://youtu.be/gIQ-t1Ymw9U?t=1964" TargetMode="External"/><Relationship Id="rId8" Type="http://schemas.openxmlformats.org/officeDocument/2006/relationships/hyperlink" Target="https://youtu.be/nChQpB5KR-o?t=2916" TargetMode="External"/><Relationship Id="rId144" Type="http://schemas.openxmlformats.org/officeDocument/2006/relationships/hyperlink" Target="https://youtu.be/fq0TtXwbPtE?t=1030" TargetMode="External"/><Relationship Id="rId73" Type="http://schemas.openxmlformats.org/officeDocument/2006/relationships/hyperlink" Target="https://youtu.be/2kKfSJ5o0Oc?t=5664" TargetMode="External"/><Relationship Id="rId72" Type="http://schemas.openxmlformats.org/officeDocument/2006/relationships/hyperlink" Target="https://youtu.be/9PaLDj1RZhE?t=4818" TargetMode="External"/><Relationship Id="rId75" Type="http://schemas.openxmlformats.org/officeDocument/2006/relationships/hyperlink" Target="https://youtu.be/2kKfSJ5o0Oc?t=6663" TargetMode="External"/><Relationship Id="rId74" Type="http://schemas.openxmlformats.org/officeDocument/2006/relationships/hyperlink" Target="https://youtu.be/9PaLDj1RZhE?t=5735" TargetMode="External"/><Relationship Id="rId77" Type="http://schemas.openxmlformats.org/officeDocument/2006/relationships/hyperlink" Target="https://youtu.be/2kKfSJ5o0Oc?t=7611" TargetMode="External"/><Relationship Id="rId76" Type="http://schemas.openxmlformats.org/officeDocument/2006/relationships/hyperlink" Target="https://youtu.be/9PaLDj1RZhE?t=6731" TargetMode="External"/><Relationship Id="rId79" Type="http://schemas.openxmlformats.org/officeDocument/2006/relationships/hyperlink" Target="https://youtu.be/2kKfSJ5o0Oc?t=8531" TargetMode="External"/><Relationship Id="rId78" Type="http://schemas.openxmlformats.org/officeDocument/2006/relationships/hyperlink" Target="https://youtu.be/9PaLDj1RZhE?t=7652" TargetMode="External"/><Relationship Id="rId71" Type="http://schemas.openxmlformats.org/officeDocument/2006/relationships/hyperlink" Target="https://youtu.be/2kKfSJ5o0Oc?t=4717" TargetMode="External"/><Relationship Id="rId70" Type="http://schemas.openxmlformats.org/officeDocument/2006/relationships/hyperlink" Target="https://youtu.be/9PaLDj1RZhE?t=3855" TargetMode="External"/><Relationship Id="rId139" Type="http://schemas.openxmlformats.org/officeDocument/2006/relationships/hyperlink" Target="https://youtu.be/7BdJrwknwLE?t=6471" TargetMode="External"/><Relationship Id="rId138" Type="http://schemas.openxmlformats.org/officeDocument/2006/relationships/hyperlink" Target="https://youtu.be/qA9c12RAcgY?t=6955" TargetMode="External"/><Relationship Id="rId137" Type="http://schemas.openxmlformats.org/officeDocument/2006/relationships/hyperlink" Target="https://youtu.be/7BdJrwknwLE?t=5680" TargetMode="External"/><Relationship Id="rId132" Type="http://schemas.openxmlformats.org/officeDocument/2006/relationships/hyperlink" Target="https://youtu.be/qA9c12RAcgY?t=4408" TargetMode="External"/><Relationship Id="rId131" Type="http://schemas.openxmlformats.org/officeDocument/2006/relationships/hyperlink" Target="https://youtu.be/7BdJrwknwLE?t=3160" TargetMode="External"/><Relationship Id="rId130" Type="http://schemas.openxmlformats.org/officeDocument/2006/relationships/hyperlink" Target="https://youtu.be/qA9c12RAcgY?t=3515" TargetMode="External"/><Relationship Id="rId136" Type="http://schemas.openxmlformats.org/officeDocument/2006/relationships/hyperlink" Target="https://youtu.be/qA9c12RAcgY?t=6052" TargetMode="External"/><Relationship Id="rId135" Type="http://schemas.openxmlformats.org/officeDocument/2006/relationships/hyperlink" Target="https://youtu.be/7BdJrwknwLE?t=4832" TargetMode="External"/><Relationship Id="rId134" Type="http://schemas.openxmlformats.org/officeDocument/2006/relationships/hyperlink" Target="https://youtu.be/qA9c12RAcgY?t=5270" TargetMode="External"/><Relationship Id="rId133" Type="http://schemas.openxmlformats.org/officeDocument/2006/relationships/hyperlink" Target="https://youtu.be/7BdJrwknwLE?t=4001" TargetMode="External"/><Relationship Id="rId62" Type="http://schemas.openxmlformats.org/officeDocument/2006/relationships/hyperlink" Target="https://youtu.be/9PaLDj1RZhE" TargetMode="External"/><Relationship Id="rId61" Type="http://schemas.openxmlformats.org/officeDocument/2006/relationships/hyperlink" Target="https://youtu.be/2kKfSJ5o0Oc" TargetMode="External"/><Relationship Id="rId64" Type="http://schemas.openxmlformats.org/officeDocument/2006/relationships/hyperlink" Target="https://youtu.be/9PaLDj1RZhE?t=943" TargetMode="External"/><Relationship Id="rId63" Type="http://schemas.openxmlformats.org/officeDocument/2006/relationships/hyperlink" Target="https://youtu.be/2kKfSJ5o0Oc?t=1024" TargetMode="External"/><Relationship Id="rId66" Type="http://schemas.openxmlformats.org/officeDocument/2006/relationships/hyperlink" Target="https://youtu.be/9PaLDj1RZhE?t=1892" TargetMode="External"/><Relationship Id="rId172" Type="http://schemas.openxmlformats.org/officeDocument/2006/relationships/hyperlink" Target="https://youtu.be/SXaAoql3Lw4?t=4845" TargetMode="External"/><Relationship Id="rId65" Type="http://schemas.openxmlformats.org/officeDocument/2006/relationships/hyperlink" Target="https://youtu.be/2kKfSJ5o0Oc?t=1993" TargetMode="External"/><Relationship Id="rId171" Type="http://schemas.openxmlformats.org/officeDocument/2006/relationships/hyperlink" Target="https://youtu.be/s0joP7i1u5M?t=4939" TargetMode="External"/><Relationship Id="rId68" Type="http://schemas.openxmlformats.org/officeDocument/2006/relationships/hyperlink" Target="https://youtu.be/9PaLDj1RZhE?t=2881" TargetMode="External"/><Relationship Id="rId170" Type="http://schemas.openxmlformats.org/officeDocument/2006/relationships/hyperlink" Target="https://youtu.be/SXaAoql3Lw4?t=3872" TargetMode="External"/><Relationship Id="rId67" Type="http://schemas.openxmlformats.org/officeDocument/2006/relationships/hyperlink" Target="https://youtu.be/2kKfSJ5o0Oc?t=2907" TargetMode="External"/><Relationship Id="rId60" Type="http://schemas.openxmlformats.org/officeDocument/2006/relationships/hyperlink" Target="https://youtu.be/DIhsfqZ3f34?t=8613" TargetMode="External"/><Relationship Id="rId165" Type="http://schemas.openxmlformats.org/officeDocument/2006/relationships/hyperlink" Target="https://youtu.be/s0joP7i1u5M?t=2125" TargetMode="External"/><Relationship Id="rId69" Type="http://schemas.openxmlformats.org/officeDocument/2006/relationships/hyperlink" Target="https://youtu.be/2kKfSJ5o0Oc?t=3812" TargetMode="External"/><Relationship Id="rId164" Type="http://schemas.openxmlformats.org/officeDocument/2006/relationships/hyperlink" Target="https://youtu.be/SXaAoql3Lw4?t=1011" TargetMode="External"/><Relationship Id="rId163" Type="http://schemas.openxmlformats.org/officeDocument/2006/relationships/hyperlink" Target="https://youtu.be/s0joP7i1u5M?t=1110" TargetMode="External"/><Relationship Id="rId162" Type="http://schemas.openxmlformats.org/officeDocument/2006/relationships/hyperlink" Target="https://youtu.be/SXaAoql3Lw4" TargetMode="External"/><Relationship Id="rId169" Type="http://schemas.openxmlformats.org/officeDocument/2006/relationships/hyperlink" Target="https://youtu.be/s0joP7i1u5M?t=4032" TargetMode="External"/><Relationship Id="rId168" Type="http://schemas.openxmlformats.org/officeDocument/2006/relationships/hyperlink" Target="https://youtu.be/SXaAoql3Lw4?t=2882" TargetMode="External"/><Relationship Id="rId167" Type="http://schemas.openxmlformats.org/officeDocument/2006/relationships/hyperlink" Target="https://youtu.be/s0joP7i1u5M?t=3185" TargetMode="External"/><Relationship Id="rId166" Type="http://schemas.openxmlformats.org/officeDocument/2006/relationships/hyperlink" Target="https://youtu.be/SXaAoql3Lw4?t=1972" TargetMode="External"/><Relationship Id="rId51" Type="http://schemas.openxmlformats.org/officeDocument/2006/relationships/hyperlink" Target="https://youtu.be/iIZgLg7Oc-U?t=4365" TargetMode="External"/><Relationship Id="rId50" Type="http://schemas.openxmlformats.org/officeDocument/2006/relationships/hyperlink" Target="https://youtu.be/DIhsfqZ3f34?t=3968" TargetMode="External"/><Relationship Id="rId53" Type="http://schemas.openxmlformats.org/officeDocument/2006/relationships/hyperlink" Target="https://youtu.be/iIZgLg7Oc-U?t=5262" TargetMode="External"/><Relationship Id="rId52" Type="http://schemas.openxmlformats.org/officeDocument/2006/relationships/hyperlink" Target="https://youtu.be/DIhsfqZ3f34?t=4841" TargetMode="External"/><Relationship Id="rId55" Type="http://schemas.openxmlformats.org/officeDocument/2006/relationships/hyperlink" Target="https://youtu.be/iIZgLg7Oc-U?t=6134" TargetMode="External"/><Relationship Id="rId161" Type="http://schemas.openxmlformats.org/officeDocument/2006/relationships/hyperlink" Target="https://youtu.be/s0joP7i1u5M" TargetMode="External"/><Relationship Id="rId54" Type="http://schemas.openxmlformats.org/officeDocument/2006/relationships/hyperlink" Target="https://youtu.be/DIhsfqZ3f34?t=5773" TargetMode="External"/><Relationship Id="rId160" Type="http://schemas.openxmlformats.org/officeDocument/2006/relationships/hyperlink" Target="https://youtu.be/fq0TtXwbPtE?t=8323" TargetMode="External"/><Relationship Id="rId57" Type="http://schemas.openxmlformats.org/officeDocument/2006/relationships/hyperlink" Target="https://youtu.be/iIZgLg7Oc-U?t=7060" TargetMode="External"/><Relationship Id="rId56" Type="http://schemas.openxmlformats.org/officeDocument/2006/relationships/hyperlink" Target="https://youtu.be/DIhsfqZ3f34?t=6742" TargetMode="External"/><Relationship Id="rId159" Type="http://schemas.openxmlformats.org/officeDocument/2006/relationships/hyperlink" Target="https://youtu.be/gIQ-t1Ymw9U?t=8358" TargetMode="External"/><Relationship Id="rId59" Type="http://schemas.openxmlformats.org/officeDocument/2006/relationships/hyperlink" Target="https://youtu.be/iIZgLg7Oc-U?t=8065" TargetMode="External"/><Relationship Id="rId154" Type="http://schemas.openxmlformats.org/officeDocument/2006/relationships/hyperlink" Target="https://youtu.be/fq0TtXwbPtE?t=5595" TargetMode="External"/><Relationship Id="rId58" Type="http://schemas.openxmlformats.org/officeDocument/2006/relationships/hyperlink" Target="https://youtu.be/DIhsfqZ3f34?t=7705" TargetMode="External"/><Relationship Id="rId153" Type="http://schemas.openxmlformats.org/officeDocument/2006/relationships/hyperlink" Target="https://youtu.be/gIQ-t1Ymw9U?t=5623" TargetMode="External"/><Relationship Id="rId152" Type="http://schemas.openxmlformats.org/officeDocument/2006/relationships/hyperlink" Target="https://youtu.be/fq0TtXwbPtE?t=4650" TargetMode="External"/><Relationship Id="rId151" Type="http://schemas.openxmlformats.org/officeDocument/2006/relationships/hyperlink" Target="https://youtu.be/gIQ-t1Ymw9U?t=4719" TargetMode="External"/><Relationship Id="rId158" Type="http://schemas.openxmlformats.org/officeDocument/2006/relationships/hyperlink" Target="https://youtu.be/fq0TtXwbPtE?t=7485" TargetMode="External"/><Relationship Id="rId157" Type="http://schemas.openxmlformats.org/officeDocument/2006/relationships/hyperlink" Target="https://youtu.be/gIQ-t1Ymw9U?t=7453" TargetMode="External"/><Relationship Id="rId156" Type="http://schemas.openxmlformats.org/officeDocument/2006/relationships/hyperlink" Target="https://youtu.be/fq0TtXwbPtE?t=6406" TargetMode="External"/><Relationship Id="rId155" Type="http://schemas.openxmlformats.org/officeDocument/2006/relationships/hyperlink" Target="https://youtu.be/gIQ-t1Ymw9U?t=6569" TargetMode="External"/><Relationship Id="rId107" Type="http://schemas.openxmlformats.org/officeDocument/2006/relationships/hyperlink" Target="https://youtu.be/9OicBmBrYKk?t=2886" TargetMode="External"/><Relationship Id="rId228" Type="http://schemas.openxmlformats.org/officeDocument/2006/relationships/hyperlink" Target="https://youtu.be/j4UxtRdWOko?t=2996" TargetMode="External"/><Relationship Id="rId106" Type="http://schemas.openxmlformats.org/officeDocument/2006/relationships/hyperlink" Target="https://youtu.be/-2RX5Zd0Mh8?t=1934" TargetMode="External"/><Relationship Id="rId227" Type="http://schemas.openxmlformats.org/officeDocument/2006/relationships/hyperlink" Target="https://youtu.be/hN31mZeZbgA?t=2874" TargetMode="External"/><Relationship Id="rId105" Type="http://schemas.openxmlformats.org/officeDocument/2006/relationships/hyperlink" Target="https://youtu.be/9OicBmBrYKk?t=1941" TargetMode="External"/><Relationship Id="rId226" Type="http://schemas.openxmlformats.org/officeDocument/2006/relationships/hyperlink" Target="https://youtu.be/j4UxtRdWOko?t=2030" TargetMode="External"/><Relationship Id="rId104" Type="http://schemas.openxmlformats.org/officeDocument/2006/relationships/hyperlink" Target="https://youtu.be/-2RX5Zd0Mh8?t=956" TargetMode="External"/><Relationship Id="rId225" Type="http://schemas.openxmlformats.org/officeDocument/2006/relationships/hyperlink" Target="https://youtu.be/hN31mZeZbgA?t=1933" TargetMode="External"/><Relationship Id="rId109" Type="http://schemas.openxmlformats.org/officeDocument/2006/relationships/hyperlink" Target="https://youtu.be/9OicBmBrYKk?t=3817" TargetMode="External"/><Relationship Id="rId108" Type="http://schemas.openxmlformats.org/officeDocument/2006/relationships/hyperlink" Target="https://youtu.be/-2RX5Zd0Mh8?t=2957" TargetMode="External"/><Relationship Id="rId229" Type="http://schemas.openxmlformats.org/officeDocument/2006/relationships/hyperlink" Target="https://youtu.be/hN31mZeZbgA?t=3819" TargetMode="External"/><Relationship Id="rId220" Type="http://schemas.openxmlformats.org/officeDocument/2006/relationships/hyperlink" Target="https://youtu.be/MpNrJ00fgoo?t=8046" TargetMode="External"/><Relationship Id="rId103" Type="http://schemas.openxmlformats.org/officeDocument/2006/relationships/hyperlink" Target="https://youtu.be/9OicBmBrYKk?t=940" TargetMode="External"/><Relationship Id="rId224" Type="http://schemas.openxmlformats.org/officeDocument/2006/relationships/hyperlink" Target="https://youtu.be/j4UxtRdWOko?t=1079" TargetMode="External"/><Relationship Id="rId102" Type="http://schemas.openxmlformats.org/officeDocument/2006/relationships/hyperlink" Target="https://youtu.be/-2RX5Zd0Mh8" TargetMode="External"/><Relationship Id="rId223" Type="http://schemas.openxmlformats.org/officeDocument/2006/relationships/hyperlink" Target="https://youtu.be/hN31mZeZbgA?t=969" TargetMode="External"/><Relationship Id="rId101" Type="http://schemas.openxmlformats.org/officeDocument/2006/relationships/hyperlink" Target="https://youtu.be/9OicBmBrYKk" TargetMode="External"/><Relationship Id="rId222" Type="http://schemas.openxmlformats.org/officeDocument/2006/relationships/hyperlink" Target="https://youtu.be/j4UxtRdWOko" TargetMode="External"/><Relationship Id="rId100" Type="http://schemas.openxmlformats.org/officeDocument/2006/relationships/hyperlink" Target="https://youtu.be/zCCcbna3wEM?t=8674" TargetMode="External"/><Relationship Id="rId221" Type="http://schemas.openxmlformats.org/officeDocument/2006/relationships/hyperlink" Target="https://youtu.be/hN31mZeZbgA" TargetMode="External"/><Relationship Id="rId217" Type="http://schemas.openxmlformats.org/officeDocument/2006/relationships/hyperlink" Target="https://youtu.be/Xv-dfoDbqrk?t=7149" TargetMode="External"/><Relationship Id="rId216" Type="http://schemas.openxmlformats.org/officeDocument/2006/relationships/hyperlink" Target="https://youtu.be/MpNrJ00fgoo?t=6277" TargetMode="External"/><Relationship Id="rId215" Type="http://schemas.openxmlformats.org/officeDocument/2006/relationships/hyperlink" Target="https://youtu.be/Xv-dfoDbqrk?t=6249" TargetMode="External"/><Relationship Id="rId214" Type="http://schemas.openxmlformats.org/officeDocument/2006/relationships/hyperlink" Target="https://youtu.be/MpNrJ00fgoo?t=5443" TargetMode="External"/><Relationship Id="rId219" Type="http://schemas.openxmlformats.org/officeDocument/2006/relationships/hyperlink" Target="https://youtu.be/Xv-dfoDbqrk?t=8084" TargetMode="External"/><Relationship Id="rId218" Type="http://schemas.openxmlformats.org/officeDocument/2006/relationships/hyperlink" Target="https://youtu.be/MpNrJ00fgoo?t=7187" TargetMode="External"/><Relationship Id="rId213" Type="http://schemas.openxmlformats.org/officeDocument/2006/relationships/hyperlink" Target="https://youtu.be/Xv-dfoDbqrk?t=5369" TargetMode="External"/><Relationship Id="rId212" Type="http://schemas.openxmlformats.org/officeDocument/2006/relationships/hyperlink" Target="https://youtu.be/MpNrJ00fgoo?t=4573" TargetMode="External"/><Relationship Id="rId211" Type="http://schemas.openxmlformats.org/officeDocument/2006/relationships/hyperlink" Target="https://youtu.be/Xv-dfoDbqrk?t=4575" TargetMode="External"/><Relationship Id="rId210" Type="http://schemas.openxmlformats.org/officeDocument/2006/relationships/hyperlink" Target="https://youtu.be/MpNrJ00fgoo?t=3687" TargetMode="External"/><Relationship Id="rId129" Type="http://schemas.openxmlformats.org/officeDocument/2006/relationships/hyperlink" Target="https://youtu.be/7BdJrwknwLE?t=2209" TargetMode="External"/><Relationship Id="rId128" Type="http://schemas.openxmlformats.org/officeDocument/2006/relationships/hyperlink" Target="https://youtu.be/qA9c12RAcgY?t=2733" TargetMode="External"/><Relationship Id="rId127" Type="http://schemas.openxmlformats.org/officeDocument/2006/relationships/hyperlink" Target="https://youtu.be/7BdJrwknwLE?t=1370" TargetMode="External"/><Relationship Id="rId126" Type="http://schemas.openxmlformats.org/officeDocument/2006/relationships/hyperlink" Target="https://youtu.be/qA9c12RAcgY?t=1871" TargetMode="External"/><Relationship Id="rId121" Type="http://schemas.openxmlformats.org/officeDocument/2006/relationships/hyperlink" Target="https://youtu.be/7BdJrwknwLE" TargetMode="External"/><Relationship Id="rId120" Type="http://schemas.openxmlformats.org/officeDocument/2006/relationships/hyperlink" Target="https://youtu.be/-2RX5Zd0Mh8?t=8685" TargetMode="External"/><Relationship Id="rId241" Type="http://schemas.openxmlformats.org/officeDocument/2006/relationships/drawing" Target="../drawings/drawing37.xml"/><Relationship Id="rId240" Type="http://schemas.openxmlformats.org/officeDocument/2006/relationships/hyperlink" Target="https://youtu.be/j4UxtRdWOko?t=8644" TargetMode="External"/><Relationship Id="rId125" Type="http://schemas.openxmlformats.org/officeDocument/2006/relationships/hyperlink" Target="https://youtu.be/7BdJrwknwLE?t=512" TargetMode="External"/><Relationship Id="rId124" Type="http://schemas.openxmlformats.org/officeDocument/2006/relationships/hyperlink" Target="https://youtu.be/qA9c12RAcgY?t=1018" TargetMode="External"/><Relationship Id="rId123" Type="http://schemas.openxmlformats.org/officeDocument/2006/relationships/hyperlink" Target="https://youtu.be/7BdJrwknwLE?t=3" TargetMode="External"/><Relationship Id="rId122" Type="http://schemas.openxmlformats.org/officeDocument/2006/relationships/hyperlink" Target="https://youtu.be/qA9c12RAcgY" TargetMode="External"/><Relationship Id="rId95" Type="http://schemas.openxmlformats.org/officeDocument/2006/relationships/hyperlink" Target="https://youtu.be/sbkfvLwZt-o?t=6875" TargetMode="External"/><Relationship Id="rId94" Type="http://schemas.openxmlformats.org/officeDocument/2006/relationships/hyperlink" Target="https://youtu.be/zCCcbna3wEM?t=5873" TargetMode="External"/><Relationship Id="rId97" Type="http://schemas.openxmlformats.org/officeDocument/2006/relationships/hyperlink" Target="https://youtu.be/sbkfvLwZt-o?t=7826" TargetMode="External"/><Relationship Id="rId96" Type="http://schemas.openxmlformats.org/officeDocument/2006/relationships/hyperlink" Target="https://youtu.be/zCCcbna3wEM?t=6777" TargetMode="External"/><Relationship Id="rId99" Type="http://schemas.openxmlformats.org/officeDocument/2006/relationships/hyperlink" Target="https://youtu.be/sbkfvLwZt-o?t=8761" TargetMode="External"/><Relationship Id="rId98" Type="http://schemas.openxmlformats.org/officeDocument/2006/relationships/hyperlink" Target="https://youtu.be/zCCcbna3wEM?t=7700" TargetMode="External"/><Relationship Id="rId91" Type="http://schemas.openxmlformats.org/officeDocument/2006/relationships/hyperlink" Target="https://youtu.be/sbkfvLwZt-o?t=5055" TargetMode="External"/><Relationship Id="rId90" Type="http://schemas.openxmlformats.org/officeDocument/2006/relationships/hyperlink" Target="https://youtu.be/zCCcbna3wEM?t=3856" TargetMode="External"/><Relationship Id="rId93" Type="http://schemas.openxmlformats.org/officeDocument/2006/relationships/hyperlink" Target="https://youtu.be/sbkfvLwZt-o?t=5996" TargetMode="External"/><Relationship Id="rId92" Type="http://schemas.openxmlformats.org/officeDocument/2006/relationships/hyperlink" Target="https://youtu.be/zCCcbna3wEM?t=4768" TargetMode="External"/><Relationship Id="rId118" Type="http://schemas.openxmlformats.org/officeDocument/2006/relationships/hyperlink" Target="https://youtu.be/-2RX5Zd0Mh8?t=7722" TargetMode="External"/><Relationship Id="rId239" Type="http://schemas.openxmlformats.org/officeDocument/2006/relationships/hyperlink" Target="https://youtu.be/hN31mZeZbgA?t=8633" TargetMode="External"/><Relationship Id="rId117" Type="http://schemas.openxmlformats.org/officeDocument/2006/relationships/hyperlink" Target="https://youtu.be/9OicBmBrYKk?t=7694" TargetMode="External"/><Relationship Id="rId238" Type="http://schemas.openxmlformats.org/officeDocument/2006/relationships/hyperlink" Target="https://youtu.be/j4UxtRdWOko?t=7770" TargetMode="External"/><Relationship Id="rId116" Type="http://schemas.openxmlformats.org/officeDocument/2006/relationships/hyperlink" Target="https://youtu.be/-2RX5Zd0Mh8?t=6815" TargetMode="External"/><Relationship Id="rId237" Type="http://schemas.openxmlformats.org/officeDocument/2006/relationships/hyperlink" Target="https://youtu.be/hN31mZeZbgA?t=7698" TargetMode="External"/><Relationship Id="rId115" Type="http://schemas.openxmlformats.org/officeDocument/2006/relationships/hyperlink" Target="https://youtu.be/9OicBmBrYKk?t=6734" TargetMode="External"/><Relationship Id="rId236" Type="http://schemas.openxmlformats.org/officeDocument/2006/relationships/hyperlink" Target="https://youtu.be/j4UxtRdWOko?t=6789" TargetMode="External"/><Relationship Id="rId119" Type="http://schemas.openxmlformats.org/officeDocument/2006/relationships/hyperlink" Target="https://youtu.be/9OicBmBrYKk?t=8680" TargetMode="External"/><Relationship Id="rId110" Type="http://schemas.openxmlformats.org/officeDocument/2006/relationships/hyperlink" Target="https://youtu.be/-2RX5Zd0Mh8?t=3949" TargetMode="External"/><Relationship Id="rId231" Type="http://schemas.openxmlformats.org/officeDocument/2006/relationships/hyperlink" Target="https://youtu.be/hN31mZeZbgA?t=4824" TargetMode="External"/><Relationship Id="rId230" Type="http://schemas.openxmlformats.org/officeDocument/2006/relationships/hyperlink" Target="https://youtu.be/j4UxtRdWOko?t=3925" TargetMode="External"/><Relationship Id="rId114" Type="http://schemas.openxmlformats.org/officeDocument/2006/relationships/hyperlink" Target="https://youtu.be/-2RX5Zd0Mh8?t=5850" TargetMode="External"/><Relationship Id="rId235" Type="http://schemas.openxmlformats.org/officeDocument/2006/relationships/hyperlink" Target="https://youtu.be/hN31mZeZbgA?t=6693" TargetMode="External"/><Relationship Id="rId113" Type="http://schemas.openxmlformats.org/officeDocument/2006/relationships/hyperlink" Target="https://youtu.be/9OicBmBrYKk?t=5813" TargetMode="External"/><Relationship Id="rId234" Type="http://schemas.openxmlformats.org/officeDocument/2006/relationships/hyperlink" Target="https://youtu.be/j4UxtRdWOko?t=5806" TargetMode="External"/><Relationship Id="rId112" Type="http://schemas.openxmlformats.org/officeDocument/2006/relationships/hyperlink" Target="https://youtu.be/-2RX5Zd0Mh8?t=4892" TargetMode="External"/><Relationship Id="rId233" Type="http://schemas.openxmlformats.org/officeDocument/2006/relationships/hyperlink" Target="https://youtu.be/hN31mZeZbgA?t=5748" TargetMode="External"/><Relationship Id="rId111" Type="http://schemas.openxmlformats.org/officeDocument/2006/relationships/hyperlink" Target="https://youtu.be/9OicBmBrYKk?t=4797" TargetMode="External"/><Relationship Id="rId232" Type="http://schemas.openxmlformats.org/officeDocument/2006/relationships/hyperlink" Target="https://youtu.be/j4UxtRdWOko?t=4871" TargetMode="External"/><Relationship Id="rId206" Type="http://schemas.openxmlformats.org/officeDocument/2006/relationships/hyperlink" Target="https://youtu.be/MpNrJ00fgoo?t=1948" TargetMode="External"/><Relationship Id="rId205" Type="http://schemas.openxmlformats.org/officeDocument/2006/relationships/hyperlink" Target="https://youtu.be/Xv-dfoDbqrk?t=1946" TargetMode="External"/><Relationship Id="rId204" Type="http://schemas.openxmlformats.org/officeDocument/2006/relationships/hyperlink" Target="https://youtu.be/MpNrJ00fgoo?t=1127" TargetMode="External"/><Relationship Id="rId203" Type="http://schemas.openxmlformats.org/officeDocument/2006/relationships/hyperlink" Target="https://youtu.be/Xv-dfoDbqrk?t=1113" TargetMode="External"/><Relationship Id="rId209" Type="http://schemas.openxmlformats.org/officeDocument/2006/relationships/hyperlink" Target="https://youtu.be/Xv-dfoDbqrk?t=3675" TargetMode="External"/><Relationship Id="rId208" Type="http://schemas.openxmlformats.org/officeDocument/2006/relationships/hyperlink" Target="https://youtu.be/MpNrJ00fgoo?t=2830" TargetMode="External"/><Relationship Id="rId207" Type="http://schemas.openxmlformats.org/officeDocument/2006/relationships/hyperlink" Target="https://youtu.be/Xv-dfoDbqrk?t=2824" TargetMode="External"/><Relationship Id="rId202" Type="http://schemas.openxmlformats.org/officeDocument/2006/relationships/hyperlink" Target="https://youtu.be/MpNrJ00fgoo" TargetMode="External"/><Relationship Id="rId201" Type="http://schemas.openxmlformats.org/officeDocument/2006/relationships/hyperlink" Target="https://youtu.be/Xv-dfoDbqrk" TargetMode="External"/><Relationship Id="rId200" Type="http://schemas.openxmlformats.org/officeDocument/2006/relationships/hyperlink" Target="https://youtu.be/ztWtyfMoQG4?t=8719" TargetMode="External"/></Relationships>
</file>

<file path=xl/worksheets/_rels/sheet3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4ph8Jis-SXQ?t=8480" TargetMode="External"/><Relationship Id="rId190" Type="http://schemas.openxmlformats.org/officeDocument/2006/relationships/hyperlink" Target="https://youtu.be/G5PftEkkX4k?t=3919" TargetMode="External"/><Relationship Id="rId42" Type="http://schemas.openxmlformats.org/officeDocument/2006/relationships/hyperlink" Target="https://youtu.be/zy1A38eGlgU" TargetMode="External"/><Relationship Id="rId41" Type="http://schemas.openxmlformats.org/officeDocument/2006/relationships/hyperlink" Target="https://youtu.be/Te6Je-xOc0A" TargetMode="External"/><Relationship Id="rId44" Type="http://schemas.openxmlformats.org/officeDocument/2006/relationships/hyperlink" Target="https://youtu.be/zy1A38eGlgU?t=1014" TargetMode="External"/><Relationship Id="rId194" Type="http://schemas.openxmlformats.org/officeDocument/2006/relationships/hyperlink" Target="https://youtu.be/G5PftEkkX4k?t=5765" TargetMode="External"/><Relationship Id="rId43" Type="http://schemas.openxmlformats.org/officeDocument/2006/relationships/hyperlink" Target="https://youtu.be/Te6Je-xOc0A?t=997" TargetMode="External"/><Relationship Id="rId193" Type="http://schemas.openxmlformats.org/officeDocument/2006/relationships/hyperlink" Target="https://youtu.be/iz2jfWP-Hp0?t=5855" TargetMode="External"/><Relationship Id="rId46" Type="http://schemas.openxmlformats.org/officeDocument/2006/relationships/hyperlink" Target="https://youtu.be/zy1A38eGlgU?t=1914" TargetMode="External"/><Relationship Id="rId192" Type="http://schemas.openxmlformats.org/officeDocument/2006/relationships/hyperlink" Target="https://youtu.be/G5PftEkkX4k?t=4838" TargetMode="External"/><Relationship Id="rId45" Type="http://schemas.openxmlformats.org/officeDocument/2006/relationships/hyperlink" Target="https://youtu.be/Te6Je-xOc0A?t=1859" TargetMode="External"/><Relationship Id="rId191" Type="http://schemas.openxmlformats.org/officeDocument/2006/relationships/hyperlink" Target="https://youtu.be/iz2jfWP-Hp0?t=4891" TargetMode="External"/><Relationship Id="rId48" Type="http://schemas.openxmlformats.org/officeDocument/2006/relationships/hyperlink" Target="https://youtu.be/zy1A38eGlgU?t=2790" TargetMode="External"/><Relationship Id="rId187" Type="http://schemas.openxmlformats.org/officeDocument/2006/relationships/hyperlink" Target="https://youtu.be/iz2jfWP-Hp0?t=2960" TargetMode="External"/><Relationship Id="rId47" Type="http://schemas.openxmlformats.org/officeDocument/2006/relationships/hyperlink" Target="https://youtu.be/Te6Je-xOc0A?t=2781" TargetMode="External"/><Relationship Id="rId186" Type="http://schemas.openxmlformats.org/officeDocument/2006/relationships/hyperlink" Target="https://youtu.be/G5PftEkkX4k?t=2015" TargetMode="External"/><Relationship Id="rId185" Type="http://schemas.openxmlformats.org/officeDocument/2006/relationships/hyperlink" Target="https://youtu.be/iz2jfWP-Hp0?t=2081" TargetMode="External"/><Relationship Id="rId49" Type="http://schemas.openxmlformats.org/officeDocument/2006/relationships/hyperlink" Target="https://youtu.be/Te6Je-xOc0A?t=3721" TargetMode="External"/><Relationship Id="rId184" Type="http://schemas.openxmlformats.org/officeDocument/2006/relationships/hyperlink" Target="https://youtu.be/G5PftEkkX4k?t=995" TargetMode="External"/><Relationship Id="rId189" Type="http://schemas.openxmlformats.org/officeDocument/2006/relationships/hyperlink" Target="https://youtu.be/iz2jfWP-Hp0?t=3888" TargetMode="External"/><Relationship Id="rId188" Type="http://schemas.openxmlformats.org/officeDocument/2006/relationships/hyperlink" Target="https://youtu.be/G5PftEkkX4k?t=2939" TargetMode="External"/><Relationship Id="rId31" Type="http://schemas.openxmlformats.org/officeDocument/2006/relationships/hyperlink" Target="https://youtu.be/wYd2PDhlZWs?t=4816" TargetMode="External"/><Relationship Id="rId30" Type="http://schemas.openxmlformats.org/officeDocument/2006/relationships/hyperlink" Target="https://youtu.be/4ph8Jis-SXQ?t=3805" TargetMode="External"/><Relationship Id="rId33" Type="http://schemas.openxmlformats.org/officeDocument/2006/relationships/hyperlink" Target="https://youtu.be/wYd2PDhlZWs?t=5766" TargetMode="External"/><Relationship Id="rId183" Type="http://schemas.openxmlformats.org/officeDocument/2006/relationships/hyperlink" Target="https://youtu.be/iz2jfWP-Hp0?t=1078" TargetMode="External"/><Relationship Id="rId32" Type="http://schemas.openxmlformats.org/officeDocument/2006/relationships/hyperlink" Target="https://youtu.be/4ph8Jis-SXQ?t=4788" TargetMode="External"/><Relationship Id="rId182" Type="http://schemas.openxmlformats.org/officeDocument/2006/relationships/hyperlink" Target="https://youtu.be/G5PftEkkX4k" TargetMode="External"/><Relationship Id="rId35" Type="http://schemas.openxmlformats.org/officeDocument/2006/relationships/hyperlink" Target="https://youtu.be/wYd2PDhlZWs?t=6689" TargetMode="External"/><Relationship Id="rId181" Type="http://schemas.openxmlformats.org/officeDocument/2006/relationships/hyperlink" Target="https://youtu.be/iz2jfWP-Hp0" TargetMode="External"/><Relationship Id="rId34" Type="http://schemas.openxmlformats.org/officeDocument/2006/relationships/hyperlink" Target="https://youtu.be/4ph8Jis-SXQ?t=5715" TargetMode="External"/><Relationship Id="rId180" Type="http://schemas.openxmlformats.org/officeDocument/2006/relationships/hyperlink" Target="https://youtu.be/BMiAt4hjcRo?t=8643" TargetMode="External"/><Relationship Id="rId37" Type="http://schemas.openxmlformats.org/officeDocument/2006/relationships/hyperlink" Target="https://youtu.be/wYd2PDhlZWs?t=7648" TargetMode="External"/><Relationship Id="rId176" Type="http://schemas.openxmlformats.org/officeDocument/2006/relationships/hyperlink" Target="https://youtu.be/BMiAt4hjcRo?t=6710" TargetMode="External"/><Relationship Id="rId36" Type="http://schemas.openxmlformats.org/officeDocument/2006/relationships/hyperlink" Target="https://youtu.be/4ph8Jis-SXQ?t=6627" TargetMode="External"/><Relationship Id="rId175" Type="http://schemas.openxmlformats.org/officeDocument/2006/relationships/hyperlink" Target="https://youtu.be/1zFFUZAaCm0?t=6818" TargetMode="External"/><Relationship Id="rId39" Type="http://schemas.openxmlformats.org/officeDocument/2006/relationships/hyperlink" Target="https://youtu.be/wYd2PDhlZWs?t=8557" TargetMode="External"/><Relationship Id="rId174" Type="http://schemas.openxmlformats.org/officeDocument/2006/relationships/hyperlink" Target="https://youtu.be/BMiAt4hjcRo?t=5776" TargetMode="External"/><Relationship Id="rId38" Type="http://schemas.openxmlformats.org/officeDocument/2006/relationships/hyperlink" Target="https://youtu.be/4ph8Jis-SXQ?t=7541" TargetMode="External"/><Relationship Id="rId173" Type="http://schemas.openxmlformats.org/officeDocument/2006/relationships/hyperlink" Target="https://youtu.be/1zFFUZAaCm0?t=5782" TargetMode="External"/><Relationship Id="rId179" Type="http://schemas.openxmlformats.org/officeDocument/2006/relationships/hyperlink" Target="https://youtu.be/1zFFUZAaCm0?t=8715" TargetMode="External"/><Relationship Id="rId178" Type="http://schemas.openxmlformats.org/officeDocument/2006/relationships/hyperlink" Target="https://youtu.be/BMiAt4hjcRo?t=7690" TargetMode="External"/><Relationship Id="rId177" Type="http://schemas.openxmlformats.org/officeDocument/2006/relationships/hyperlink" Target="https://youtu.be/1zFFUZAaCm0?t=7773" TargetMode="External"/><Relationship Id="rId20" Type="http://schemas.openxmlformats.org/officeDocument/2006/relationships/hyperlink" Target="https://youtu.be/ffxch9G2Lp8?t=8445" TargetMode="External"/><Relationship Id="rId22" Type="http://schemas.openxmlformats.org/officeDocument/2006/relationships/hyperlink" Target="https://youtu.be/4ph8Jis-SXQ" TargetMode="External"/><Relationship Id="rId21" Type="http://schemas.openxmlformats.org/officeDocument/2006/relationships/hyperlink" Target="https://youtu.be/wYd2PDhlZWs" TargetMode="External"/><Relationship Id="rId24" Type="http://schemas.openxmlformats.org/officeDocument/2006/relationships/hyperlink" Target="https://youtu.be/4ph8Jis-SXQ?t=1053" TargetMode="External"/><Relationship Id="rId23" Type="http://schemas.openxmlformats.org/officeDocument/2006/relationships/hyperlink" Target="https://youtu.be/wYd2PDhlZWs?t=1050" TargetMode="External"/><Relationship Id="rId26" Type="http://schemas.openxmlformats.org/officeDocument/2006/relationships/hyperlink" Target="https://youtu.be/4ph8Jis-SXQ?t=1928" TargetMode="External"/><Relationship Id="rId25" Type="http://schemas.openxmlformats.org/officeDocument/2006/relationships/hyperlink" Target="https://youtu.be/wYd2PDhlZWs?t=1981" TargetMode="External"/><Relationship Id="rId28" Type="http://schemas.openxmlformats.org/officeDocument/2006/relationships/hyperlink" Target="https://youtu.be/4ph8Jis-SXQ?t=2836" TargetMode="External"/><Relationship Id="rId27" Type="http://schemas.openxmlformats.org/officeDocument/2006/relationships/hyperlink" Target="https://youtu.be/wYd2PDhlZWs?t=2959" TargetMode="External"/><Relationship Id="rId29" Type="http://schemas.openxmlformats.org/officeDocument/2006/relationships/hyperlink" Target="https://youtu.be/wYd2PDhlZWs?t=3884" TargetMode="External"/><Relationship Id="rId11" Type="http://schemas.openxmlformats.org/officeDocument/2006/relationships/hyperlink" Target="https://youtu.be/tUId6eTxYxQ?t=4838" TargetMode="External"/><Relationship Id="rId10" Type="http://schemas.openxmlformats.org/officeDocument/2006/relationships/hyperlink" Target="https://youtu.be/ffxch9G2Lp8?t=3750" TargetMode="External"/><Relationship Id="rId13" Type="http://schemas.openxmlformats.org/officeDocument/2006/relationships/hyperlink" Target="https://youtu.be/tUId6eTxYxQ?t=5802" TargetMode="External"/><Relationship Id="rId12" Type="http://schemas.openxmlformats.org/officeDocument/2006/relationships/hyperlink" Target="https://youtu.be/ffxch9G2Lp8?t=4693" TargetMode="External"/><Relationship Id="rId15" Type="http://schemas.openxmlformats.org/officeDocument/2006/relationships/hyperlink" Target="https://youtu.be/tUId6eTxYxQ?t=6717" TargetMode="External"/><Relationship Id="rId198" Type="http://schemas.openxmlformats.org/officeDocument/2006/relationships/hyperlink" Target="https://youtu.be/G5PftEkkX4k?t=7727" TargetMode="External"/><Relationship Id="rId14" Type="http://schemas.openxmlformats.org/officeDocument/2006/relationships/hyperlink" Target="https://youtu.be/ffxch9G2Lp8?t=5658" TargetMode="External"/><Relationship Id="rId197" Type="http://schemas.openxmlformats.org/officeDocument/2006/relationships/hyperlink" Target="https://youtu.be/iz2jfWP-Hp0?t=7672" TargetMode="External"/><Relationship Id="rId17" Type="http://schemas.openxmlformats.org/officeDocument/2006/relationships/hyperlink" Target="https://youtu.be/tUId6eTxYxQ?t=7673" TargetMode="External"/><Relationship Id="rId196" Type="http://schemas.openxmlformats.org/officeDocument/2006/relationships/hyperlink" Target="https://youtu.be/G5PftEkkX4k?t=6742" TargetMode="External"/><Relationship Id="rId16" Type="http://schemas.openxmlformats.org/officeDocument/2006/relationships/hyperlink" Target="https://youtu.be/ffxch9G2Lp8?t=6561" TargetMode="External"/><Relationship Id="rId195" Type="http://schemas.openxmlformats.org/officeDocument/2006/relationships/hyperlink" Target="https://youtu.be/iz2jfWP-Hp0?t=6768" TargetMode="External"/><Relationship Id="rId19" Type="http://schemas.openxmlformats.org/officeDocument/2006/relationships/hyperlink" Target="https://youtu.be/tUId6eTxYxQ?t=8569" TargetMode="External"/><Relationship Id="rId18" Type="http://schemas.openxmlformats.org/officeDocument/2006/relationships/hyperlink" Target="https://youtu.be/ffxch9G2Lp8?t=7493" TargetMode="External"/><Relationship Id="rId199" Type="http://schemas.openxmlformats.org/officeDocument/2006/relationships/hyperlink" Target="https://youtu.be/iz2jfWP-Hp0?t=8605" TargetMode="External"/><Relationship Id="rId84" Type="http://schemas.openxmlformats.org/officeDocument/2006/relationships/hyperlink" Target="https://youtu.be/XHkESYrwFhw?t=926" TargetMode="External"/><Relationship Id="rId83" Type="http://schemas.openxmlformats.org/officeDocument/2006/relationships/hyperlink" Target="https://youtu.be/UNZLxSbERIc?t=684" TargetMode="External"/><Relationship Id="rId86" Type="http://schemas.openxmlformats.org/officeDocument/2006/relationships/hyperlink" Target="https://youtu.be/XHkESYrwFhw?t=1803" TargetMode="External"/><Relationship Id="rId85" Type="http://schemas.openxmlformats.org/officeDocument/2006/relationships/hyperlink" Target="https://youtu.be/UNZLxSbERIc?t=1573" TargetMode="External"/><Relationship Id="rId88" Type="http://schemas.openxmlformats.org/officeDocument/2006/relationships/hyperlink" Target="https://youtu.be/XHkESYrwFhw?t=2778" TargetMode="External"/><Relationship Id="rId150" Type="http://schemas.openxmlformats.org/officeDocument/2006/relationships/hyperlink" Target="https://youtu.be/Yn2zEakvoFM?t=3880" TargetMode="External"/><Relationship Id="rId87" Type="http://schemas.openxmlformats.org/officeDocument/2006/relationships/hyperlink" Target="https://youtu.be/UNZLxSbERIc?t=2411" TargetMode="External"/><Relationship Id="rId89" Type="http://schemas.openxmlformats.org/officeDocument/2006/relationships/hyperlink" Target="https://youtu.be/UNZLxSbERIc?t=3258" TargetMode="External"/><Relationship Id="rId80" Type="http://schemas.openxmlformats.org/officeDocument/2006/relationships/hyperlink" Target="https://youtu.be/Gj3lj6D3-_4?t=8620" TargetMode="External"/><Relationship Id="rId82" Type="http://schemas.openxmlformats.org/officeDocument/2006/relationships/hyperlink" Target="https://youtu.be/XHkESYrwFhw" TargetMode="External"/><Relationship Id="rId81" Type="http://schemas.openxmlformats.org/officeDocument/2006/relationships/hyperlink" Target="https://youtu.be/UNZLxSbERIc" TargetMode="External"/><Relationship Id="rId1" Type="http://schemas.openxmlformats.org/officeDocument/2006/relationships/hyperlink" Target="https://youtu.be/tUId6eTxYxQ" TargetMode="External"/><Relationship Id="rId2" Type="http://schemas.openxmlformats.org/officeDocument/2006/relationships/hyperlink" Target="https://youtu.be/ffxch9G2Lp8" TargetMode="External"/><Relationship Id="rId3" Type="http://schemas.openxmlformats.org/officeDocument/2006/relationships/hyperlink" Target="https://youtu.be/tUId6eTxYxQ?t=1052" TargetMode="External"/><Relationship Id="rId149" Type="http://schemas.openxmlformats.org/officeDocument/2006/relationships/hyperlink" Target="https://youtu.be/pYKajJw4Vg4?t=3739" TargetMode="External"/><Relationship Id="rId4" Type="http://schemas.openxmlformats.org/officeDocument/2006/relationships/hyperlink" Target="https://youtu.be/ffxch9G2Lp8?t=988" TargetMode="External"/><Relationship Id="rId148" Type="http://schemas.openxmlformats.org/officeDocument/2006/relationships/hyperlink" Target="https://youtu.be/Yn2zEakvoFM?t=2916" TargetMode="External"/><Relationship Id="rId9" Type="http://schemas.openxmlformats.org/officeDocument/2006/relationships/hyperlink" Target="https://youtu.be/tUId6eTxYxQ?t=3901" TargetMode="External"/><Relationship Id="rId143" Type="http://schemas.openxmlformats.org/officeDocument/2006/relationships/hyperlink" Target="https://youtu.be/pYKajJw4Vg4?t=980" TargetMode="External"/><Relationship Id="rId142" Type="http://schemas.openxmlformats.org/officeDocument/2006/relationships/hyperlink" Target="https://youtu.be/Yn2zEakvoFM" TargetMode="External"/><Relationship Id="rId141" Type="http://schemas.openxmlformats.org/officeDocument/2006/relationships/hyperlink" Target="https://youtu.be/pYKajJw4Vg4" TargetMode="External"/><Relationship Id="rId140" Type="http://schemas.openxmlformats.org/officeDocument/2006/relationships/hyperlink" Target="https://youtu.be/CDsQx3VxGZg?t=8629" TargetMode="External"/><Relationship Id="rId5" Type="http://schemas.openxmlformats.org/officeDocument/2006/relationships/hyperlink" Target="https://youtu.be/tUId6eTxYxQ?t=1986" TargetMode="External"/><Relationship Id="rId147" Type="http://schemas.openxmlformats.org/officeDocument/2006/relationships/hyperlink" Target="https://youtu.be/pYKajJw4Vg4?t=2808" TargetMode="External"/><Relationship Id="rId6" Type="http://schemas.openxmlformats.org/officeDocument/2006/relationships/hyperlink" Target="https://youtu.be/ffxch9G2Lp8?t=1880" TargetMode="External"/><Relationship Id="rId146" Type="http://schemas.openxmlformats.org/officeDocument/2006/relationships/hyperlink" Target="https://youtu.be/Yn2zEakvoFM?t=1920" TargetMode="External"/><Relationship Id="rId7" Type="http://schemas.openxmlformats.org/officeDocument/2006/relationships/hyperlink" Target="https://youtu.be/tUId6eTxYxQ?t=2909" TargetMode="External"/><Relationship Id="rId145" Type="http://schemas.openxmlformats.org/officeDocument/2006/relationships/hyperlink" Target="https://youtu.be/pYKajJw4Vg4?t=1878" TargetMode="External"/><Relationship Id="rId8" Type="http://schemas.openxmlformats.org/officeDocument/2006/relationships/hyperlink" Target="https://youtu.be/ffxch9G2Lp8?t=2792" TargetMode="External"/><Relationship Id="rId144" Type="http://schemas.openxmlformats.org/officeDocument/2006/relationships/hyperlink" Target="https://youtu.be/Yn2zEakvoFM?t=981" TargetMode="External"/><Relationship Id="rId73" Type="http://schemas.openxmlformats.org/officeDocument/2006/relationships/hyperlink" Target="https://youtu.be/FQEGbcbAH5Y?t=5741" TargetMode="External"/><Relationship Id="rId72" Type="http://schemas.openxmlformats.org/officeDocument/2006/relationships/hyperlink" Target="https://youtu.be/Gj3lj6D3-_4?t=4835" TargetMode="External"/><Relationship Id="rId75" Type="http://schemas.openxmlformats.org/officeDocument/2006/relationships/hyperlink" Target="https://youtu.be/FQEGbcbAH5Y?t=6672" TargetMode="External"/><Relationship Id="rId74" Type="http://schemas.openxmlformats.org/officeDocument/2006/relationships/hyperlink" Target="https://youtu.be/Gj3lj6D3-_4?t=5786" TargetMode="External"/><Relationship Id="rId77" Type="http://schemas.openxmlformats.org/officeDocument/2006/relationships/hyperlink" Target="https://youtu.be/FQEGbcbAH5Y?t=7608" TargetMode="External"/><Relationship Id="rId76" Type="http://schemas.openxmlformats.org/officeDocument/2006/relationships/hyperlink" Target="https://youtu.be/Gj3lj6D3-_4?t=6761" TargetMode="External"/><Relationship Id="rId79" Type="http://schemas.openxmlformats.org/officeDocument/2006/relationships/hyperlink" Target="https://youtu.be/FQEGbcbAH5Y?t=8543" TargetMode="External"/><Relationship Id="rId78" Type="http://schemas.openxmlformats.org/officeDocument/2006/relationships/hyperlink" Target="https://youtu.be/Gj3lj6D3-_4?t=7707" TargetMode="External"/><Relationship Id="rId71" Type="http://schemas.openxmlformats.org/officeDocument/2006/relationships/hyperlink" Target="https://youtu.be/FQEGbcbAH5Y?t=4785" TargetMode="External"/><Relationship Id="rId70" Type="http://schemas.openxmlformats.org/officeDocument/2006/relationships/hyperlink" Target="https://youtu.be/Gj3lj6D3-_4?t=3888" TargetMode="External"/><Relationship Id="rId139" Type="http://schemas.openxmlformats.org/officeDocument/2006/relationships/hyperlink" Target="https://youtu.be/UZRq_w8_PNI?t=8418" TargetMode="External"/><Relationship Id="rId138" Type="http://schemas.openxmlformats.org/officeDocument/2006/relationships/hyperlink" Target="https://youtu.be/CDsQx3VxGZg?t=7665" TargetMode="External"/><Relationship Id="rId137" Type="http://schemas.openxmlformats.org/officeDocument/2006/relationships/hyperlink" Target="https://youtu.be/UZRq_w8_PNI?t=7529" TargetMode="External"/><Relationship Id="rId132" Type="http://schemas.openxmlformats.org/officeDocument/2006/relationships/hyperlink" Target="https://youtu.be/CDsQx3VxGZg?t=4805" TargetMode="External"/><Relationship Id="rId131" Type="http://schemas.openxmlformats.org/officeDocument/2006/relationships/hyperlink" Target="https://youtu.be/UZRq_w8_PNI?t=4658" TargetMode="External"/><Relationship Id="rId130" Type="http://schemas.openxmlformats.org/officeDocument/2006/relationships/hyperlink" Target="https://youtu.be/CDsQx3VxGZg?t=3879" TargetMode="External"/><Relationship Id="rId136" Type="http://schemas.openxmlformats.org/officeDocument/2006/relationships/hyperlink" Target="https://youtu.be/CDsQx3VxGZg?t=6729" TargetMode="External"/><Relationship Id="rId135" Type="http://schemas.openxmlformats.org/officeDocument/2006/relationships/hyperlink" Target="https://youtu.be/UZRq_w8_PNI?t=6596" TargetMode="External"/><Relationship Id="rId134" Type="http://schemas.openxmlformats.org/officeDocument/2006/relationships/hyperlink" Target="https://youtu.be/CDsQx3VxGZg?t=5756" TargetMode="External"/><Relationship Id="rId133" Type="http://schemas.openxmlformats.org/officeDocument/2006/relationships/hyperlink" Target="https://youtu.be/UZRq_w8_PNI?t=5641" TargetMode="External"/><Relationship Id="rId62" Type="http://schemas.openxmlformats.org/officeDocument/2006/relationships/hyperlink" Target="https://youtu.be/Gj3lj6D3-_4" TargetMode="External"/><Relationship Id="rId61" Type="http://schemas.openxmlformats.org/officeDocument/2006/relationships/hyperlink" Target="https://youtu.be/FQEGbcbAH5Y" TargetMode="External"/><Relationship Id="rId64" Type="http://schemas.openxmlformats.org/officeDocument/2006/relationships/hyperlink" Target="https://youtu.be/Gj3lj6D3-_4?t=1008" TargetMode="External"/><Relationship Id="rId63" Type="http://schemas.openxmlformats.org/officeDocument/2006/relationships/hyperlink" Target="https://youtu.be/FQEGbcbAH5Y?t=1046" TargetMode="External"/><Relationship Id="rId66" Type="http://schemas.openxmlformats.org/officeDocument/2006/relationships/hyperlink" Target="https://youtu.be/Gj3lj6D3-_4?t=1971" TargetMode="External"/><Relationship Id="rId172" Type="http://schemas.openxmlformats.org/officeDocument/2006/relationships/hyperlink" Target="https://youtu.be/BMiAt4hjcRo?t=4766" TargetMode="External"/><Relationship Id="rId65" Type="http://schemas.openxmlformats.org/officeDocument/2006/relationships/hyperlink" Target="https://youtu.be/FQEGbcbAH5Y?t=1970" TargetMode="External"/><Relationship Id="rId171" Type="http://schemas.openxmlformats.org/officeDocument/2006/relationships/hyperlink" Target="https://youtu.be/1zFFUZAaCm0?t=4830" TargetMode="External"/><Relationship Id="rId68" Type="http://schemas.openxmlformats.org/officeDocument/2006/relationships/hyperlink" Target="https://youtu.be/Gj3lj6D3-_4?t=2929" TargetMode="External"/><Relationship Id="rId170" Type="http://schemas.openxmlformats.org/officeDocument/2006/relationships/hyperlink" Target="https://youtu.be/BMiAt4hjcRo?t=3823" TargetMode="External"/><Relationship Id="rId67" Type="http://schemas.openxmlformats.org/officeDocument/2006/relationships/hyperlink" Target="https://youtu.be/FQEGbcbAH5Y?t=2903" TargetMode="External"/><Relationship Id="rId60" Type="http://schemas.openxmlformats.org/officeDocument/2006/relationships/hyperlink" Target="https://youtu.be/zy1A38eGlgU?t=8449" TargetMode="External"/><Relationship Id="rId165" Type="http://schemas.openxmlformats.org/officeDocument/2006/relationships/hyperlink" Target="https://youtu.be/1zFFUZAaCm0?t=2046" TargetMode="External"/><Relationship Id="rId69" Type="http://schemas.openxmlformats.org/officeDocument/2006/relationships/hyperlink" Target="https://youtu.be/FQEGbcbAH5Y?t=3838" TargetMode="External"/><Relationship Id="rId164" Type="http://schemas.openxmlformats.org/officeDocument/2006/relationships/hyperlink" Target="https://youtu.be/BMiAt4hjcRo?t=1003" TargetMode="External"/><Relationship Id="rId163" Type="http://schemas.openxmlformats.org/officeDocument/2006/relationships/hyperlink" Target="https://youtu.be/1zFFUZAaCm0?t=1104" TargetMode="External"/><Relationship Id="rId162" Type="http://schemas.openxmlformats.org/officeDocument/2006/relationships/hyperlink" Target="https://youtu.be/BMiAt4hjcRo" TargetMode="External"/><Relationship Id="rId169" Type="http://schemas.openxmlformats.org/officeDocument/2006/relationships/hyperlink" Target="https://youtu.be/1zFFUZAaCm0?t=3893" TargetMode="External"/><Relationship Id="rId168" Type="http://schemas.openxmlformats.org/officeDocument/2006/relationships/hyperlink" Target="https://youtu.be/BMiAt4hjcRo?t=2876" TargetMode="External"/><Relationship Id="rId167" Type="http://schemas.openxmlformats.org/officeDocument/2006/relationships/hyperlink" Target="https://youtu.be/1zFFUZAaCm0?t=2947" TargetMode="External"/><Relationship Id="rId166" Type="http://schemas.openxmlformats.org/officeDocument/2006/relationships/hyperlink" Target="https://youtu.be/BMiAt4hjcRo?t=1928" TargetMode="External"/><Relationship Id="rId51" Type="http://schemas.openxmlformats.org/officeDocument/2006/relationships/hyperlink" Target="https://youtu.be/Te6Je-xOc0A?t=4654" TargetMode="External"/><Relationship Id="rId50" Type="http://schemas.openxmlformats.org/officeDocument/2006/relationships/hyperlink" Target="https://youtu.be/zy1A38eGlgU?t=3704" TargetMode="External"/><Relationship Id="rId53" Type="http://schemas.openxmlformats.org/officeDocument/2006/relationships/hyperlink" Target="https://youtu.be/Te6Je-xOc0A?t=5598" TargetMode="External"/><Relationship Id="rId52" Type="http://schemas.openxmlformats.org/officeDocument/2006/relationships/hyperlink" Target="https://youtu.be/zy1A38eGlgU?t=4696" TargetMode="External"/><Relationship Id="rId55" Type="http://schemas.openxmlformats.org/officeDocument/2006/relationships/hyperlink" Target="https://youtu.be/Te6Je-xOc0A?t=6475" TargetMode="External"/><Relationship Id="rId161" Type="http://schemas.openxmlformats.org/officeDocument/2006/relationships/hyperlink" Target="https://youtu.be/1zFFUZAaCm0" TargetMode="External"/><Relationship Id="rId54" Type="http://schemas.openxmlformats.org/officeDocument/2006/relationships/hyperlink" Target="https://youtu.be/zy1A38eGlgU?t=5624" TargetMode="External"/><Relationship Id="rId160" Type="http://schemas.openxmlformats.org/officeDocument/2006/relationships/hyperlink" Target="https://youtu.be/Yn2zEakvoFM?t=8847" TargetMode="External"/><Relationship Id="rId57" Type="http://schemas.openxmlformats.org/officeDocument/2006/relationships/hyperlink" Target="https://youtu.be/Te6Je-xOc0A?t=7394" TargetMode="External"/><Relationship Id="rId56" Type="http://schemas.openxmlformats.org/officeDocument/2006/relationships/hyperlink" Target="https://youtu.be/zy1A38eGlgU?t=6587" TargetMode="External"/><Relationship Id="rId159" Type="http://schemas.openxmlformats.org/officeDocument/2006/relationships/hyperlink" Target="https://youtu.be/pYKajJw4Vg4?t=8788" TargetMode="External"/><Relationship Id="rId59" Type="http://schemas.openxmlformats.org/officeDocument/2006/relationships/hyperlink" Target="https://youtu.be/Te6Je-xOc0A?t=8321" TargetMode="External"/><Relationship Id="rId154" Type="http://schemas.openxmlformats.org/officeDocument/2006/relationships/hyperlink" Target="https://youtu.be/Yn2zEakvoFM?t=5757" TargetMode="External"/><Relationship Id="rId58" Type="http://schemas.openxmlformats.org/officeDocument/2006/relationships/hyperlink" Target="https://youtu.be/zy1A38eGlgU?t=7542" TargetMode="External"/><Relationship Id="rId153" Type="http://schemas.openxmlformats.org/officeDocument/2006/relationships/hyperlink" Target="https://youtu.be/pYKajJw4Vg4?t=5751" TargetMode="External"/><Relationship Id="rId152" Type="http://schemas.openxmlformats.org/officeDocument/2006/relationships/hyperlink" Target="https://youtu.be/Yn2zEakvoFM?t=4829" TargetMode="External"/><Relationship Id="rId151" Type="http://schemas.openxmlformats.org/officeDocument/2006/relationships/hyperlink" Target="https://youtu.be/pYKajJw4Vg4?t=4844" TargetMode="External"/><Relationship Id="rId158" Type="http://schemas.openxmlformats.org/officeDocument/2006/relationships/hyperlink" Target="https://youtu.be/Yn2zEakvoFM?t=7997" TargetMode="External"/><Relationship Id="rId157" Type="http://schemas.openxmlformats.org/officeDocument/2006/relationships/hyperlink" Target="https://youtu.be/pYKajJw4Vg4?t=7968" TargetMode="External"/><Relationship Id="rId156" Type="http://schemas.openxmlformats.org/officeDocument/2006/relationships/hyperlink" Target="https://youtu.be/Yn2zEakvoFM?t=6724" TargetMode="External"/><Relationship Id="rId155" Type="http://schemas.openxmlformats.org/officeDocument/2006/relationships/hyperlink" Target="https://youtu.be/pYKajJw4Vg4?t=7090" TargetMode="External"/><Relationship Id="rId107" Type="http://schemas.openxmlformats.org/officeDocument/2006/relationships/hyperlink" Target="https://youtu.be/ifX4W4I_Ugw?t=2950" TargetMode="External"/><Relationship Id="rId228" Type="http://schemas.openxmlformats.org/officeDocument/2006/relationships/hyperlink" Target="https://youtu.be/4TgnJuJgVrg?t=2972" TargetMode="External"/><Relationship Id="rId106" Type="http://schemas.openxmlformats.org/officeDocument/2006/relationships/hyperlink" Target="https://youtu.be/Aty2_Cw25Io?t=2005" TargetMode="External"/><Relationship Id="rId227" Type="http://schemas.openxmlformats.org/officeDocument/2006/relationships/hyperlink" Target="https://youtu.be/ysNC8Tmt57o?t=2900" TargetMode="External"/><Relationship Id="rId105" Type="http://schemas.openxmlformats.org/officeDocument/2006/relationships/hyperlink" Target="https://youtu.be/ifX4W4I_Ugw?t=2016" TargetMode="External"/><Relationship Id="rId226" Type="http://schemas.openxmlformats.org/officeDocument/2006/relationships/hyperlink" Target="https://youtu.be/4TgnJuJgVrg?t=2023" TargetMode="External"/><Relationship Id="rId104" Type="http://schemas.openxmlformats.org/officeDocument/2006/relationships/hyperlink" Target="https://youtu.be/Aty2_Cw25Io?t=1074" TargetMode="External"/><Relationship Id="rId225" Type="http://schemas.openxmlformats.org/officeDocument/2006/relationships/hyperlink" Target="https://youtu.be/ysNC8Tmt57o?t=1967" TargetMode="External"/><Relationship Id="rId109" Type="http://schemas.openxmlformats.org/officeDocument/2006/relationships/hyperlink" Target="https://youtu.be/ifX4W4I_Ugw?t=3893" TargetMode="External"/><Relationship Id="rId108" Type="http://schemas.openxmlformats.org/officeDocument/2006/relationships/hyperlink" Target="https://youtu.be/Aty2_Cw25Io?t=2946" TargetMode="External"/><Relationship Id="rId229" Type="http://schemas.openxmlformats.org/officeDocument/2006/relationships/hyperlink" Target="https://youtu.be/ysNC8Tmt57o?t=3875" TargetMode="External"/><Relationship Id="rId220" Type="http://schemas.openxmlformats.org/officeDocument/2006/relationships/hyperlink" Target="https://youtu.be/yXobasYMKjc?t=8647" TargetMode="External"/><Relationship Id="rId103" Type="http://schemas.openxmlformats.org/officeDocument/2006/relationships/hyperlink" Target="https://youtu.be/ifX4W4I_Ugw?t=1083" TargetMode="External"/><Relationship Id="rId224" Type="http://schemas.openxmlformats.org/officeDocument/2006/relationships/hyperlink" Target="https://youtu.be/4TgnJuJgVrg?t=1069" TargetMode="External"/><Relationship Id="rId102" Type="http://schemas.openxmlformats.org/officeDocument/2006/relationships/hyperlink" Target="https://youtu.be/Aty2_Cw25Io" TargetMode="External"/><Relationship Id="rId223" Type="http://schemas.openxmlformats.org/officeDocument/2006/relationships/hyperlink" Target="https://youtu.be/ysNC8Tmt57o?t=990" TargetMode="External"/><Relationship Id="rId101" Type="http://schemas.openxmlformats.org/officeDocument/2006/relationships/hyperlink" Target="https://youtu.be/ifX4W4I_Ugw" TargetMode="External"/><Relationship Id="rId222" Type="http://schemas.openxmlformats.org/officeDocument/2006/relationships/hyperlink" Target="https://youtu.be/4TgnJuJgVrg" TargetMode="External"/><Relationship Id="rId100" Type="http://schemas.openxmlformats.org/officeDocument/2006/relationships/hyperlink" Target="https://youtu.be/XHkESYrwFhw?t=8054" TargetMode="External"/><Relationship Id="rId221" Type="http://schemas.openxmlformats.org/officeDocument/2006/relationships/hyperlink" Target="https://youtu.be/ysNC8Tmt57o" TargetMode="External"/><Relationship Id="rId217" Type="http://schemas.openxmlformats.org/officeDocument/2006/relationships/hyperlink" Target="https://youtu.be/baI_Vdt-QqE?t=7691" TargetMode="External"/><Relationship Id="rId216" Type="http://schemas.openxmlformats.org/officeDocument/2006/relationships/hyperlink" Target="https://youtu.be/yXobasYMKjc?t=6811" TargetMode="External"/><Relationship Id="rId215" Type="http://schemas.openxmlformats.org/officeDocument/2006/relationships/hyperlink" Target="https://youtu.be/baI_Vdt-QqE?t=6732" TargetMode="External"/><Relationship Id="rId214" Type="http://schemas.openxmlformats.org/officeDocument/2006/relationships/hyperlink" Target="https://youtu.be/yXobasYMKjc?t=5931" TargetMode="External"/><Relationship Id="rId219" Type="http://schemas.openxmlformats.org/officeDocument/2006/relationships/hyperlink" Target="https://youtu.be/baI_Vdt-QqE?t=8599" TargetMode="External"/><Relationship Id="rId218" Type="http://schemas.openxmlformats.org/officeDocument/2006/relationships/hyperlink" Target="https://youtu.be/yXobasYMKjc?t=7709" TargetMode="External"/><Relationship Id="rId213" Type="http://schemas.openxmlformats.org/officeDocument/2006/relationships/hyperlink" Target="https://youtu.be/baI_Vdt-QqE?t=5809" TargetMode="External"/><Relationship Id="rId212" Type="http://schemas.openxmlformats.org/officeDocument/2006/relationships/hyperlink" Target="https://youtu.be/yXobasYMKjc?t=4970" TargetMode="External"/><Relationship Id="rId211" Type="http://schemas.openxmlformats.org/officeDocument/2006/relationships/hyperlink" Target="https://youtu.be/baI_Vdt-QqE?t=4855" TargetMode="External"/><Relationship Id="rId210" Type="http://schemas.openxmlformats.org/officeDocument/2006/relationships/hyperlink" Target="https://youtu.be/yXobasYMKjc?t=3937" TargetMode="External"/><Relationship Id="rId129" Type="http://schemas.openxmlformats.org/officeDocument/2006/relationships/hyperlink" Target="https://youtu.be/UZRq_w8_PNI?t=3745" TargetMode="External"/><Relationship Id="rId128" Type="http://schemas.openxmlformats.org/officeDocument/2006/relationships/hyperlink" Target="https://youtu.be/CDsQx3VxGZg?t=2896" TargetMode="External"/><Relationship Id="rId127" Type="http://schemas.openxmlformats.org/officeDocument/2006/relationships/hyperlink" Target="https://youtu.be/UZRq_w8_PNI?t=2822" TargetMode="External"/><Relationship Id="rId126" Type="http://schemas.openxmlformats.org/officeDocument/2006/relationships/hyperlink" Target="https://youtu.be/CDsQx3VxGZg?t=2003" TargetMode="External"/><Relationship Id="rId121" Type="http://schemas.openxmlformats.org/officeDocument/2006/relationships/hyperlink" Target="https://youtu.be/UZRq_w8_PNI" TargetMode="External"/><Relationship Id="rId120" Type="http://schemas.openxmlformats.org/officeDocument/2006/relationships/hyperlink" Target="https://youtu.be/Aty2_Cw25Io?t=8537" TargetMode="External"/><Relationship Id="rId241" Type="http://schemas.openxmlformats.org/officeDocument/2006/relationships/drawing" Target="../drawings/drawing38.xml"/><Relationship Id="rId240" Type="http://schemas.openxmlformats.org/officeDocument/2006/relationships/hyperlink" Target="https://youtu.be/4TgnJuJgVrg?t=8764" TargetMode="External"/><Relationship Id="rId125" Type="http://schemas.openxmlformats.org/officeDocument/2006/relationships/hyperlink" Target="https://youtu.be/UZRq_w8_PNI?t=1881" TargetMode="External"/><Relationship Id="rId124" Type="http://schemas.openxmlformats.org/officeDocument/2006/relationships/hyperlink" Target="https://youtu.be/CDsQx3VxGZg?t=1030" TargetMode="External"/><Relationship Id="rId123" Type="http://schemas.openxmlformats.org/officeDocument/2006/relationships/hyperlink" Target="https://youtu.be/UZRq_w8_PNI?t=972" TargetMode="External"/><Relationship Id="rId122" Type="http://schemas.openxmlformats.org/officeDocument/2006/relationships/hyperlink" Target="https://youtu.be/CDsQx3VxGZg" TargetMode="External"/><Relationship Id="rId95" Type="http://schemas.openxmlformats.org/officeDocument/2006/relationships/hyperlink" Target="https://youtu.be/UNZLxSbERIc?t=5837" TargetMode="External"/><Relationship Id="rId94" Type="http://schemas.openxmlformats.org/officeDocument/2006/relationships/hyperlink" Target="https://youtu.be/XHkESYrwFhw?t=5337" TargetMode="External"/><Relationship Id="rId97" Type="http://schemas.openxmlformats.org/officeDocument/2006/relationships/hyperlink" Target="https://youtu.be/UNZLxSbERIc?t=6672" TargetMode="External"/><Relationship Id="rId96" Type="http://schemas.openxmlformats.org/officeDocument/2006/relationships/hyperlink" Target="https://youtu.be/XHkESYrwFhw?t=6262" TargetMode="External"/><Relationship Id="rId99" Type="http://schemas.openxmlformats.org/officeDocument/2006/relationships/hyperlink" Target="https://youtu.be/UNZLxSbERIc?t=7581" TargetMode="External"/><Relationship Id="rId98" Type="http://schemas.openxmlformats.org/officeDocument/2006/relationships/hyperlink" Target="https://youtu.be/XHkESYrwFhw?t=7075" TargetMode="External"/><Relationship Id="rId91" Type="http://schemas.openxmlformats.org/officeDocument/2006/relationships/hyperlink" Target="https://youtu.be/UNZLxSbERIc?t=4176" TargetMode="External"/><Relationship Id="rId90" Type="http://schemas.openxmlformats.org/officeDocument/2006/relationships/hyperlink" Target="https://youtu.be/XHkESYrwFhw?t=3654" TargetMode="External"/><Relationship Id="rId93" Type="http://schemas.openxmlformats.org/officeDocument/2006/relationships/hyperlink" Target="https://youtu.be/UNZLxSbERIc?t=5027" TargetMode="External"/><Relationship Id="rId92" Type="http://schemas.openxmlformats.org/officeDocument/2006/relationships/hyperlink" Target="https://youtu.be/XHkESYrwFhw?t=4501" TargetMode="External"/><Relationship Id="rId118" Type="http://schemas.openxmlformats.org/officeDocument/2006/relationships/hyperlink" Target="https://youtu.be/Aty2_Cw25Io?t=7588" TargetMode="External"/><Relationship Id="rId239" Type="http://schemas.openxmlformats.org/officeDocument/2006/relationships/hyperlink" Target="https://youtu.be/ysNC8Tmt57o?t=8717" TargetMode="External"/><Relationship Id="rId117" Type="http://schemas.openxmlformats.org/officeDocument/2006/relationships/hyperlink" Target="https://youtu.be/ifX4W4I_Ugw?t=7667" TargetMode="External"/><Relationship Id="rId238" Type="http://schemas.openxmlformats.org/officeDocument/2006/relationships/hyperlink" Target="https://youtu.be/4TgnJuJgVrg?t=7800" TargetMode="External"/><Relationship Id="rId116" Type="http://schemas.openxmlformats.org/officeDocument/2006/relationships/hyperlink" Target="https://youtu.be/Aty2_Cw25Io?t=6682" TargetMode="External"/><Relationship Id="rId237" Type="http://schemas.openxmlformats.org/officeDocument/2006/relationships/hyperlink" Target="https://youtu.be/ysNC8Tmt57o?t=7778" TargetMode="External"/><Relationship Id="rId115" Type="http://schemas.openxmlformats.org/officeDocument/2006/relationships/hyperlink" Target="https://youtu.be/ifX4W4I_Ugw?t=6713" TargetMode="External"/><Relationship Id="rId236" Type="http://schemas.openxmlformats.org/officeDocument/2006/relationships/hyperlink" Target="https://youtu.be/4TgnJuJgVrg?t=6854" TargetMode="External"/><Relationship Id="rId119" Type="http://schemas.openxmlformats.org/officeDocument/2006/relationships/hyperlink" Target="https://youtu.be/ifX4W4I_Ugw?t=8585" TargetMode="External"/><Relationship Id="rId110" Type="http://schemas.openxmlformats.org/officeDocument/2006/relationships/hyperlink" Target="https://youtu.be/Aty2_Cw25Io?t=3875" TargetMode="External"/><Relationship Id="rId231" Type="http://schemas.openxmlformats.org/officeDocument/2006/relationships/hyperlink" Target="https://youtu.be/ysNC8Tmt57o?t=4856" TargetMode="External"/><Relationship Id="rId230" Type="http://schemas.openxmlformats.org/officeDocument/2006/relationships/hyperlink" Target="https://youtu.be/4TgnJuJgVrg?t=4016" TargetMode="External"/><Relationship Id="rId114" Type="http://schemas.openxmlformats.org/officeDocument/2006/relationships/hyperlink" Target="https://youtu.be/Aty2_Cw25Io?t=5724" TargetMode="External"/><Relationship Id="rId235" Type="http://schemas.openxmlformats.org/officeDocument/2006/relationships/hyperlink" Target="https://youtu.be/ysNC8Tmt57o?t=6799" TargetMode="External"/><Relationship Id="rId113" Type="http://schemas.openxmlformats.org/officeDocument/2006/relationships/hyperlink" Target="https://youtu.be/ifX4W4I_Ugw?t=5795" TargetMode="External"/><Relationship Id="rId234" Type="http://schemas.openxmlformats.org/officeDocument/2006/relationships/hyperlink" Target="https://youtu.be/4TgnJuJgVrg?t=5913" TargetMode="External"/><Relationship Id="rId112" Type="http://schemas.openxmlformats.org/officeDocument/2006/relationships/hyperlink" Target="https://youtu.be/Aty2_Cw25Io?t=4803" TargetMode="External"/><Relationship Id="rId233" Type="http://schemas.openxmlformats.org/officeDocument/2006/relationships/hyperlink" Target="https://youtu.be/ysNC8Tmt57o?t=5825" TargetMode="External"/><Relationship Id="rId111" Type="http://schemas.openxmlformats.org/officeDocument/2006/relationships/hyperlink" Target="https://youtu.be/ifX4W4I_Ugw?t=4812" TargetMode="External"/><Relationship Id="rId232" Type="http://schemas.openxmlformats.org/officeDocument/2006/relationships/hyperlink" Target="https://youtu.be/4TgnJuJgVrg?t=4971" TargetMode="External"/><Relationship Id="rId206" Type="http://schemas.openxmlformats.org/officeDocument/2006/relationships/hyperlink" Target="https://youtu.be/yXobasYMKjc?t=1996" TargetMode="External"/><Relationship Id="rId205" Type="http://schemas.openxmlformats.org/officeDocument/2006/relationships/hyperlink" Target="https://youtu.be/baI_Vdt-QqE?t=1935" TargetMode="External"/><Relationship Id="rId204" Type="http://schemas.openxmlformats.org/officeDocument/2006/relationships/hyperlink" Target="https://youtu.be/yXobasYMKjc?t=1000" TargetMode="External"/><Relationship Id="rId203" Type="http://schemas.openxmlformats.org/officeDocument/2006/relationships/hyperlink" Target="https://youtu.be/baI_Vdt-QqE?t=947" TargetMode="External"/><Relationship Id="rId209" Type="http://schemas.openxmlformats.org/officeDocument/2006/relationships/hyperlink" Target="https://youtu.be/baI_Vdt-QqE?t=3869" TargetMode="External"/><Relationship Id="rId208" Type="http://schemas.openxmlformats.org/officeDocument/2006/relationships/hyperlink" Target="https://youtu.be/yXobasYMKjc?t=2976" TargetMode="External"/><Relationship Id="rId207" Type="http://schemas.openxmlformats.org/officeDocument/2006/relationships/hyperlink" Target="https://youtu.be/baI_Vdt-QqE?t=2894" TargetMode="External"/><Relationship Id="rId202" Type="http://schemas.openxmlformats.org/officeDocument/2006/relationships/hyperlink" Target="https://youtu.be/yXobasYMKjc" TargetMode="External"/><Relationship Id="rId201" Type="http://schemas.openxmlformats.org/officeDocument/2006/relationships/hyperlink" Target="https://youtu.be/baI_Vdt-QqE" TargetMode="External"/><Relationship Id="rId200" Type="http://schemas.openxmlformats.org/officeDocument/2006/relationships/hyperlink" Target="https://youtu.be/G5PftEkkX4k?t=8686" TargetMode="External"/></Relationships>
</file>

<file path=xl/worksheets/_rels/sheet3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AsPUJDNFIw?t=8529" TargetMode="External"/><Relationship Id="rId190" Type="http://schemas.openxmlformats.org/officeDocument/2006/relationships/hyperlink" Target="https://youtu.be/CmZvtjw9kSE?t=3846" TargetMode="External"/><Relationship Id="rId42" Type="http://schemas.openxmlformats.org/officeDocument/2006/relationships/hyperlink" Target="https://youtu.be/6F4znR5Ie8A" TargetMode="External"/><Relationship Id="rId41" Type="http://schemas.openxmlformats.org/officeDocument/2006/relationships/hyperlink" Target="https://youtu.be/ZDzSr5Vn60Y" TargetMode="External"/><Relationship Id="rId44" Type="http://schemas.openxmlformats.org/officeDocument/2006/relationships/hyperlink" Target="https://youtu.be/6F4znR5Ie8A?t=983" TargetMode="External"/><Relationship Id="rId194" Type="http://schemas.openxmlformats.org/officeDocument/2006/relationships/hyperlink" Target="https://youtu.be/CmZvtjw9kSE?t=5800" TargetMode="External"/><Relationship Id="rId43" Type="http://schemas.openxmlformats.org/officeDocument/2006/relationships/hyperlink" Target="https://youtu.be/ZDzSr5Vn60Y?t=931" TargetMode="External"/><Relationship Id="rId193" Type="http://schemas.openxmlformats.org/officeDocument/2006/relationships/hyperlink" Target="https://youtu.be/7o_PNMVa3uU?t=5779" TargetMode="External"/><Relationship Id="rId46" Type="http://schemas.openxmlformats.org/officeDocument/2006/relationships/hyperlink" Target="https://youtu.be/6F4znR5Ie8A?t=1953" TargetMode="External"/><Relationship Id="rId192" Type="http://schemas.openxmlformats.org/officeDocument/2006/relationships/hyperlink" Target="https://youtu.be/CmZvtjw9kSE?t=4814" TargetMode="External"/><Relationship Id="rId45" Type="http://schemas.openxmlformats.org/officeDocument/2006/relationships/hyperlink" Target="https://youtu.be/ZDzSr5Vn60Y?t=1858" TargetMode="External"/><Relationship Id="rId191" Type="http://schemas.openxmlformats.org/officeDocument/2006/relationships/hyperlink" Target="https://youtu.be/7o_PNMVa3uU?t=4884" TargetMode="External"/><Relationship Id="rId48" Type="http://schemas.openxmlformats.org/officeDocument/2006/relationships/hyperlink" Target="https://youtu.be/6F4znR5Ie8A?t=2883" TargetMode="External"/><Relationship Id="rId187" Type="http://schemas.openxmlformats.org/officeDocument/2006/relationships/hyperlink" Target="https://youtu.be/7o_PNMVa3uU?t=3039" TargetMode="External"/><Relationship Id="rId47" Type="http://schemas.openxmlformats.org/officeDocument/2006/relationships/hyperlink" Target="https://youtu.be/ZDzSr5Vn60Y?t=2777" TargetMode="External"/><Relationship Id="rId186" Type="http://schemas.openxmlformats.org/officeDocument/2006/relationships/hyperlink" Target="https://youtu.be/CmZvtjw9kSE?t=1870" TargetMode="External"/><Relationship Id="rId185" Type="http://schemas.openxmlformats.org/officeDocument/2006/relationships/hyperlink" Target="https://youtu.be/7o_PNMVa3uU?t=2059" TargetMode="External"/><Relationship Id="rId49" Type="http://schemas.openxmlformats.org/officeDocument/2006/relationships/hyperlink" Target="https://youtu.be/ZDzSr5Vn60Y?t=3722" TargetMode="External"/><Relationship Id="rId184" Type="http://schemas.openxmlformats.org/officeDocument/2006/relationships/hyperlink" Target="https://youtu.be/CmZvtjw9kSE?t=944" TargetMode="External"/><Relationship Id="rId189" Type="http://schemas.openxmlformats.org/officeDocument/2006/relationships/hyperlink" Target="https://youtu.be/7o_PNMVa3uU?t=3969" TargetMode="External"/><Relationship Id="rId188" Type="http://schemas.openxmlformats.org/officeDocument/2006/relationships/hyperlink" Target="https://youtu.be/CmZvtjw9kSE?t=2800" TargetMode="External"/><Relationship Id="rId31" Type="http://schemas.openxmlformats.org/officeDocument/2006/relationships/hyperlink" Target="https://youtu.be/ABJB07YjL_k?t=4797" TargetMode="External"/><Relationship Id="rId30" Type="http://schemas.openxmlformats.org/officeDocument/2006/relationships/hyperlink" Target="https://youtu.be/IAsPUJDNFIw?t=3876" TargetMode="External"/><Relationship Id="rId33" Type="http://schemas.openxmlformats.org/officeDocument/2006/relationships/hyperlink" Target="https://youtu.be/ABJB07YjL_k?t=5788" TargetMode="External"/><Relationship Id="rId183" Type="http://schemas.openxmlformats.org/officeDocument/2006/relationships/hyperlink" Target="https://youtu.be/7o_PNMVa3uU?t=1009" TargetMode="External"/><Relationship Id="rId32" Type="http://schemas.openxmlformats.org/officeDocument/2006/relationships/hyperlink" Target="https://youtu.be/IAsPUJDNFIw?t=4772" TargetMode="External"/><Relationship Id="rId182" Type="http://schemas.openxmlformats.org/officeDocument/2006/relationships/hyperlink" Target="https://youtu.be/CmZvtjw9kSE" TargetMode="External"/><Relationship Id="rId35" Type="http://schemas.openxmlformats.org/officeDocument/2006/relationships/hyperlink" Target="https://youtu.be/ABJB07YjL_k?t=6718" TargetMode="External"/><Relationship Id="rId181" Type="http://schemas.openxmlformats.org/officeDocument/2006/relationships/hyperlink" Target="https://youtu.be/7o_PNMVa3uU?t=90" TargetMode="External"/><Relationship Id="rId34" Type="http://schemas.openxmlformats.org/officeDocument/2006/relationships/hyperlink" Target="https://youtu.be/IAsPUJDNFIw?t=5713" TargetMode="External"/><Relationship Id="rId180" Type="http://schemas.openxmlformats.org/officeDocument/2006/relationships/hyperlink" Target="https://youtu.be/0rW4egwZJew?t=8748" TargetMode="External"/><Relationship Id="rId37" Type="http://schemas.openxmlformats.org/officeDocument/2006/relationships/hyperlink" Target="https://youtu.be/ABJB07YjL_k?t=7659" TargetMode="External"/><Relationship Id="rId176" Type="http://schemas.openxmlformats.org/officeDocument/2006/relationships/hyperlink" Target="https://youtu.be/0rW4egwZJew?t=6846" TargetMode="External"/><Relationship Id="rId36" Type="http://schemas.openxmlformats.org/officeDocument/2006/relationships/hyperlink" Target="https://youtu.be/IAsPUJDNFIw?t=6638" TargetMode="External"/><Relationship Id="rId175" Type="http://schemas.openxmlformats.org/officeDocument/2006/relationships/hyperlink" Target="https://youtu.be/9gYWbxUMJWA?t=6820" TargetMode="External"/><Relationship Id="rId39" Type="http://schemas.openxmlformats.org/officeDocument/2006/relationships/hyperlink" Target="https://youtu.be/ABJB07YjL_k?t=8571" TargetMode="External"/><Relationship Id="rId174" Type="http://schemas.openxmlformats.org/officeDocument/2006/relationships/hyperlink" Target="https://youtu.be/0rW4egwZJew?t=5890" TargetMode="External"/><Relationship Id="rId38" Type="http://schemas.openxmlformats.org/officeDocument/2006/relationships/hyperlink" Target="https://youtu.be/IAsPUJDNFIw?t=7554" TargetMode="External"/><Relationship Id="rId173" Type="http://schemas.openxmlformats.org/officeDocument/2006/relationships/hyperlink" Target="https://youtu.be/9gYWbxUMJWA?t=5880" TargetMode="External"/><Relationship Id="rId179" Type="http://schemas.openxmlformats.org/officeDocument/2006/relationships/hyperlink" Target="https://youtu.be/9gYWbxUMJWA?t=8665" TargetMode="External"/><Relationship Id="rId178" Type="http://schemas.openxmlformats.org/officeDocument/2006/relationships/hyperlink" Target="https://youtu.be/0rW4egwZJew?t=7788" TargetMode="External"/><Relationship Id="rId177" Type="http://schemas.openxmlformats.org/officeDocument/2006/relationships/hyperlink" Target="https://youtu.be/9gYWbxUMJWA?t=7760" TargetMode="External"/><Relationship Id="rId20" Type="http://schemas.openxmlformats.org/officeDocument/2006/relationships/hyperlink" Target="https://youtu.be/uiFycPeVn44?t=8427" TargetMode="External"/><Relationship Id="rId22" Type="http://schemas.openxmlformats.org/officeDocument/2006/relationships/hyperlink" Target="https://youtu.be/IAsPUJDNFIw" TargetMode="External"/><Relationship Id="rId21" Type="http://schemas.openxmlformats.org/officeDocument/2006/relationships/hyperlink" Target="https://youtu.be/ABJB07YjL_k" TargetMode="External"/><Relationship Id="rId24" Type="http://schemas.openxmlformats.org/officeDocument/2006/relationships/hyperlink" Target="https://youtu.be/IAsPUJDNFIw?t=1018" TargetMode="External"/><Relationship Id="rId23" Type="http://schemas.openxmlformats.org/officeDocument/2006/relationships/hyperlink" Target="https://youtu.be/ABJB07YjL_k?t=1116" TargetMode="External"/><Relationship Id="rId26" Type="http://schemas.openxmlformats.org/officeDocument/2006/relationships/hyperlink" Target="https://youtu.be/IAsPUJDNFIw?t=1946" TargetMode="External"/><Relationship Id="rId25" Type="http://schemas.openxmlformats.org/officeDocument/2006/relationships/hyperlink" Target="https://youtu.be/ABJB07YjL_k?t=2030" TargetMode="External"/><Relationship Id="rId28" Type="http://schemas.openxmlformats.org/officeDocument/2006/relationships/hyperlink" Target="https://youtu.be/IAsPUJDNFIw?t=2875" TargetMode="External"/><Relationship Id="rId27" Type="http://schemas.openxmlformats.org/officeDocument/2006/relationships/hyperlink" Target="https://youtu.be/ABJB07YjL_k?t=2955" TargetMode="External"/><Relationship Id="rId29" Type="http://schemas.openxmlformats.org/officeDocument/2006/relationships/hyperlink" Target="https://youtu.be/ABJB07YjL_k?t=3879" TargetMode="External"/><Relationship Id="rId11" Type="http://schemas.openxmlformats.org/officeDocument/2006/relationships/hyperlink" Target="https://youtu.be/6IIqNWkobgM?t=4786" TargetMode="External"/><Relationship Id="rId10" Type="http://schemas.openxmlformats.org/officeDocument/2006/relationships/hyperlink" Target="https://youtu.be/uiFycPeVn44?t=3806" TargetMode="External"/><Relationship Id="rId13" Type="http://schemas.openxmlformats.org/officeDocument/2006/relationships/hyperlink" Target="https://youtu.be/6IIqNWkobgM?t=5739" TargetMode="External"/><Relationship Id="rId12" Type="http://schemas.openxmlformats.org/officeDocument/2006/relationships/hyperlink" Target="https://youtu.be/uiFycPeVn44?t=4713" TargetMode="External"/><Relationship Id="rId15" Type="http://schemas.openxmlformats.org/officeDocument/2006/relationships/hyperlink" Target="https://youtu.be/6IIqNWkobgM?t=6655" TargetMode="External"/><Relationship Id="rId198" Type="http://schemas.openxmlformats.org/officeDocument/2006/relationships/hyperlink" Target="https://youtu.be/CmZvtjw9kSE?t=7688" TargetMode="External"/><Relationship Id="rId14" Type="http://schemas.openxmlformats.org/officeDocument/2006/relationships/hyperlink" Target="https://youtu.be/uiFycPeVn44?t=5632" TargetMode="External"/><Relationship Id="rId197" Type="http://schemas.openxmlformats.org/officeDocument/2006/relationships/hyperlink" Target="https://youtu.be/7o_PNMVa3uU?t=7649" TargetMode="External"/><Relationship Id="rId17" Type="http://schemas.openxmlformats.org/officeDocument/2006/relationships/hyperlink" Target="https://youtu.be/6IIqNWkobgM?t=7582" TargetMode="External"/><Relationship Id="rId196" Type="http://schemas.openxmlformats.org/officeDocument/2006/relationships/hyperlink" Target="https://youtu.be/CmZvtjw9kSE?t=6751" TargetMode="External"/><Relationship Id="rId16" Type="http://schemas.openxmlformats.org/officeDocument/2006/relationships/hyperlink" Target="https://youtu.be/uiFycPeVn44?t=6556" TargetMode="External"/><Relationship Id="rId195" Type="http://schemas.openxmlformats.org/officeDocument/2006/relationships/hyperlink" Target="https://youtu.be/7o_PNMVa3uU?t=6724" TargetMode="External"/><Relationship Id="rId19" Type="http://schemas.openxmlformats.org/officeDocument/2006/relationships/hyperlink" Target="https://youtu.be/6IIqNWkobgM?t=8503" TargetMode="External"/><Relationship Id="rId18" Type="http://schemas.openxmlformats.org/officeDocument/2006/relationships/hyperlink" Target="https://youtu.be/uiFycPeVn44?t=7494" TargetMode="External"/><Relationship Id="rId199" Type="http://schemas.openxmlformats.org/officeDocument/2006/relationships/hyperlink" Target="https://youtu.be/7o_PNMVa3uU?t=8609" TargetMode="External"/><Relationship Id="rId84" Type="http://schemas.openxmlformats.org/officeDocument/2006/relationships/hyperlink" Target="https://youtu.be/BLxqb2y4cS0?t=986" TargetMode="External"/><Relationship Id="rId83" Type="http://schemas.openxmlformats.org/officeDocument/2006/relationships/hyperlink" Target="https://youtu.be/acqu7CIg2mc?t=1015" TargetMode="External"/><Relationship Id="rId86" Type="http://schemas.openxmlformats.org/officeDocument/2006/relationships/hyperlink" Target="https://youtu.be/BLxqb2y4cS0?t=3117" TargetMode="External"/><Relationship Id="rId85" Type="http://schemas.openxmlformats.org/officeDocument/2006/relationships/hyperlink" Target="https://youtu.be/acqu7CIg2mc?t=2030" TargetMode="External"/><Relationship Id="rId88" Type="http://schemas.openxmlformats.org/officeDocument/2006/relationships/hyperlink" Target="https://youtu.be/BLxqb2y4cS0?t=3960" TargetMode="External"/><Relationship Id="rId150" Type="http://schemas.openxmlformats.org/officeDocument/2006/relationships/hyperlink" Target="https://youtu.be/CZwQJAxPmgg?t=3850" TargetMode="External"/><Relationship Id="rId87" Type="http://schemas.openxmlformats.org/officeDocument/2006/relationships/hyperlink" Target="https://youtu.be/acqu7CIg2mc?t=2978" TargetMode="External"/><Relationship Id="rId89" Type="http://schemas.openxmlformats.org/officeDocument/2006/relationships/hyperlink" Target="https://youtu.be/acqu7CIg2mc?t=4081" TargetMode="External"/><Relationship Id="rId80" Type="http://schemas.openxmlformats.org/officeDocument/2006/relationships/hyperlink" Target="https://youtu.be/Rf8--J0ALAM?t=8475" TargetMode="External"/><Relationship Id="rId82" Type="http://schemas.openxmlformats.org/officeDocument/2006/relationships/hyperlink" Target="https://youtu.be/BLxqb2y4cS0?t=23" TargetMode="External"/><Relationship Id="rId81" Type="http://schemas.openxmlformats.org/officeDocument/2006/relationships/hyperlink" Target="https://youtu.be/acqu7CIg2mc" TargetMode="External"/><Relationship Id="rId1" Type="http://schemas.openxmlformats.org/officeDocument/2006/relationships/hyperlink" Target="https://youtu.be/6IIqNWkobgM" TargetMode="External"/><Relationship Id="rId2" Type="http://schemas.openxmlformats.org/officeDocument/2006/relationships/hyperlink" Target="https://youtu.be/uiFycPeVn44" TargetMode="External"/><Relationship Id="rId3" Type="http://schemas.openxmlformats.org/officeDocument/2006/relationships/hyperlink" Target="https://youtu.be/6IIqNWkobgM?t=1056" TargetMode="External"/><Relationship Id="rId149" Type="http://schemas.openxmlformats.org/officeDocument/2006/relationships/hyperlink" Target="https://youtu.be/23jS8egi_8w?t=3750" TargetMode="External"/><Relationship Id="rId4" Type="http://schemas.openxmlformats.org/officeDocument/2006/relationships/hyperlink" Target="https://youtu.be/uiFycPeVn44?t=1002" TargetMode="External"/><Relationship Id="rId148" Type="http://schemas.openxmlformats.org/officeDocument/2006/relationships/hyperlink" Target="https://youtu.be/CZwQJAxPmgg?t=2912" TargetMode="External"/><Relationship Id="rId9" Type="http://schemas.openxmlformats.org/officeDocument/2006/relationships/hyperlink" Target="https://youtu.be/6IIqNWkobgM?t=3857" TargetMode="External"/><Relationship Id="rId143" Type="http://schemas.openxmlformats.org/officeDocument/2006/relationships/hyperlink" Target="https://youtu.be/23jS8egi_8w?t=992" TargetMode="External"/><Relationship Id="rId142" Type="http://schemas.openxmlformats.org/officeDocument/2006/relationships/hyperlink" Target="https://youtu.be/CZwQJAxPmgg" TargetMode="External"/><Relationship Id="rId141" Type="http://schemas.openxmlformats.org/officeDocument/2006/relationships/hyperlink" Target="https://youtu.be/23jS8egi_8w" TargetMode="External"/><Relationship Id="rId140" Type="http://schemas.openxmlformats.org/officeDocument/2006/relationships/hyperlink" Target="https://youtu.be/9SOUgPj0SCA?t=8575" TargetMode="External"/><Relationship Id="rId5" Type="http://schemas.openxmlformats.org/officeDocument/2006/relationships/hyperlink" Target="https://youtu.be/6IIqNWkobgM?t=1965" TargetMode="External"/><Relationship Id="rId147" Type="http://schemas.openxmlformats.org/officeDocument/2006/relationships/hyperlink" Target="https://youtu.be/23jS8egi_8w?t=2839" TargetMode="External"/><Relationship Id="rId6" Type="http://schemas.openxmlformats.org/officeDocument/2006/relationships/hyperlink" Target="https://youtu.be/uiFycPeVn44?t=1943" TargetMode="External"/><Relationship Id="rId146" Type="http://schemas.openxmlformats.org/officeDocument/2006/relationships/hyperlink" Target="https://youtu.be/CZwQJAxPmgg?t=1949" TargetMode="External"/><Relationship Id="rId7" Type="http://schemas.openxmlformats.org/officeDocument/2006/relationships/hyperlink" Target="https://youtu.be/6IIqNWkobgM?t=2904" TargetMode="External"/><Relationship Id="rId145" Type="http://schemas.openxmlformats.org/officeDocument/2006/relationships/hyperlink" Target="https://youtu.be/23jS8egi_8w?t=1907" TargetMode="External"/><Relationship Id="rId8" Type="http://schemas.openxmlformats.org/officeDocument/2006/relationships/hyperlink" Target="https://youtu.be/uiFycPeVn44?t=2881" TargetMode="External"/><Relationship Id="rId144" Type="http://schemas.openxmlformats.org/officeDocument/2006/relationships/hyperlink" Target="https://youtu.be/CZwQJAxPmgg?t=1026" TargetMode="External"/><Relationship Id="rId73" Type="http://schemas.openxmlformats.org/officeDocument/2006/relationships/hyperlink" Target="https://youtu.be/A6_q0hdbL3o?t=5549" TargetMode="External"/><Relationship Id="rId72" Type="http://schemas.openxmlformats.org/officeDocument/2006/relationships/hyperlink" Target="https://youtu.be/Rf8--J0ALAM?t=4706" TargetMode="External"/><Relationship Id="rId75" Type="http://schemas.openxmlformats.org/officeDocument/2006/relationships/hyperlink" Target="https://youtu.be/A6_q0hdbL3o?t=6493" TargetMode="External"/><Relationship Id="rId74" Type="http://schemas.openxmlformats.org/officeDocument/2006/relationships/hyperlink" Target="https://youtu.be/Rf8--J0ALAM?t=5649" TargetMode="External"/><Relationship Id="rId77" Type="http://schemas.openxmlformats.org/officeDocument/2006/relationships/hyperlink" Target="https://youtu.be/A6_q0hdbL3o?t=7408" TargetMode="External"/><Relationship Id="rId76" Type="http://schemas.openxmlformats.org/officeDocument/2006/relationships/hyperlink" Target="https://youtu.be/Rf8--J0ALAM?t=6567" TargetMode="External"/><Relationship Id="rId79" Type="http://schemas.openxmlformats.org/officeDocument/2006/relationships/hyperlink" Target="https://youtu.be/A6_q0hdbL3o?t=8356" TargetMode="External"/><Relationship Id="rId78" Type="http://schemas.openxmlformats.org/officeDocument/2006/relationships/hyperlink" Target="https://youtu.be/Rf8--J0ALAM?t=7561" TargetMode="External"/><Relationship Id="rId71" Type="http://schemas.openxmlformats.org/officeDocument/2006/relationships/hyperlink" Target="https://youtu.be/A6_q0hdbL3o?t=4647" TargetMode="External"/><Relationship Id="rId70" Type="http://schemas.openxmlformats.org/officeDocument/2006/relationships/hyperlink" Target="https://youtu.be/Rf8--J0ALAM?t=3826" TargetMode="External"/><Relationship Id="rId139" Type="http://schemas.openxmlformats.org/officeDocument/2006/relationships/hyperlink" Target="https://youtu.be/TMGoIDgsFc0?t=8550" TargetMode="External"/><Relationship Id="rId138" Type="http://schemas.openxmlformats.org/officeDocument/2006/relationships/hyperlink" Target="https://youtu.be/9SOUgPj0SCA?t=7624" TargetMode="External"/><Relationship Id="rId137" Type="http://schemas.openxmlformats.org/officeDocument/2006/relationships/hyperlink" Target="https://youtu.be/TMGoIDgsFc0?t=7598" TargetMode="External"/><Relationship Id="rId132" Type="http://schemas.openxmlformats.org/officeDocument/2006/relationships/hyperlink" Target="https://youtu.be/9SOUgPj0SCA?t=4834" TargetMode="External"/><Relationship Id="rId131" Type="http://schemas.openxmlformats.org/officeDocument/2006/relationships/hyperlink" Target="https://youtu.be/TMGoIDgsFc0?t=4772" TargetMode="External"/><Relationship Id="rId130" Type="http://schemas.openxmlformats.org/officeDocument/2006/relationships/hyperlink" Target="https://youtu.be/9SOUgPj0SCA?t=3900" TargetMode="External"/><Relationship Id="rId136" Type="http://schemas.openxmlformats.org/officeDocument/2006/relationships/hyperlink" Target="https://youtu.be/9SOUgPj0SCA?t=6695" TargetMode="External"/><Relationship Id="rId135" Type="http://schemas.openxmlformats.org/officeDocument/2006/relationships/hyperlink" Target="https://youtu.be/TMGoIDgsFc0?t=6671" TargetMode="External"/><Relationship Id="rId134" Type="http://schemas.openxmlformats.org/officeDocument/2006/relationships/hyperlink" Target="https://youtu.be/9SOUgPj0SCA?t=5771" TargetMode="External"/><Relationship Id="rId133" Type="http://schemas.openxmlformats.org/officeDocument/2006/relationships/hyperlink" Target="https://youtu.be/TMGoIDgsFc0?t=5731" TargetMode="External"/><Relationship Id="rId62" Type="http://schemas.openxmlformats.org/officeDocument/2006/relationships/hyperlink" Target="https://youtu.be/Rf8--J0ALAM" TargetMode="External"/><Relationship Id="rId61" Type="http://schemas.openxmlformats.org/officeDocument/2006/relationships/hyperlink" Target="https://youtu.be/A6_q0hdbL3o" TargetMode="External"/><Relationship Id="rId64" Type="http://schemas.openxmlformats.org/officeDocument/2006/relationships/hyperlink" Target="https://youtu.be/Rf8--J0ALAM?t=979" TargetMode="External"/><Relationship Id="rId63" Type="http://schemas.openxmlformats.org/officeDocument/2006/relationships/hyperlink" Target="https://youtu.be/A6_q0hdbL3o?t=899" TargetMode="External"/><Relationship Id="rId66" Type="http://schemas.openxmlformats.org/officeDocument/2006/relationships/hyperlink" Target="https://youtu.be/Rf8--J0ALAM?t=1938" TargetMode="External"/><Relationship Id="rId172" Type="http://schemas.openxmlformats.org/officeDocument/2006/relationships/hyperlink" Target="https://youtu.be/0rW4egwZJew?t=4961" TargetMode="External"/><Relationship Id="rId65" Type="http://schemas.openxmlformats.org/officeDocument/2006/relationships/hyperlink" Target="https://youtu.be/A6_q0hdbL3o?t=1851" TargetMode="External"/><Relationship Id="rId171" Type="http://schemas.openxmlformats.org/officeDocument/2006/relationships/hyperlink" Target="https://youtu.be/9gYWbxUMJWA?t=4971" TargetMode="External"/><Relationship Id="rId68" Type="http://schemas.openxmlformats.org/officeDocument/2006/relationships/hyperlink" Target="https://youtu.be/Rf8--J0ALAM?t=2875" TargetMode="External"/><Relationship Id="rId170" Type="http://schemas.openxmlformats.org/officeDocument/2006/relationships/hyperlink" Target="https://youtu.be/0rW4egwZJew?t=3930" TargetMode="External"/><Relationship Id="rId67" Type="http://schemas.openxmlformats.org/officeDocument/2006/relationships/hyperlink" Target="https://youtu.be/A6_q0hdbL3o?t=2756" TargetMode="External"/><Relationship Id="rId60" Type="http://schemas.openxmlformats.org/officeDocument/2006/relationships/hyperlink" Target="https://youtu.be/6F4znR5Ie8A?t=8559" TargetMode="External"/><Relationship Id="rId165" Type="http://schemas.openxmlformats.org/officeDocument/2006/relationships/hyperlink" Target="https://youtu.be/9gYWbxUMJWA?t=2090" TargetMode="External"/><Relationship Id="rId69" Type="http://schemas.openxmlformats.org/officeDocument/2006/relationships/hyperlink" Target="https://youtu.be/A6_q0hdbL3o?t=3777" TargetMode="External"/><Relationship Id="rId164" Type="http://schemas.openxmlformats.org/officeDocument/2006/relationships/hyperlink" Target="https://youtu.be/0rW4egwZJew?t=983" TargetMode="External"/><Relationship Id="rId163" Type="http://schemas.openxmlformats.org/officeDocument/2006/relationships/hyperlink" Target="https://youtu.be/9gYWbxUMJWA?t=1105" TargetMode="External"/><Relationship Id="rId162" Type="http://schemas.openxmlformats.org/officeDocument/2006/relationships/hyperlink" Target="https://youtu.be/0rW4egwZJew" TargetMode="External"/><Relationship Id="rId169" Type="http://schemas.openxmlformats.org/officeDocument/2006/relationships/hyperlink" Target="https://youtu.be/9gYWbxUMJWA?t=4086" TargetMode="External"/><Relationship Id="rId168" Type="http://schemas.openxmlformats.org/officeDocument/2006/relationships/hyperlink" Target="https://youtu.be/0rW4egwZJew?t=2924" TargetMode="External"/><Relationship Id="rId167" Type="http://schemas.openxmlformats.org/officeDocument/2006/relationships/hyperlink" Target="https://youtu.be/9gYWbxUMJWA?t=3126" TargetMode="External"/><Relationship Id="rId166" Type="http://schemas.openxmlformats.org/officeDocument/2006/relationships/hyperlink" Target="https://youtu.be/0rW4egwZJew?t=1991" TargetMode="External"/><Relationship Id="rId51" Type="http://schemas.openxmlformats.org/officeDocument/2006/relationships/hyperlink" Target="https://youtu.be/ZDzSr5Vn60Y?t=4720" TargetMode="External"/><Relationship Id="rId50" Type="http://schemas.openxmlformats.org/officeDocument/2006/relationships/hyperlink" Target="https://youtu.be/6F4znR5Ie8A?t=3832" TargetMode="External"/><Relationship Id="rId53" Type="http://schemas.openxmlformats.org/officeDocument/2006/relationships/hyperlink" Target="https://youtu.be/ZDzSr5Vn60Y?t=5629" TargetMode="External"/><Relationship Id="rId52" Type="http://schemas.openxmlformats.org/officeDocument/2006/relationships/hyperlink" Target="https://youtu.be/6F4znR5Ie8A?t=4774" TargetMode="External"/><Relationship Id="rId55" Type="http://schemas.openxmlformats.org/officeDocument/2006/relationships/hyperlink" Target="https://youtu.be/ZDzSr5Vn60Y?t=6584" TargetMode="External"/><Relationship Id="rId161" Type="http://schemas.openxmlformats.org/officeDocument/2006/relationships/hyperlink" Target="https://youtu.be/9gYWbxUMJWA" TargetMode="External"/><Relationship Id="rId54" Type="http://schemas.openxmlformats.org/officeDocument/2006/relationships/hyperlink" Target="https://youtu.be/6F4znR5Ie8A?t=5714" TargetMode="External"/><Relationship Id="rId160" Type="http://schemas.openxmlformats.org/officeDocument/2006/relationships/hyperlink" Target="https://youtu.be/CZwQJAxPmgg?t=8523" TargetMode="External"/><Relationship Id="rId57" Type="http://schemas.openxmlformats.org/officeDocument/2006/relationships/hyperlink" Target="https://youtu.be/ZDzSr5Vn60Y?t=7502" TargetMode="External"/><Relationship Id="rId56" Type="http://schemas.openxmlformats.org/officeDocument/2006/relationships/hyperlink" Target="https://youtu.be/6F4znR5Ie8A?t=6685" TargetMode="External"/><Relationship Id="rId159" Type="http://schemas.openxmlformats.org/officeDocument/2006/relationships/hyperlink" Target="https://youtu.be/23jS8egi_8w?t=8505" TargetMode="External"/><Relationship Id="rId59" Type="http://schemas.openxmlformats.org/officeDocument/2006/relationships/hyperlink" Target="https://youtu.be/ZDzSr5Vn60Y?t=8371" TargetMode="External"/><Relationship Id="rId154" Type="http://schemas.openxmlformats.org/officeDocument/2006/relationships/hyperlink" Target="https://youtu.be/CZwQJAxPmgg?t=5704" TargetMode="External"/><Relationship Id="rId58" Type="http://schemas.openxmlformats.org/officeDocument/2006/relationships/hyperlink" Target="https://youtu.be/6F4znR5Ie8A?t=7605" TargetMode="External"/><Relationship Id="rId153" Type="http://schemas.openxmlformats.org/officeDocument/2006/relationships/hyperlink" Target="https://youtu.be/23jS8egi_8w?t=5682" TargetMode="External"/><Relationship Id="rId152" Type="http://schemas.openxmlformats.org/officeDocument/2006/relationships/hyperlink" Target="https://youtu.be/CZwQJAxPmgg?t=4746" TargetMode="External"/><Relationship Id="rId151" Type="http://schemas.openxmlformats.org/officeDocument/2006/relationships/hyperlink" Target="https://youtu.be/23jS8egi_8w?t=4746" TargetMode="External"/><Relationship Id="rId158" Type="http://schemas.openxmlformats.org/officeDocument/2006/relationships/hyperlink" Target="https://youtu.be/CZwQJAxPmgg?t=7591" TargetMode="External"/><Relationship Id="rId157" Type="http://schemas.openxmlformats.org/officeDocument/2006/relationships/hyperlink" Target="https://youtu.be/23jS8egi_8w?t=7571" TargetMode="External"/><Relationship Id="rId156" Type="http://schemas.openxmlformats.org/officeDocument/2006/relationships/hyperlink" Target="https://youtu.be/CZwQJAxPmgg?t=6652" TargetMode="External"/><Relationship Id="rId155" Type="http://schemas.openxmlformats.org/officeDocument/2006/relationships/hyperlink" Target="https://youtu.be/23jS8egi_8w?t=6628" TargetMode="External"/><Relationship Id="rId107" Type="http://schemas.openxmlformats.org/officeDocument/2006/relationships/hyperlink" Target="https://youtu.be/Dv9jdcQ0Nmo?t=2952" TargetMode="External"/><Relationship Id="rId228" Type="http://schemas.openxmlformats.org/officeDocument/2006/relationships/hyperlink" Target="https://youtu.be/DUClrg-oc9A?t=2806" TargetMode="External"/><Relationship Id="rId106" Type="http://schemas.openxmlformats.org/officeDocument/2006/relationships/hyperlink" Target="https://youtu.be/5Jqp3mgc934?t=1951" TargetMode="External"/><Relationship Id="rId227" Type="http://schemas.openxmlformats.org/officeDocument/2006/relationships/hyperlink" Target="https://youtu.be/n258Axx8Jyc?t=2930" TargetMode="External"/><Relationship Id="rId105" Type="http://schemas.openxmlformats.org/officeDocument/2006/relationships/hyperlink" Target="https://youtu.be/Dv9jdcQ0Nmo?t=2039" TargetMode="External"/><Relationship Id="rId226" Type="http://schemas.openxmlformats.org/officeDocument/2006/relationships/hyperlink" Target="https://youtu.be/DUClrg-oc9A?t=1894" TargetMode="External"/><Relationship Id="rId104" Type="http://schemas.openxmlformats.org/officeDocument/2006/relationships/hyperlink" Target="https://youtu.be/5Jqp3mgc934?t=950" TargetMode="External"/><Relationship Id="rId225" Type="http://schemas.openxmlformats.org/officeDocument/2006/relationships/hyperlink" Target="https://youtu.be/n258Axx8Jyc?t=1958" TargetMode="External"/><Relationship Id="rId109" Type="http://schemas.openxmlformats.org/officeDocument/2006/relationships/hyperlink" Target="https://youtu.be/Dv9jdcQ0Nmo?t=3915" TargetMode="External"/><Relationship Id="rId108" Type="http://schemas.openxmlformats.org/officeDocument/2006/relationships/hyperlink" Target="https://youtu.be/5Jqp3mgc934?t=2910" TargetMode="External"/><Relationship Id="rId229" Type="http://schemas.openxmlformats.org/officeDocument/2006/relationships/hyperlink" Target="https://youtu.be/n258Axx8Jyc?t=3893" TargetMode="External"/><Relationship Id="rId220" Type="http://schemas.openxmlformats.org/officeDocument/2006/relationships/hyperlink" Target="https://youtu.be/VlqiT63CVxA?t=8509" TargetMode="External"/><Relationship Id="rId103" Type="http://schemas.openxmlformats.org/officeDocument/2006/relationships/hyperlink" Target="https://youtu.be/Dv9jdcQ0Nmo?t=1141" TargetMode="External"/><Relationship Id="rId224" Type="http://schemas.openxmlformats.org/officeDocument/2006/relationships/hyperlink" Target="https://youtu.be/DUClrg-oc9A?t=969" TargetMode="External"/><Relationship Id="rId102" Type="http://schemas.openxmlformats.org/officeDocument/2006/relationships/hyperlink" Target="https://youtu.be/5Jqp3mgc934" TargetMode="External"/><Relationship Id="rId223" Type="http://schemas.openxmlformats.org/officeDocument/2006/relationships/hyperlink" Target="https://youtu.be/n258Axx8Jyc?t=1015" TargetMode="External"/><Relationship Id="rId101" Type="http://schemas.openxmlformats.org/officeDocument/2006/relationships/hyperlink" Target="https://youtu.be/Dv9jdcQ0Nmo" TargetMode="External"/><Relationship Id="rId222" Type="http://schemas.openxmlformats.org/officeDocument/2006/relationships/hyperlink" Target="https://youtu.be/DUClrg-oc9A" TargetMode="External"/><Relationship Id="rId100" Type="http://schemas.openxmlformats.org/officeDocument/2006/relationships/hyperlink" Target="https://youtu.be/BLxqb2y4cS0?t=9211" TargetMode="External"/><Relationship Id="rId221" Type="http://schemas.openxmlformats.org/officeDocument/2006/relationships/hyperlink" Target="https://youtu.be/n258Axx8Jyc" TargetMode="External"/><Relationship Id="rId217" Type="http://schemas.openxmlformats.org/officeDocument/2006/relationships/hyperlink" Target="https://youtu.be/j1hwWyfYnCA?t=7605" TargetMode="External"/><Relationship Id="rId216" Type="http://schemas.openxmlformats.org/officeDocument/2006/relationships/hyperlink" Target="https://youtu.be/VlqiT63CVxA?t=6574" TargetMode="External"/><Relationship Id="rId215" Type="http://schemas.openxmlformats.org/officeDocument/2006/relationships/hyperlink" Target="https://youtu.be/j1hwWyfYnCA?t=6699" TargetMode="External"/><Relationship Id="rId214" Type="http://schemas.openxmlformats.org/officeDocument/2006/relationships/hyperlink" Target="https://youtu.be/VlqiT63CVxA?t=5654" TargetMode="External"/><Relationship Id="rId219" Type="http://schemas.openxmlformats.org/officeDocument/2006/relationships/hyperlink" Target="https://youtu.be/j1hwWyfYnCA?t=8501" TargetMode="External"/><Relationship Id="rId218" Type="http://schemas.openxmlformats.org/officeDocument/2006/relationships/hyperlink" Target="https://youtu.be/VlqiT63CVxA?t=7550" TargetMode="External"/><Relationship Id="rId213" Type="http://schemas.openxmlformats.org/officeDocument/2006/relationships/hyperlink" Target="https://youtu.be/j1hwWyfYnCA?t=5743" TargetMode="External"/><Relationship Id="rId212" Type="http://schemas.openxmlformats.org/officeDocument/2006/relationships/hyperlink" Target="https://youtu.be/VlqiT63CVxA?t=4742" TargetMode="External"/><Relationship Id="rId211" Type="http://schemas.openxmlformats.org/officeDocument/2006/relationships/hyperlink" Target="https://youtu.be/j1hwWyfYnCA?t=4782" TargetMode="External"/><Relationship Id="rId210" Type="http://schemas.openxmlformats.org/officeDocument/2006/relationships/hyperlink" Target="https://youtu.be/VlqiT63CVxA?t=3790" TargetMode="External"/><Relationship Id="rId129" Type="http://schemas.openxmlformats.org/officeDocument/2006/relationships/hyperlink" Target="https://youtu.be/TMGoIDgsFc0?t=3845" TargetMode="External"/><Relationship Id="rId128" Type="http://schemas.openxmlformats.org/officeDocument/2006/relationships/hyperlink" Target="https://youtu.be/9SOUgPj0SCA?t=2950" TargetMode="External"/><Relationship Id="rId127" Type="http://schemas.openxmlformats.org/officeDocument/2006/relationships/hyperlink" Target="https://youtu.be/TMGoIDgsFc0?t=2911" TargetMode="External"/><Relationship Id="rId126" Type="http://schemas.openxmlformats.org/officeDocument/2006/relationships/hyperlink" Target="https://youtu.be/9SOUgPj0SCA?t=2009" TargetMode="External"/><Relationship Id="rId121" Type="http://schemas.openxmlformats.org/officeDocument/2006/relationships/hyperlink" Target="https://youtu.be/TMGoIDgsFc0" TargetMode="External"/><Relationship Id="rId120" Type="http://schemas.openxmlformats.org/officeDocument/2006/relationships/hyperlink" Target="https://youtu.be/5Jqp3mgc934?t=8604" TargetMode="External"/><Relationship Id="rId241" Type="http://schemas.openxmlformats.org/officeDocument/2006/relationships/drawing" Target="../drawings/drawing39.xml"/><Relationship Id="rId240" Type="http://schemas.openxmlformats.org/officeDocument/2006/relationships/hyperlink" Target="https://youtu.be/DUClrg-oc9A?t=8582" TargetMode="External"/><Relationship Id="rId125" Type="http://schemas.openxmlformats.org/officeDocument/2006/relationships/hyperlink" Target="https://youtu.be/TMGoIDgsFc0?t=2006" TargetMode="External"/><Relationship Id="rId124" Type="http://schemas.openxmlformats.org/officeDocument/2006/relationships/hyperlink" Target="https://youtu.be/9SOUgPj0SCA?t=1058" TargetMode="External"/><Relationship Id="rId123" Type="http://schemas.openxmlformats.org/officeDocument/2006/relationships/hyperlink" Target="https://youtu.be/TMGoIDgsFc0?t=1037" TargetMode="External"/><Relationship Id="rId122" Type="http://schemas.openxmlformats.org/officeDocument/2006/relationships/hyperlink" Target="https://youtu.be/9SOUgPj0SCA" TargetMode="External"/><Relationship Id="rId95" Type="http://schemas.openxmlformats.org/officeDocument/2006/relationships/hyperlink" Target="https://youtu.be/acqu7CIg2mc?t=7576" TargetMode="External"/><Relationship Id="rId94" Type="http://schemas.openxmlformats.org/officeDocument/2006/relationships/hyperlink" Target="https://youtu.be/BLxqb2y4cS0?t=6559" TargetMode="External"/><Relationship Id="rId97" Type="http://schemas.openxmlformats.org/officeDocument/2006/relationships/hyperlink" Target="https://youtu.be/acqu7CIg2mc?t=8458" TargetMode="External"/><Relationship Id="rId96" Type="http://schemas.openxmlformats.org/officeDocument/2006/relationships/hyperlink" Target="https://youtu.be/BLxqb2y4cS0?t=7469" TargetMode="External"/><Relationship Id="rId99" Type="http://schemas.openxmlformats.org/officeDocument/2006/relationships/hyperlink" Target="https://youtu.be/acqu7CIg2mc?t=9280" TargetMode="External"/><Relationship Id="rId98" Type="http://schemas.openxmlformats.org/officeDocument/2006/relationships/hyperlink" Target="https://youtu.be/BLxqb2y4cS0?t=8358" TargetMode="External"/><Relationship Id="rId91" Type="http://schemas.openxmlformats.org/officeDocument/2006/relationships/hyperlink" Target="https://youtu.be/acqu7CIg2mc?t=5733" TargetMode="External"/><Relationship Id="rId90" Type="http://schemas.openxmlformats.org/officeDocument/2006/relationships/hyperlink" Target="https://youtu.be/BLxqb2y4cS0?t=4806" TargetMode="External"/><Relationship Id="rId93" Type="http://schemas.openxmlformats.org/officeDocument/2006/relationships/hyperlink" Target="https://youtu.be/acqu7CIg2mc?t=6758" TargetMode="External"/><Relationship Id="rId92" Type="http://schemas.openxmlformats.org/officeDocument/2006/relationships/hyperlink" Target="https://youtu.be/BLxqb2y4cS0?t=5672" TargetMode="External"/><Relationship Id="rId118" Type="http://schemas.openxmlformats.org/officeDocument/2006/relationships/hyperlink" Target="https://youtu.be/5Jqp3mgc934?t=7637" TargetMode="External"/><Relationship Id="rId239" Type="http://schemas.openxmlformats.org/officeDocument/2006/relationships/hyperlink" Target="https://youtu.be/n258Axx8Jyc?t=8645" TargetMode="External"/><Relationship Id="rId117" Type="http://schemas.openxmlformats.org/officeDocument/2006/relationships/hyperlink" Target="https://youtu.be/Dv9jdcQ0Nmo?t=7811" TargetMode="External"/><Relationship Id="rId238" Type="http://schemas.openxmlformats.org/officeDocument/2006/relationships/hyperlink" Target="https://youtu.be/DUClrg-oc9A?t=7599" TargetMode="External"/><Relationship Id="rId116" Type="http://schemas.openxmlformats.org/officeDocument/2006/relationships/hyperlink" Target="https://youtu.be/5Jqp3mgc934?t=6613" TargetMode="External"/><Relationship Id="rId237" Type="http://schemas.openxmlformats.org/officeDocument/2006/relationships/hyperlink" Target="https://youtu.be/n258Axx8Jyc?t=7713" TargetMode="External"/><Relationship Id="rId115" Type="http://schemas.openxmlformats.org/officeDocument/2006/relationships/hyperlink" Target="https://youtu.be/Dv9jdcQ0Nmo?t=6724" TargetMode="External"/><Relationship Id="rId236" Type="http://schemas.openxmlformats.org/officeDocument/2006/relationships/hyperlink" Target="https://youtu.be/DUClrg-oc9A?t=6646" TargetMode="External"/><Relationship Id="rId119" Type="http://schemas.openxmlformats.org/officeDocument/2006/relationships/hyperlink" Target="https://youtu.be/Dv9jdcQ0Nmo?t=8770" TargetMode="External"/><Relationship Id="rId110" Type="http://schemas.openxmlformats.org/officeDocument/2006/relationships/hyperlink" Target="https://youtu.be/5Jqp3mgc934?t=3817" TargetMode="External"/><Relationship Id="rId231" Type="http://schemas.openxmlformats.org/officeDocument/2006/relationships/hyperlink" Target="https://youtu.be/n258Axx8Jyc?t=4831" TargetMode="External"/><Relationship Id="rId230" Type="http://schemas.openxmlformats.org/officeDocument/2006/relationships/hyperlink" Target="https://youtu.be/DUClrg-oc9A?t=3891" TargetMode="External"/><Relationship Id="rId114" Type="http://schemas.openxmlformats.org/officeDocument/2006/relationships/hyperlink" Target="https://youtu.be/5Jqp3mgc934?t=5722" TargetMode="External"/><Relationship Id="rId235" Type="http://schemas.openxmlformats.org/officeDocument/2006/relationships/hyperlink" Target="https://youtu.be/n258Axx8Jyc?t=6690" TargetMode="External"/><Relationship Id="rId113" Type="http://schemas.openxmlformats.org/officeDocument/2006/relationships/hyperlink" Target="https://youtu.be/Dv9jdcQ0Nmo?t=5777" TargetMode="External"/><Relationship Id="rId234" Type="http://schemas.openxmlformats.org/officeDocument/2006/relationships/hyperlink" Target="https://youtu.be/DUClrg-oc9A?t=5789" TargetMode="External"/><Relationship Id="rId112" Type="http://schemas.openxmlformats.org/officeDocument/2006/relationships/hyperlink" Target="https://youtu.be/5Jqp3mgc934?t=4770" TargetMode="External"/><Relationship Id="rId233" Type="http://schemas.openxmlformats.org/officeDocument/2006/relationships/hyperlink" Target="https://youtu.be/n258Axx8Jyc?t=5767" TargetMode="External"/><Relationship Id="rId111" Type="http://schemas.openxmlformats.org/officeDocument/2006/relationships/hyperlink" Target="https://youtu.be/Dv9jdcQ0Nmo?t=4844" TargetMode="External"/><Relationship Id="rId232" Type="http://schemas.openxmlformats.org/officeDocument/2006/relationships/hyperlink" Target="https://youtu.be/DUClrg-oc9A?t=4833" TargetMode="External"/><Relationship Id="rId206" Type="http://schemas.openxmlformats.org/officeDocument/2006/relationships/hyperlink" Target="https://youtu.be/VlqiT63CVxA?t=1874" TargetMode="External"/><Relationship Id="rId205" Type="http://schemas.openxmlformats.org/officeDocument/2006/relationships/hyperlink" Target="https://youtu.be/j1hwWyfYnCA?t=1917" TargetMode="External"/><Relationship Id="rId204" Type="http://schemas.openxmlformats.org/officeDocument/2006/relationships/hyperlink" Target="https://youtu.be/VlqiT63CVxA?t=960" TargetMode="External"/><Relationship Id="rId203" Type="http://schemas.openxmlformats.org/officeDocument/2006/relationships/hyperlink" Target="https://youtu.be/j1hwWyfYnCA?t=977" TargetMode="External"/><Relationship Id="rId209" Type="http://schemas.openxmlformats.org/officeDocument/2006/relationships/hyperlink" Target="https://youtu.be/j1hwWyfYnCA?t=3832" TargetMode="External"/><Relationship Id="rId208" Type="http://schemas.openxmlformats.org/officeDocument/2006/relationships/hyperlink" Target="https://youtu.be/VlqiT63CVxA?t=2799" TargetMode="External"/><Relationship Id="rId207" Type="http://schemas.openxmlformats.org/officeDocument/2006/relationships/hyperlink" Target="https://youtu.be/j1hwWyfYnCA?t=2887" TargetMode="External"/><Relationship Id="rId202" Type="http://schemas.openxmlformats.org/officeDocument/2006/relationships/hyperlink" Target="https://youtu.be/VlqiT63CVxA" TargetMode="External"/><Relationship Id="rId201" Type="http://schemas.openxmlformats.org/officeDocument/2006/relationships/hyperlink" Target="https://youtu.be/j1hwWyfYnCA" TargetMode="External"/><Relationship Id="rId200" Type="http://schemas.openxmlformats.org/officeDocument/2006/relationships/hyperlink" Target="https://youtu.be/CmZvtjw9kSE?t=8580" TargetMode="External"/></Relationships>
</file>

<file path=xl/worksheets/_rels/sheet4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qOnliRg48rk?t=8571" TargetMode="External"/><Relationship Id="rId190" Type="http://schemas.openxmlformats.org/officeDocument/2006/relationships/hyperlink" Target="https://youtu.be/VSXvQ2knZDA?t=3837" TargetMode="External"/><Relationship Id="rId42" Type="http://schemas.openxmlformats.org/officeDocument/2006/relationships/hyperlink" Target="https://youtu.be/gjcQH31X9zY" TargetMode="External"/><Relationship Id="rId41" Type="http://schemas.openxmlformats.org/officeDocument/2006/relationships/hyperlink" Target="https://youtu.be/JMSQTXQd6-I" TargetMode="External"/><Relationship Id="rId44" Type="http://schemas.openxmlformats.org/officeDocument/2006/relationships/hyperlink" Target="https://youtu.be/gjcQH31X9zY?t=1081" TargetMode="External"/><Relationship Id="rId194" Type="http://schemas.openxmlformats.org/officeDocument/2006/relationships/hyperlink" Target="https://youtu.be/VSXvQ2knZDA?t=5781" TargetMode="External"/><Relationship Id="rId43" Type="http://schemas.openxmlformats.org/officeDocument/2006/relationships/hyperlink" Target="https://youtu.be/JMSQTXQd6-I?t=977" TargetMode="External"/><Relationship Id="rId193" Type="http://schemas.openxmlformats.org/officeDocument/2006/relationships/hyperlink" Target="https://youtu.be/ccayf3kq-oU?t=5636" TargetMode="External"/><Relationship Id="rId46" Type="http://schemas.openxmlformats.org/officeDocument/2006/relationships/hyperlink" Target="https://youtu.be/gjcQH31X9zY?t=2012" TargetMode="External"/><Relationship Id="rId192" Type="http://schemas.openxmlformats.org/officeDocument/2006/relationships/hyperlink" Target="https://youtu.be/VSXvQ2knZDA?t=4876" TargetMode="External"/><Relationship Id="rId45" Type="http://schemas.openxmlformats.org/officeDocument/2006/relationships/hyperlink" Target="https://youtu.be/JMSQTXQd6-I?t=1940" TargetMode="External"/><Relationship Id="rId191" Type="http://schemas.openxmlformats.org/officeDocument/2006/relationships/hyperlink" Target="https://youtu.be/ccayf3kq-oU?t=4580" TargetMode="External"/><Relationship Id="rId48" Type="http://schemas.openxmlformats.org/officeDocument/2006/relationships/hyperlink" Target="https://youtu.be/gjcQH31X9zY?t=2918" TargetMode="External"/><Relationship Id="rId187" Type="http://schemas.openxmlformats.org/officeDocument/2006/relationships/hyperlink" Target="https://youtu.be/ccayf3kq-oU?t=2800" TargetMode="External"/><Relationship Id="rId47" Type="http://schemas.openxmlformats.org/officeDocument/2006/relationships/hyperlink" Target="https://youtu.be/JMSQTXQd6-I?t=2767" TargetMode="External"/><Relationship Id="rId186" Type="http://schemas.openxmlformats.org/officeDocument/2006/relationships/hyperlink" Target="https://youtu.be/VSXvQ2knZDA?t=1959" TargetMode="External"/><Relationship Id="rId185" Type="http://schemas.openxmlformats.org/officeDocument/2006/relationships/hyperlink" Target="https://youtu.be/ccayf3kq-oU?t=1848" TargetMode="External"/><Relationship Id="rId49" Type="http://schemas.openxmlformats.org/officeDocument/2006/relationships/hyperlink" Target="https://youtu.be/JMSQTXQd6-I?t=3745" TargetMode="External"/><Relationship Id="rId184" Type="http://schemas.openxmlformats.org/officeDocument/2006/relationships/hyperlink" Target="https://youtu.be/VSXvQ2knZDA?t=993" TargetMode="External"/><Relationship Id="rId189" Type="http://schemas.openxmlformats.org/officeDocument/2006/relationships/hyperlink" Target="https://youtu.be/ccayf3kq-oU?t=3712" TargetMode="External"/><Relationship Id="rId188" Type="http://schemas.openxmlformats.org/officeDocument/2006/relationships/hyperlink" Target="https://youtu.be/VSXvQ2knZDA?t=2935" TargetMode="External"/><Relationship Id="rId31" Type="http://schemas.openxmlformats.org/officeDocument/2006/relationships/hyperlink" Target="https://youtu.be/NmGiy_4sA2g?t=4740" TargetMode="External"/><Relationship Id="rId30" Type="http://schemas.openxmlformats.org/officeDocument/2006/relationships/hyperlink" Target="https://youtu.be/qOnliRg48rk?t=3884" TargetMode="External"/><Relationship Id="rId33" Type="http://schemas.openxmlformats.org/officeDocument/2006/relationships/hyperlink" Target="https://youtu.be/NmGiy_4sA2g?t=5675" TargetMode="External"/><Relationship Id="rId183" Type="http://schemas.openxmlformats.org/officeDocument/2006/relationships/hyperlink" Target="https://youtu.be/ccayf3kq-oU?t=867" TargetMode="External"/><Relationship Id="rId32" Type="http://schemas.openxmlformats.org/officeDocument/2006/relationships/hyperlink" Target="https://youtu.be/qOnliRg48rk?t=4796" TargetMode="External"/><Relationship Id="rId182" Type="http://schemas.openxmlformats.org/officeDocument/2006/relationships/hyperlink" Target="https://youtu.be/VSXvQ2knZDA" TargetMode="External"/><Relationship Id="rId35" Type="http://schemas.openxmlformats.org/officeDocument/2006/relationships/hyperlink" Target="https://youtu.be/NmGiy_4sA2g?t=6609" TargetMode="External"/><Relationship Id="rId181" Type="http://schemas.openxmlformats.org/officeDocument/2006/relationships/hyperlink" Target="https://youtu.be/ccayf3kq-oU" TargetMode="External"/><Relationship Id="rId34" Type="http://schemas.openxmlformats.org/officeDocument/2006/relationships/hyperlink" Target="https://youtu.be/qOnliRg48rk?t=5713" TargetMode="External"/><Relationship Id="rId180" Type="http://schemas.openxmlformats.org/officeDocument/2006/relationships/hyperlink" Target="https://youtu.be/D0fCU_FGZfY?t=8834" TargetMode="External"/><Relationship Id="rId37" Type="http://schemas.openxmlformats.org/officeDocument/2006/relationships/hyperlink" Target="https://youtu.be/NmGiy_4sA2g?t=7554" TargetMode="External"/><Relationship Id="rId176" Type="http://schemas.openxmlformats.org/officeDocument/2006/relationships/hyperlink" Target="https://youtu.be/D0fCU_FGZfY?t=5936" TargetMode="External"/><Relationship Id="rId36" Type="http://schemas.openxmlformats.org/officeDocument/2006/relationships/hyperlink" Target="https://youtu.be/qOnliRg48rk?t=6689" TargetMode="External"/><Relationship Id="rId175" Type="http://schemas.openxmlformats.org/officeDocument/2006/relationships/hyperlink" Target="https://youtu.be/4K5eDYYqVYc?t=6760" TargetMode="External"/><Relationship Id="rId39" Type="http://schemas.openxmlformats.org/officeDocument/2006/relationships/hyperlink" Target="https://youtu.be/NmGiy_4sA2g?t=8483" TargetMode="External"/><Relationship Id="rId174" Type="http://schemas.openxmlformats.org/officeDocument/2006/relationships/hyperlink" Target="https://youtu.be/D0fCU_FGZfY?t=5936" TargetMode="External"/><Relationship Id="rId38" Type="http://schemas.openxmlformats.org/officeDocument/2006/relationships/hyperlink" Target="https://youtu.be/qOnliRg48rk?t=7649" TargetMode="External"/><Relationship Id="rId173" Type="http://schemas.openxmlformats.org/officeDocument/2006/relationships/hyperlink" Target="https://youtu.be/4K5eDYYqVYc?t=5875" TargetMode="External"/><Relationship Id="rId179" Type="http://schemas.openxmlformats.org/officeDocument/2006/relationships/hyperlink" Target="https://youtu.be/4K5eDYYqVYc?t=8650" TargetMode="External"/><Relationship Id="rId178" Type="http://schemas.openxmlformats.org/officeDocument/2006/relationships/hyperlink" Target="https://youtu.be/D0fCU_FGZfY?t=7816" TargetMode="External"/><Relationship Id="rId177" Type="http://schemas.openxmlformats.org/officeDocument/2006/relationships/hyperlink" Target="https://youtu.be/4K5eDYYqVYc?t=7695" TargetMode="External"/><Relationship Id="rId20" Type="http://schemas.openxmlformats.org/officeDocument/2006/relationships/hyperlink" Target="https://youtu.be/S5wltpeGhV8?t=8560" TargetMode="External"/><Relationship Id="rId22" Type="http://schemas.openxmlformats.org/officeDocument/2006/relationships/hyperlink" Target="https://youtu.be/qOnliRg48rk" TargetMode="External"/><Relationship Id="rId21" Type="http://schemas.openxmlformats.org/officeDocument/2006/relationships/hyperlink" Target="https://youtu.be/NmGiy_4sA2g" TargetMode="External"/><Relationship Id="rId24" Type="http://schemas.openxmlformats.org/officeDocument/2006/relationships/hyperlink" Target="https://youtu.be/qOnliRg48rk?t=1112" TargetMode="External"/><Relationship Id="rId23" Type="http://schemas.openxmlformats.org/officeDocument/2006/relationships/hyperlink" Target="https://youtu.be/NmGiy_4sA2g?t=1020" TargetMode="External"/><Relationship Id="rId26" Type="http://schemas.openxmlformats.org/officeDocument/2006/relationships/hyperlink" Target="https://youtu.be/qOnliRg48rk?t=2000" TargetMode="External"/><Relationship Id="rId25" Type="http://schemas.openxmlformats.org/officeDocument/2006/relationships/hyperlink" Target="https://youtu.be/NmGiy_4sA2g?t=1953" TargetMode="External"/><Relationship Id="rId28" Type="http://schemas.openxmlformats.org/officeDocument/2006/relationships/hyperlink" Target="https://youtu.be/qOnliRg48rk?t=2964" TargetMode="External"/><Relationship Id="rId27" Type="http://schemas.openxmlformats.org/officeDocument/2006/relationships/hyperlink" Target="https://youtu.be/NmGiy_4sA2g?t=2863" TargetMode="External"/><Relationship Id="rId29" Type="http://schemas.openxmlformats.org/officeDocument/2006/relationships/hyperlink" Target="https://youtu.be/NmGiy_4sA2g?t=3789" TargetMode="External"/><Relationship Id="rId11" Type="http://schemas.openxmlformats.org/officeDocument/2006/relationships/hyperlink" Target="https://youtu.be/S4XfujCx4OY?t=4707" TargetMode="External"/><Relationship Id="rId10" Type="http://schemas.openxmlformats.org/officeDocument/2006/relationships/hyperlink" Target="https://youtu.be/S5wltpeGhV8?t=3839" TargetMode="External"/><Relationship Id="rId13" Type="http://schemas.openxmlformats.org/officeDocument/2006/relationships/hyperlink" Target="https://youtu.be/S4XfujCx4OY?t=5661" TargetMode="External"/><Relationship Id="rId12" Type="http://schemas.openxmlformats.org/officeDocument/2006/relationships/hyperlink" Target="https://youtu.be/S5wltpeGhV8?t=4766" TargetMode="External"/><Relationship Id="rId15" Type="http://schemas.openxmlformats.org/officeDocument/2006/relationships/hyperlink" Target="https://youtu.be/S4XfujCx4OY?t=6603" TargetMode="External"/><Relationship Id="rId198" Type="http://schemas.openxmlformats.org/officeDocument/2006/relationships/hyperlink" Target="https://youtu.be/VSXvQ2knZDA?t=7678" TargetMode="External"/><Relationship Id="rId14" Type="http://schemas.openxmlformats.org/officeDocument/2006/relationships/hyperlink" Target="https://youtu.be/S5wltpeGhV8?t=5674" TargetMode="External"/><Relationship Id="rId197" Type="http://schemas.openxmlformats.org/officeDocument/2006/relationships/hyperlink" Target="https://youtu.be/ccayf3kq-oU?t=7738" TargetMode="External"/><Relationship Id="rId17" Type="http://schemas.openxmlformats.org/officeDocument/2006/relationships/hyperlink" Target="https://youtu.be/S4XfujCx4OY?t=7520" TargetMode="External"/><Relationship Id="rId196" Type="http://schemas.openxmlformats.org/officeDocument/2006/relationships/hyperlink" Target="https://youtu.be/VSXvQ2knZDA?t=6777" TargetMode="External"/><Relationship Id="rId16" Type="http://schemas.openxmlformats.org/officeDocument/2006/relationships/hyperlink" Target="https://youtu.be/S5wltpeGhV8?t=6625" TargetMode="External"/><Relationship Id="rId195" Type="http://schemas.openxmlformats.org/officeDocument/2006/relationships/hyperlink" Target="https://youtu.be/ccayf3kq-oU?t=6593" TargetMode="External"/><Relationship Id="rId19" Type="http://schemas.openxmlformats.org/officeDocument/2006/relationships/hyperlink" Target="https://youtu.be/S4XfujCx4OY?t=8405" TargetMode="External"/><Relationship Id="rId18" Type="http://schemas.openxmlformats.org/officeDocument/2006/relationships/hyperlink" Target="https://youtu.be/S5wltpeGhV8?t=7585" TargetMode="External"/><Relationship Id="rId199" Type="http://schemas.openxmlformats.org/officeDocument/2006/relationships/hyperlink" Target="https://youtu.be/ccayf3kq-oU?t=8531" TargetMode="External"/><Relationship Id="rId84" Type="http://schemas.openxmlformats.org/officeDocument/2006/relationships/hyperlink" Target="https://youtu.be/qJxMX5ECETM?t=1263" TargetMode="External"/><Relationship Id="rId83" Type="http://schemas.openxmlformats.org/officeDocument/2006/relationships/hyperlink" Target="https://youtu.be/1wjTU84TQpw?t=1140" TargetMode="External"/><Relationship Id="rId86" Type="http://schemas.openxmlformats.org/officeDocument/2006/relationships/hyperlink" Target="https://youtu.be/qJxMX5ECETM?t=2233" TargetMode="External"/><Relationship Id="rId85" Type="http://schemas.openxmlformats.org/officeDocument/2006/relationships/hyperlink" Target="https://youtu.be/1wjTU84TQpw?t=2093" TargetMode="External"/><Relationship Id="rId88" Type="http://schemas.openxmlformats.org/officeDocument/2006/relationships/hyperlink" Target="https://youtu.be/qJxMX5ECETM?t=3045" TargetMode="External"/><Relationship Id="rId150" Type="http://schemas.openxmlformats.org/officeDocument/2006/relationships/hyperlink" Target="https://youtu.be/mM9QazmCv8Q?t=3868" TargetMode="External"/><Relationship Id="rId87" Type="http://schemas.openxmlformats.org/officeDocument/2006/relationships/hyperlink" Target="https://youtu.be/1wjTU84TQpw?t=3052" TargetMode="External"/><Relationship Id="rId89" Type="http://schemas.openxmlformats.org/officeDocument/2006/relationships/hyperlink" Target="https://youtu.be/1wjTU84TQpw?t=3990" TargetMode="External"/><Relationship Id="rId80" Type="http://schemas.openxmlformats.org/officeDocument/2006/relationships/hyperlink" Target="https://youtu.be/TEaHo5AEm0U?t=8690" TargetMode="External"/><Relationship Id="rId82" Type="http://schemas.openxmlformats.org/officeDocument/2006/relationships/hyperlink" Target="https://youtu.be/qJxMX5ECETM" TargetMode="External"/><Relationship Id="rId81" Type="http://schemas.openxmlformats.org/officeDocument/2006/relationships/hyperlink" Target="https://youtu.be/1wjTU84TQpw" TargetMode="External"/><Relationship Id="rId1" Type="http://schemas.openxmlformats.org/officeDocument/2006/relationships/hyperlink" Target="https://youtu.be/S4XfujCx4OY" TargetMode="External"/><Relationship Id="rId2" Type="http://schemas.openxmlformats.org/officeDocument/2006/relationships/hyperlink" Target="https://youtu.be/S5wltpeGhV8" TargetMode="External"/><Relationship Id="rId3" Type="http://schemas.openxmlformats.org/officeDocument/2006/relationships/hyperlink" Target="https://youtu.be/S4XfujCx4OY?t=1028" TargetMode="External"/><Relationship Id="rId149" Type="http://schemas.openxmlformats.org/officeDocument/2006/relationships/hyperlink" Target="https://youtu.be/RVBt7R3nf34?t=3801" TargetMode="External"/><Relationship Id="rId4" Type="http://schemas.openxmlformats.org/officeDocument/2006/relationships/hyperlink" Target="https://youtu.be/S5wltpeGhV8?t=1035" TargetMode="External"/><Relationship Id="rId148" Type="http://schemas.openxmlformats.org/officeDocument/2006/relationships/hyperlink" Target="https://youtu.be/mM9QazmCv8Q?t=2912" TargetMode="External"/><Relationship Id="rId9" Type="http://schemas.openxmlformats.org/officeDocument/2006/relationships/hyperlink" Target="https://youtu.be/S4XfujCx4OY?t=3760" TargetMode="External"/><Relationship Id="rId143" Type="http://schemas.openxmlformats.org/officeDocument/2006/relationships/hyperlink" Target="https://youtu.be/RVBt7R3nf34?t=978" TargetMode="External"/><Relationship Id="rId142" Type="http://schemas.openxmlformats.org/officeDocument/2006/relationships/hyperlink" Target="https://youtu.be/mM9QazmCv8Q" TargetMode="External"/><Relationship Id="rId141" Type="http://schemas.openxmlformats.org/officeDocument/2006/relationships/hyperlink" Target="https://youtu.be/RVBt7R3nf34" TargetMode="External"/><Relationship Id="rId140" Type="http://schemas.openxmlformats.org/officeDocument/2006/relationships/hyperlink" Target="https://youtu.be/A70D0RYAb30?t=8610" TargetMode="External"/><Relationship Id="rId5" Type="http://schemas.openxmlformats.org/officeDocument/2006/relationships/hyperlink" Target="https://youtu.be/S4XfujCx4OY?t=1930" TargetMode="External"/><Relationship Id="rId147" Type="http://schemas.openxmlformats.org/officeDocument/2006/relationships/hyperlink" Target="https://youtu.be/RVBt7R3nf34?t=2869" TargetMode="External"/><Relationship Id="rId6" Type="http://schemas.openxmlformats.org/officeDocument/2006/relationships/hyperlink" Target="https://youtu.be/S5wltpeGhV8?t=1978" TargetMode="External"/><Relationship Id="rId146" Type="http://schemas.openxmlformats.org/officeDocument/2006/relationships/hyperlink" Target="https://youtu.be/mM9QazmCv8Q?t=1960" TargetMode="External"/><Relationship Id="rId7" Type="http://schemas.openxmlformats.org/officeDocument/2006/relationships/hyperlink" Target="https://youtu.be/S4XfujCx4OY?t=2851" TargetMode="External"/><Relationship Id="rId145" Type="http://schemas.openxmlformats.org/officeDocument/2006/relationships/hyperlink" Target="https://youtu.be/RVBt7R3nf34?t=1890" TargetMode="External"/><Relationship Id="rId8" Type="http://schemas.openxmlformats.org/officeDocument/2006/relationships/hyperlink" Target="https://youtu.be/S5wltpeGhV8?t=2865" TargetMode="External"/><Relationship Id="rId144" Type="http://schemas.openxmlformats.org/officeDocument/2006/relationships/hyperlink" Target="https://youtu.be/mM9QazmCv8Q?t=1005" TargetMode="External"/><Relationship Id="rId73" Type="http://schemas.openxmlformats.org/officeDocument/2006/relationships/hyperlink" Target="https://youtu.be/hQoSVPU1Ghs?t=5663" TargetMode="External"/><Relationship Id="rId72" Type="http://schemas.openxmlformats.org/officeDocument/2006/relationships/hyperlink" Target="https://youtu.be/TEaHo5AEm0U?t=4827" TargetMode="External"/><Relationship Id="rId75" Type="http://schemas.openxmlformats.org/officeDocument/2006/relationships/hyperlink" Target="https://youtu.be/hQoSVPU1Ghs?t=6629" TargetMode="External"/><Relationship Id="rId74" Type="http://schemas.openxmlformats.org/officeDocument/2006/relationships/hyperlink" Target="https://youtu.be/TEaHo5AEm0U?t=5799" TargetMode="External"/><Relationship Id="rId77" Type="http://schemas.openxmlformats.org/officeDocument/2006/relationships/hyperlink" Target="https://youtu.be/hQoSVPU1Ghs?t=7524" TargetMode="External"/><Relationship Id="rId76" Type="http://schemas.openxmlformats.org/officeDocument/2006/relationships/hyperlink" Target="https://youtu.be/TEaHo5AEm0U?t=6772" TargetMode="External"/><Relationship Id="rId79" Type="http://schemas.openxmlformats.org/officeDocument/2006/relationships/hyperlink" Target="https://youtu.be/hQoSVPU1Ghs?t=8534" TargetMode="External"/><Relationship Id="rId78" Type="http://schemas.openxmlformats.org/officeDocument/2006/relationships/hyperlink" Target="https://youtu.be/TEaHo5AEm0U?t=7744" TargetMode="External"/><Relationship Id="rId71" Type="http://schemas.openxmlformats.org/officeDocument/2006/relationships/hyperlink" Target="https://youtu.be/hQoSVPU1Ghs?t=4653" TargetMode="External"/><Relationship Id="rId70" Type="http://schemas.openxmlformats.org/officeDocument/2006/relationships/hyperlink" Target="https://youtu.be/TEaHo5AEm0U?t=3814" TargetMode="External"/><Relationship Id="rId139" Type="http://schemas.openxmlformats.org/officeDocument/2006/relationships/hyperlink" Target="https://youtu.be/ukyREiKupMk?t=8506" TargetMode="External"/><Relationship Id="rId138" Type="http://schemas.openxmlformats.org/officeDocument/2006/relationships/hyperlink" Target="https://youtu.be/A70D0RYAb30?t=6751" TargetMode="External"/><Relationship Id="rId137" Type="http://schemas.openxmlformats.org/officeDocument/2006/relationships/hyperlink" Target="https://youtu.be/ukyREiKupMk?t=7578" TargetMode="External"/><Relationship Id="rId132" Type="http://schemas.openxmlformats.org/officeDocument/2006/relationships/hyperlink" Target="https://youtu.be/A70D0RYAb30?t=4807" TargetMode="External"/><Relationship Id="rId131" Type="http://schemas.openxmlformats.org/officeDocument/2006/relationships/hyperlink" Target="https://youtu.be/ukyREiKupMk?t=4733" TargetMode="External"/><Relationship Id="rId130" Type="http://schemas.openxmlformats.org/officeDocument/2006/relationships/hyperlink" Target="https://youtu.be/A70D0RYAb30?t=3838" TargetMode="External"/><Relationship Id="rId136" Type="http://schemas.openxmlformats.org/officeDocument/2006/relationships/hyperlink" Target="https://youtu.be/A70D0RYAb30?t=6751" TargetMode="External"/><Relationship Id="rId135" Type="http://schemas.openxmlformats.org/officeDocument/2006/relationships/hyperlink" Target="https://youtu.be/ukyREiKupMk?t=6666" TargetMode="External"/><Relationship Id="rId134" Type="http://schemas.openxmlformats.org/officeDocument/2006/relationships/hyperlink" Target="https://youtu.be/A70D0RYAb30?t=5772" TargetMode="External"/><Relationship Id="rId133" Type="http://schemas.openxmlformats.org/officeDocument/2006/relationships/hyperlink" Target="https://youtu.be/ukyREiKupMk?t=5719" TargetMode="External"/><Relationship Id="rId62" Type="http://schemas.openxmlformats.org/officeDocument/2006/relationships/hyperlink" Target="https://youtu.be/TEaHo5AEm0U" TargetMode="External"/><Relationship Id="rId61" Type="http://schemas.openxmlformats.org/officeDocument/2006/relationships/hyperlink" Target="https://youtu.be/hQoSVPU1Ghs" TargetMode="External"/><Relationship Id="rId64" Type="http://schemas.openxmlformats.org/officeDocument/2006/relationships/hyperlink" Target="https://youtu.be/TEaHo5AEm0U?t=1134" TargetMode="External"/><Relationship Id="rId63" Type="http://schemas.openxmlformats.org/officeDocument/2006/relationships/hyperlink" Target="https://youtu.be/hQoSVPU1Ghs?t=984" TargetMode="External"/><Relationship Id="rId66" Type="http://schemas.openxmlformats.org/officeDocument/2006/relationships/hyperlink" Target="https://youtu.be/TEaHo5AEm0U?t=2018" TargetMode="External"/><Relationship Id="rId172" Type="http://schemas.openxmlformats.org/officeDocument/2006/relationships/hyperlink" Target="https://youtu.be/D0fCU_FGZfY?t=4945" TargetMode="External"/><Relationship Id="rId65" Type="http://schemas.openxmlformats.org/officeDocument/2006/relationships/hyperlink" Target="https://youtu.be/hQoSVPU1Ghs?t=1927" TargetMode="External"/><Relationship Id="rId171" Type="http://schemas.openxmlformats.org/officeDocument/2006/relationships/hyperlink" Target="https://youtu.be/4K5eDYYqVYc?t=4966" TargetMode="External"/><Relationship Id="rId68" Type="http://schemas.openxmlformats.org/officeDocument/2006/relationships/hyperlink" Target="https://youtu.be/TEaHo5AEm0U?t=2950" TargetMode="External"/><Relationship Id="rId170" Type="http://schemas.openxmlformats.org/officeDocument/2006/relationships/hyperlink" Target="https://youtu.be/D0fCU_FGZfY?t=4030" TargetMode="External"/><Relationship Id="rId67" Type="http://schemas.openxmlformats.org/officeDocument/2006/relationships/hyperlink" Target="https://youtu.be/hQoSVPU1Ghs?t=2792" TargetMode="External"/><Relationship Id="rId60" Type="http://schemas.openxmlformats.org/officeDocument/2006/relationships/hyperlink" Target="https://youtu.be/gjcQH31X9zY?t=8699" TargetMode="External"/><Relationship Id="rId165" Type="http://schemas.openxmlformats.org/officeDocument/2006/relationships/hyperlink" Target="https://youtu.be/4K5eDYYqVYc?t=2045" TargetMode="External"/><Relationship Id="rId69" Type="http://schemas.openxmlformats.org/officeDocument/2006/relationships/hyperlink" Target="https://youtu.be/hQoSVPU1Ghs?t=3810" TargetMode="External"/><Relationship Id="rId164" Type="http://schemas.openxmlformats.org/officeDocument/2006/relationships/hyperlink" Target="https://youtu.be/D0fCU_FGZfY?t=1055" TargetMode="External"/><Relationship Id="rId163" Type="http://schemas.openxmlformats.org/officeDocument/2006/relationships/hyperlink" Target="https://youtu.be/4K5eDYYqVYc?t=995" TargetMode="External"/><Relationship Id="rId162" Type="http://schemas.openxmlformats.org/officeDocument/2006/relationships/hyperlink" Target="https://youtu.be/D0fCU_FGZfY" TargetMode="External"/><Relationship Id="rId169" Type="http://schemas.openxmlformats.org/officeDocument/2006/relationships/hyperlink" Target="https://youtu.be/4K5eDYYqVYc?t=4021" TargetMode="External"/><Relationship Id="rId168" Type="http://schemas.openxmlformats.org/officeDocument/2006/relationships/hyperlink" Target="https://youtu.be/D0fCU_FGZfY?t=3055" TargetMode="External"/><Relationship Id="rId167" Type="http://schemas.openxmlformats.org/officeDocument/2006/relationships/hyperlink" Target="https://youtu.be/4K5eDYYqVYc?t=3015" TargetMode="External"/><Relationship Id="rId166" Type="http://schemas.openxmlformats.org/officeDocument/2006/relationships/hyperlink" Target="https://youtu.be/D0fCU_FGZfY?t=2078" TargetMode="External"/><Relationship Id="rId51" Type="http://schemas.openxmlformats.org/officeDocument/2006/relationships/hyperlink" Target="https://youtu.be/JMSQTXQd6-I?t=4723" TargetMode="External"/><Relationship Id="rId50" Type="http://schemas.openxmlformats.org/officeDocument/2006/relationships/hyperlink" Target="https://youtu.be/gjcQH31X9zY?t=3853" TargetMode="External"/><Relationship Id="rId53" Type="http://schemas.openxmlformats.org/officeDocument/2006/relationships/hyperlink" Target="https://youtu.be/JMSQTXQd6-I?t=5785" TargetMode="External"/><Relationship Id="rId52" Type="http://schemas.openxmlformats.org/officeDocument/2006/relationships/hyperlink" Target="https://youtu.be/gjcQH31X9zY?t=4861" TargetMode="External"/><Relationship Id="rId55" Type="http://schemas.openxmlformats.org/officeDocument/2006/relationships/hyperlink" Target="https://youtu.be/JMSQTXQd6-I?t=6737" TargetMode="External"/><Relationship Id="rId161" Type="http://schemas.openxmlformats.org/officeDocument/2006/relationships/hyperlink" Target="https://youtu.be/4K5eDYYqVYc" TargetMode="External"/><Relationship Id="rId54" Type="http://schemas.openxmlformats.org/officeDocument/2006/relationships/hyperlink" Target="https://youtu.be/gjcQH31X9zY?t=5750" TargetMode="External"/><Relationship Id="rId160" Type="http://schemas.openxmlformats.org/officeDocument/2006/relationships/hyperlink" Target="https://youtu.be/mM9QazmCv8Q?t=8613" TargetMode="External"/><Relationship Id="rId57" Type="http://schemas.openxmlformats.org/officeDocument/2006/relationships/hyperlink" Target="https://youtu.be/JMSQTXQd6-I?t=7590" TargetMode="External"/><Relationship Id="rId56" Type="http://schemas.openxmlformats.org/officeDocument/2006/relationships/hyperlink" Target="https://youtu.be/gjcQH31X9zY?t=6842" TargetMode="External"/><Relationship Id="rId159" Type="http://schemas.openxmlformats.org/officeDocument/2006/relationships/hyperlink" Target="https://youtu.be/RVBt7R3nf34?t=8548" TargetMode="External"/><Relationship Id="rId59" Type="http://schemas.openxmlformats.org/officeDocument/2006/relationships/hyperlink" Target="https://youtu.be/JMSQTXQd6-I?t=8549" TargetMode="External"/><Relationship Id="rId154" Type="http://schemas.openxmlformats.org/officeDocument/2006/relationships/hyperlink" Target="https://youtu.be/mM9QazmCv8Q?t=5755" TargetMode="External"/><Relationship Id="rId58" Type="http://schemas.openxmlformats.org/officeDocument/2006/relationships/hyperlink" Target="https://youtu.be/gjcQH31X9zY?t=7805" TargetMode="External"/><Relationship Id="rId153" Type="http://schemas.openxmlformats.org/officeDocument/2006/relationships/hyperlink" Target="https://youtu.be/RVBt7R3nf34?t=5681" TargetMode="External"/><Relationship Id="rId152" Type="http://schemas.openxmlformats.org/officeDocument/2006/relationships/hyperlink" Target="https://youtu.be/mM9QazmCv8Q?t=4810" TargetMode="External"/><Relationship Id="rId151" Type="http://schemas.openxmlformats.org/officeDocument/2006/relationships/hyperlink" Target="https://youtu.be/RVBt7R3nf34?t=4752" TargetMode="External"/><Relationship Id="rId158" Type="http://schemas.openxmlformats.org/officeDocument/2006/relationships/hyperlink" Target="https://youtu.be/mM9QazmCv8Q?t=7647" TargetMode="External"/><Relationship Id="rId157" Type="http://schemas.openxmlformats.org/officeDocument/2006/relationships/hyperlink" Target="https://youtu.be/RVBt7R3nf34?t=7640" TargetMode="External"/><Relationship Id="rId156" Type="http://schemas.openxmlformats.org/officeDocument/2006/relationships/hyperlink" Target="https://youtu.be/mM9QazmCv8Q?t=6699" TargetMode="External"/><Relationship Id="rId155" Type="http://schemas.openxmlformats.org/officeDocument/2006/relationships/hyperlink" Target="https://youtu.be/RVBt7R3nf34?t=6655" TargetMode="External"/><Relationship Id="rId107" Type="http://schemas.openxmlformats.org/officeDocument/2006/relationships/hyperlink" Target="https://youtu.be/fIAFQsOS-hs?t=2837" TargetMode="External"/><Relationship Id="rId228" Type="http://schemas.openxmlformats.org/officeDocument/2006/relationships/hyperlink" Target="https://youtu.be/ugtT7v2lz64?t=2853" TargetMode="External"/><Relationship Id="rId106" Type="http://schemas.openxmlformats.org/officeDocument/2006/relationships/hyperlink" Target="https://youtu.be/RCQrrisZBx0?t=1940" TargetMode="External"/><Relationship Id="rId227" Type="http://schemas.openxmlformats.org/officeDocument/2006/relationships/hyperlink" Target="https://youtu.be/Al-IgMWhqu8?t=2879" TargetMode="External"/><Relationship Id="rId105" Type="http://schemas.openxmlformats.org/officeDocument/2006/relationships/hyperlink" Target="https://youtu.be/fIAFQsOS-hs?t=1893" TargetMode="External"/><Relationship Id="rId226" Type="http://schemas.openxmlformats.org/officeDocument/2006/relationships/hyperlink" Target="https://youtu.be/ugtT7v2lz64?t=1964" TargetMode="External"/><Relationship Id="rId104" Type="http://schemas.openxmlformats.org/officeDocument/2006/relationships/hyperlink" Target="https://youtu.be/RCQrrisZBx0" TargetMode="External"/><Relationship Id="rId225" Type="http://schemas.openxmlformats.org/officeDocument/2006/relationships/hyperlink" Target="https://youtu.be/Al-IgMWhqu8?t=1936" TargetMode="External"/><Relationship Id="rId109" Type="http://schemas.openxmlformats.org/officeDocument/2006/relationships/hyperlink" Target="https://youtu.be/fIAFQsOS-hs?t=3791" TargetMode="External"/><Relationship Id="rId108" Type="http://schemas.openxmlformats.org/officeDocument/2006/relationships/hyperlink" Target="https://youtu.be/RCQrrisZBx0?t=2834" TargetMode="External"/><Relationship Id="rId229" Type="http://schemas.openxmlformats.org/officeDocument/2006/relationships/hyperlink" Target="https://youtu.be/Al-IgMWhqu8?t=3801" TargetMode="External"/><Relationship Id="rId220" Type="http://schemas.openxmlformats.org/officeDocument/2006/relationships/hyperlink" Target="https://youtu.be/PPzB4CUQjMU?t=8583" TargetMode="External"/><Relationship Id="rId103" Type="http://schemas.openxmlformats.org/officeDocument/2006/relationships/hyperlink" Target="https://youtu.be/fIAFQsOS-hs?t=990" TargetMode="External"/><Relationship Id="rId224" Type="http://schemas.openxmlformats.org/officeDocument/2006/relationships/hyperlink" Target="https://youtu.be/ugtT7v2lz64?t=1018" TargetMode="External"/><Relationship Id="rId102" Type="http://schemas.openxmlformats.org/officeDocument/2006/relationships/hyperlink" Target="https://youtu.be/RCQrrisZBx0" TargetMode="External"/><Relationship Id="rId223" Type="http://schemas.openxmlformats.org/officeDocument/2006/relationships/hyperlink" Target="https://youtu.be/Al-IgMWhqu8?t=1004" TargetMode="External"/><Relationship Id="rId101" Type="http://schemas.openxmlformats.org/officeDocument/2006/relationships/hyperlink" Target="https://youtu.be/fIAFQsOS-hs" TargetMode="External"/><Relationship Id="rId222" Type="http://schemas.openxmlformats.org/officeDocument/2006/relationships/hyperlink" Target="https://youtu.be/ugtT7v2lz64" TargetMode="External"/><Relationship Id="rId100" Type="http://schemas.openxmlformats.org/officeDocument/2006/relationships/hyperlink" Target="https://youtu.be/qJxMX5ECETM?t=8563" TargetMode="External"/><Relationship Id="rId221" Type="http://schemas.openxmlformats.org/officeDocument/2006/relationships/hyperlink" Target="https://youtu.be/Al-IgMWhqu8" TargetMode="External"/><Relationship Id="rId217" Type="http://schemas.openxmlformats.org/officeDocument/2006/relationships/hyperlink" Target="https://youtu.be/gvrUMGe0820?t=7572" TargetMode="External"/><Relationship Id="rId216" Type="http://schemas.openxmlformats.org/officeDocument/2006/relationships/hyperlink" Target="https://youtu.be/PPzB4CUQjMU?t=6605" TargetMode="External"/><Relationship Id="rId215" Type="http://schemas.openxmlformats.org/officeDocument/2006/relationships/hyperlink" Target="https://youtu.be/gvrUMGe0820?t=6622" TargetMode="External"/><Relationship Id="rId214" Type="http://schemas.openxmlformats.org/officeDocument/2006/relationships/hyperlink" Target="https://youtu.be/PPzB4CUQjMU?t=5655" TargetMode="External"/><Relationship Id="rId219" Type="http://schemas.openxmlformats.org/officeDocument/2006/relationships/hyperlink" Target="https://youtu.be/gvrUMGe0820?t=8505" TargetMode="External"/><Relationship Id="rId218" Type="http://schemas.openxmlformats.org/officeDocument/2006/relationships/hyperlink" Target="https://youtu.be/PPzB4CUQjMU?t=7594" TargetMode="External"/><Relationship Id="rId213" Type="http://schemas.openxmlformats.org/officeDocument/2006/relationships/hyperlink" Target="https://youtu.be/gvrUMGe0820?t=5654" TargetMode="External"/><Relationship Id="rId212" Type="http://schemas.openxmlformats.org/officeDocument/2006/relationships/hyperlink" Target="https://youtu.be/PPzB4CUQjMU?t=4751" TargetMode="External"/><Relationship Id="rId211" Type="http://schemas.openxmlformats.org/officeDocument/2006/relationships/hyperlink" Target="https://youtu.be/gvrUMGe0820?t=4729" TargetMode="External"/><Relationship Id="rId210" Type="http://schemas.openxmlformats.org/officeDocument/2006/relationships/hyperlink" Target="https://youtu.be/PPzB4CUQjMU?t=3823" TargetMode="External"/><Relationship Id="rId129" Type="http://schemas.openxmlformats.org/officeDocument/2006/relationships/hyperlink" Target="https://youtu.be/ukyREiKupMk?t=3823" TargetMode="External"/><Relationship Id="rId128" Type="http://schemas.openxmlformats.org/officeDocument/2006/relationships/hyperlink" Target="https://youtu.be/A70D0RYAb30?t=2873" TargetMode="External"/><Relationship Id="rId127" Type="http://schemas.openxmlformats.org/officeDocument/2006/relationships/hyperlink" Target="https://youtu.be/ukyREiKupMk?t=2871" TargetMode="External"/><Relationship Id="rId126" Type="http://schemas.openxmlformats.org/officeDocument/2006/relationships/hyperlink" Target="https://youtu.be/A70D0RYAb30?t=1949" TargetMode="External"/><Relationship Id="rId121" Type="http://schemas.openxmlformats.org/officeDocument/2006/relationships/hyperlink" Target="https://youtu.be/ukyREiKupMk" TargetMode="External"/><Relationship Id="rId120" Type="http://schemas.openxmlformats.org/officeDocument/2006/relationships/hyperlink" Target="https://youtu.be/RCQrrisZBx0?t=8728" TargetMode="External"/><Relationship Id="rId241" Type="http://schemas.openxmlformats.org/officeDocument/2006/relationships/drawing" Target="../drawings/drawing40.xml"/><Relationship Id="rId240" Type="http://schemas.openxmlformats.org/officeDocument/2006/relationships/hyperlink" Target="https://youtu.be/ugtT7v2lz64?t=8614" TargetMode="External"/><Relationship Id="rId125" Type="http://schemas.openxmlformats.org/officeDocument/2006/relationships/hyperlink" Target="https://youtu.be/ukyREiKupMk?t=1938" TargetMode="External"/><Relationship Id="rId124" Type="http://schemas.openxmlformats.org/officeDocument/2006/relationships/hyperlink" Target="https://youtu.be/A70D0RYAb30?t=1029" TargetMode="External"/><Relationship Id="rId123" Type="http://schemas.openxmlformats.org/officeDocument/2006/relationships/hyperlink" Target="https://youtu.be/ukyREiKupMk?t=1012" TargetMode="External"/><Relationship Id="rId122" Type="http://schemas.openxmlformats.org/officeDocument/2006/relationships/hyperlink" Target="https://youtu.be/A70D0RYAb30?t=100" TargetMode="External"/><Relationship Id="rId95" Type="http://schemas.openxmlformats.org/officeDocument/2006/relationships/hyperlink" Target="https://youtu.be/1wjTU84TQpw?t=6836" TargetMode="External"/><Relationship Id="rId94" Type="http://schemas.openxmlformats.org/officeDocument/2006/relationships/hyperlink" Target="https://youtu.be/qJxMX5ECETM?t=5700" TargetMode="External"/><Relationship Id="rId97" Type="http://schemas.openxmlformats.org/officeDocument/2006/relationships/hyperlink" Target="https://youtu.be/1wjTU84TQpw?t=7850" TargetMode="External"/><Relationship Id="rId96" Type="http://schemas.openxmlformats.org/officeDocument/2006/relationships/hyperlink" Target="https://youtu.be/qJxMX5ECETM?t=6676" TargetMode="External"/><Relationship Id="rId99" Type="http://schemas.openxmlformats.org/officeDocument/2006/relationships/hyperlink" Target="https://youtu.be/1wjTU84TQpw?t=8758" TargetMode="External"/><Relationship Id="rId98" Type="http://schemas.openxmlformats.org/officeDocument/2006/relationships/hyperlink" Target="https://youtu.be/qJxMX5ECETM?t=7608" TargetMode="External"/><Relationship Id="rId91" Type="http://schemas.openxmlformats.org/officeDocument/2006/relationships/hyperlink" Target="https://youtu.be/1wjTU84TQpw?t=4944" TargetMode="External"/><Relationship Id="rId90" Type="http://schemas.openxmlformats.org/officeDocument/2006/relationships/hyperlink" Target="https://youtu.be/qJxMX5ECETM?t=3880" TargetMode="External"/><Relationship Id="rId93" Type="http://schemas.openxmlformats.org/officeDocument/2006/relationships/hyperlink" Target="https://youtu.be/1wjTU84TQpw?t=5892" TargetMode="External"/><Relationship Id="rId92" Type="http://schemas.openxmlformats.org/officeDocument/2006/relationships/hyperlink" Target="https://youtu.be/qJxMX5ECETM?t=4708" TargetMode="External"/><Relationship Id="rId118" Type="http://schemas.openxmlformats.org/officeDocument/2006/relationships/hyperlink" Target="https://youtu.be/RCQrrisZBx0?t=7820" TargetMode="External"/><Relationship Id="rId239" Type="http://schemas.openxmlformats.org/officeDocument/2006/relationships/hyperlink" Target="https://youtu.be/Al-IgMWhqu8?t=8643" TargetMode="External"/><Relationship Id="rId117" Type="http://schemas.openxmlformats.org/officeDocument/2006/relationships/hyperlink" Target="https://youtu.be/fIAFQsOS-hs?t=7838" TargetMode="External"/><Relationship Id="rId238" Type="http://schemas.openxmlformats.org/officeDocument/2006/relationships/hyperlink" Target="https://youtu.be/ugtT7v2lz64?t=7654" TargetMode="External"/><Relationship Id="rId116" Type="http://schemas.openxmlformats.org/officeDocument/2006/relationships/hyperlink" Target="https://youtu.be/RCQrrisZBx0?t=6818" TargetMode="External"/><Relationship Id="rId237" Type="http://schemas.openxmlformats.org/officeDocument/2006/relationships/hyperlink" Target="https://youtu.be/Al-IgMWhqu8?t=7726" TargetMode="External"/><Relationship Id="rId115" Type="http://schemas.openxmlformats.org/officeDocument/2006/relationships/hyperlink" Target="https://youtu.be/fIAFQsOS-hs?t=6848" TargetMode="External"/><Relationship Id="rId236" Type="http://schemas.openxmlformats.org/officeDocument/2006/relationships/hyperlink" Target="https://youtu.be/ugtT7v2lz64?t=6688" TargetMode="External"/><Relationship Id="rId119" Type="http://schemas.openxmlformats.org/officeDocument/2006/relationships/hyperlink" Target="https://youtu.be/fIAFQsOS-hs?t=8783" TargetMode="External"/><Relationship Id="rId110" Type="http://schemas.openxmlformats.org/officeDocument/2006/relationships/hyperlink" Target="https://youtu.be/RCQrrisZBx0?t=3753" TargetMode="External"/><Relationship Id="rId231" Type="http://schemas.openxmlformats.org/officeDocument/2006/relationships/hyperlink" Target="https://youtu.be/Al-IgMWhqu8?t=4834" TargetMode="External"/><Relationship Id="rId230" Type="http://schemas.openxmlformats.org/officeDocument/2006/relationships/hyperlink" Target="https://youtu.be/ugtT7v2lz64?t=3798" TargetMode="External"/><Relationship Id="rId114" Type="http://schemas.openxmlformats.org/officeDocument/2006/relationships/hyperlink" Target="https://youtu.be/RCQrrisZBx0?t=5905" TargetMode="External"/><Relationship Id="rId235" Type="http://schemas.openxmlformats.org/officeDocument/2006/relationships/hyperlink" Target="https://youtu.be/Al-IgMWhqu8?t=6733" TargetMode="External"/><Relationship Id="rId113" Type="http://schemas.openxmlformats.org/officeDocument/2006/relationships/hyperlink" Target="https://youtu.be/fIAFQsOS-hs?t=5874" TargetMode="External"/><Relationship Id="rId234" Type="http://schemas.openxmlformats.org/officeDocument/2006/relationships/hyperlink" Target="https://youtu.be/ugtT7v2lz64?t=5776" TargetMode="External"/><Relationship Id="rId112" Type="http://schemas.openxmlformats.org/officeDocument/2006/relationships/hyperlink" Target="https://youtu.be/RCQrrisZBx0?t=4915" TargetMode="External"/><Relationship Id="rId233" Type="http://schemas.openxmlformats.org/officeDocument/2006/relationships/hyperlink" Target="https://youtu.be/Al-IgMWhqu8?t=5815" TargetMode="External"/><Relationship Id="rId111" Type="http://schemas.openxmlformats.org/officeDocument/2006/relationships/hyperlink" Target="https://youtu.be/fIAFQsOS-hs?t=4934" TargetMode="External"/><Relationship Id="rId232" Type="http://schemas.openxmlformats.org/officeDocument/2006/relationships/hyperlink" Target="https://youtu.be/ugtT7v2lz64?t=4806" TargetMode="External"/><Relationship Id="rId206" Type="http://schemas.openxmlformats.org/officeDocument/2006/relationships/hyperlink" Target="https://youtu.be/PPzB4CUQjMU?t=1927" TargetMode="External"/><Relationship Id="rId205" Type="http://schemas.openxmlformats.org/officeDocument/2006/relationships/hyperlink" Target="https://youtu.be/gvrUMGe0820?t=1965" TargetMode="External"/><Relationship Id="rId204" Type="http://schemas.openxmlformats.org/officeDocument/2006/relationships/hyperlink" Target="https://youtu.be/PPzB4CUQjMU?t=980" TargetMode="External"/><Relationship Id="rId203" Type="http://schemas.openxmlformats.org/officeDocument/2006/relationships/hyperlink" Target="https://youtu.be/gvrUMGe0820?t=984" TargetMode="External"/><Relationship Id="rId209" Type="http://schemas.openxmlformats.org/officeDocument/2006/relationships/hyperlink" Target="https://youtu.be/gvrUMGe0820?t=3809" TargetMode="External"/><Relationship Id="rId208" Type="http://schemas.openxmlformats.org/officeDocument/2006/relationships/hyperlink" Target="https://youtu.be/PPzB4CUQjMU?t=2860" TargetMode="External"/><Relationship Id="rId207" Type="http://schemas.openxmlformats.org/officeDocument/2006/relationships/hyperlink" Target="https://youtu.be/gvrUMGe0820?t=2900" TargetMode="External"/><Relationship Id="rId202" Type="http://schemas.openxmlformats.org/officeDocument/2006/relationships/hyperlink" Target="https://youtu.be/PPzB4CUQjMU" TargetMode="External"/><Relationship Id="rId201" Type="http://schemas.openxmlformats.org/officeDocument/2006/relationships/hyperlink" Target="https://youtu.be/gvrUMGe0820" TargetMode="External"/><Relationship Id="rId200" Type="http://schemas.openxmlformats.org/officeDocument/2006/relationships/hyperlink" Target="https://youtu.be/VSXvQ2knZDA?t=8672" TargetMode="External"/></Relationships>
</file>

<file path=xl/worksheets/_rels/sheet4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6mbbZ852KSw?t=8635" TargetMode="External"/><Relationship Id="rId190" Type="http://schemas.openxmlformats.org/officeDocument/2006/relationships/hyperlink" Target="https://youtu.be/5WitJ6FhW84?t=3931" TargetMode="External"/><Relationship Id="rId42" Type="http://schemas.openxmlformats.org/officeDocument/2006/relationships/hyperlink" Target="https://youtu.be/xo4ElDum4Zc" TargetMode="External"/><Relationship Id="rId41" Type="http://schemas.openxmlformats.org/officeDocument/2006/relationships/hyperlink" Target="https://youtu.be/VC28RMjZDaQ" TargetMode="External"/><Relationship Id="rId44" Type="http://schemas.openxmlformats.org/officeDocument/2006/relationships/hyperlink" Target="https://youtu.be/xo4ElDum4Zc?t=992" TargetMode="External"/><Relationship Id="rId194" Type="http://schemas.openxmlformats.org/officeDocument/2006/relationships/hyperlink" Target="https://youtu.be/5WitJ6FhW84?t=5902" TargetMode="External"/><Relationship Id="rId43" Type="http://schemas.openxmlformats.org/officeDocument/2006/relationships/hyperlink" Target="https://youtu.be/VC28RMjZDaQ?t=947" TargetMode="External"/><Relationship Id="rId193" Type="http://schemas.openxmlformats.org/officeDocument/2006/relationships/hyperlink" Target="https://youtu.be/k5L347OTm-c?t=5742" TargetMode="External"/><Relationship Id="rId46" Type="http://schemas.openxmlformats.org/officeDocument/2006/relationships/hyperlink" Target="https://youtu.be/xo4ElDum4Zc?t=1911" TargetMode="External"/><Relationship Id="rId192" Type="http://schemas.openxmlformats.org/officeDocument/2006/relationships/hyperlink" Target="https://youtu.be/5WitJ6FhW84?t=4979" TargetMode="External"/><Relationship Id="rId45" Type="http://schemas.openxmlformats.org/officeDocument/2006/relationships/hyperlink" Target="https://youtu.be/VC28RMjZDaQ?t=1825" TargetMode="External"/><Relationship Id="rId191" Type="http://schemas.openxmlformats.org/officeDocument/2006/relationships/hyperlink" Target="https://youtu.be/k5L347OTm-c?t=4823" TargetMode="External"/><Relationship Id="rId48" Type="http://schemas.openxmlformats.org/officeDocument/2006/relationships/hyperlink" Target="https://youtu.be/xo4ElDum4Zc?t=2802" TargetMode="External"/><Relationship Id="rId187" Type="http://schemas.openxmlformats.org/officeDocument/2006/relationships/hyperlink" Target="https://youtu.be/k5L347OTm-c?t=2960" TargetMode="External"/><Relationship Id="rId47" Type="http://schemas.openxmlformats.org/officeDocument/2006/relationships/hyperlink" Target="https://youtu.be/VC28RMjZDaQ?t=2733" TargetMode="External"/><Relationship Id="rId186" Type="http://schemas.openxmlformats.org/officeDocument/2006/relationships/hyperlink" Target="https://youtu.be/5WitJ6FhW84?t=2029" TargetMode="External"/><Relationship Id="rId185" Type="http://schemas.openxmlformats.org/officeDocument/2006/relationships/hyperlink" Target="https://youtu.be/k5L347OTm-c?t=2026" TargetMode="External"/><Relationship Id="rId49" Type="http://schemas.openxmlformats.org/officeDocument/2006/relationships/hyperlink" Target="https://youtu.be/VC28RMjZDaQ?t=3641" TargetMode="External"/><Relationship Id="rId184" Type="http://schemas.openxmlformats.org/officeDocument/2006/relationships/hyperlink" Target="https://youtu.be/5WitJ6FhW84?t=1012" TargetMode="External"/><Relationship Id="rId189" Type="http://schemas.openxmlformats.org/officeDocument/2006/relationships/hyperlink" Target="https://youtu.be/k5L347OTm-c?t=3899" TargetMode="External"/><Relationship Id="rId188" Type="http://schemas.openxmlformats.org/officeDocument/2006/relationships/hyperlink" Target="https://youtu.be/5WitJ6FhW84?t=3039" TargetMode="External"/><Relationship Id="rId31" Type="http://schemas.openxmlformats.org/officeDocument/2006/relationships/hyperlink" Target="https://youtu.be/27d9RSbiupY?t=4909" TargetMode="External"/><Relationship Id="rId30" Type="http://schemas.openxmlformats.org/officeDocument/2006/relationships/hyperlink" Target="https://youtu.be/6mbbZ852KSw?t=4099" TargetMode="External"/><Relationship Id="rId33" Type="http://schemas.openxmlformats.org/officeDocument/2006/relationships/hyperlink" Target="https://youtu.be/27d9RSbiupY?t=5814" TargetMode="External"/><Relationship Id="rId183" Type="http://schemas.openxmlformats.org/officeDocument/2006/relationships/hyperlink" Target="https://youtu.be/k5L347OTm-c?t=1077" TargetMode="External"/><Relationship Id="rId32" Type="http://schemas.openxmlformats.org/officeDocument/2006/relationships/hyperlink" Target="https://youtu.be/6mbbZ852KSw?t=5024" TargetMode="External"/><Relationship Id="rId182" Type="http://schemas.openxmlformats.org/officeDocument/2006/relationships/hyperlink" Target="https://youtu.be/5WitJ6FhW84" TargetMode="External"/><Relationship Id="rId35" Type="http://schemas.openxmlformats.org/officeDocument/2006/relationships/hyperlink" Target="https://youtu.be/27d9RSbiupY?t=6761" TargetMode="External"/><Relationship Id="rId181" Type="http://schemas.openxmlformats.org/officeDocument/2006/relationships/hyperlink" Target="https://youtu.be/k5L347OTm-c" TargetMode="External"/><Relationship Id="rId34" Type="http://schemas.openxmlformats.org/officeDocument/2006/relationships/hyperlink" Target="https://youtu.be/6mbbZ852KSw?t=6060" TargetMode="External"/><Relationship Id="rId180" Type="http://schemas.openxmlformats.org/officeDocument/2006/relationships/hyperlink" Target="https://youtu.be/N8AB_sQfA7I?t=8789" TargetMode="External"/><Relationship Id="rId37" Type="http://schemas.openxmlformats.org/officeDocument/2006/relationships/hyperlink" Target="https://youtu.be/27d9RSbiupY?t=7680" TargetMode="External"/><Relationship Id="rId176" Type="http://schemas.openxmlformats.org/officeDocument/2006/relationships/hyperlink" Target="https://youtu.be/N8AB_sQfA7I?t=6888" TargetMode="External"/><Relationship Id="rId36" Type="http://schemas.openxmlformats.org/officeDocument/2006/relationships/hyperlink" Target="https://youtu.be/6mbbZ852KSw?t=6923" TargetMode="External"/><Relationship Id="rId175" Type="http://schemas.openxmlformats.org/officeDocument/2006/relationships/hyperlink" Target="https://youtu.be/y48w_8Dmevo?t=6918" TargetMode="External"/><Relationship Id="rId39" Type="http://schemas.openxmlformats.org/officeDocument/2006/relationships/hyperlink" Target="https://youtu.be/27d9RSbiupY?t=8535" TargetMode="External"/><Relationship Id="rId174" Type="http://schemas.openxmlformats.org/officeDocument/2006/relationships/hyperlink" Target="https://youtu.be/N8AB_sQfA7I?t=5952" TargetMode="External"/><Relationship Id="rId38" Type="http://schemas.openxmlformats.org/officeDocument/2006/relationships/hyperlink" Target="https://youtu.be/6mbbZ852KSw?t=7759" TargetMode="External"/><Relationship Id="rId173" Type="http://schemas.openxmlformats.org/officeDocument/2006/relationships/hyperlink" Target="https://youtu.be/y48w_8Dmevo?t=5923" TargetMode="External"/><Relationship Id="rId179" Type="http://schemas.openxmlformats.org/officeDocument/2006/relationships/hyperlink" Target="https://youtu.be/y48w_8Dmevo?t=8906" TargetMode="External"/><Relationship Id="rId178" Type="http://schemas.openxmlformats.org/officeDocument/2006/relationships/hyperlink" Target="https://youtu.be/N8AB_sQfA7I?t=7846" TargetMode="External"/><Relationship Id="rId177" Type="http://schemas.openxmlformats.org/officeDocument/2006/relationships/hyperlink" Target="https://youtu.be/y48w_8Dmevo?t=7897" TargetMode="External"/><Relationship Id="rId20" Type="http://schemas.openxmlformats.org/officeDocument/2006/relationships/hyperlink" Target="https://youtu.be/EZhMnstKnQ8?t=8594" TargetMode="External"/><Relationship Id="rId22" Type="http://schemas.openxmlformats.org/officeDocument/2006/relationships/hyperlink" Target="https://youtu.be/6mbbZ852KSw" TargetMode="External"/><Relationship Id="rId21" Type="http://schemas.openxmlformats.org/officeDocument/2006/relationships/hyperlink" Target="https://youtu.be/27d9RSbiupY" TargetMode="External"/><Relationship Id="rId24" Type="http://schemas.openxmlformats.org/officeDocument/2006/relationships/hyperlink" Target="https://youtu.be/6mbbZ852KSw?t=1223" TargetMode="External"/><Relationship Id="rId23" Type="http://schemas.openxmlformats.org/officeDocument/2006/relationships/hyperlink" Target="https://youtu.be/27d9RSbiupY?t=1021" TargetMode="External"/><Relationship Id="rId26" Type="http://schemas.openxmlformats.org/officeDocument/2006/relationships/hyperlink" Target="https://youtu.be/6mbbZ852KSw?t=2244" TargetMode="External"/><Relationship Id="rId25" Type="http://schemas.openxmlformats.org/officeDocument/2006/relationships/hyperlink" Target="https://youtu.be/27d9RSbiupY?t=2012" TargetMode="External"/><Relationship Id="rId28" Type="http://schemas.openxmlformats.org/officeDocument/2006/relationships/hyperlink" Target="https://youtu.be/6mbbZ852KSw?t=3162" TargetMode="External"/><Relationship Id="rId27" Type="http://schemas.openxmlformats.org/officeDocument/2006/relationships/hyperlink" Target="https://youtu.be/27d9RSbiupY?t=3023" TargetMode="External"/><Relationship Id="rId29" Type="http://schemas.openxmlformats.org/officeDocument/2006/relationships/hyperlink" Target="https://youtu.be/27d9RSbiupY?t=3983" TargetMode="External"/><Relationship Id="rId11" Type="http://schemas.openxmlformats.org/officeDocument/2006/relationships/hyperlink" Target="https://youtu.be/LkSmsfBystY?t=4757" TargetMode="External"/><Relationship Id="rId10" Type="http://schemas.openxmlformats.org/officeDocument/2006/relationships/hyperlink" Target="https://youtu.be/EZhMnstKnQ8?t=3937" TargetMode="External"/><Relationship Id="rId13" Type="http://schemas.openxmlformats.org/officeDocument/2006/relationships/hyperlink" Target="https://youtu.be/LkSmsfBystY?t=5729" TargetMode="External"/><Relationship Id="rId12" Type="http://schemas.openxmlformats.org/officeDocument/2006/relationships/hyperlink" Target="https://youtu.be/EZhMnstKnQ8?t=4866" TargetMode="External"/><Relationship Id="rId15" Type="http://schemas.openxmlformats.org/officeDocument/2006/relationships/hyperlink" Target="https://youtu.be/LkSmsfBystY?t=6693" TargetMode="External"/><Relationship Id="rId198" Type="http://schemas.openxmlformats.org/officeDocument/2006/relationships/hyperlink" Target="https://youtu.be/5WitJ6FhW84?t=7630" TargetMode="External"/><Relationship Id="rId14" Type="http://schemas.openxmlformats.org/officeDocument/2006/relationships/hyperlink" Target="https://youtu.be/EZhMnstKnQ8?t=5820" TargetMode="External"/><Relationship Id="rId197" Type="http://schemas.openxmlformats.org/officeDocument/2006/relationships/hyperlink" Target="https://youtu.be/k5L347OTm-c?t=7576" TargetMode="External"/><Relationship Id="rId17" Type="http://schemas.openxmlformats.org/officeDocument/2006/relationships/hyperlink" Target="https://youtu.be/LkSmsfBystY?t=7642" TargetMode="External"/><Relationship Id="rId196" Type="http://schemas.openxmlformats.org/officeDocument/2006/relationships/hyperlink" Target="https://youtu.be/5WitJ6FhW84?t=6808" TargetMode="External"/><Relationship Id="rId16" Type="http://schemas.openxmlformats.org/officeDocument/2006/relationships/hyperlink" Target="https://youtu.be/EZhMnstKnQ8?t=6784" TargetMode="External"/><Relationship Id="rId195" Type="http://schemas.openxmlformats.org/officeDocument/2006/relationships/hyperlink" Target="https://youtu.be/k5L347OTm-c?t=6686" TargetMode="External"/><Relationship Id="rId19" Type="http://schemas.openxmlformats.org/officeDocument/2006/relationships/hyperlink" Target="https://youtu.be/LkSmsfBystY?t=8570" TargetMode="External"/><Relationship Id="rId18" Type="http://schemas.openxmlformats.org/officeDocument/2006/relationships/hyperlink" Target="https://youtu.be/EZhMnstKnQ8?t=7684" TargetMode="External"/><Relationship Id="rId199" Type="http://schemas.openxmlformats.org/officeDocument/2006/relationships/hyperlink" Target="https://youtu.be/k5L347OTm-c?t=8539" TargetMode="External"/><Relationship Id="rId84" Type="http://schemas.openxmlformats.org/officeDocument/2006/relationships/hyperlink" Target="https://youtu.be/p5ygKATf7ww?t=980" TargetMode="External"/><Relationship Id="rId83" Type="http://schemas.openxmlformats.org/officeDocument/2006/relationships/hyperlink" Target="https://youtu.be/rgZgzHRlEGg?t=1114" TargetMode="External"/><Relationship Id="rId86" Type="http://schemas.openxmlformats.org/officeDocument/2006/relationships/hyperlink" Target="https://youtu.be/p5ygKATf7ww?t=1875" TargetMode="External"/><Relationship Id="rId85" Type="http://schemas.openxmlformats.org/officeDocument/2006/relationships/hyperlink" Target="https://youtu.be/rgZgzHRlEGg?t=2059" TargetMode="External"/><Relationship Id="rId88" Type="http://schemas.openxmlformats.org/officeDocument/2006/relationships/hyperlink" Target="https://youtu.be/p5ygKATf7ww?t=2790" TargetMode="External"/><Relationship Id="rId150" Type="http://schemas.openxmlformats.org/officeDocument/2006/relationships/hyperlink" Target="https://youtu.be/27PQ80IpqZg?t=3797" TargetMode="External"/><Relationship Id="rId87" Type="http://schemas.openxmlformats.org/officeDocument/2006/relationships/hyperlink" Target="https://youtu.be/rgZgzHRlEGg?t=3027" TargetMode="External"/><Relationship Id="rId89" Type="http://schemas.openxmlformats.org/officeDocument/2006/relationships/hyperlink" Target="https://youtu.be/rgZgzHRlEGg?t=3954" TargetMode="External"/><Relationship Id="rId80" Type="http://schemas.openxmlformats.org/officeDocument/2006/relationships/hyperlink" Target="https://youtu.be/gwFE5LARmJA?t=8541" TargetMode="External"/><Relationship Id="rId82" Type="http://schemas.openxmlformats.org/officeDocument/2006/relationships/hyperlink" Target="https://youtu.be/p5ygKATf7ww" TargetMode="External"/><Relationship Id="rId81" Type="http://schemas.openxmlformats.org/officeDocument/2006/relationships/hyperlink" Target="https://youtu.be/rgZgzHRlEGg" TargetMode="External"/><Relationship Id="rId1" Type="http://schemas.openxmlformats.org/officeDocument/2006/relationships/hyperlink" Target="https://youtu.be/LkSmsfBystY" TargetMode="External"/><Relationship Id="rId2" Type="http://schemas.openxmlformats.org/officeDocument/2006/relationships/hyperlink" Target="https://youtu.be/EZhMnstKnQ8" TargetMode="External"/><Relationship Id="rId3" Type="http://schemas.openxmlformats.org/officeDocument/2006/relationships/hyperlink" Target="https://youtu.be/LkSmsfBystY?t=1034" TargetMode="External"/><Relationship Id="rId149" Type="http://schemas.openxmlformats.org/officeDocument/2006/relationships/hyperlink" Target="https://youtu.be/egn85DFt_N0?t=3821" TargetMode="External"/><Relationship Id="rId4" Type="http://schemas.openxmlformats.org/officeDocument/2006/relationships/hyperlink" Target="https://youtu.be/EZhMnstKnQ8?t=1106" TargetMode="External"/><Relationship Id="rId148" Type="http://schemas.openxmlformats.org/officeDocument/2006/relationships/hyperlink" Target="https://youtu.be/27PQ80IpqZg?t=2843" TargetMode="External"/><Relationship Id="rId9" Type="http://schemas.openxmlformats.org/officeDocument/2006/relationships/hyperlink" Target="https://youtu.be/LkSmsfBystY?t=3832" TargetMode="External"/><Relationship Id="rId143" Type="http://schemas.openxmlformats.org/officeDocument/2006/relationships/hyperlink" Target="https://youtu.be/egn85DFt_N0?t=1066" TargetMode="External"/><Relationship Id="rId142" Type="http://schemas.openxmlformats.org/officeDocument/2006/relationships/hyperlink" Target="https://youtu.be/27PQ80IpqZg" TargetMode="External"/><Relationship Id="rId141" Type="http://schemas.openxmlformats.org/officeDocument/2006/relationships/hyperlink" Target="https://youtu.be/egn85DFt_N0" TargetMode="External"/><Relationship Id="rId140" Type="http://schemas.openxmlformats.org/officeDocument/2006/relationships/hyperlink" Target="https://youtu.be/wOU7f56N_lM?t=8227" TargetMode="External"/><Relationship Id="rId5" Type="http://schemas.openxmlformats.org/officeDocument/2006/relationships/hyperlink" Target="https://youtu.be/LkSmsfBystY?t=1951" TargetMode="External"/><Relationship Id="rId147" Type="http://schemas.openxmlformats.org/officeDocument/2006/relationships/hyperlink" Target="https://youtu.be/egn85DFt_N0?t=2889" TargetMode="External"/><Relationship Id="rId6" Type="http://schemas.openxmlformats.org/officeDocument/2006/relationships/hyperlink" Target="https://youtu.be/EZhMnstKnQ8?t=2067" TargetMode="External"/><Relationship Id="rId146" Type="http://schemas.openxmlformats.org/officeDocument/2006/relationships/hyperlink" Target="https://youtu.be/27PQ80IpqZg?t=1930" TargetMode="External"/><Relationship Id="rId7" Type="http://schemas.openxmlformats.org/officeDocument/2006/relationships/hyperlink" Target="https://youtu.be/LkSmsfBystY?t=2923" TargetMode="External"/><Relationship Id="rId145" Type="http://schemas.openxmlformats.org/officeDocument/2006/relationships/hyperlink" Target="https://youtu.be/egn85DFt_N0?t=1991" TargetMode="External"/><Relationship Id="rId8" Type="http://schemas.openxmlformats.org/officeDocument/2006/relationships/hyperlink" Target="https://youtu.be/EZhMnstKnQ8?t=2988" TargetMode="External"/><Relationship Id="rId144" Type="http://schemas.openxmlformats.org/officeDocument/2006/relationships/hyperlink" Target="https://youtu.be/27PQ80IpqZg?t=1031" TargetMode="External"/><Relationship Id="rId73" Type="http://schemas.openxmlformats.org/officeDocument/2006/relationships/hyperlink" Target="https://youtu.be/Q5bt-NnHFlI?t=5687" TargetMode="External"/><Relationship Id="rId72" Type="http://schemas.openxmlformats.org/officeDocument/2006/relationships/hyperlink" Target="https://youtu.be/gwFE5LARmJA?t=4752" TargetMode="External"/><Relationship Id="rId75" Type="http://schemas.openxmlformats.org/officeDocument/2006/relationships/hyperlink" Target="https://youtu.be/Q5bt-NnHFlI?t=6601" TargetMode="External"/><Relationship Id="rId74" Type="http://schemas.openxmlformats.org/officeDocument/2006/relationships/hyperlink" Target="https://youtu.be/gwFE5LARmJA?t=5708" TargetMode="External"/><Relationship Id="rId77" Type="http://schemas.openxmlformats.org/officeDocument/2006/relationships/hyperlink" Target="https://youtu.be/Q5bt-NnHFlI?t=7529" TargetMode="External"/><Relationship Id="rId76" Type="http://schemas.openxmlformats.org/officeDocument/2006/relationships/hyperlink" Target="https://youtu.be/gwFE5LARmJA?t=6724" TargetMode="External"/><Relationship Id="rId79" Type="http://schemas.openxmlformats.org/officeDocument/2006/relationships/hyperlink" Target="https://youtu.be/Q5bt-NnHFlI?t=8475" TargetMode="External"/><Relationship Id="rId78" Type="http://schemas.openxmlformats.org/officeDocument/2006/relationships/hyperlink" Target="https://youtu.be/gwFE5LARmJA?t=7636" TargetMode="External"/><Relationship Id="rId71" Type="http://schemas.openxmlformats.org/officeDocument/2006/relationships/hyperlink" Target="https://youtu.be/Q5bt-NnHFlI?t=4725" TargetMode="External"/><Relationship Id="rId70" Type="http://schemas.openxmlformats.org/officeDocument/2006/relationships/hyperlink" Target="https://youtu.be/gwFE5LARmJA?t=3846" TargetMode="External"/><Relationship Id="rId139" Type="http://schemas.openxmlformats.org/officeDocument/2006/relationships/hyperlink" Target="https://youtu.be/GoCZlLU3Ax4?t=8084" TargetMode="External"/><Relationship Id="rId138" Type="http://schemas.openxmlformats.org/officeDocument/2006/relationships/hyperlink" Target="https://youtu.be/wOU7f56N_lM?t=7251" TargetMode="External"/><Relationship Id="rId137" Type="http://schemas.openxmlformats.org/officeDocument/2006/relationships/hyperlink" Target="https://youtu.be/GoCZlLU3Ax4?t=7152" TargetMode="External"/><Relationship Id="rId132" Type="http://schemas.openxmlformats.org/officeDocument/2006/relationships/hyperlink" Target="https://youtu.be/wOU7f56N_lM?t=4592" TargetMode="External"/><Relationship Id="rId131" Type="http://schemas.openxmlformats.org/officeDocument/2006/relationships/hyperlink" Target="https://youtu.be/GoCZlLU3Ax4?t=4470" TargetMode="External"/><Relationship Id="rId130" Type="http://schemas.openxmlformats.org/officeDocument/2006/relationships/hyperlink" Target="https://youtu.be/wOU7f56N_lM?t=3690" TargetMode="External"/><Relationship Id="rId136" Type="http://schemas.openxmlformats.org/officeDocument/2006/relationships/hyperlink" Target="https://youtu.be/wOU7f56N_lM?t=6387" TargetMode="External"/><Relationship Id="rId135" Type="http://schemas.openxmlformats.org/officeDocument/2006/relationships/hyperlink" Target="https://youtu.be/GoCZlLU3Ax4?t=6243" TargetMode="External"/><Relationship Id="rId134" Type="http://schemas.openxmlformats.org/officeDocument/2006/relationships/hyperlink" Target="https://youtu.be/wOU7f56N_lM?t=5487" TargetMode="External"/><Relationship Id="rId133" Type="http://schemas.openxmlformats.org/officeDocument/2006/relationships/hyperlink" Target="https://youtu.be/GoCZlLU3Ax4?t=5366" TargetMode="External"/><Relationship Id="rId62" Type="http://schemas.openxmlformats.org/officeDocument/2006/relationships/hyperlink" Target="https://youtu.be/gwFE5LARmJA" TargetMode="External"/><Relationship Id="rId61" Type="http://schemas.openxmlformats.org/officeDocument/2006/relationships/hyperlink" Target="https://youtu.be/Q5bt-NnHFlI" TargetMode="External"/><Relationship Id="rId64" Type="http://schemas.openxmlformats.org/officeDocument/2006/relationships/hyperlink" Target="https://youtu.be/gwFE5LARmJA?t=1029" TargetMode="External"/><Relationship Id="rId63" Type="http://schemas.openxmlformats.org/officeDocument/2006/relationships/hyperlink" Target="https://youtu.be/Q5bt-NnHFlI?t=1008" TargetMode="External"/><Relationship Id="rId66" Type="http://schemas.openxmlformats.org/officeDocument/2006/relationships/hyperlink" Target="https://youtu.be/gwFE5LARmJA?t=2012" TargetMode="External"/><Relationship Id="rId172" Type="http://schemas.openxmlformats.org/officeDocument/2006/relationships/hyperlink" Target="https://youtu.be/N8AB_sQfA7I?t=5025" TargetMode="External"/><Relationship Id="rId65" Type="http://schemas.openxmlformats.org/officeDocument/2006/relationships/hyperlink" Target="https://youtu.be/Q5bt-NnHFlI?t=1924" TargetMode="External"/><Relationship Id="rId171" Type="http://schemas.openxmlformats.org/officeDocument/2006/relationships/hyperlink" Target="https://youtu.be/y48w_8Dmevo?t=4977" TargetMode="External"/><Relationship Id="rId68" Type="http://schemas.openxmlformats.org/officeDocument/2006/relationships/hyperlink" Target="https://youtu.be/gwFE5LARmJA?t=2931" TargetMode="External"/><Relationship Id="rId170" Type="http://schemas.openxmlformats.org/officeDocument/2006/relationships/hyperlink" Target="https://youtu.be/N8AB_sQfA7I?t=3910" TargetMode="External"/><Relationship Id="rId67" Type="http://schemas.openxmlformats.org/officeDocument/2006/relationships/hyperlink" Target="https://youtu.be/Q5bt-NnHFlI?t=2848" TargetMode="External"/><Relationship Id="rId60" Type="http://schemas.openxmlformats.org/officeDocument/2006/relationships/hyperlink" Target="https://youtu.be/xo4ElDum4Zc?t=8266" TargetMode="External"/><Relationship Id="rId165" Type="http://schemas.openxmlformats.org/officeDocument/2006/relationships/hyperlink" Target="https://youtu.be/y48w_8Dmevo?t=2008" TargetMode="External"/><Relationship Id="rId69" Type="http://schemas.openxmlformats.org/officeDocument/2006/relationships/hyperlink" Target="https://youtu.be/Q5bt-NnHFlI?t=3809" TargetMode="External"/><Relationship Id="rId164" Type="http://schemas.openxmlformats.org/officeDocument/2006/relationships/hyperlink" Target="https://youtu.be/N8AB_sQfA7I?t=978" TargetMode="External"/><Relationship Id="rId163" Type="http://schemas.openxmlformats.org/officeDocument/2006/relationships/hyperlink" Target="https://youtu.be/y48w_8Dmevo?t=1061" TargetMode="External"/><Relationship Id="rId162" Type="http://schemas.openxmlformats.org/officeDocument/2006/relationships/hyperlink" Target="https://youtu.be/N8AB_sQfA7I" TargetMode="External"/><Relationship Id="rId169" Type="http://schemas.openxmlformats.org/officeDocument/2006/relationships/hyperlink" Target="https://youtu.be/y48w_8Dmevo?t=3977" TargetMode="External"/><Relationship Id="rId168" Type="http://schemas.openxmlformats.org/officeDocument/2006/relationships/hyperlink" Target="https://youtu.be/N8AB_sQfA7I?t=2863" TargetMode="External"/><Relationship Id="rId167" Type="http://schemas.openxmlformats.org/officeDocument/2006/relationships/hyperlink" Target="https://youtu.be/y48w_8Dmevo?t=3003" TargetMode="External"/><Relationship Id="rId166" Type="http://schemas.openxmlformats.org/officeDocument/2006/relationships/hyperlink" Target="https://youtu.be/N8AB_sQfA7I?t=1922" TargetMode="External"/><Relationship Id="rId51" Type="http://schemas.openxmlformats.org/officeDocument/2006/relationships/hyperlink" Target="https://youtu.be/VC28RMjZDaQ?t=4553" TargetMode="External"/><Relationship Id="rId50" Type="http://schemas.openxmlformats.org/officeDocument/2006/relationships/hyperlink" Target="https://youtu.be/xo4ElDum4Zc?t=3718" TargetMode="External"/><Relationship Id="rId53" Type="http://schemas.openxmlformats.org/officeDocument/2006/relationships/hyperlink" Target="https://youtu.be/VC28RMjZDaQ?t=5515" TargetMode="External"/><Relationship Id="rId52" Type="http://schemas.openxmlformats.org/officeDocument/2006/relationships/hyperlink" Target="https://youtu.be/xo4ElDum4Zc?t=4629" TargetMode="External"/><Relationship Id="rId55" Type="http://schemas.openxmlformats.org/officeDocument/2006/relationships/hyperlink" Target="https://youtu.be/VC28RMjZDaQ?t=6381" TargetMode="External"/><Relationship Id="rId161" Type="http://schemas.openxmlformats.org/officeDocument/2006/relationships/hyperlink" Target="https://youtu.be/y48w_8Dmevo" TargetMode="External"/><Relationship Id="rId54" Type="http://schemas.openxmlformats.org/officeDocument/2006/relationships/hyperlink" Target="https://youtu.be/xo4ElDum4Zc?t=5551" TargetMode="External"/><Relationship Id="rId160" Type="http://schemas.openxmlformats.org/officeDocument/2006/relationships/hyperlink" Target="https://youtu.be/27PQ80IpqZg?t=8543" TargetMode="External"/><Relationship Id="rId57" Type="http://schemas.openxmlformats.org/officeDocument/2006/relationships/hyperlink" Target="https://youtu.be/VC28RMjZDaQ?t=7260" TargetMode="External"/><Relationship Id="rId56" Type="http://schemas.openxmlformats.org/officeDocument/2006/relationships/hyperlink" Target="https://youtu.be/xo4ElDum4Zc?t=6538" TargetMode="External"/><Relationship Id="rId159" Type="http://schemas.openxmlformats.org/officeDocument/2006/relationships/hyperlink" Target="https://youtu.be/egn85DFt_N0?t=8431" TargetMode="External"/><Relationship Id="rId59" Type="http://schemas.openxmlformats.org/officeDocument/2006/relationships/hyperlink" Target="https://youtu.be/VC28RMjZDaQ?t=8094" TargetMode="External"/><Relationship Id="rId154" Type="http://schemas.openxmlformats.org/officeDocument/2006/relationships/hyperlink" Target="https://youtu.be/27PQ80IpqZg?t=5705" TargetMode="External"/><Relationship Id="rId58" Type="http://schemas.openxmlformats.org/officeDocument/2006/relationships/hyperlink" Target="https://youtu.be/xo4ElDum4Zc?t=7432" TargetMode="External"/><Relationship Id="rId153" Type="http://schemas.openxmlformats.org/officeDocument/2006/relationships/hyperlink" Target="https://youtu.be/egn85DFt_N0?t=5687" TargetMode="External"/><Relationship Id="rId152" Type="http://schemas.openxmlformats.org/officeDocument/2006/relationships/hyperlink" Target="https://youtu.be/27PQ80IpqZg?t=4753" TargetMode="External"/><Relationship Id="rId151" Type="http://schemas.openxmlformats.org/officeDocument/2006/relationships/hyperlink" Target="https://youtu.be/egn85DFt_N0?t=4777" TargetMode="External"/><Relationship Id="rId158" Type="http://schemas.openxmlformats.org/officeDocument/2006/relationships/hyperlink" Target="https://youtu.be/27PQ80IpqZg?t=7602" TargetMode="External"/><Relationship Id="rId157" Type="http://schemas.openxmlformats.org/officeDocument/2006/relationships/hyperlink" Target="https://youtu.be/egn85DFt_N0?t=7510" TargetMode="External"/><Relationship Id="rId156" Type="http://schemas.openxmlformats.org/officeDocument/2006/relationships/hyperlink" Target="https://youtu.be/27PQ80IpqZg?t=6618" TargetMode="External"/><Relationship Id="rId155" Type="http://schemas.openxmlformats.org/officeDocument/2006/relationships/hyperlink" Target="https://youtu.be/egn85DFt_N0?t=6579" TargetMode="External"/><Relationship Id="rId107" Type="http://schemas.openxmlformats.org/officeDocument/2006/relationships/hyperlink" Target="https://youtu.be/f_EkBenjY9U?t=2991" TargetMode="External"/><Relationship Id="rId228" Type="http://schemas.openxmlformats.org/officeDocument/2006/relationships/hyperlink" Target="https://youtu.be/AP_DuAfwXCg?t=3056" TargetMode="External"/><Relationship Id="rId106" Type="http://schemas.openxmlformats.org/officeDocument/2006/relationships/hyperlink" Target="https://youtu.be/BxvY3JJdXl4?t=1951" TargetMode="External"/><Relationship Id="rId227" Type="http://schemas.openxmlformats.org/officeDocument/2006/relationships/hyperlink" Target="https://youtu.be/tmhQjIZLWZA?t=2802" TargetMode="External"/><Relationship Id="rId105" Type="http://schemas.openxmlformats.org/officeDocument/2006/relationships/hyperlink" Target="https://youtu.be/f_EkBenjY9U?t=2002" TargetMode="External"/><Relationship Id="rId226" Type="http://schemas.openxmlformats.org/officeDocument/2006/relationships/hyperlink" Target="https://youtu.be/AP_DuAfwXCg?t=2100" TargetMode="External"/><Relationship Id="rId104" Type="http://schemas.openxmlformats.org/officeDocument/2006/relationships/hyperlink" Target="https://youtu.be/BxvY3JJdXl4?t=1023" TargetMode="External"/><Relationship Id="rId225" Type="http://schemas.openxmlformats.org/officeDocument/2006/relationships/hyperlink" Target="https://youtu.be/tmhQjIZLWZA?t=1889" TargetMode="External"/><Relationship Id="rId109" Type="http://schemas.openxmlformats.org/officeDocument/2006/relationships/hyperlink" Target="https://youtu.be/f_EkBenjY9U?t=4055" TargetMode="External"/><Relationship Id="rId108" Type="http://schemas.openxmlformats.org/officeDocument/2006/relationships/hyperlink" Target="https://youtu.be/BxvY3JJdXl4?t=3007" TargetMode="External"/><Relationship Id="rId229" Type="http://schemas.openxmlformats.org/officeDocument/2006/relationships/hyperlink" Target="https://youtu.be/tmhQjIZLWZA?t=3781" TargetMode="External"/><Relationship Id="rId220" Type="http://schemas.openxmlformats.org/officeDocument/2006/relationships/hyperlink" Target="https://youtu.be/mm6P3gTzhJY?t=8683" TargetMode="External"/><Relationship Id="rId103" Type="http://schemas.openxmlformats.org/officeDocument/2006/relationships/hyperlink" Target="https://youtu.be/f_EkBenjY9U?t=1044" TargetMode="External"/><Relationship Id="rId224" Type="http://schemas.openxmlformats.org/officeDocument/2006/relationships/hyperlink" Target="https://youtu.be/AP_DuAfwXCg?t=1115" TargetMode="External"/><Relationship Id="rId102" Type="http://schemas.openxmlformats.org/officeDocument/2006/relationships/hyperlink" Target="https://youtu.be/BxvY3JJdXl4" TargetMode="External"/><Relationship Id="rId223" Type="http://schemas.openxmlformats.org/officeDocument/2006/relationships/hyperlink" Target="https://youtu.be/tmhQjIZLWZA?t=938" TargetMode="External"/><Relationship Id="rId101" Type="http://schemas.openxmlformats.org/officeDocument/2006/relationships/hyperlink" Target="https://youtu.be/f_EkBenjY9U" TargetMode="External"/><Relationship Id="rId222" Type="http://schemas.openxmlformats.org/officeDocument/2006/relationships/hyperlink" Target="https://youtu.be/AP_DuAfwXCg" TargetMode="External"/><Relationship Id="rId100" Type="http://schemas.openxmlformats.org/officeDocument/2006/relationships/hyperlink" Target="https://youtu.be/p5ygKATf7ww?t=8559" TargetMode="External"/><Relationship Id="rId221" Type="http://schemas.openxmlformats.org/officeDocument/2006/relationships/hyperlink" Target="https://youtu.be/tmhQjIZLWZA" TargetMode="External"/><Relationship Id="rId217" Type="http://schemas.openxmlformats.org/officeDocument/2006/relationships/hyperlink" Target="https://youtu.be/yUpb_6Wu3-U?t=7637" TargetMode="External"/><Relationship Id="rId216" Type="http://schemas.openxmlformats.org/officeDocument/2006/relationships/hyperlink" Target="https://youtu.be/mm6P3gTzhJY?t=6831" TargetMode="External"/><Relationship Id="rId215" Type="http://schemas.openxmlformats.org/officeDocument/2006/relationships/hyperlink" Target="https://youtu.be/yUpb_6Wu3-U?t=6711" TargetMode="External"/><Relationship Id="rId214" Type="http://schemas.openxmlformats.org/officeDocument/2006/relationships/hyperlink" Target="https://youtu.be/mm6P3gTzhJY?t=5833" TargetMode="External"/><Relationship Id="rId219" Type="http://schemas.openxmlformats.org/officeDocument/2006/relationships/hyperlink" Target="https://youtu.be/yUpb_6Wu3-U?t=8574" TargetMode="External"/><Relationship Id="rId218" Type="http://schemas.openxmlformats.org/officeDocument/2006/relationships/hyperlink" Target="https://youtu.be/mm6P3gTzhJY?t=7742" TargetMode="External"/><Relationship Id="rId213" Type="http://schemas.openxmlformats.org/officeDocument/2006/relationships/hyperlink" Target="https://youtu.be/yUpb_6Wu3-U?t=5703" TargetMode="External"/><Relationship Id="rId212" Type="http://schemas.openxmlformats.org/officeDocument/2006/relationships/hyperlink" Target="https://youtu.be/mm6P3gTzhJY?t=4840" TargetMode="External"/><Relationship Id="rId211" Type="http://schemas.openxmlformats.org/officeDocument/2006/relationships/hyperlink" Target="https://youtu.be/yUpb_6Wu3-U?t=4802" TargetMode="External"/><Relationship Id="rId210" Type="http://schemas.openxmlformats.org/officeDocument/2006/relationships/hyperlink" Target="https://youtu.be/mm6P3gTzhJY?t=3945" TargetMode="External"/><Relationship Id="rId129" Type="http://schemas.openxmlformats.org/officeDocument/2006/relationships/hyperlink" Target="https://youtu.be/GoCZlLU3Ax4?t=3574" TargetMode="External"/><Relationship Id="rId128" Type="http://schemas.openxmlformats.org/officeDocument/2006/relationships/hyperlink" Target="https://youtu.be/wOU7f56N_lM?t=2792" TargetMode="External"/><Relationship Id="rId127" Type="http://schemas.openxmlformats.org/officeDocument/2006/relationships/hyperlink" Target="https://youtu.be/GoCZlLU3Ax4?t=2685" TargetMode="External"/><Relationship Id="rId126" Type="http://schemas.openxmlformats.org/officeDocument/2006/relationships/hyperlink" Target="https://youtu.be/wOU7f56N_lM?t=1951" TargetMode="External"/><Relationship Id="rId121" Type="http://schemas.openxmlformats.org/officeDocument/2006/relationships/hyperlink" Target="https://youtu.be/GoCZlLU3Ax4" TargetMode="External"/><Relationship Id="rId120" Type="http://schemas.openxmlformats.org/officeDocument/2006/relationships/hyperlink" Target="https://youtu.be/BxvY3JJdXl4?t=8832" TargetMode="External"/><Relationship Id="rId241" Type="http://schemas.openxmlformats.org/officeDocument/2006/relationships/drawing" Target="../drawings/drawing41.xml"/><Relationship Id="rId240" Type="http://schemas.openxmlformats.org/officeDocument/2006/relationships/hyperlink" Target="https://youtu.be/AP_DuAfwXCg?t=8634" TargetMode="External"/><Relationship Id="rId125" Type="http://schemas.openxmlformats.org/officeDocument/2006/relationships/hyperlink" Target="https://youtu.be/GoCZlLU3Ax4?t=1806" TargetMode="External"/><Relationship Id="rId124" Type="http://schemas.openxmlformats.org/officeDocument/2006/relationships/hyperlink" Target="https://youtu.be/wOU7f56N_lM?t=1107" TargetMode="External"/><Relationship Id="rId123" Type="http://schemas.openxmlformats.org/officeDocument/2006/relationships/hyperlink" Target="https://youtu.be/GoCZlLU3Ax4?t=935" TargetMode="External"/><Relationship Id="rId122" Type="http://schemas.openxmlformats.org/officeDocument/2006/relationships/hyperlink" Target="https://youtu.be/wOU7f56N_lM" TargetMode="External"/><Relationship Id="rId95" Type="http://schemas.openxmlformats.org/officeDocument/2006/relationships/hyperlink" Target="https://youtu.be/rgZgzHRlEGg?t=6848" TargetMode="External"/><Relationship Id="rId94" Type="http://schemas.openxmlformats.org/officeDocument/2006/relationships/hyperlink" Target="https://youtu.be/p5ygKATf7ww?t=5625" TargetMode="External"/><Relationship Id="rId97" Type="http://schemas.openxmlformats.org/officeDocument/2006/relationships/hyperlink" Target="https://youtu.be/rgZgzHRlEGg?t=7929" TargetMode="External"/><Relationship Id="rId96" Type="http://schemas.openxmlformats.org/officeDocument/2006/relationships/hyperlink" Target="https://youtu.be/p5ygKATf7ww?t=6650" TargetMode="External"/><Relationship Id="rId99" Type="http://schemas.openxmlformats.org/officeDocument/2006/relationships/hyperlink" Target="https://youtu.be/rgZgzHRlEGg?t=8856" TargetMode="External"/><Relationship Id="rId98" Type="http://schemas.openxmlformats.org/officeDocument/2006/relationships/hyperlink" Target="https://youtu.be/p5ygKATf7ww?t=7621" TargetMode="External"/><Relationship Id="rId91" Type="http://schemas.openxmlformats.org/officeDocument/2006/relationships/hyperlink" Target="https://youtu.be/rgZgzHRlEGg?t=4968" TargetMode="External"/><Relationship Id="rId90" Type="http://schemas.openxmlformats.org/officeDocument/2006/relationships/hyperlink" Target="https://youtu.be/p5ygKATf7ww?t=3763" TargetMode="External"/><Relationship Id="rId93" Type="http://schemas.openxmlformats.org/officeDocument/2006/relationships/hyperlink" Target="https://youtu.be/rgZgzHRlEGg?t=5911" TargetMode="External"/><Relationship Id="rId92" Type="http://schemas.openxmlformats.org/officeDocument/2006/relationships/hyperlink" Target="https://youtu.be/p5ygKATf7ww?t=4702" TargetMode="External"/><Relationship Id="rId118" Type="http://schemas.openxmlformats.org/officeDocument/2006/relationships/hyperlink" Target="https://youtu.be/BxvY3JJdXl4?t=7875" TargetMode="External"/><Relationship Id="rId239" Type="http://schemas.openxmlformats.org/officeDocument/2006/relationships/hyperlink" Target="https://youtu.be/tmhQjIZLWZA?t=8547" TargetMode="External"/><Relationship Id="rId117" Type="http://schemas.openxmlformats.org/officeDocument/2006/relationships/hyperlink" Target="https://youtu.be/f_EkBenjY9U?t=7958" TargetMode="External"/><Relationship Id="rId238" Type="http://schemas.openxmlformats.org/officeDocument/2006/relationships/hyperlink" Target="https://youtu.be/AP_DuAfwXCg?t=7757" TargetMode="External"/><Relationship Id="rId116" Type="http://schemas.openxmlformats.org/officeDocument/2006/relationships/hyperlink" Target="https://youtu.be/BxvY3JJdXl4?t=6850" TargetMode="External"/><Relationship Id="rId237" Type="http://schemas.openxmlformats.org/officeDocument/2006/relationships/hyperlink" Target="https://youtu.be/tmhQjIZLWZA?t=7635" TargetMode="External"/><Relationship Id="rId115" Type="http://schemas.openxmlformats.org/officeDocument/2006/relationships/hyperlink" Target="https://youtu.be/f_EkBenjY9U?t=7015" TargetMode="External"/><Relationship Id="rId236" Type="http://schemas.openxmlformats.org/officeDocument/2006/relationships/hyperlink" Target="https://youtu.be/AP_DuAfwXCg?t=6836" TargetMode="External"/><Relationship Id="rId119" Type="http://schemas.openxmlformats.org/officeDocument/2006/relationships/hyperlink" Target="https://youtu.be/f_EkBenjY9U?t=8826" TargetMode="External"/><Relationship Id="rId110" Type="http://schemas.openxmlformats.org/officeDocument/2006/relationships/hyperlink" Target="https://youtu.be/BxvY3JJdXl4?t=3976" TargetMode="External"/><Relationship Id="rId231" Type="http://schemas.openxmlformats.org/officeDocument/2006/relationships/hyperlink" Target="https://youtu.be/tmhQjIZLWZA?t=4849" TargetMode="External"/><Relationship Id="rId230" Type="http://schemas.openxmlformats.org/officeDocument/2006/relationships/hyperlink" Target="https://youtu.be/AP_DuAfwXCg?t=4001" TargetMode="External"/><Relationship Id="rId114" Type="http://schemas.openxmlformats.org/officeDocument/2006/relationships/hyperlink" Target="https://youtu.be/BxvY3JJdXl4?t=5923" TargetMode="External"/><Relationship Id="rId235" Type="http://schemas.openxmlformats.org/officeDocument/2006/relationships/hyperlink" Target="https://youtu.be/tmhQjIZLWZA?t=6720" TargetMode="External"/><Relationship Id="rId113" Type="http://schemas.openxmlformats.org/officeDocument/2006/relationships/hyperlink" Target="https://youtu.be/f_EkBenjY9U?t=6006" TargetMode="External"/><Relationship Id="rId234" Type="http://schemas.openxmlformats.org/officeDocument/2006/relationships/hyperlink" Target="https://youtu.be/AP_DuAfwXCg?t=5821" TargetMode="External"/><Relationship Id="rId112" Type="http://schemas.openxmlformats.org/officeDocument/2006/relationships/hyperlink" Target="https://youtu.be/BxvY3JJdXl4?t=4932" TargetMode="External"/><Relationship Id="rId233" Type="http://schemas.openxmlformats.org/officeDocument/2006/relationships/hyperlink" Target="https://youtu.be/tmhQjIZLWZA?t=5786" TargetMode="External"/><Relationship Id="rId111" Type="http://schemas.openxmlformats.org/officeDocument/2006/relationships/hyperlink" Target="https://youtu.be/f_EkBenjY9U?t=5038" TargetMode="External"/><Relationship Id="rId232" Type="http://schemas.openxmlformats.org/officeDocument/2006/relationships/hyperlink" Target="https://youtu.be/AP_DuAfwXCg?t=4884" TargetMode="External"/><Relationship Id="rId206" Type="http://schemas.openxmlformats.org/officeDocument/2006/relationships/hyperlink" Target="https://youtu.be/mm6P3gTzhJY?t=2098" TargetMode="External"/><Relationship Id="rId205" Type="http://schemas.openxmlformats.org/officeDocument/2006/relationships/hyperlink" Target="https://youtu.be/yUpb_6Wu3-U?t=1887" TargetMode="External"/><Relationship Id="rId204" Type="http://schemas.openxmlformats.org/officeDocument/2006/relationships/hyperlink" Target="https://youtu.be/mm6P3gTzhJY?t=1111" TargetMode="External"/><Relationship Id="rId203" Type="http://schemas.openxmlformats.org/officeDocument/2006/relationships/hyperlink" Target="https://youtu.be/yUpb_6Wu3-U?t=935" TargetMode="External"/><Relationship Id="rId209" Type="http://schemas.openxmlformats.org/officeDocument/2006/relationships/hyperlink" Target="https://youtu.be/yUpb_6Wu3-U?t=3831" TargetMode="External"/><Relationship Id="rId208" Type="http://schemas.openxmlformats.org/officeDocument/2006/relationships/hyperlink" Target="https://youtu.be/mm6P3gTzhJY?t=3040" TargetMode="External"/><Relationship Id="rId207" Type="http://schemas.openxmlformats.org/officeDocument/2006/relationships/hyperlink" Target="https://youtu.be/yUpb_6Wu3-U?t=2867" TargetMode="External"/><Relationship Id="rId202" Type="http://schemas.openxmlformats.org/officeDocument/2006/relationships/hyperlink" Target="https://youtu.be/mm6P3gTzhJY" TargetMode="External"/><Relationship Id="rId201" Type="http://schemas.openxmlformats.org/officeDocument/2006/relationships/hyperlink" Target="https://youtu.be/yUpb_6Wu3-U" TargetMode="External"/><Relationship Id="rId200" Type="http://schemas.openxmlformats.org/officeDocument/2006/relationships/hyperlink" Target="https://youtu.be/5WitJ6FhW84?t=8511" TargetMode="External"/></Relationships>
</file>

<file path=xl/worksheets/_rels/sheet4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qWu8sEXbzA?t=8582" TargetMode="External"/><Relationship Id="rId190" Type="http://schemas.openxmlformats.org/officeDocument/2006/relationships/hyperlink" Target="https://youtu.be/YqWE9eiZHU0?t=3822" TargetMode="External"/><Relationship Id="rId42" Type="http://schemas.openxmlformats.org/officeDocument/2006/relationships/hyperlink" Target="https://youtu.be/UrFb5MOja6M" TargetMode="External"/><Relationship Id="rId41" Type="http://schemas.openxmlformats.org/officeDocument/2006/relationships/hyperlink" Target="https://youtu.be/7g8mK2bCZt8" TargetMode="External"/><Relationship Id="rId44" Type="http://schemas.openxmlformats.org/officeDocument/2006/relationships/hyperlink" Target="https://youtu.be/UrFb5MOja6M?t=1025" TargetMode="External"/><Relationship Id="rId194" Type="http://schemas.openxmlformats.org/officeDocument/2006/relationships/hyperlink" Target="https://youtu.be/YqWE9eiZHU0?t=5739" TargetMode="External"/><Relationship Id="rId43" Type="http://schemas.openxmlformats.org/officeDocument/2006/relationships/hyperlink" Target="https://youtu.be/7g8mK2bCZt8?t=899" TargetMode="External"/><Relationship Id="rId193" Type="http://schemas.openxmlformats.org/officeDocument/2006/relationships/hyperlink" Target="https://youtu.be/1w-YiSHmrkA?t=5794" TargetMode="External"/><Relationship Id="rId46" Type="http://schemas.openxmlformats.org/officeDocument/2006/relationships/hyperlink" Target="https://youtu.be/UrFb5MOja6M?t=1900" TargetMode="External"/><Relationship Id="rId192" Type="http://schemas.openxmlformats.org/officeDocument/2006/relationships/hyperlink" Target="https://youtu.be/YqWE9eiZHU0?t=4780" TargetMode="External"/><Relationship Id="rId45" Type="http://schemas.openxmlformats.org/officeDocument/2006/relationships/hyperlink" Target="https://youtu.be/7g8mK2bCZt8?t=1796" TargetMode="External"/><Relationship Id="rId191" Type="http://schemas.openxmlformats.org/officeDocument/2006/relationships/hyperlink" Target="https://youtu.be/1w-YiSHmrkA?t=4752" TargetMode="External"/><Relationship Id="rId48" Type="http://schemas.openxmlformats.org/officeDocument/2006/relationships/hyperlink" Target="https://youtu.be/UrFb5MOja6M?t=2789" TargetMode="External"/><Relationship Id="rId187" Type="http://schemas.openxmlformats.org/officeDocument/2006/relationships/hyperlink" Target="https://youtu.be/1w-YiSHmrkA?t=2832" TargetMode="External"/><Relationship Id="rId47" Type="http://schemas.openxmlformats.org/officeDocument/2006/relationships/hyperlink" Target="https://youtu.be/7g8mK2bCZt8?t=2701" TargetMode="External"/><Relationship Id="rId186" Type="http://schemas.openxmlformats.org/officeDocument/2006/relationships/hyperlink" Target="https://youtu.be/YqWE9eiZHU0?t=1855" TargetMode="External"/><Relationship Id="rId185" Type="http://schemas.openxmlformats.org/officeDocument/2006/relationships/hyperlink" Target="https://youtu.be/1w-YiSHmrkA?t=1894" TargetMode="External"/><Relationship Id="rId49" Type="http://schemas.openxmlformats.org/officeDocument/2006/relationships/hyperlink" Target="https://youtu.be/7g8mK2bCZt8?t=3536" TargetMode="External"/><Relationship Id="rId184" Type="http://schemas.openxmlformats.org/officeDocument/2006/relationships/hyperlink" Target="https://youtu.be/YqWE9eiZHU0?t=949" TargetMode="External"/><Relationship Id="rId189" Type="http://schemas.openxmlformats.org/officeDocument/2006/relationships/hyperlink" Target="https://youtu.be/1w-YiSHmrkA?t=3799" TargetMode="External"/><Relationship Id="rId188" Type="http://schemas.openxmlformats.org/officeDocument/2006/relationships/hyperlink" Target="https://youtu.be/YqWE9eiZHU0?t=2834" TargetMode="External"/><Relationship Id="rId31" Type="http://schemas.openxmlformats.org/officeDocument/2006/relationships/hyperlink" Target="https://youtu.be/Gq6zUqL6V5k?t=4689" TargetMode="External"/><Relationship Id="rId30" Type="http://schemas.openxmlformats.org/officeDocument/2006/relationships/hyperlink" Target="https://youtu.be/YqWu8sEXbzA?t=3902" TargetMode="External"/><Relationship Id="rId33" Type="http://schemas.openxmlformats.org/officeDocument/2006/relationships/hyperlink" Target="https://youtu.be/Gq6zUqL6V5k?t=5653" TargetMode="External"/><Relationship Id="rId183" Type="http://schemas.openxmlformats.org/officeDocument/2006/relationships/hyperlink" Target="https://youtu.be/1w-YiSHmrkA?t=992" TargetMode="External"/><Relationship Id="rId32" Type="http://schemas.openxmlformats.org/officeDocument/2006/relationships/hyperlink" Target="https://youtu.be/YqWu8sEXbzA?t=4825" TargetMode="External"/><Relationship Id="rId182" Type="http://schemas.openxmlformats.org/officeDocument/2006/relationships/hyperlink" Target="https://youtu.be/YqWE9eiZHU0" TargetMode="External"/><Relationship Id="rId35" Type="http://schemas.openxmlformats.org/officeDocument/2006/relationships/hyperlink" Target="https://youtu.be/Gq6zUqL6V5k?t=6579" TargetMode="External"/><Relationship Id="rId181" Type="http://schemas.openxmlformats.org/officeDocument/2006/relationships/hyperlink" Target="https://youtu.be/1w-YiSHmrkA" TargetMode="External"/><Relationship Id="rId34" Type="http://schemas.openxmlformats.org/officeDocument/2006/relationships/hyperlink" Target="https://youtu.be/YqWu8sEXbzA?t=5765" TargetMode="External"/><Relationship Id="rId180" Type="http://schemas.openxmlformats.org/officeDocument/2006/relationships/hyperlink" Target="https://youtu.be/7i9Te0yZees?t=8704" TargetMode="External"/><Relationship Id="rId37" Type="http://schemas.openxmlformats.org/officeDocument/2006/relationships/hyperlink" Target="https://youtu.be/Gq6zUqL6V5k?t=7533" TargetMode="External"/><Relationship Id="rId176" Type="http://schemas.openxmlformats.org/officeDocument/2006/relationships/hyperlink" Target="https://youtu.be/7i9Te0yZees?t=6705" TargetMode="External"/><Relationship Id="rId36" Type="http://schemas.openxmlformats.org/officeDocument/2006/relationships/hyperlink" Target="https://youtu.be/YqWu8sEXbzA?t=6807" TargetMode="External"/><Relationship Id="rId175" Type="http://schemas.openxmlformats.org/officeDocument/2006/relationships/hyperlink" Target="https://youtu.be/c1xyEZw56L8?t=6727" TargetMode="External"/><Relationship Id="rId39" Type="http://schemas.openxmlformats.org/officeDocument/2006/relationships/hyperlink" Target="https://youtu.be/Gq6zUqL6V5k?t=8456" TargetMode="External"/><Relationship Id="rId174" Type="http://schemas.openxmlformats.org/officeDocument/2006/relationships/hyperlink" Target="https://youtu.be/7i9Te0yZees?t=5754" TargetMode="External"/><Relationship Id="rId38" Type="http://schemas.openxmlformats.org/officeDocument/2006/relationships/hyperlink" Target="https://youtu.be/YqWu8sEXbzA?t=7703" TargetMode="External"/><Relationship Id="rId173" Type="http://schemas.openxmlformats.org/officeDocument/2006/relationships/hyperlink" Target="https://youtu.be/c1xyEZw56L8?t=5773" TargetMode="External"/><Relationship Id="rId179" Type="http://schemas.openxmlformats.org/officeDocument/2006/relationships/hyperlink" Target="https://youtu.be/c1xyEZw56L8?t=8735" TargetMode="External"/><Relationship Id="rId178" Type="http://schemas.openxmlformats.org/officeDocument/2006/relationships/hyperlink" Target="https://youtu.be/7i9Te0yZees?t=7759" TargetMode="External"/><Relationship Id="rId177" Type="http://schemas.openxmlformats.org/officeDocument/2006/relationships/hyperlink" Target="https://youtu.be/c1xyEZw56L8?t=7701" TargetMode="External"/><Relationship Id="rId20" Type="http://schemas.openxmlformats.org/officeDocument/2006/relationships/hyperlink" Target="https://youtu.be/jLygbdlWVDc?t=8615" TargetMode="External"/><Relationship Id="rId22" Type="http://schemas.openxmlformats.org/officeDocument/2006/relationships/hyperlink" Target="https://youtu.be/YqWu8sEXbzA" TargetMode="External"/><Relationship Id="rId21" Type="http://schemas.openxmlformats.org/officeDocument/2006/relationships/hyperlink" Target="https://youtu.be/Gq6zUqL6V5k" TargetMode="External"/><Relationship Id="rId24" Type="http://schemas.openxmlformats.org/officeDocument/2006/relationships/hyperlink" Target="https://youtu.be/YqWu8sEXbzA?t=1108" TargetMode="External"/><Relationship Id="rId23" Type="http://schemas.openxmlformats.org/officeDocument/2006/relationships/hyperlink" Target="https://youtu.be/Gq6zUqL6V5k?t=1009" TargetMode="External"/><Relationship Id="rId26" Type="http://schemas.openxmlformats.org/officeDocument/2006/relationships/hyperlink" Target="https://youtu.be/YqWu8sEXbzA?t=2063" TargetMode="External"/><Relationship Id="rId25" Type="http://schemas.openxmlformats.org/officeDocument/2006/relationships/hyperlink" Target="https://youtu.be/Gq6zUqL6V5k?t=1995" TargetMode="External"/><Relationship Id="rId28" Type="http://schemas.openxmlformats.org/officeDocument/2006/relationships/hyperlink" Target="https://youtu.be/YqWu8sEXbzA?t=3001" TargetMode="External"/><Relationship Id="rId27" Type="http://schemas.openxmlformats.org/officeDocument/2006/relationships/hyperlink" Target="https://youtu.be/Gq6zUqL6V5k?t=2886" TargetMode="External"/><Relationship Id="rId29" Type="http://schemas.openxmlformats.org/officeDocument/2006/relationships/hyperlink" Target="https://youtu.be/Gq6zUqL6V5k?t=3796" TargetMode="External"/><Relationship Id="rId11" Type="http://schemas.openxmlformats.org/officeDocument/2006/relationships/hyperlink" Target="https://youtu.be/LX5_dqQBdCY?t=4855" TargetMode="External"/><Relationship Id="rId10" Type="http://schemas.openxmlformats.org/officeDocument/2006/relationships/hyperlink" Target="https://youtu.be/jLygbdlWVDc?t=3963" TargetMode="External"/><Relationship Id="rId13" Type="http://schemas.openxmlformats.org/officeDocument/2006/relationships/hyperlink" Target="https://youtu.be/LX5_dqQBdCY?t=5823" TargetMode="External"/><Relationship Id="rId12" Type="http://schemas.openxmlformats.org/officeDocument/2006/relationships/hyperlink" Target="https://youtu.be/jLygbdlWVDc?t=4923" TargetMode="External"/><Relationship Id="rId15" Type="http://schemas.openxmlformats.org/officeDocument/2006/relationships/hyperlink" Target="https://youtu.be/LX5_dqQBdCY?t=6736" TargetMode="External"/><Relationship Id="rId198" Type="http://schemas.openxmlformats.org/officeDocument/2006/relationships/hyperlink" Target="https://youtu.be/YqWE9eiZHU0?t=7591" TargetMode="External"/><Relationship Id="rId14" Type="http://schemas.openxmlformats.org/officeDocument/2006/relationships/hyperlink" Target="https://youtu.be/jLygbdlWVDc?t=5874" TargetMode="External"/><Relationship Id="rId197" Type="http://schemas.openxmlformats.org/officeDocument/2006/relationships/hyperlink" Target="https://youtu.be/1w-YiSHmrkA?t=7619" TargetMode="External"/><Relationship Id="rId17" Type="http://schemas.openxmlformats.org/officeDocument/2006/relationships/hyperlink" Target="https://youtu.be/LX5_dqQBdCY?t=7650" TargetMode="External"/><Relationship Id="rId196" Type="http://schemas.openxmlformats.org/officeDocument/2006/relationships/hyperlink" Target="https://youtu.be/YqWE9eiZHU0?t=6660" TargetMode="External"/><Relationship Id="rId16" Type="http://schemas.openxmlformats.org/officeDocument/2006/relationships/hyperlink" Target="https://youtu.be/jLygbdlWVDc?t=6809" TargetMode="External"/><Relationship Id="rId195" Type="http://schemas.openxmlformats.org/officeDocument/2006/relationships/hyperlink" Target="https://youtu.be/1w-YiSHmrkA?t=6722" TargetMode="External"/><Relationship Id="rId19" Type="http://schemas.openxmlformats.org/officeDocument/2006/relationships/hyperlink" Target="https://youtu.be/LX5_dqQBdCY?t=8550" TargetMode="External"/><Relationship Id="rId18" Type="http://schemas.openxmlformats.org/officeDocument/2006/relationships/hyperlink" Target="https://youtu.be/jLygbdlWVDc?t=7729" TargetMode="External"/><Relationship Id="rId199" Type="http://schemas.openxmlformats.org/officeDocument/2006/relationships/hyperlink" Target="https://youtu.be/1w-YiSHmrkA?t=8597" TargetMode="External"/><Relationship Id="rId84" Type="http://schemas.openxmlformats.org/officeDocument/2006/relationships/hyperlink" Target="https://youtu.be/EbCRAAQMbHo?t=1000" TargetMode="External"/><Relationship Id="rId83" Type="http://schemas.openxmlformats.org/officeDocument/2006/relationships/hyperlink" Target="https://youtu.be/ksfcunPeC10?t=1025" TargetMode="External"/><Relationship Id="rId86" Type="http://schemas.openxmlformats.org/officeDocument/2006/relationships/hyperlink" Target="https://youtu.be/EbCRAAQMbHo?t=2875" TargetMode="External"/><Relationship Id="rId85" Type="http://schemas.openxmlformats.org/officeDocument/2006/relationships/hyperlink" Target="https://youtu.be/ksfcunPeC10?t=2003" TargetMode="External"/><Relationship Id="rId88" Type="http://schemas.openxmlformats.org/officeDocument/2006/relationships/hyperlink" Target="https://youtu.be/EbCRAAQMbHo?t=3803" TargetMode="External"/><Relationship Id="rId150" Type="http://schemas.openxmlformats.org/officeDocument/2006/relationships/hyperlink" Target="https://youtu.be/FW8KYSeJ8ao?t=3994" TargetMode="External"/><Relationship Id="rId87" Type="http://schemas.openxmlformats.org/officeDocument/2006/relationships/hyperlink" Target="https://youtu.be/ksfcunPeC10?t=3013" TargetMode="External"/><Relationship Id="rId89" Type="http://schemas.openxmlformats.org/officeDocument/2006/relationships/hyperlink" Target="https://youtu.be/ksfcunPeC10?t=3966" TargetMode="External"/><Relationship Id="rId80" Type="http://schemas.openxmlformats.org/officeDocument/2006/relationships/hyperlink" Target="https://youtu.be/9jySH8pA2to?t=7887" TargetMode="External"/><Relationship Id="rId82" Type="http://schemas.openxmlformats.org/officeDocument/2006/relationships/hyperlink" Target="https://youtu.be/EbCRAAQMbHo" TargetMode="External"/><Relationship Id="rId81" Type="http://schemas.openxmlformats.org/officeDocument/2006/relationships/hyperlink" Target="https://youtu.be/ksfcunPeC10" TargetMode="External"/><Relationship Id="rId1" Type="http://schemas.openxmlformats.org/officeDocument/2006/relationships/hyperlink" Target="https://youtu.be/LX5_dqQBdCY" TargetMode="External"/><Relationship Id="rId2" Type="http://schemas.openxmlformats.org/officeDocument/2006/relationships/hyperlink" Target="https://youtu.be/jLygbdlWVDc" TargetMode="External"/><Relationship Id="rId3" Type="http://schemas.openxmlformats.org/officeDocument/2006/relationships/hyperlink" Target="https://youtu.be/LX5_dqQBdCY?t=995" TargetMode="External"/><Relationship Id="rId149" Type="http://schemas.openxmlformats.org/officeDocument/2006/relationships/hyperlink" Target="https://youtu.be/5he_Kf0NBeU?t=3852" TargetMode="External"/><Relationship Id="rId4" Type="http://schemas.openxmlformats.org/officeDocument/2006/relationships/hyperlink" Target="https://youtu.be/jLygbdlWVDc?t=1121" TargetMode="External"/><Relationship Id="rId148" Type="http://schemas.openxmlformats.org/officeDocument/2006/relationships/hyperlink" Target="https://youtu.be/FW8KYSeJ8ao?t=3146" TargetMode="External"/><Relationship Id="rId9" Type="http://schemas.openxmlformats.org/officeDocument/2006/relationships/hyperlink" Target="https://youtu.be/LX5_dqQBdCY?t=3893" TargetMode="External"/><Relationship Id="rId143" Type="http://schemas.openxmlformats.org/officeDocument/2006/relationships/hyperlink" Target="https://youtu.be/5he_Kf0NBeU?t=1025" TargetMode="External"/><Relationship Id="rId142" Type="http://schemas.openxmlformats.org/officeDocument/2006/relationships/hyperlink" Target="https://youtu.be/FW8KYSeJ8ao" TargetMode="External"/><Relationship Id="rId141" Type="http://schemas.openxmlformats.org/officeDocument/2006/relationships/hyperlink" Target="https://youtu.be/5he_Kf0NBeU" TargetMode="External"/><Relationship Id="rId140" Type="http://schemas.openxmlformats.org/officeDocument/2006/relationships/hyperlink" Target="https://youtu.be/jH9WPXwQoWY?t=8707" TargetMode="External"/><Relationship Id="rId5" Type="http://schemas.openxmlformats.org/officeDocument/2006/relationships/hyperlink" Target="https://youtu.be/LX5_dqQBdCY?t=1963" TargetMode="External"/><Relationship Id="rId147" Type="http://schemas.openxmlformats.org/officeDocument/2006/relationships/hyperlink" Target="https://youtu.be/5he_Kf0NBeU?t=2909" TargetMode="External"/><Relationship Id="rId6" Type="http://schemas.openxmlformats.org/officeDocument/2006/relationships/hyperlink" Target="https://youtu.be/jLygbdlWVDc?t=2108" TargetMode="External"/><Relationship Id="rId146" Type="http://schemas.openxmlformats.org/officeDocument/2006/relationships/hyperlink" Target="https://youtu.be/FW8KYSeJ8ao?t=2000" TargetMode="External"/><Relationship Id="rId7" Type="http://schemas.openxmlformats.org/officeDocument/2006/relationships/hyperlink" Target="https://youtu.be/LX5_dqQBdCY?t=2927" TargetMode="External"/><Relationship Id="rId145" Type="http://schemas.openxmlformats.org/officeDocument/2006/relationships/hyperlink" Target="https://youtu.be/5he_Kf0NBeU?t=1982" TargetMode="External"/><Relationship Id="rId8" Type="http://schemas.openxmlformats.org/officeDocument/2006/relationships/hyperlink" Target="https://youtu.be/jLygbdlWVDc?t=3041" TargetMode="External"/><Relationship Id="rId144" Type="http://schemas.openxmlformats.org/officeDocument/2006/relationships/hyperlink" Target="https://youtu.be/FW8KYSeJ8ao?t=1062" TargetMode="External"/><Relationship Id="rId73" Type="http://schemas.openxmlformats.org/officeDocument/2006/relationships/hyperlink" Target="https://youtu.be/ReSs5AzLmHg?t=5126" TargetMode="External"/><Relationship Id="rId72" Type="http://schemas.openxmlformats.org/officeDocument/2006/relationships/hyperlink" Target="https://youtu.be/9jySH8pA2to?t=4291" TargetMode="External"/><Relationship Id="rId75" Type="http://schemas.openxmlformats.org/officeDocument/2006/relationships/hyperlink" Target="https://youtu.be/ReSs5AzLmHg?t=5975" TargetMode="External"/><Relationship Id="rId74" Type="http://schemas.openxmlformats.org/officeDocument/2006/relationships/hyperlink" Target="https://youtu.be/9jySH8pA2to?t=5187" TargetMode="External"/><Relationship Id="rId77" Type="http://schemas.openxmlformats.org/officeDocument/2006/relationships/hyperlink" Target="https://youtu.be/ReSs5AzLmHg?t=6812" TargetMode="External"/><Relationship Id="rId76" Type="http://schemas.openxmlformats.org/officeDocument/2006/relationships/hyperlink" Target="https://youtu.be/9jySH8pA2to?t=6133" TargetMode="External"/><Relationship Id="rId79" Type="http://schemas.openxmlformats.org/officeDocument/2006/relationships/hyperlink" Target="https://youtu.be/ReSs5AzLmHg?t=7758" TargetMode="External"/><Relationship Id="rId78" Type="http://schemas.openxmlformats.org/officeDocument/2006/relationships/hyperlink" Target="https://youtu.be/9jySH8pA2to?t=7020" TargetMode="External"/><Relationship Id="rId71" Type="http://schemas.openxmlformats.org/officeDocument/2006/relationships/hyperlink" Target="https://youtu.be/ReSs5AzLmHg?t=4249" TargetMode="External"/><Relationship Id="rId70" Type="http://schemas.openxmlformats.org/officeDocument/2006/relationships/hyperlink" Target="https://youtu.be/9jySH8pA2to?t=3459" TargetMode="External"/><Relationship Id="rId139" Type="http://schemas.openxmlformats.org/officeDocument/2006/relationships/hyperlink" Target="https://youtu.be/OTqlGCazidQ?t=8614" TargetMode="External"/><Relationship Id="rId138" Type="http://schemas.openxmlformats.org/officeDocument/2006/relationships/hyperlink" Target="https://youtu.be/jH9WPXwQoWY?t=7801" TargetMode="External"/><Relationship Id="rId137" Type="http://schemas.openxmlformats.org/officeDocument/2006/relationships/hyperlink" Target="https://youtu.be/OTqlGCazidQ?t=7710" TargetMode="External"/><Relationship Id="rId132" Type="http://schemas.openxmlformats.org/officeDocument/2006/relationships/hyperlink" Target="https://youtu.be/jH9WPXwQoWY?t=4908" TargetMode="External"/><Relationship Id="rId131" Type="http://schemas.openxmlformats.org/officeDocument/2006/relationships/hyperlink" Target="https://youtu.be/OTqlGCazidQ?t=4826" TargetMode="External"/><Relationship Id="rId130" Type="http://schemas.openxmlformats.org/officeDocument/2006/relationships/hyperlink" Target="https://youtu.be/jH9WPXwQoWY?t=3953" TargetMode="External"/><Relationship Id="rId136" Type="http://schemas.openxmlformats.org/officeDocument/2006/relationships/hyperlink" Target="https://youtu.be/jH9WPXwQoWY?t=6832" TargetMode="External"/><Relationship Id="rId135" Type="http://schemas.openxmlformats.org/officeDocument/2006/relationships/hyperlink" Target="https://youtu.be/OTqlGCazidQ?t=6732" TargetMode="External"/><Relationship Id="rId134" Type="http://schemas.openxmlformats.org/officeDocument/2006/relationships/hyperlink" Target="https://youtu.be/jH9WPXwQoWY?t=5898" TargetMode="External"/><Relationship Id="rId133" Type="http://schemas.openxmlformats.org/officeDocument/2006/relationships/hyperlink" Target="https://youtu.be/OTqlGCazidQ?t=5797" TargetMode="External"/><Relationship Id="rId62" Type="http://schemas.openxmlformats.org/officeDocument/2006/relationships/hyperlink" Target="https://youtu.be/9jySH8pA2to" TargetMode="External"/><Relationship Id="rId61" Type="http://schemas.openxmlformats.org/officeDocument/2006/relationships/hyperlink" Target="https://youtu.be/ReSs5AzLmHg" TargetMode="External"/><Relationship Id="rId64" Type="http://schemas.openxmlformats.org/officeDocument/2006/relationships/hyperlink" Target="https://youtu.be/9jySH8pA2to?t=975" TargetMode="External"/><Relationship Id="rId63" Type="http://schemas.openxmlformats.org/officeDocument/2006/relationships/hyperlink" Target="https://youtu.be/ReSs5AzLmHg?t=902" TargetMode="External"/><Relationship Id="rId66" Type="http://schemas.openxmlformats.org/officeDocument/2006/relationships/hyperlink" Target="https://youtu.be/9jySH8pA2to?t=1809" TargetMode="External"/><Relationship Id="rId172" Type="http://schemas.openxmlformats.org/officeDocument/2006/relationships/hyperlink" Target="https://youtu.be/7i9Te0yZees?t=4829" TargetMode="External"/><Relationship Id="rId65" Type="http://schemas.openxmlformats.org/officeDocument/2006/relationships/hyperlink" Target="https://youtu.be/ReSs5AzLmHg?t=1729" TargetMode="External"/><Relationship Id="rId171" Type="http://schemas.openxmlformats.org/officeDocument/2006/relationships/hyperlink" Target="https://youtu.be/c1xyEZw56L8?t=4834" TargetMode="External"/><Relationship Id="rId68" Type="http://schemas.openxmlformats.org/officeDocument/2006/relationships/hyperlink" Target="https://youtu.be/9jySH8pA2to?t=2637" TargetMode="External"/><Relationship Id="rId170" Type="http://schemas.openxmlformats.org/officeDocument/2006/relationships/hyperlink" Target="https://youtu.be/7i9Te0yZees?t=3866" TargetMode="External"/><Relationship Id="rId67" Type="http://schemas.openxmlformats.org/officeDocument/2006/relationships/hyperlink" Target="https://youtu.be/ReSs5AzLmHg?t=2549" TargetMode="External"/><Relationship Id="rId60" Type="http://schemas.openxmlformats.org/officeDocument/2006/relationships/hyperlink" Target="https://youtu.be/UrFb5MOja6M?t=7805" TargetMode="External"/><Relationship Id="rId165" Type="http://schemas.openxmlformats.org/officeDocument/2006/relationships/hyperlink" Target="https://youtu.be/c1xyEZw56L8?t=1978" TargetMode="External"/><Relationship Id="rId69" Type="http://schemas.openxmlformats.org/officeDocument/2006/relationships/hyperlink" Target="https://youtu.be/ReSs5AzLmHg?t=3384" TargetMode="External"/><Relationship Id="rId164" Type="http://schemas.openxmlformats.org/officeDocument/2006/relationships/hyperlink" Target="https://youtu.be/7i9Te0yZees?t=939" TargetMode="External"/><Relationship Id="rId163" Type="http://schemas.openxmlformats.org/officeDocument/2006/relationships/hyperlink" Target="https://youtu.be/c1xyEZw56L8?t=989" TargetMode="External"/><Relationship Id="rId162" Type="http://schemas.openxmlformats.org/officeDocument/2006/relationships/hyperlink" Target="https://youtu.be/7i9Te0yZees" TargetMode="External"/><Relationship Id="rId169" Type="http://schemas.openxmlformats.org/officeDocument/2006/relationships/hyperlink" Target="https://youtu.be/c1xyEZw56L8?t=3890" TargetMode="External"/><Relationship Id="rId168" Type="http://schemas.openxmlformats.org/officeDocument/2006/relationships/hyperlink" Target="https://youtu.be/7i9Te0yZees?t=2878" TargetMode="External"/><Relationship Id="rId167" Type="http://schemas.openxmlformats.org/officeDocument/2006/relationships/hyperlink" Target="https://youtu.be/c1xyEZw56L8?t=2922" TargetMode="External"/><Relationship Id="rId166" Type="http://schemas.openxmlformats.org/officeDocument/2006/relationships/hyperlink" Target="https://youtu.be/7i9Te0yZees?t=1927" TargetMode="External"/><Relationship Id="rId51" Type="http://schemas.openxmlformats.org/officeDocument/2006/relationships/hyperlink" Target="https://youtu.be/7g8mK2bCZt8?t=4361" TargetMode="External"/><Relationship Id="rId50" Type="http://schemas.openxmlformats.org/officeDocument/2006/relationships/hyperlink" Target="https://youtu.be/UrFb5MOja6M?t=3590" TargetMode="External"/><Relationship Id="rId53" Type="http://schemas.openxmlformats.org/officeDocument/2006/relationships/hyperlink" Target="https://youtu.be/7g8mK2bCZt8?t=5221" TargetMode="External"/><Relationship Id="rId52" Type="http://schemas.openxmlformats.org/officeDocument/2006/relationships/hyperlink" Target="https://youtu.be/UrFb5MOja6M?t=4382" TargetMode="External"/><Relationship Id="rId55" Type="http://schemas.openxmlformats.org/officeDocument/2006/relationships/hyperlink" Target="https://youtu.be/7g8mK2bCZt8?t=6089" TargetMode="External"/><Relationship Id="rId161" Type="http://schemas.openxmlformats.org/officeDocument/2006/relationships/hyperlink" Target="https://youtu.be/c1xyEZw56L8" TargetMode="External"/><Relationship Id="rId54" Type="http://schemas.openxmlformats.org/officeDocument/2006/relationships/hyperlink" Target="https://youtu.be/UrFb5MOja6M?t=5278" TargetMode="External"/><Relationship Id="rId160" Type="http://schemas.openxmlformats.org/officeDocument/2006/relationships/hyperlink" Target="https://youtu.be/FW8KYSeJ8ao?t=8633" TargetMode="External"/><Relationship Id="rId57" Type="http://schemas.openxmlformats.org/officeDocument/2006/relationships/hyperlink" Target="https://youtu.be/7g8mK2bCZt8?t=6897" TargetMode="External"/><Relationship Id="rId56" Type="http://schemas.openxmlformats.org/officeDocument/2006/relationships/hyperlink" Target="https://youtu.be/UrFb5MOja6M?t=6165" TargetMode="External"/><Relationship Id="rId159" Type="http://schemas.openxmlformats.org/officeDocument/2006/relationships/hyperlink" Target="https://youtu.be/5he_Kf0NBeU?t=8611" TargetMode="External"/><Relationship Id="rId59" Type="http://schemas.openxmlformats.org/officeDocument/2006/relationships/hyperlink" Target="https://youtu.be/7g8mK2bCZt8?t=7763" TargetMode="External"/><Relationship Id="rId154" Type="http://schemas.openxmlformats.org/officeDocument/2006/relationships/hyperlink" Target="https://youtu.be/FW8KYSeJ8ao?t=5824" TargetMode="External"/><Relationship Id="rId58" Type="http://schemas.openxmlformats.org/officeDocument/2006/relationships/hyperlink" Target="https://youtu.be/UrFb5MOja6M?t=7027" TargetMode="External"/><Relationship Id="rId153" Type="http://schemas.openxmlformats.org/officeDocument/2006/relationships/hyperlink" Target="https://youtu.be/5he_Kf0NBeU?t=5862" TargetMode="External"/><Relationship Id="rId152" Type="http://schemas.openxmlformats.org/officeDocument/2006/relationships/hyperlink" Target="https://youtu.be/FW8KYSeJ8ao?t=4910" TargetMode="External"/><Relationship Id="rId151" Type="http://schemas.openxmlformats.org/officeDocument/2006/relationships/hyperlink" Target="https://youtu.be/5he_Kf0NBeU?t=4929" TargetMode="External"/><Relationship Id="rId158" Type="http://schemas.openxmlformats.org/officeDocument/2006/relationships/hyperlink" Target="https://youtu.be/FW8KYSeJ8ao?t=7705" TargetMode="External"/><Relationship Id="rId157" Type="http://schemas.openxmlformats.org/officeDocument/2006/relationships/hyperlink" Target="https://youtu.be/5he_Kf0NBeU?t=7768" TargetMode="External"/><Relationship Id="rId156" Type="http://schemas.openxmlformats.org/officeDocument/2006/relationships/hyperlink" Target="https://youtu.be/FW8KYSeJ8ao?t=6810" TargetMode="External"/><Relationship Id="rId155" Type="http://schemas.openxmlformats.org/officeDocument/2006/relationships/hyperlink" Target="https://youtu.be/5he_Kf0NBeU?t=6858" TargetMode="External"/><Relationship Id="rId107" Type="http://schemas.openxmlformats.org/officeDocument/2006/relationships/hyperlink" Target="https://youtu.be/XLzudNd5yfM?t=3006" TargetMode="External"/><Relationship Id="rId228" Type="http://schemas.openxmlformats.org/officeDocument/2006/relationships/hyperlink" Target="https://youtu.be/36soqx_aqJU?t=3030" TargetMode="External"/><Relationship Id="rId106" Type="http://schemas.openxmlformats.org/officeDocument/2006/relationships/hyperlink" Target="https://youtu.be/icNjzzb13_s?t=1946" TargetMode="External"/><Relationship Id="rId227" Type="http://schemas.openxmlformats.org/officeDocument/2006/relationships/hyperlink" Target="https://youtu.be/Yxnq1vElkh0?t=2824" TargetMode="External"/><Relationship Id="rId105" Type="http://schemas.openxmlformats.org/officeDocument/2006/relationships/hyperlink" Target="https://youtu.be/XLzudNd5yfM?t=2078" TargetMode="External"/><Relationship Id="rId226" Type="http://schemas.openxmlformats.org/officeDocument/2006/relationships/hyperlink" Target="https://youtu.be/36soqx_aqJU?t=2055" TargetMode="External"/><Relationship Id="rId104" Type="http://schemas.openxmlformats.org/officeDocument/2006/relationships/hyperlink" Target="https://youtu.be/icNjzzb13_s?t=988" TargetMode="External"/><Relationship Id="rId225" Type="http://schemas.openxmlformats.org/officeDocument/2006/relationships/hyperlink" Target="https://youtu.be/Yxnq1vElkh0?t=1900" TargetMode="External"/><Relationship Id="rId109" Type="http://schemas.openxmlformats.org/officeDocument/2006/relationships/hyperlink" Target="https://youtu.be/XLzudNd5yfM?t=4011" TargetMode="External"/><Relationship Id="rId108" Type="http://schemas.openxmlformats.org/officeDocument/2006/relationships/hyperlink" Target="https://youtu.be/icNjzzb13_s?t=2990" TargetMode="External"/><Relationship Id="rId229" Type="http://schemas.openxmlformats.org/officeDocument/2006/relationships/hyperlink" Target="https://youtu.be/Yxnq1vElkh0?t=3893" TargetMode="External"/><Relationship Id="rId220" Type="http://schemas.openxmlformats.org/officeDocument/2006/relationships/hyperlink" Target="https://youtu.be/MCNeMGmV1jA?t=7874" TargetMode="External"/><Relationship Id="rId103" Type="http://schemas.openxmlformats.org/officeDocument/2006/relationships/hyperlink" Target="https://youtu.be/XLzudNd5yfM?t=1098" TargetMode="External"/><Relationship Id="rId224" Type="http://schemas.openxmlformats.org/officeDocument/2006/relationships/hyperlink" Target="https://youtu.be/36soqx_aqJU?t=1120" TargetMode="External"/><Relationship Id="rId102" Type="http://schemas.openxmlformats.org/officeDocument/2006/relationships/hyperlink" Target="https://youtu.be/icNjzzb13_s" TargetMode="External"/><Relationship Id="rId223" Type="http://schemas.openxmlformats.org/officeDocument/2006/relationships/hyperlink" Target="https://youtu.be/Yxnq1vElkh0?t=959" TargetMode="External"/><Relationship Id="rId101" Type="http://schemas.openxmlformats.org/officeDocument/2006/relationships/hyperlink" Target="https://youtu.be/XLzudNd5yfM" TargetMode="External"/><Relationship Id="rId222" Type="http://schemas.openxmlformats.org/officeDocument/2006/relationships/hyperlink" Target="https://youtu.be/36soqx_aqJU" TargetMode="External"/><Relationship Id="rId100" Type="http://schemas.openxmlformats.org/officeDocument/2006/relationships/hyperlink" Target="https://youtu.be/EbCRAAQMbHo?t=8577" TargetMode="External"/><Relationship Id="rId221" Type="http://schemas.openxmlformats.org/officeDocument/2006/relationships/hyperlink" Target="https://youtu.be/Yxnq1vElkh0" TargetMode="External"/><Relationship Id="rId217" Type="http://schemas.openxmlformats.org/officeDocument/2006/relationships/hyperlink" Target="https://youtu.be/B2th7JwFsUk?t=6934" TargetMode="External"/><Relationship Id="rId216" Type="http://schemas.openxmlformats.org/officeDocument/2006/relationships/hyperlink" Target="https://youtu.be/MCNeMGmV1jA?t=6144" TargetMode="External"/><Relationship Id="rId215" Type="http://schemas.openxmlformats.org/officeDocument/2006/relationships/hyperlink" Target="https://youtu.be/B2th7JwFsUk?t=6078" TargetMode="External"/><Relationship Id="rId214" Type="http://schemas.openxmlformats.org/officeDocument/2006/relationships/hyperlink" Target="https://youtu.be/MCNeMGmV1jA?t=5254" TargetMode="External"/><Relationship Id="rId219" Type="http://schemas.openxmlformats.org/officeDocument/2006/relationships/hyperlink" Target="https://youtu.be/B2th7JwFsUk?t=7806" TargetMode="External"/><Relationship Id="rId218" Type="http://schemas.openxmlformats.org/officeDocument/2006/relationships/hyperlink" Target="https://youtu.be/MCNeMGmV1jA?t=7057" TargetMode="External"/><Relationship Id="rId213" Type="http://schemas.openxmlformats.org/officeDocument/2006/relationships/hyperlink" Target="https://youtu.be/B2th7JwFsUk?t=5257" TargetMode="External"/><Relationship Id="rId212" Type="http://schemas.openxmlformats.org/officeDocument/2006/relationships/hyperlink" Target="https://youtu.be/MCNeMGmV1jA?t=4379" TargetMode="External"/><Relationship Id="rId211" Type="http://schemas.openxmlformats.org/officeDocument/2006/relationships/hyperlink" Target="https://youtu.be/B2th7JwFsUk?t=4437" TargetMode="External"/><Relationship Id="rId210" Type="http://schemas.openxmlformats.org/officeDocument/2006/relationships/hyperlink" Target="https://youtu.be/MCNeMGmV1jA?t=3540" TargetMode="External"/><Relationship Id="rId129" Type="http://schemas.openxmlformats.org/officeDocument/2006/relationships/hyperlink" Target="https://youtu.be/OTqlGCazidQ?t=3886" TargetMode="External"/><Relationship Id="rId128" Type="http://schemas.openxmlformats.org/officeDocument/2006/relationships/hyperlink" Target="https://youtu.be/jH9WPXwQoWY?t=3033" TargetMode="External"/><Relationship Id="rId127" Type="http://schemas.openxmlformats.org/officeDocument/2006/relationships/hyperlink" Target="https://youtu.be/OTqlGCazidQ?t=2912" TargetMode="External"/><Relationship Id="rId126" Type="http://schemas.openxmlformats.org/officeDocument/2006/relationships/hyperlink" Target="https://youtu.be/jH9WPXwQoWY?t=2051" TargetMode="External"/><Relationship Id="rId121" Type="http://schemas.openxmlformats.org/officeDocument/2006/relationships/hyperlink" Target="https://youtu.be/OTqlGCazidQ" TargetMode="External"/><Relationship Id="rId120" Type="http://schemas.openxmlformats.org/officeDocument/2006/relationships/hyperlink" Target="https://youtu.be/icNjzzb13_s?t=8915" TargetMode="External"/><Relationship Id="rId241" Type="http://schemas.openxmlformats.org/officeDocument/2006/relationships/drawing" Target="../drawings/drawing42.xml"/><Relationship Id="rId240" Type="http://schemas.openxmlformats.org/officeDocument/2006/relationships/hyperlink" Target="https://youtu.be/36soqx_aqJU?t=8710" TargetMode="External"/><Relationship Id="rId125" Type="http://schemas.openxmlformats.org/officeDocument/2006/relationships/hyperlink" Target="https://youtu.be/OTqlGCazidQ?t=1986" TargetMode="External"/><Relationship Id="rId124" Type="http://schemas.openxmlformats.org/officeDocument/2006/relationships/hyperlink" Target="https://youtu.be/jH9WPXwQoWY?t=1102" TargetMode="External"/><Relationship Id="rId123" Type="http://schemas.openxmlformats.org/officeDocument/2006/relationships/hyperlink" Target="https://youtu.be/OTqlGCazidQ?t=990" TargetMode="External"/><Relationship Id="rId122" Type="http://schemas.openxmlformats.org/officeDocument/2006/relationships/hyperlink" Target="https://youtu.be/jH9WPXwQoWY" TargetMode="External"/><Relationship Id="rId95" Type="http://schemas.openxmlformats.org/officeDocument/2006/relationships/hyperlink" Target="https://youtu.be/ksfcunPeC10?t=6836" TargetMode="External"/><Relationship Id="rId94" Type="http://schemas.openxmlformats.org/officeDocument/2006/relationships/hyperlink" Target="https://youtu.be/EbCRAAQMbHo?t=5720" TargetMode="External"/><Relationship Id="rId97" Type="http://schemas.openxmlformats.org/officeDocument/2006/relationships/hyperlink" Target="https://youtu.be/ksfcunPeC10?t=7811" TargetMode="External"/><Relationship Id="rId96" Type="http://schemas.openxmlformats.org/officeDocument/2006/relationships/hyperlink" Target="https://youtu.be/EbCRAAQMbHo?t=6662" TargetMode="External"/><Relationship Id="rId99" Type="http://schemas.openxmlformats.org/officeDocument/2006/relationships/hyperlink" Target="https://youtu.be/ksfcunPeC10?t=8789" TargetMode="External"/><Relationship Id="rId98" Type="http://schemas.openxmlformats.org/officeDocument/2006/relationships/hyperlink" Target="https://youtu.be/EbCRAAQMbHo?t=7570" TargetMode="External"/><Relationship Id="rId91" Type="http://schemas.openxmlformats.org/officeDocument/2006/relationships/hyperlink" Target="https://youtu.be/ksfcunPeC10?t=4899" TargetMode="External"/><Relationship Id="rId90" Type="http://schemas.openxmlformats.org/officeDocument/2006/relationships/hyperlink" Target="https://youtu.be/EbCRAAQMbHo?t=3803" TargetMode="External"/><Relationship Id="rId93" Type="http://schemas.openxmlformats.org/officeDocument/2006/relationships/hyperlink" Target="https://youtu.be/ksfcunPeC10?t=5863" TargetMode="External"/><Relationship Id="rId92" Type="http://schemas.openxmlformats.org/officeDocument/2006/relationships/hyperlink" Target="https://youtu.be/EbCRAAQMbHo?t=4757" TargetMode="External"/><Relationship Id="rId118" Type="http://schemas.openxmlformats.org/officeDocument/2006/relationships/hyperlink" Target="https://youtu.be/icNjzzb13_s?t=7898" TargetMode="External"/><Relationship Id="rId239" Type="http://schemas.openxmlformats.org/officeDocument/2006/relationships/hyperlink" Target="https://youtu.be/Yxnq1vElkh0?t=8674" TargetMode="External"/><Relationship Id="rId117" Type="http://schemas.openxmlformats.org/officeDocument/2006/relationships/hyperlink" Target="https://youtu.be/XLzudNd5yfM?t=7987" TargetMode="External"/><Relationship Id="rId238" Type="http://schemas.openxmlformats.org/officeDocument/2006/relationships/hyperlink" Target="https://youtu.be/36soqx_aqJU?t=7770" TargetMode="External"/><Relationship Id="rId116" Type="http://schemas.openxmlformats.org/officeDocument/2006/relationships/hyperlink" Target="https://youtu.be/icNjzzb13_s?t=6877" TargetMode="External"/><Relationship Id="rId237" Type="http://schemas.openxmlformats.org/officeDocument/2006/relationships/hyperlink" Target="https://youtu.be/Yxnq1vElkh0?t=7721" TargetMode="External"/><Relationship Id="rId115" Type="http://schemas.openxmlformats.org/officeDocument/2006/relationships/hyperlink" Target="https://youtu.be/XLzudNd5yfM?t=7018" TargetMode="External"/><Relationship Id="rId236" Type="http://schemas.openxmlformats.org/officeDocument/2006/relationships/hyperlink" Target="https://youtu.be/36soqx_aqJU?t=6835" TargetMode="External"/><Relationship Id="rId119" Type="http://schemas.openxmlformats.org/officeDocument/2006/relationships/hyperlink" Target="https://youtu.be/XLzudNd5yfM?t=8910" TargetMode="External"/><Relationship Id="rId110" Type="http://schemas.openxmlformats.org/officeDocument/2006/relationships/hyperlink" Target="https://youtu.be/icNjzzb13_s?t=3979" TargetMode="External"/><Relationship Id="rId231" Type="http://schemas.openxmlformats.org/officeDocument/2006/relationships/hyperlink" Target="https://youtu.be/Yxnq1vElkh0?t=4836" TargetMode="External"/><Relationship Id="rId230" Type="http://schemas.openxmlformats.org/officeDocument/2006/relationships/hyperlink" Target="https://youtu.be/36soqx_aqJU?t=3975" TargetMode="External"/><Relationship Id="rId114" Type="http://schemas.openxmlformats.org/officeDocument/2006/relationships/hyperlink" Target="https://youtu.be/icNjzzb13_s?t=5926" TargetMode="External"/><Relationship Id="rId235" Type="http://schemas.openxmlformats.org/officeDocument/2006/relationships/hyperlink" Target="https://youtu.be/Yxnq1vElkh0?t=6772" TargetMode="External"/><Relationship Id="rId113" Type="http://schemas.openxmlformats.org/officeDocument/2006/relationships/hyperlink" Target="https://youtu.be/XLzudNd5yfM?t=6059" TargetMode="External"/><Relationship Id="rId234" Type="http://schemas.openxmlformats.org/officeDocument/2006/relationships/hyperlink" Target="https://youtu.be/36soqx_aqJU?t=5874" TargetMode="External"/><Relationship Id="rId112" Type="http://schemas.openxmlformats.org/officeDocument/2006/relationships/hyperlink" Target="https://youtu.be/icNjzzb13_s?t=4918" TargetMode="External"/><Relationship Id="rId233" Type="http://schemas.openxmlformats.org/officeDocument/2006/relationships/hyperlink" Target="https://youtu.be/Yxnq1vElkh0?t=5807" TargetMode="External"/><Relationship Id="rId111" Type="http://schemas.openxmlformats.org/officeDocument/2006/relationships/hyperlink" Target="https://youtu.be/XLzudNd5yfM?t=5099" TargetMode="External"/><Relationship Id="rId232" Type="http://schemas.openxmlformats.org/officeDocument/2006/relationships/hyperlink" Target="https://youtu.be/36soqx_aqJU?t=4940" TargetMode="External"/><Relationship Id="rId206" Type="http://schemas.openxmlformats.org/officeDocument/2006/relationships/hyperlink" Target="https://youtu.be/MCNeMGmV1jA?t=1813" TargetMode="External"/><Relationship Id="rId205" Type="http://schemas.openxmlformats.org/officeDocument/2006/relationships/hyperlink" Target="https://youtu.be/B2th7JwFsUk?t=1845" TargetMode="External"/><Relationship Id="rId204" Type="http://schemas.openxmlformats.org/officeDocument/2006/relationships/hyperlink" Target="https://youtu.be/MCNeMGmV1jA?t=944" TargetMode="External"/><Relationship Id="rId203" Type="http://schemas.openxmlformats.org/officeDocument/2006/relationships/hyperlink" Target="https://youtu.be/B2th7JwFsUk?t=940" TargetMode="External"/><Relationship Id="rId209" Type="http://schemas.openxmlformats.org/officeDocument/2006/relationships/hyperlink" Target="https://youtu.be/B2th7JwFsUk?t=3571" TargetMode="External"/><Relationship Id="rId208" Type="http://schemas.openxmlformats.org/officeDocument/2006/relationships/hyperlink" Target="https://youtu.be/MCNeMGmV1jA?t=2711" TargetMode="External"/><Relationship Id="rId207" Type="http://schemas.openxmlformats.org/officeDocument/2006/relationships/hyperlink" Target="https://youtu.be/B2th7JwFsUk?t=2679" TargetMode="External"/><Relationship Id="rId202" Type="http://schemas.openxmlformats.org/officeDocument/2006/relationships/hyperlink" Target="https://youtu.be/MCNeMGmV1jA" TargetMode="External"/><Relationship Id="rId201" Type="http://schemas.openxmlformats.org/officeDocument/2006/relationships/hyperlink" Target="https://youtu.be/B2th7JwFsUk" TargetMode="External"/><Relationship Id="rId200" Type="http://schemas.openxmlformats.org/officeDocument/2006/relationships/hyperlink" Target="https://youtu.be/YqWE9eiZHU0?t=8525" TargetMode="External"/></Relationships>
</file>

<file path=xl/worksheets/_rels/sheet4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hiNbk_UyT_I?t=8570" TargetMode="External"/><Relationship Id="rId190" Type="http://schemas.openxmlformats.org/officeDocument/2006/relationships/hyperlink" Target="https://youtu.be/LB7GuTJX798?t=3844" TargetMode="External"/><Relationship Id="rId42" Type="http://schemas.openxmlformats.org/officeDocument/2006/relationships/hyperlink" Target="https://youtu.be/NPSiJTDBS7A" TargetMode="External"/><Relationship Id="rId41" Type="http://schemas.openxmlformats.org/officeDocument/2006/relationships/hyperlink" Target="https://youtu.be/dSWqf78WXmk" TargetMode="External"/><Relationship Id="rId44" Type="http://schemas.openxmlformats.org/officeDocument/2006/relationships/hyperlink" Target="https://youtu.be/NPSiJTDBS7A?t=1058" TargetMode="External"/><Relationship Id="rId194" Type="http://schemas.openxmlformats.org/officeDocument/2006/relationships/hyperlink" Target="https://youtu.be/LB7GuTJX798?t=5798" TargetMode="External"/><Relationship Id="rId43" Type="http://schemas.openxmlformats.org/officeDocument/2006/relationships/hyperlink" Target="https://youtu.be/dSWqf78WXmk?t=947" TargetMode="External"/><Relationship Id="rId193" Type="http://schemas.openxmlformats.org/officeDocument/2006/relationships/hyperlink" Target="https://youtu.be/DBUn6yma1U8?t=5907" TargetMode="External"/><Relationship Id="rId46" Type="http://schemas.openxmlformats.org/officeDocument/2006/relationships/hyperlink" Target="https://youtu.be/NPSiJTDBS7A?t=1971" TargetMode="External"/><Relationship Id="rId192" Type="http://schemas.openxmlformats.org/officeDocument/2006/relationships/hyperlink" Target="https://youtu.be/LB7GuTJX798?t=4828" TargetMode="External"/><Relationship Id="rId45" Type="http://schemas.openxmlformats.org/officeDocument/2006/relationships/hyperlink" Target="https://youtu.be/dSWqf78WXmk?t=1881" TargetMode="External"/><Relationship Id="rId191" Type="http://schemas.openxmlformats.org/officeDocument/2006/relationships/hyperlink" Target="https://youtu.be/DBUn6yma1U8?t=4840" TargetMode="External"/><Relationship Id="rId48" Type="http://schemas.openxmlformats.org/officeDocument/2006/relationships/hyperlink" Target="https://youtu.be/NPSiJTDBS7A?t=2902" TargetMode="External"/><Relationship Id="rId187" Type="http://schemas.openxmlformats.org/officeDocument/2006/relationships/hyperlink" Target="https://youtu.be/DBUn6yma1U8?t=2968" TargetMode="External"/><Relationship Id="rId47" Type="http://schemas.openxmlformats.org/officeDocument/2006/relationships/hyperlink" Target="https://youtu.be/dSWqf78WXmk?t=2787" TargetMode="External"/><Relationship Id="rId186" Type="http://schemas.openxmlformats.org/officeDocument/2006/relationships/hyperlink" Target="https://youtu.be/LB7GuTJX798?t=1850" TargetMode="External"/><Relationship Id="rId185" Type="http://schemas.openxmlformats.org/officeDocument/2006/relationships/hyperlink" Target="https://youtu.be/DBUn6yma1U8?t=1871" TargetMode="External"/><Relationship Id="rId49" Type="http://schemas.openxmlformats.org/officeDocument/2006/relationships/hyperlink" Target="https://youtu.be/dSWqf78WXmk?t=3688" TargetMode="External"/><Relationship Id="rId184" Type="http://schemas.openxmlformats.org/officeDocument/2006/relationships/hyperlink" Target="https://youtu.be/LB7GuTJX798?t=945" TargetMode="External"/><Relationship Id="rId189" Type="http://schemas.openxmlformats.org/officeDocument/2006/relationships/hyperlink" Target="https://youtu.be/DBUn6yma1U8?t=3902" TargetMode="External"/><Relationship Id="rId188" Type="http://schemas.openxmlformats.org/officeDocument/2006/relationships/hyperlink" Target="https://youtu.be/LB7GuTJX798?t=2874" TargetMode="External"/><Relationship Id="rId31" Type="http://schemas.openxmlformats.org/officeDocument/2006/relationships/hyperlink" Target="https://youtu.be/CFTRl1N_7Zs?t=4797" TargetMode="External"/><Relationship Id="rId30" Type="http://schemas.openxmlformats.org/officeDocument/2006/relationships/hyperlink" Target="https://youtu.be/hiNbk_UyT_I?t=3930" TargetMode="External"/><Relationship Id="rId33" Type="http://schemas.openxmlformats.org/officeDocument/2006/relationships/hyperlink" Target="https://youtu.be/CFTRl1N_7Zs?t=5731" TargetMode="External"/><Relationship Id="rId183" Type="http://schemas.openxmlformats.org/officeDocument/2006/relationships/hyperlink" Target="https://youtu.be/DBUn6yma1U8?t=994" TargetMode="External"/><Relationship Id="rId32" Type="http://schemas.openxmlformats.org/officeDocument/2006/relationships/hyperlink" Target="https://youtu.be/hiNbk_UyT_I?t=4793" TargetMode="External"/><Relationship Id="rId182" Type="http://schemas.openxmlformats.org/officeDocument/2006/relationships/hyperlink" Target="https://youtu.be/LB7GuTJX798" TargetMode="External"/><Relationship Id="rId35" Type="http://schemas.openxmlformats.org/officeDocument/2006/relationships/hyperlink" Target="https://youtu.be/CFTRl1N_7Zs?t=6658" TargetMode="External"/><Relationship Id="rId181" Type="http://schemas.openxmlformats.org/officeDocument/2006/relationships/hyperlink" Target="https://youtu.be/DBUn6yma1U8" TargetMode="External"/><Relationship Id="rId34" Type="http://schemas.openxmlformats.org/officeDocument/2006/relationships/hyperlink" Target="https://youtu.be/hiNbk_UyT_I?t=5706" TargetMode="External"/><Relationship Id="rId180" Type="http://schemas.openxmlformats.org/officeDocument/2006/relationships/hyperlink" Target="https://youtu.be/_dN6XIIZbzs?t=8444" TargetMode="External"/><Relationship Id="rId37" Type="http://schemas.openxmlformats.org/officeDocument/2006/relationships/hyperlink" Target="https://youtu.be/CFTRl1N_7Zs?t=7604" TargetMode="External"/><Relationship Id="rId176" Type="http://schemas.openxmlformats.org/officeDocument/2006/relationships/hyperlink" Target="https://youtu.be/_dN6XIIZbzs?t=6546" TargetMode="External"/><Relationship Id="rId36" Type="http://schemas.openxmlformats.org/officeDocument/2006/relationships/hyperlink" Target="https://youtu.be/hiNbk_UyT_I?t=6645" TargetMode="External"/><Relationship Id="rId175" Type="http://schemas.openxmlformats.org/officeDocument/2006/relationships/hyperlink" Target="https://youtu.be/-pa9WG-QgEc?t=6631" TargetMode="External"/><Relationship Id="rId39" Type="http://schemas.openxmlformats.org/officeDocument/2006/relationships/hyperlink" Target="https://youtu.be/CFTRl1N_7Zs?t=8509" TargetMode="External"/><Relationship Id="rId174" Type="http://schemas.openxmlformats.org/officeDocument/2006/relationships/hyperlink" Target="https://youtu.be/_dN6XIIZbzs?t=5585" TargetMode="External"/><Relationship Id="rId38" Type="http://schemas.openxmlformats.org/officeDocument/2006/relationships/hyperlink" Target="https://youtu.be/hiNbk_UyT_I?t=7645" TargetMode="External"/><Relationship Id="rId173" Type="http://schemas.openxmlformats.org/officeDocument/2006/relationships/hyperlink" Target="https://youtu.be/-pa9WG-QgEc?t=5696" TargetMode="External"/><Relationship Id="rId179" Type="http://schemas.openxmlformats.org/officeDocument/2006/relationships/hyperlink" Target="https://youtu.be/-pa9WG-QgEc?t=8493" TargetMode="External"/><Relationship Id="rId178" Type="http://schemas.openxmlformats.org/officeDocument/2006/relationships/hyperlink" Target="https://youtu.be/_dN6XIIZbzs?t=7455" TargetMode="External"/><Relationship Id="rId177" Type="http://schemas.openxmlformats.org/officeDocument/2006/relationships/hyperlink" Target="https://youtu.be/-pa9WG-QgEc?t=7588" TargetMode="External"/><Relationship Id="rId20" Type="http://schemas.openxmlformats.org/officeDocument/2006/relationships/hyperlink" Target="https://youtu.be/iDc0FGQigAs?t=8415" TargetMode="External"/><Relationship Id="rId22" Type="http://schemas.openxmlformats.org/officeDocument/2006/relationships/hyperlink" Target="https://youtu.be/hiNbk_UyT_I" TargetMode="External"/><Relationship Id="rId21" Type="http://schemas.openxmlformats.org/officeDocument/2006/relationships/hyperlink" Target="https://youtu.be/CFTRl1N_7Zs" TargetMode="External"/><Relationship Id="rId24" Type="http://schemas.openxmlformats.org/officeDocument/2006/relationships/hyperlink" Target="https://youtu.be/hiNbk_UyT_I?t=979" TargetMode="External"/><Relationship Id="rId23" Type="http://schemas.openxmlformats.org/officeDocument/2006/relationships/hyperlink" Target="https://youtu.be/CFTRl1N_7Zs?t=1007" TargetMode="External"/><Relationship Id="rId26" Type="http://schemas.openxmlformats.org/officeDocument/2006/relationships/hyperlink" Target="https://youtu.be/hiNbk_UyT_I?t=1912" TargetMode="External"/><Relationship Id="rId25" Type="http://schemas.openxmlformats.org/officeDocument/2006/relationships/hyperlink" Target="https://youtu.be/CFTRl1N_7Zs?t=1989" TargetMode="External"/><Relationship Id="rId28" Type="http://schemas.openxmlformats.org/officeDocument/2006/relationships/hyperlink" Target="https://youtu.be/hiNbk_UyT_I?t=2853" TargetMode="External"/><Relationship Id="rId27" Type="http://schemas.openxmlformats.org/officeDocument/2006/relationships/hyperlink" Target="https://youtu.be/CFTRl1N_7Zs?t=2883" TargetMode="External"/><Relationship Id="rId29" Type="http://schemas.openxmlformats.org/officeDocument/2006/relationships/hyperlink" Target="https://youtu.be/CFTRl1N_7Zs?t=3844" TargetMode="External"/><Relationship Id="rId11" Type="http://schemas.openxmlformats.org/officeDocument/2006/relationships/hyperlink" Target="https://youtu.be/eadFb0L8fXo?t=4739" TargetMode="External"/><Relationship Id="rId10" Type="http://schemas.openxmlformats.org/officeDocument/2006/relationships/hyperlink" Target="https://youtu.be/iDc0FGQigAs?t=3732" TargetMode="External"/><Relationship Id="rId13" Type="http://schemas.openxmlformats.org/officeDocument/2006/relationships/hyperlink" Target="https://youtu.be/eadFb0L8fXo?t=5691" TargetMode="External"/><Relationship Id="rId12" Type="http://schemas.openxmlformats.org/officeDocument/2006/relationships/hyperlink" Target="https://youtu.be/iDc0FGQigAs?t=4676" TargetMode="External"/><Relationship Id="rId15" Type="http://schemas.openxmlformats.org/officeDocument/2006/relationships/hyperlink" Target="https://youtu.be/eadFb0L8fXo?t=6597" TargetMode="External"/><Relationship Id="rId198" Type="http://schemas.openxmlformats.org/officeDocument/2006/relationships/hyperlink" Target="https://youtu.be/LB7GuTJX798?t=7734" TargetMode="External"/><Relationship Id="rId14" Type="http://schemas.openxmlformats.org/officeDocument/2006/relationships/hyperlink" Target="https://youtu.be/iDc0FGQigAs?t=5599" TargetMode="External"/><Relationship Id="rId197" Type="http://schemas.openxmlformats.org/officeDocument/2006/relationships/hyperlink" Target="https://youtu.be/DBUn6yma1U8?t=7840" TargetMode="External"/><Relationship Id="rId17" Type="http://schemas.openxmlformats.org/officeDocument/2006/relationships/hyperlink" Target="https://youtu.be/eadFb0L8fXo?t=7511" TargetMode="External"/><Relationship Id="rId196" Type="http://schemas.openxmlformats.org/officeDocument/2006/relationships/hyperlink" Target="https://youtu.be/LB7GuTJX798?t=6762" TargetMode="External"/><Relationship Id="rId16" Type="http://schemas.openxmlformats.org/officeDocument/2006/relationships/hyperlink" Target="https://youtu.be/iDc0FGQigAs?t=6549" TargetMode="External"/><Relationship Id="rId195" Type="http://schemas.openxmlformats.org/officeDocument/2006/relationships/hyperlink" Target="https://youtu.be/DBUn6yma1U8?t=6867" TargetMode="External"/><Relationship Id="rId19" Type="http://schemas.openxmlformats.org/officeDocument/2006/relationships/hyperlink" Target="https://youtu.be/eadFb0L8fXo?t=8440" TargetMode="External"/><Relationship Id="rId18" Type="http://schemas.openxmlformats.org/officeDocument/2006/relationships/hyperlink" Target="https://youtu.be/iDc0FGQigAs?t=7482" TargetMode="External"/><Relationship Id="rId199" Type="http://schemas.openxmlformats.org/officeDocument/2006/relationships/hyperlink" Target="https://youtu.be/DBUn6yma1U8?t=8784" TargetMode="External"/><Relationship Id="rId84" Type="http://schemas.openxmlformats.org/officeDocument/2006/relationships/hyperlink" Target="https://youtu.be/pbQ0IHDHJxg?t=910" TargetMode="External"/><Relationship Id="rId83" Type="http://schemas.openxmlformats.org/officeDocument/2006/relationships/hyperlink" Target="https://youtu.be/TM4GdMBayNg?t=1085" TargetMode="External"/><Relationship Id="rId86" Type="http://schemas.openxmlformats.org/officeDocument/2006/relationships/hyperlink" Target="https://youtu.be/pbQ0IHDHJxg?t=1845" TargetMode="External"/><Relationship Id="rId85" Type="http://schemas.openxmlformats.org/officeDocument/2006/relationships/hyperlink" Target="https://youtu.be/TM4GdMBayNg?t=2008" TargetMode="External"/><Relationship Id="rId88" Type="http://schemas.openxmlformats.org/officeDocument/2006/relationships/hyperlink" Target="https://youtu.be/pbQ0IHDHJxg?t=2782" TargetMode="External"/><Relationship Id="rId150" Type="http://schemas.openxmlformats.org/officeDocument/2006/relationships/hyperlink" Target="https://youtu.be/e7FMdNZqkL8?t=3933" TargetMode="External"/><Relationship Id="rId87" Type="http://schemas.openxmlformats.org/officeDocument/2006/relationships/hyperlink" Target="https://youtu.be/TM4GdMBayNg?t=2846" TargetMode="External"/><Relationship Id="rId89" Type="http://schemas.openxmlformats.org/officeDocument/2006/relationships/hyperlink" Target="https://youtu.be/TM4GdMBayNg?t=3774" TargetMode="External"/><Relationship Id="rId80" Type="http://schemas.openxmlformats.org/officeDocument/2006/relationships/hyperlink" Target="https://youtu.be/TqPLphevOcU?t=8702" TargetMode="External"/><Relationship Id="rId82" Type="http://schemas.openxmlformats.org/officeDocument/2006/relationships/hyperlink" Target="https://youtu.be/pbQ0IHDHJxg" TargetMode="External"/><Relationship Id="rId81" Type="http://schemas.openxmlformats.org/officeDocument/2006/relationships/hyperlink" Target="https://youtu.be/TM4GdMBayNg" TargetMode="External"/><Relationship Id="rId1" Type="http://schemas.openxmlformats.org/officeDocument/2006/relationships/hyperlink" Target="https://youtu.be/eadFb0L8fXo" TargetMode="External"/><Relationship Id="rId2" Type="http://schemas.openxmlformats.org/officeDocument/2006/relationships/hyperlink" Target="https://youtu.be/iDc0FGQigAs" TargetMode="External"/><Relationship Id="rId3" Type="http://schemas.openxmlformats.org/officeDocument/2006/relationships/hyperlink" Target="https://youtu.be/eadFb0L8fXo?t=979" TargetMode="External"/><Relationship Id="rId149" Type="http://schemas.openxmlformats.org/officeDocument/2006/relationships/hyperlink" Target="https://youtu.be/3RWvRzD0ZNg?t=3822" TargetMode="External"/><Relationship Id="rId4" Type="http://schemas.openxmlformats.org/officeDocument/2006/relationships/hyperlink" Target="https://youtu.be/iDc0FGQigAs?t=906" TargetMode="External"/><Relationship Id="rId148" Type="http://schemas.openxmlformats.org/officeDocument/2006/relationships/hyperlink" Target="https://youtu.be/e7FMdNZqkL8?t=3012" TargetMode="External"/><Relationship Id="rId9" Type="http://schemas.openxmlformats.org/officeDocument/2006/relationships/hyperlink" Target="https://youtu.be/eadFb0L8fXo?t=3797" TargetMode="External"/><Relationship Id="rId143" Type="http://schemas.openxmlformats.org/officeDocument/2006/relationships/hyperlink" Target="https://youtu.be/3RWvRzD0ZNg?t=992" TargetMode="External"/><Relationship Id="rId142" Type="http://schemas.openxmlformats.org/officeDocument/2006/relationships/hyperlink" Target="https://youtu.be/e7FMdNZqkL8" TargetMode="External"/><Relationship Id="rId141" Type="http://schemas.openxmlformats.org/officeDocument/2006/relationships/hyperlink" Target="https://youtu.be/3RWvRzD0ZNg" TargetMode="External"/><Relationship Id="rId140" Type="http://schemas.openxmlformats.org/officeDocument/2006/relationships/hyperlink" Target="https://youtu.be/N4DVDEXE9gs?t=8948" TargetMode="External"/><Relationship Id="rId5" Type="http://schemas.openxmlformats.org/officeDocument/2006/relationships/hyperlink" Target="https://youtu.be/eadFb0L8fXo?t=1950" TargetMode="External"/><Relationship Id="rId147" Type="http://schemas.openxmlformats.org/officeDocument/2006/relationships/hyperlink" Target="https://youtu.be/3RWvRzD0ZNg?t=2895" TargetMode="External"/><Relationship Id="rId6" Type="http://schemas.openxmlformats.org/officeDocument/2006/relationships/hyperlink" Target="https://youtu.be/iDc0FGQigAs?t=1845" TargetMode="External"/><Relationship Id="rId146" Type="http://schemas.openxmlformats.org/officeDocument/2006/relationships/hyperlink" Target="https://youtu.be/e7FMdNZqkL8?t=2022" TargetMode="External"/><Relationship Id="rId7" Type="http://schemas.openxmlformats.org/officeDocument/2006/relationships/hyperlink" Target="https://youtu.be/eadFb0L8fXo?t=2884" TargetMode="External"/><Relationship Id="rId145" Type="http://schemas.openxmlformats.org/officeDocument/2006/relationships/hyperlink" Target="https://youtu.be/3RWvRzD0ZNg?t=1979" TargetMode="External"/><Relationship Id="rId8" Type="http://schemas.openxmlformats.org/officeDocument/2006/relationships/hyperlink" Target="https://youtu.be/iDc0FGQigAs?t=2794" TargetMode="External"/><Relationship Id="rId144" Type="http://schemas.openxmlformats.org/officeDocument/2006/relationships/hyperlink" Target="https://youtu.be/e7FMdNZqkL8?t=1048" TargetMode="External"/><Relationship Id="rId73" Type="http://schemas.openxmlformats.org/officeDocument/2006/relationships/hyperlink" Target="https://youtu.be/4ImXeKZ37l8?t=5849" TargetMode="External"/><Relationship Id="rId72" Type="http://schemas.openxmlformats.org/officeDocument/2006/relationships/hyperlink" Target="https://youtu.be/TqPLphevOcU?t=4830" TargetMode="External"/><Relationship Id="rId75" Type="http://schemas.openxmlformats.org/officeDocument/2006/relationships/hyperlink" Target="https://youtu.be/4ImXeKZ37l8?t=6838" TargetMode="External"/><Relationship Id="rId74" Type="http://schemas.openxmlformats.org/officeDocument/2006/relationships/hyperlink" Target="https://youtu.be/TqPLphevOcU?t=5895" TargetMode="External"/><Relationship Id="rId77" Type="http://schemas.openxmlformats.org/officeDocument/2006/relationships/hyperlink" Target="https://youtu.be/4ImXeKZ37l8?t=7789" TargetMode="External"/><Relationship Id="rId76" Type="http://schemas.openxmlformats.org/officeDocument/2006/relationships/hyperlink" Target="https://youtu.be/TqPLphevOcU?t=6855" TargetMode="External"/><Relationship Id="rId79" Type="http://schemas.openxmlformats.org/officeDocument/2006/relationships/hyperlink" Target="https://youtu.be/4ImXeKZ37l8?t=8625" TargetMode="External"/><Relationship Id="rId78" Type="http://schemas.openxmlformats.org/officeDocument/2006/relationships/hyperlink" Target="https://youtu.be/TqPLphevOcU?t=7798" TargetMode="External"/><Relationship Id="rId71" Type="http://schemas.openxmlformats.org/officeDocument/2006/relationships/hyperlink" Target="https://youtu.be/4ImXeKZ37l8?t=4898" TargetMode="External"/><Relationship Id="rId70" Type="http://schemas.openxmlformats.org/officeDocument/2006/relationships/hyperlink" Target="https://youtu.be/TqPLphevOcU?t=3921" TargetMode="External"/><Relationship Id="rId139" Type="http://schemas.openxmlformats.org/officeDocument/2006/relationships/hyperlink" Target="https://youtu.be/_p4ABZXY3So?t=8910" TargetMode="External"/><Relationship Id="rId138" Type="http://schemas.openxmlformats.org/officeDocument/2006/relationships/hyperlink" Target="https://youtu.be/N4DVDEXE9gs?t=8085" TargetMode="External"/><Relationship Id="rId137" Type="http://schemas.openxmlformats.org/officeDocument/2006/relationships/hyperlink" Target="https://youtu.be/_p4ABZXY3So?t=7884" TargetMode="External"/><Relationship Id="rId132" Type="http://schemas.openxmlformats.org/officeDocument/2006/relationships/hyperlink" Target="https://youtu.be/N4DVDEXE9gs?t=4978" TargetMode="External"/><Relationship Id="rId131" Type="http://schemas.openxmlformats.org/officeDocument/2006/relationships/hyperlink" Target="https://youtu.be/_p4ABZXY3So?t=4834" TargetMode="External"/><Relationship Id="rId130" Type="http://schemas.openxmlformats.org/officeDocument/2006/relationships/hyperlink" Target="https://youtu.be/N4DVDEXE9gs?t=3981" TargetMode="External"/><Relationship Id="rId136" Type="http://schemas.openxmlformats.org/officeDocument/2006/relationships/hyperlink" Target="https://youtu.be/N4DVDEXE9gs?t=7242" TargetMode="External"/><Relationship Id="rId135" Type="http://schemas.openxmlformats.org/officeDocument/2006/relationships/hyperlink" Target="https://youtu.be/_p4ABZXY3So?t=6904" TargetMode="External"/><Relationship Id="rId134" Type="http://schemas.openxmlformats.org/officeDocument/2006/relationships/hyperlink" Target="https://youtu.be/N4DVDEXE9gs?t=6295" TargetMode="External"/><Relationship Id="rId133" Type="http://schemas.openxmlformats.org/officeDocument/2006/relationships/hyperlink" Target="https://youtu.be/_p4ABZXY3So?t=5829" TargetMode="External"/><Relationship Id="rId62" Type="http://schemas.openxmlformats.org/officeDocument/2006/relationships/hyperlink" Target="https://youtu.be/TqPLphevOcU" TargetMode="External"/><Relationship Id="rId61" Type="http://schemas.openxmlformats.org/officeDocument/2006/relationships/hyperlink" Target="https://youtu.be/4ImXeKZ37l8" TargetMode="External"/><Relationship Id="rId64" Type="http://schemas.openxmlformats.org/officeDocument/2006/relationships/hyperlink" Target="https://youtu.be/TqPLphevOcU?t=1070" TargetMode="External"/><Relationship Id="rId63" Type="http://schemas.openxmlformats.org/officeDocument/2006/relationships/hyperlink" Target="https://youtu.be/4ImXeKZ37l8?t=1011" TargetMode="External"/><Relationship Id="rId66" Type="http://schemas.openxmlformats.org/officeDocument/2006/relationships/hyperlink" Target="https://youtu.be/TqPLphevOcU?t=2013" TargetMode="External"/><Relationship Id="rId172" Type="http://schemas.openxmlformats.org/officeDocument/2006/relationships/hyperlink" Target="https://youtu.be/_dN6XIIZbzs?t=4635" TargetMode="External"/><Relationship Id="rId65" Type="http://schemas.openxmlformats.org/officeDocument/2006/relationships/hyperlink" Target="https://youtu.be/4ImXeKZ37l8?t=2030" TargetMode="External"/><Relationship Id="rId171" Type="http://schemas.openxmlformats.org/officeDocument/2006/relationships/hyperlink" Target="https://youtu.be/-pa9WG-QgEc?t=4790" TargetMode="External"/><Relationship Id="rId68" Type="http://schemas.openxmlformats.org/officeDocument/2006/relationships/hyperlink" Target="https://youtu.be/TqPLphevOcU?t=3003" TargetMode="External"/><Relationship Id="rId170" Type="http://schemas.openxmlformats.org/officeDocument/2006/relationships/hyperlink" Target="https://youtu.be/_dN6XIIZbzs?t=3739" TargetMode="External"/><Relationship Id="rId67" Type="http://schemas.openxmlformats.org/officeDocument/2006/relationships/hyperlink" Target="https://youtu.be/4ImXeKZ37l8?t=2979" TargetMode="External"/><Relationship Id="rId60" Type="http://schemas.openxmlformats.org/officeDocument/2006/relationships/hyperlink" Target="https://youtu.be/NPSiJTDBS7A?t=8308" TargetMode="External"/><Relationship Id="rId165" Type="http://schemas.openxmlformats.org/officeDocument/2006/relationships/hyperlink" Target="https://youtu.be/-pa9WG-QgEc?t=2017" TargetMode="External"/><Relationship Id="rId69" Type="http://schemas.openxmlformats.org/officeDocument/2006/relationships/hyperlink" Target="https://youtu.be/4ImXeKZ37l8?t=3939" TargetMode="External"/><Relationship Id="rId164" Type="http://schemas.openxmlformats.org/officeDocument/2006/relationships/hyperlink" Target="https://youtu.be/_dN6XIIZbzs?t=941" TargetMode="External"/><Relationship Id="rId163" Type="http://schemas.openxmlformats.org/officeDocument/2006/relationships/hyperlink" Target="https://youtu.be/-pa9WG-QgEc?t=1071" TargetMode="External"/><Relationship Id="rId162" Type="http://schemas.openxmlformats.org/officeDocument/2006/relationships/hyperlink" Target="https://youtu.be/_dN6XIIZbzs" TargetMode="External"/><Relationship Id="rId169" Type="http://schemas.openxmlformats.org/officeDocument/2006/relationships/hyperlink" Target="https://youtu.be/-pa9WG-QgEc?t=3864" TargetMode="External"/><Relationship Id="rId168" Type="http://schemas.openxmlformats.org/officeDocument/2006/relationships/hyperlink" Target="https://youtu.be/_dN6XIIZbzs?t=2799" TargetMode="External"/><Relationship Id="rId167" Type="http://schemas.openxmlformats.org/officeDocument/2006/relationships/hyperlink" Target="https://youtu.be/-pa9WG-QgEc?t=2948" TargetMode="External"/><Relationship Id="rId166" Type="http://schemas.openxmlformats.org/officeDocument/2006/relationships/hyperlink" Target="https://youtu.be/_dN6XIIZbzs?t=1879" TargetMode="External"/><Relationship Id="rId51" Type="http://schemas.openxmlformats.org/officeDocument/2006/relationships/hyperlink" Target="https://youtu.be/dSWqf78WXmk?t=4589" TargetMode="External"/><Relationship Id="rId50" Type="http://schemas.openxmlformats.org/officeDocument/2006/relationships/hyperlink" Target="https://youtu.be/NPSiJTDBS7A?t=3796" TargetMode="External"/><Relationship Id="rId53" Type="http://schemas.openxmlformats.org/officeDocument/2006/relationships/hyperlink" Target="https://youtu.be/dSWqf78WXmk?t=5512" TargetMode="External"/><Relationship Id="rId52" Type="http://schemas.openxmlformats.org/officeDocument/2006/relationships/hyperlink" Target="https://youtu.be/NPSiJTDBS7A?t=4683" TargetMode="External"/><Relationship Id="rId55" Type="http://schemas.openxmlformats.org/officeDocument/2006/relationships/hyperlink" Target="https://youtu.be/dSWqf78WXmk?t=6490" TargetMode="External"/><Relationship Id="rId161" Type="http://schemas.openxmlformats.org/officeDocument/2006/relationships/hyperlink" Target="https://youtu.be/-pa9WG-QgEc" TargetMode="External"/><Relationship Id="rId54" Type="http://schemas.openxmlformats.org/officeDocument/2006/relationships/hyperlink" Target="https://youtu.be/NPSiJTDBS7A?t=5599" TargetMode="External"/><Relationship Id="rId160" Type="http://schemas.openxmlformats.org/officeDocument/2006/relationships/hyperlink" Target="https://youtu.be/e7FMdNZqkL8?t=8652" TargetMode="External"/><Relationship Id="rId57" Type="http://schemas.openxmlformats.org/officeDocument/2006/relationships/hyperlink" Target="https://youtu.be/dSWqf78WXmk?t=7328" TargetMode="External"/><Relationship Id="rId56" Type="http://schemas.openxmlformats.org/officeDocument/2006/relationships/hyperlink" Target="https://youtu.be/NPSiJTDBS7A?t=6542" TargetMode="External"/><Relationship Id="rId159" Type="http://schemas.openxmlformats.org/officeDocument/2006/relationships/hyperlink" Target="https://youtu.be/3RWvRzD0ZNg?t=8591" TargetMode="External"/><Relationship Id="rId59" Type="http://schemas.openxmlformats.org/officeDocument/2006/relationships/hyperlink" Target="https://youtu.be/dSWqf78WXmk?t=8197" TargetMode="External"/><Relationship Id="rId154" Type="http://schemas.openxmlformats.org/officeDocument/2006/relationships/hyperlink" Target="https://youtu.be/e7FMdNZqkL8?t=5756" TargetMode="External"/><Relationship Id="rId58" Type="http://schemas.openxmlformats.org/officeDocument/2006/relationships/hyperlink" Target="https://youtu.be/NPSiJTDBS7A?t=7435" TargetMode="External"/><Relationship Id="rId153" Type="http://schemas.openxmlformats.org/officeDocument/2006/relationships/hyperlink" Target="https://youtu.be/3RWvRzD0ZNg?t=5678" TargetMode="External"/><Relationship Id="rId152" Type="http://schemas.openxmlformats.org/officeDocument/2006/relationships/hyperlink" Target="https://youtu.be/e7FMdNZqkL8?t=4841" TargetMode="External"/><Relationship Id="rId151" Type="http://schemas.openxmlformats.org/officeDocument/2006/relationships/hyperlink" Target="https://youtu.be/3RWvRzD0ZNg?t=4716" TargetMode="External"/><Relationship Id="rId158" Type="http://schemas.openxmlformats.org/officeDocument/2006/relationships/hyperlink" Target="https://youtu.be/e7FMdNZqkL8?t=7679" TargetMode="External"/><Relationship Id="rId157" Type="http://schemas.openxmlformats.org/officeDocument/2006/relationships/hyperlink" Target="https://youtu.be/3RWvRzD0ZNg?t=7616" TargetMode="External"/><Relationship Id="rId156" Type="http://schemas.openxmlformats.org/officeDocument/2006/relationships/hyperlink" Target="https://youtu.be/e7FMdNZqkL8?t=6753" TargetMode="External"/><Relationship Id="rId155" Type="http://schemas.openxmlformats.org/officeDocument/2006/relationships/hyperlink" Target="https://youtu.be/3RWvRzD0ZNg?t=6622" TargetMode="External"/><Relationship Id="rId107" Type="http://schemas.openxmlformats.org/officeDocument/2006/relationships/hyperlink" Target="https://youtu.be/PGvo3juBxQc?t=2870" TargetMode="External"/><Relationship Id="rId228" Type="http://schemas.openxmlformats.org/officeDocument/2006/relationships/hyperlink" Target="https://youtu.be/6ensm1x5Sgk?t=3077" TargetMode="External"/><Relationship Id="rId106" Type="http://schemas.openxmlformats.org/officeDocument/2006/relationships/hyperlink" Target="https://youtu.be/lQ-8CdHjpoY?t=1882" TargetMode="External"/><Relationship Id="rId227" Type="http://schemas.openxmlformats.org/officeDocument/2006/relationships/hyperlink" Target="https://youtu.be/QbiLyIyjduQ?t=2901" TargetMode="External"/><Relationship Id="rId105" Type="http://schemas.openxmlformats.org/officeDocument/2006/relationships/hyperlink" Target="https://youtu.be/PGvo3juBxQc?t=1962" TargetMode="External"/><Relationship Id="rId226" Type="http://schemas.openxmlformats.org/officeDocument/2006/relationships/hyperlink" Target="https://youtu.be/6ensm1x5Sgk?t=2084" TargetMode="External"/><Relationship Id="rId104" Type="http://schemas.openxmlformats.org/officeDocument/2006/relationships/hyperlink" Target="https://youtu.be/lQ-8CdHjpoY?t=939" TargetMode="External"/><Relationship Id="rId225" Type="http://schemas.openxmlformats.org/officeDocument/2006/relationships/hyperlink" Target="https://youtu.be/QbiLyIyjduQ?t=1920" TargetMode="External"/><Relationship Id="rId109" Type="http://schemas.openxmlformats.org/officeDocument/2006/relationships/hyperlink" Target="https://youtu.be/PGvo3juBxQc?t=3778" TargetMode="External"/><Relationship Id="rId108" Type="http://schemas.openxmlformats.org/officeDocument/2006/relationships/hyperlink" Target="https://youtu.be/lQ-8CdHjpoY?t=2809" TargetMode="External"/><Relationship Id="rId229" Type="http://schemas.openxmlformats.org/officeDocument/2006/relationships/hyperlink" Target="https://youtu.be/QbiLyIyjduQ?t=3850" TargetMode="External"/><Relationship Id="rId220" Type="http://schemas.openxmlformats.org/officeDocument/2006/relationships/hyperlink" Target="https://youtu.be/IgaMlO8se-c?t=8120" TargetMode="External"/><Relationship Id="rId103" Type="http://schemas.openxmlformats.org/officeDocument/2006/relationships/hyperlink" Target="https://youtu.be/PGvo3juBxQc?t=1004" TargetMode="External"/><Relationship Id="rId224" Type="http://schemas.openxmlformats.org/officeDocument/2006/relationships/hyperlink" Target="https://youtu.be/6ensm1x5Sgk?t=1139" TargetMode="External"/><Relationship Id="rId102" Type="http://schemas.openxmlformats.org/officeDocument/2006/relationships/hyperlink" Target="https://youtu.be/lQ-8CdHjpoY" TargetMode="External"/><Relationship Id="rId223" Type="http://schemas.openxmlformats.org/officeDocument/2006/relationships/hyperlink" Target="https://youtu.be/QbiLyIyjduQ?t=998" TargetMode="External"/><Relationship Id="rId101" Type="http://schemas.openxmlformats.org/officeDocument/2006/relationships/hyperlink" Target="https://youtu.be/PGvo3juBxQc" TargetMode="External"/><Relationship Id="rId222" Type="http://schemas.openxmlformats.org/officeDocument/2006/relationships/hyperlink" Target="https://youtu.be/6ensm1x5Sgk" TargetMode="External"/><Relationship Id="rId100" Type="http://schemas.openxmlformats.org/officeDocument/2006/relationships/hyperlink" Target="https://youtu.be/pbQ0IHDHJxg?t=8346" TargetMode="External"/><Relationship Id="rId221" Type="http://schemas.openxmlformats.org/officeDocument/2006/relationships/hyperlink" Target="https://youtu.be/QbiLyIyjduQ" TargetMode="External"/><Relationship Id="rId217" Type="http://schemas.openxmlformats.org/officeDocument/2006/relationships/hyperlink" Target="https://youtu.be/ZVBTfbnMlmk?t=7131" TargetMode="External"/><Relationship Id="rId216" Type="http://schemas.openxmlformats.org/officeDocument/2006/relationships/hyperlink" Target="https://youtu.be/IgaMlO8se-c?t=6380" TargetMode="External"/><Relationship Id="rId215" Type="http://schemas.openxmlformats.org/officeDocument/2006/relationships/hyperlink" Target="https://youtu.be/ZVBTfbnMlmk?t=6262" TargetMode="External"/><Relationship Id="rId214" Type="http://schemas.openxmlformats.org/officeDocument/2006/relationships/hyperlink" Target="https://youtu.be/IgaMlO8se-c?t=5448" TargetMode="External"/><Relationship Id="rId219" Type="http://schemas.openxmlformats.org/officeDocument/2006/relationships/hyperlink" Target="https://youtu.be/ZVBTfbnMlmk?t=8026" TargetMode="External"/><Relationship Id="rId218" Type="http://schemas.openxmlformats.org/officeDocument/2006/relationships/hyperlink" Target="https://youtu.be/IgaMlO8se-c?t=7304" TargetMode="External"/><Relationship Id="rId213" Type="http://schemas.openxmlformats.org/officeDocument/2006/relationships/hyperlink" Target="https://youtu.be/ZVBTfbnMlmk?t=5374" TargetMode="External"/><Relationship Id="rId212" Type="http://schemas.openxmlformats.org/officeDocument/2006/relationships/hyperlink" Target="https://youtu.be/IgaMlO8se-c?t=4566" TargetMode="External"/><Relationship Id="rId211" Type="http://schemas.openxmlformats.org/officeDocument/2006/relationships/hyperlink" Target="https://youtu.be/ZVBTfbnMlmk?t=4496" TargetMode="External"/><Relationship Id="rId210" Type="http://schemas.openxmlformats.org/officeDocument/2006/relationships/hyperlink" Target="https://youtu.be/IgaMlO8se-c?t=3702" TargetMode="External"/><Relationship Id="rId129" Type="http://schemas.openxmlformats.org/officeDocument/2006/relationships/hyperlink" Target="https://youtu.be/_p4ABZXY3So?t=3842" TargetMode="External"/><Relationship Id="rId128" Type="http://schemas.openxmlformats.org/officeDocument/2006/relationships/hyperlink" Target="https://youtu.be/N4DVDEXE9gs?t=2986" TargetMode="External"/><Relationship Id="rId127" Type="http://schemas.openxmlformats.org/officeDocument/2006/relationships/hyperlink" Target="https://youtu.be/_p4ABZXY3So?t=2917" TargetMode="External"/><Relationship Id="rId126" Type="http://schemas.openxmlformats.org/officeDocument/2006/relationships/hyperlink" Target="https://youtu.be/N4DVDEXE9gs?t=2029" TargetMode="External"/><Relationship Id="rId121" Type="http://schemas.openxmlformats.org/officeDocument/2006/relationships/hyperlink" Target="https://youtu.be/_p4ABZXY3So" TargetMode="External"/><Relationship Id="rId120" Type="http://schemas.openxmlformats.org/officeDocument/2006/relationships/hyperlink" Target="https://youtu.be/lQ-8CdHjpoY?t=8597" TargetMode="External"/><Relationship Id="rId241" Type="http://schemas.openxmlformats.org/officeDocument/2006/relationships/drawing" Target="../drawings/drawing43.xml"/><Relationship Id="rId240" Type="http://schemas.openxmlformats.org/officeDocument/2006/relationships/hyperlink" Target="https://youtu.be/6ensm1x5Sgk?t=8713" TargetMode="External"/><Relationship Id="rId125" Type="http://schemas.openxmlformats.org/officeDocument/2006/relationships/hyperlink" Target="https://youtu.be/_p4ABZXY3So?t=2009" TargetMode="External"/><Relationship Id="rId124" Type="http://schemas.openxmlformats.org/officeDocument/2006/relationships/hyperlink" Target="https://youtu.be/N4DVDEXE9gs?t=1061" TargetMode="External"/><Relationship Id="rId123" Type="http://schemas.openxmlformats.org/officeDocument/2006/relationships/hyperlink" Target="https://youtu.be/_p4ABZXY3So?t=976" TargetMode="External"/><Relationship Id="rId122" Type="http://schemas.openxmlformats.org/officeDocument/2006/relationships/hyperlink" Target="https://youtu.be/N4DVDEXE9gs" TargetMode="External"/><Relationship Id="rId95" Type="http://schemas.openxmlformats.org/officeDocument/2006/relationships/hyperlink" Target="https://youtu.be/TM4GdMBayNg?t=6551" TargetMode="External"/><Relationship Id="rId94" Type="http://schemas.openxmlformats.org/officeDocument/2006/relationships/hyperlink" Target="https://youtu.be/pbQ0IHDHJxg?t=5624" TargetMode="External"/><Relationship Id="rId97" Type="http://schemas.openxmlformats.org/officeDocument/2006/relationships/hyperlink" Target="https://youtu.be/TM4GdMBayNg?t=7533" TargetMode="External"/><Relationship Id="rId96" Type="http://schemas.openxmlformats.org/officeDocument/2006/relationships/hyperlink" Target="https://youtu.be/pbQ0IHDHJxg?t=6552" TargetMode="External"/><Relationship Id="rId99" Type="http://schemas.openxmlformats.org/officeDocument/2006/relationships/hyperlink" Target="https://youtu.be/TM4GdMBayNg?t=8520" TargetMode="External"/><Relationship Id="rId98" Type="http://schemas.openxmlformats.org/officeDocument/2006/relationships/hyperlink" Target="https://youtu.be/pbQ0IHDHJxg?t=7466" TargetMode="External"/><Relationship Id="rId91" Type="http://schemas.openxmlformats.org/officeDocument/2006/relationships/hyperlink" Target="https://youtu.be/TM4GdMBayNg?t=4686" TargetMode="External"/><Relationship Id="rId90" Type="http://schemas.openxmlformats.org/officeDocument/2006/relationships/hyperlink" Target="https://youtu.be/pbQ0IHDHJxg?t=3708" TargetMode="External"/><Relationship Id="rId93" Type="http://schemas.openxmlformats.org/officeDocument/2006/relationships/hyperlink" Target="https://youtu.be/TM4GdMBayNg?t=5624" TargetMode="External"/><Relationship Id="rId92" Type="http://schemas.openxmlformats.org/officeDocument/2006/relationships/hyperlink" Target="https://youtu.be/pbQ0IHDHJxg?t=4580" TargetMode="External"/><Relationship Id="rId118" Type="http://schemas.openxmlformats.org/officeDocument/2006/relationships/hyperlink" Target="https://youtu.be/lQ-8CdHjpoY?t=7390" TargetMode="External"/><Relationship Id="rId239" Type="http://schemas.openxmlformats.org/officeDocument/2006/relationships/hyperlink" Target="https://youtu.be/QbiLyIyjduQ?t=8594" TargetMode="External"/><Relationship Id="rId117" Type="http://schemas.openxmlformats.org/officeDocument/2006/relationships/hyperlink" Target="https://youtu.be/PGvo3juBxQc?t=7401" TargetMode="External"/><Relationship Id="rId238" Type="http://schemas.openxmlformats.org/officeDocument/2006/relationships/hyperlink" Target="https://youtu.be/6ensm1x5Sgk?t=7872" TargetMode="External"/><Relationship Id="rId116" Type="http://schemas.openxmlformats.org/officeDocument/2006/relationships/hyperlink" Target="https://youtu.be/lQ-8CdHjpoY?t=6469" TargetMode="External"/><Relationship Id="rId237" Type="http://schemas.openxmlformats.org/officeDocument/2006/relationships/hyperlink" Target="https://youtu.be/QbiLyIyjduQ?t=7639" TargetMode="External"/><Relationship Id="rId115" Type="http://schemas.openxmlformats.org/officeDocument/2006/relationships/hyperlink" Target="https://youtu.be/PGvo3juBxQc?t=6508" TargetMode="External"/><Relationship Id="rId236" Type="http://schemas.openxmlformats.org/officeDocument/2006/relationships/hyperlink" Target="https://youtu.be/6ensm1x5Sgk?t=6887" TargetMode="External"/><Relationship Id="rId119" Type="http://schemas.openxmlformats.org/officeDocument/2006/relationships/hyperlink" Target="https://youtu.be/PGvo3juBxQc?t=8723" TargetMode="External"/><Relationship Id="rId110" Type="http://schemas.openxmlformats.org/officeDocument/2006/relationships/hyperlink" Target="https://youtu.be/lQ-8CdHjpoY?t=3715" TargetMode="External"/><Relationship Id="rId231" Type="http://schemas.openxmlformats.org/officeDocument/2006/relationships/hyperlink" Target="https://youtu.be/QbiLyIyjduQ?t=4853" TargetMode="External"/><Relationship Id="rId230" Type="http://schemas.openxmlformats.org/officeDocument/2006/relationships/hyperlink" Target="https://youtu.be/6ensm1x5Sgk?t=4018" TargetMode="External"/><Relationship Id="rId114" Type="http://schemas.openxmlformats.org/officeDocument/2006/relationships/hyperlink" Target="https://youtu.be/lQ-8CdHjpoY?t=5531" TargetMode="External"/><Relationship Id="rId235" Type="http://schemas.openxmlformats.org/officeDocument/2006/relationships/hyperlink" Target="https://youtu.be/QbiLyIyjduQ?t=6705" TargetMode="External"/><Relationship Id="rId113" Type="http://schemas.openxmlformats.org/officeDocument/2006/relationships/hyperlink" Target="https://youtu.be/PGvo3juBxQc?t=5610" TargetMode="External"/><Relationship Id="rId234" Type="http://schemas.openxmlformats.org/officeDocument/2006/relationships/hyperlink" Target="https://youtu.be/6ensm1x5Sgk?t=5895" TargetMode="External"/><Relationship Id="rId112" Type="http://schemas.openxmlformats.org/officeDocument/2006/relationships/hyperlink" Target="https://youtu.be/lQ-8CdHjpoY?t=4623" TargetMode="External"/><Relationship Id="rId233" Type="http://schemas.openxmlformats.org/officeDocument/2006/relationships/hyperlink" Target="https://youtu.be/QbiLyIyjduQ?t=5787" TargetMode="External"/><Relationship Id="rId111" Type="http://schemas.openxmlformats.org/officeDocument/2006/relationships/hyperlink" Target="https://youtu.be/PGvo3juBxQc?t=4697" TargetMode="External"/><Relationship Id="rId232" Type="http://schemas.openxmlformats.org/officeDocument/2006/relationships/hyperlink" Target="https://youtu.be/6ensm1x5Sgk?t=4934" TargetMode="External"/><Relationship Id="rId206" Type="http://schemas.openxmlformats.org/officeDocument/2006/relationships/hyperlink" Target="https://youtu.be/IgaMlO8se-c?t=1915" TargetMode="External"/><Relationship Id="rId205" Type="http://schemas.openxmlformats.org/officeDocument/2006/relationships/hyperlink" Target="https://youtu.be/ZVBTfbnMlmk?t=1818" TargetMode="External"/><Relationship Id="rId204" Type="http://schemas.openxmlformats.org/officeDocument/2006/relationships/hyperlink" Target="https://youtu.be/IgaMlO8se-c?t=991" TargetMode="External"/><Relationship Id="rId203" Type="http://schemas.openxmlformats.org/officeDocument/2006/relationships/hyperlink" Target="https://youtu.be/ZVBTfbnMlmk?t=937" TargetMode="External"/><Relationship Id="rId209" Type="http://schemas.openxmlformats.org/officeDocument/2006/relationships/hyperlink" Target="https://youtu.be/ZVBTfbnMlmk?t=3612" TargetMode="External"/><Relationship Id="rId208" Type="http://schemas.openxmlformats.org/officeDocument/2006/relationships/hyperlink" Target="https://youtu.be/IgaMlO8se-c?t=2862" TargetMode="External"/><Relationship Id="rId207" Type="http://schemas.openxmlformats.org/officeDocument/2006/relationships/hyperlink" Target="https://youtu.be/ZVBTfbnMlmk?t=2700" TargetMode="External"/><Relationship Id="rId202" Type="http://schemas.openxmlformats.org/officeDocument/2006/relationships/hyperlink" Target="https://youtu.be/IgaMlO8se-c" TargetMode="External"/><Relationship Id="rId201" Type="http://schemas.openxmlformats.org/officeDocument/2006/relationships/hyperlink" Target="https://youtu.be/ZVBTfbnMlmk" TargetMode="External"/><Relationship Id="rId200" Type="http://schemas.openxmlformats.org/officeDocument/2006/relationships/hyperlink" Target="https://youtu.be/LB7GuTJX798?t=8674" TargetMode="External"/></Relationships>
</file>

<file path=xl/worksheets/_rels/sheet4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aozkLGKA6zo?t=8584" TargetMode="External"/><Relationship Id="rId190" Type="http://schemas.openxmlformats.org/officeDocument/2006/relationships/hyperlink" Target="https://youtu.be/DD9UrPm92-4?t=3834" TargetMode="External"/><Relationship Id="rId42" Type="http://schemas.openxmlformats.org/officeDocument/2006/relationships/hyperlink" Target="https://youtu.be/7vYKenJk1m0" TargetMode="External"/><Relationship Id="rId41" Type="http://schemas.openxmlformats.org/officeDocument/2006/relationships/hyperlink" Target="https://youtu.be/Nr2qWxLYQb4" TargetMode="External"/><Relationship Id="rId44" Type="http://schemas.openxmlformats.org/officeDocument/2006/relationships/hyperlink" Target="https://youtu.be/7vYKenJk1m0?t=1001" TargetMode="External"/><Relationship Id="rId194" Type="http://schemas.openxmlformats.org/officeDocument/2006/relationships/hyperlink" Target="https://youtu.be/DD9UrPm92-4?t=5663" TargetMode="External"/><Relationship Id="rId43" Type="http://schemas.openxmlformats.org/officeDocument/2006/relationships/hyperlink" Target="https://youtu.be/Nr2qWxLYQb4?t=966" TargetMode="External"/><Relationship Id="rId193" Type="http://schemas.openxmlformats.org/officeDocument/2006/relationships/hyperlink" Target="https://youtu.be/PQp8rQHXtpU?t=5653" TargetMode="External"/><Relationship Id="rId46" Type="http://schemas.openxmlformats.org/officeDocument/2006/relationships/hyperlink" Target="https://youtu.be/7vYKenJk1m0?t=1918" TargetMode="External"/><Relationship Id="rId192" Type="http://schemas.openxmlformats.org/officeDocument/2006/relationships/hyperlink" Target="https://youtu.be/DD9UrPm92-4?t=4752" TargetMode="External"/><Relationship Id="rId45" Type="http://schemas.openxmlformats.org/officeDocument/2006/relationships/hyperlink" Target="https://youtu.be/Nr2qWxLYQb4?t=1920" TargetMode="External"/><Relationship Id="rId191" Type="http://schemas.openxmlformats.org/officeDocument/2006/relationships/hyperlink" Target="https://youtu.be/PQp8rQHXtpU?t=4697" TargetMode="External"/><Relationship Id="rId48" Type="http://schemas.openxmlformats.org/officeDocument/2006/relationships/hyperlink" Target="https://youtu.be/7vYKenJk1m0?t=2833" TargetMode="External"/><Relationship Id="rId187" Type="http://schemas.openxmlformats.org/officeDocument/2006/relationships/hyperlink" Target="https://youtu.be/PQp8rQHXtpU?t=2848" TargetMode="External"/><Relationship Id="rId47" Type="http://schemas.openxmlformats.org/officeDocument/2006/relationships/hyperlink" Target="https://youtu.be/Nr2qWxLYQb4?t=2828" TargetMode="External"/><Relationship Id="rId186" Type="http://schemas.openxmlformats.org/officeDocument/2006/relationships/hyperlink" Target="https://youtu.be/DD9UrPm92-4?t=1905" TargetMode="External"/><Relationship Id="rId185" Type="http://schemas.openxmlformats.org/officeDocument/2006/relationships/hyperlink" Target="https://youtu.be/PQp8rQHXtpU?t=1942" TargetMode="External"/><Relationship Id="rId49" Type="http://schemas.openxmlformats.org/officeDocument/2006/relationships/hyperlink" Target="https://youtu.be/Nr2qWxLYQb4?t=3746" TargetMode="External"/><Relationship Id="rId184" Type="http://schemas.openxmlformats.org/officeDocument/2006/relationships/hyperlink" Target="https://youtu.be/DD9UrPm92-4?t=988" TargetMode="External"/><Relationship Id="rId189" Type="http://schemas.openxmlformats.org/officeDocument/2006/relationships/hyperlink" Target="https://youtu.be/PQp8rQHXtpU?t=3740" TargetMode="External"/><Relationship Id="rId188" Type="http://schemas.openxmlformats.org/officeDocument/2006/relationships/hyperlink" Target="https://youtu.be/DD9UrPm92-4?t=2855" TargetMode="External"/><Relationship Id="rId31" Type="http://schemas.openxmlformats.org/officeDocument/2006/relationships/hyperlink" Target="https://youtu.be/DSKqjPWoo2A?t=4780" TargetMode="External"/><Relationship Id="rId30" Type="http://schemas.openxmlformats.org/officeDocument/2006/relationships/hyperlink" Target="https://youtu.be/aozkLGKA6zo?t=3815" TargetMode="External"/><Relationship Id="rId33" Type="http://schemas.openxmlformats.org/officeDocument/2006/relationships/hyperlink" Target="https://youtu.be/DSKqjPWoo2A?t=5751" TargetMode="External"/><Relationship Id="rId183" Type="http://schemas.openxmlformats.org/officeDocument/2006/relationships/hyperlink" Target="https://youtu.be/PQp8rQHXtpU?t=966" TargetMode="External"/><Relationship Id="rId32" Type="http://schemas.openxmlformats.org/officeDocument/2006/relationships/hyperlink" Target="https://youtu.be/aozkLGKA6zo?t=4765" TargetMode="External"/><Relationship Id="rId182" Type="http://schemas.openxmlformats.org/officeDocument/2006/relationships/hyperlink" Target="https://youtu.be/DD9UrPm92-4" TargetMode="External"/><Relationship Id="rId35" Type="http://schemas.openxmlformats.org/officeDocument/2006/relationships/hyperlink" Target="https://youtu.be/DSKqjPWoo2A?t=6701" TargetMode="External"/><Relationship Id="rId181" Type="http://schemas.openxmlformats.org/officeDocument/2006/relationships/hyperlink" Target="https://youtu.be/PQp8rQHXtpU" TargetMode="External"/><Relationship Id="rId34" Type="http://schemas.openxmlformats.org/officeDocument/2006/relationships/hyperlink" Target="https://youtu.be/aozkLGKA6zo?t=5696" TargetMode="External"/><Relationship Id="rId180" Type="http://schemas.openxmlformats.org/officeDocument/2006/relationships/hyperlink" Target="https://youtu.be/HJUmYTYHLck?t=8772" TargetMode="External"/><Relationship Id="rId37" Type="http://schemas.openxmlformats.org/officeDocument/2006/relationships/hyperlink" Target="https://youtu.be/DSKqjPWoo2A?t=7630" TargetMode="External"/><Relationship Id="rId176" Type="http://schemas.openxmlformats.org/officeDocument/2006/relationships/hyperlink" Target="https://youtu.be/HJUmYTYHLck?t=6835" TargetMode="External"/><Relationship Id="rId36" Type="http://schemas.openxmlformats.org/officeDocument/2006/relationships/hyperlink" Target="https://youtu.be/aozkLGKA6zo?t=6670" TargetMode="External"/><Relationship Id="rId175" Type="http://schemas.openxmlformats.org/officeDocument/2006/relationships/hyperlink" Target="https://youtu.be/3HiTWnv98mI?t=6768" TargetMode="External"/><Relationship Id="rId39" Type="http://schemas.openxmlformats.org/officeDocument/2006/relationships/hyperlink" Target="https://youtu.be/DSKqjPWoo2A?t=8598" TargetMode="External"/><Relationship Id="rId174" Type="http://schemas.openxmlformats.org/officeDocument/2006/relationships/hyperlink" Target="https://youtu.be/HJUmYTYHLck?t=5871" TargetMode="External"/><Relationship Id="rId38" Type="http://schemas.openxmlformats.org/officeDocument/2006/relationships/hyperlink" Target="https://youtu.be/aozkLGKA6zo?t=7622" TargetMode="External"/><Relationship Id="rId173" Type="http://schemas.openxmlformats.org/officeDocument/2006/relationships/hyperlink" Target="https://youtu.be/3HiTWnv98mI?t=5838" TargetMode="External"/><Relationship Id="rId179" Type="http://schemas.openxmlformats.org/officeDocument/2006/relationships/hyperlink" Target="https://youtu.be/3HiTWnv98mI?t=8689" TargetMode="External"/><Relationship Id="rId178" Type="http://schemas.openxmlformats.org/officeDocument/2006/relationships/hyperlink" Target="https://youtu.be/HJUmYTYHLck?t=7811" TargetMode="External"/><Relationship Id="rId177" Type="http://schemas.openxmlformats.org/officeDocument/2006/relationships/hyperlink" Target="https://youtu.be/3HiTWnv98mI?t=7744" TargetMode="External"/><Relationship Id="rId20" Type="http://schemas.openxmlformats.org/officeDocument/2006/relationships/hyperlink" Target="https://youtu.be/Q6KWlzXSNDA?t=8475" TargetMode="External"/><Relationship Id="rId22" Type="http://schemas.openxmlformats.org/officeDocument/2006/relationships/hyperlink" Target="https://youtu.be/aozkLGKA6zo" TargetMode="External"/><Relationship Id="rId21" Type="http://schemas.openxmlformats.org/officeDocument/2006/relationships/hyperlink" Target="https://youtu.be/DSKqjPWoo2A" TargetMode="External"/><Relationship Id="rId24" Type="http://schemas.openxmlformats.org/officeDocument/2006/relationships/hyperlink" Target="https://youtu.be/aozkLGKA6zo?t=974" TargetMode="External"/><Relationship Id="rId23" Type="http://schemas.openxmlformats.org/officeDocument/2006/relationships/hyperlink" Target="https://youtu.be/DSKqjPWoo2A?t=1008" TargetMode="External"/><Relationship Id="rId26" Type="http://schemas.openxmlformats.org/officeDocument/2006/relationships/hyperlink" Target="https://youtu.be/aozkLGKA6zo?t=1926" TargetMode="External"/><Relationship Id="rId25" Type="http://schemas.openxmlformats.org/officeDocument/2006/relationships/hyperlink" Target="https://youtu.be/DSKqjPWoo2A?t=1972" TargetMode="External"/><Relationship Id="rId28" Type="http://schemas.openxmlformats.org/officeDocument/2006/relationships/hyperlink" Target="https://youtu.be/aozkLGKA6zo?t=2850" TargetMode="External"/><Relationship Id="rId27" Type="http://schemas.openxmlformats.org/officeDocument/2006/relationships/hyperlink" Target="https://youtu.be/DSKqjPWoo2A?t=2925" TargetMode="External"/><Relationship Id="rId29" Type="http://schemas.openxmlformats.org/officeDocument/2006/relationships/hyperlink" Target="https://youtu.be/DSKqjPWoo2A?t=3860" TargetMode="External"/><Relationship Id="rId11" Type="http://schemas.openxmlformats.org/officeDocument/2006/relationships/hyperlink" Target="https://youtu.be/WpIEE4771NY?t=4701" TargetMode="External"/><Relationship Id="rId10" Type="http://schemas.openxmlformats.org/officeDocument/2006/relationships/hyperlink" Target="https://youtu.be/Q6KWlzXSNDA?t=3788" TargetMode="External"/><Relationship Id="rId13" Type="http://schemas.openxmlformats.org/officeDocument/2006/relationships/hyperlink" Target="https://youtu.be/WpIEE4771NY?t=5692" TargetMode="External"/><Relationship Id="rId12" Type="http://schemas.openxmlformats.org/officeDocument/2006/relationships/hyperlink" Target="https://youtu.be/Q6KWlzXSNDA?t=4705" TargetMode="External"/><Relationship Id="rId15" Type="http://schemas.openxmlformats.org/officeDocument/2006/relationships/hyperlink" Target="https://youtu.be/WpIEE4771NY?t=6619" TargetMode="External"/><Relationship Id="rId198" Type="http://schemas.openxmlformats.org/officeDocument/2006/relationships/hyperlink" Target="https://youtu.be/DD9UrPm92-4?t=7496" TargetMode="External"/><Relationship Id="rId14" Type="http://schemas.openxmlformats.org/officeDocument/2006/relationships/hyperlink" Target="https://youtu.be/Q6KWlzXSNDA?t=5628" TargetMode="External"/><Relationship Id="rId197" Type="http://schemas.openxmlformats.org/officeDocument/2006/relationships/hyperlink" Target="https://youtu.be/PQp8rQHXtpU?t=7575" TargetMode="External"/><Relationship Id="rId17" Type="http://schemas.openxmlformats.org/officeDocument/2006/relationships/hyperlink" Target="https://youtu.be/WpIEE4771NY?t=7524" TargetMode="External"/><Relationship Id="rId196" Type="http://schemas.openxmlformats.org/officeDocument/2006/relationships/hyperlink" Target="https://youtu.be/DD9UrPm92-4?t=6596" TargetMode="External"/><Relationship Id="rId16" Type="http://schemas.openxmlformats.org/officeDocument/2006/relationships/hyperlink" Target="https://youtu.be/Q6KWlzXSNDA?t=6557" TargetMode="External"/><Relationship Id="rId195" Type="http://schemas.openxmlformats.org/officeDocument/2006/relationships/hyperlink" Target="https://youtu.be/PQp8rQHXtpU?t=6654" TargetMode="External"/><Relationship Id="rId19" Type="http://schemas.openxmlformats.org/officeDocument/2006/relationships/hyperlink" Target="https://youtu.be/WpIEE4771NY?t=8408" TargetMode="External"/><Relationship Id="rId18" Type="http://schemas.openxmlformats.org/officeDocument/2006/relationships/hyperlink" Target="https://youtu.be/Q6KWlzXSNDA?t=7490" TargetMode="External"/><Relationship Id="rId199" Type="http://schemas.openxmlformats.org/officeDocument/2006/relationships/hyperlink" Target="https://youtu.be/PQp8rQHXtpU?t=8571" TargetMode="External"/><Relationship Id="rId84" Type="http://schemas.openxmlformats.org/officeDocument/2006/relationships/hyperlink" Target="https://youtu.be/OStx_Smo6aE?t=871" TargetMode="External"/><Relationship Id="rId83" Type="http://schemas.openxmlformats.org/officeDocument/2006/relationships/hyperlink" Target="https://youtu.be/0FplM7nptVM?t=1063" TargetMode="External"/><Relationship Id="rId86" Type="http://schemas.openxmlformats.org/officeDocument/2006/relationships/hyperlink" Target="https://youtu.be/OStx_Smo6aE?t=1740" TargetMode="External"/><Relationship Id="rId85" Type="http://schemas.openxmlformats.org/officeDocument/2006/relationships/hyperlink" Target="https://youtu.be/0FplM7nptVM?t=1874" TargetMode="External"/><Relationship Id="rId88" Type="http://schemas.openxmlformats.org/officeDocument/2006/relationships/hyperlink" Target="https://youtu.be/OStx_Smo6aE?t=2588" TargetMode="External"/><Relationship Id="rId150" Type="http://schemas.openxmlformats.org/officeDocument/2006/relationships/hyperlink" Target="https://youtu.be/cChLqp2h7Ck?t=3721" TargetMode="External"/><Relationship Id="rId87" Type="http://schemas.openxmlformats.org/officeDocument/2006/relationships/hyperlink" Target="https://youtu.be/0FplM7nptVM?t=2717" TargetMode="External"/><Relationship Id="rId89" Type="http://schemas.openxmlformats.org/officeDocument/2006/relationships/hyperlink" Target="https://youtu.be/0FplM7nptVM?t=3560" TargetMode="External"/><Relationship Id="rId80" Type="http://schemas.openxmlformats.org/officeDocument/2006/relationships/hyperlink" Target="https://youtu.be/hYlquUAGinU?t=8669" TargetMode="External"/><Relationship Id="rId82" Type="http://schemas.openxmlformats.org/officeDocument/2006/relationships/hyperlink" Target="https://youtu.be/OStx_Smo6aE" TargetMode="External"/><Relationship Id="rId81" Type="http://schemas.openxmlformats.org/officeDocument/2006/relationships/hyperlink" Target="https://youtu.be/0FplM7nptVM" TargetMode="External"/><Relationship Id="rId1" Type="http://schemas.openxmlformats.org/officeDocument/2006/relationships/hyperlink" Target="https://youtu.be/WpIEE4771NY" TargetMode="External"/><Relationship Id="rId2" Type="http://schemas.openxmlformats.org/officeDocument/2006/relationships/hyperlink" Target="https://youtu.be/Q6KWlzXSNDA" TargetMode="External"/><Relationship Id="rId3" Type="http://schemas.openxmlformats.org/officeDocument/2006/relationships/hyperlink" Target="https://youtu.be/WpIEE4771NY?t=973" TargetMode="External"/><Relationship Id="rId149" Type="http://schemas.openxmlformats.org/officeDocument/2006/relationships/hyperlink" Target="https://youtu.be/nc8DmJjAOpI?t=3815" TargetMode="External"/><Relationship Id="rId4" Type="http://schemas.openxmlformats.org/officeDocument/2006/relationships/hyperlink" Target="https://youtu.be/Q6KWlzXSNDA?t=993" TargetMode="External"/><Relationship Id="rId148" Type="http://schemas.openxmlformats.org/officeDocument/2006/relationships/hyperlink" Target="https://youtu.be/cChLqp2h7Ck?t=2830" TargetMode="External"/><Relationship Id="rId9" Type="http://schemas.openxmlformats.org/officeDocument/2006/relationships/hyperlink" Target="https://youtu.be/WpIEE4771NY?t=3787" TargetMode="External"/><Relationship Id="rId143" Type="http://schemas.openxmlformats.org/officeDocument/2006/relationships/hyperlink" Target="https://youtu.be/nc8DmJjAOpI?t=1030" TargetMode="External"/><Relationship Id="rId142" Type="http://schemas.openxmlformats.org/officeDocument/2006/relationships/hyperlink" Target="https://youtu.be/cChLqp2h7Ck" TargetMode="External"/><Relationship Id="rId141" Type="http://schemas.openxmlformats.org/officeDocument/2006/relationships/hyperlink" Target="https://youtu.be/nc8DmJjAOpI" TargetMode="External"/><Relationship Id="rId140" Type="http://schemas.openxmlformats.org/officeDocument/2006/relationships/hyperlink" Target="https://youtu.be/PDsXYuSZ5Y8?t=7969" TargetMode="External"/><Relationship Id="rId5" Type="http://schemas.openxmlformats.org/officeDocument/2006/relationships/hyperlink" Target="https://youtu.be/WpIEE4771NY?t=1901" TargetMode="External"/><Relationship Id="rId147" Type="http://schemas.openxmlformats.org/officeDocument/2006/relationships/hyperlink" Target="https://youtu.be/nc8DmJjAOpI?t=2895" TargetMode="External"/><Relationship Id="rId6" Type="http://schemas.openxmlformats.org/officeDocument/2006/relationships/hyperlink" Target="https://youtu.be/Q6KWlzXSNDA?t=1964" TargetMode="External"/><Relationship Id="rId146" Type="http://schemas.openxmlformats.org/officeDocument/2006/relationships/hyperlink" Target="https://youtu.be/cChLqp2h7Ck?t=1875" TargetMode="External"/><Relationship Id="rId7" Type="http://schemas.openxmlformats.org/officeDocument/2006/relationships/hyperlink" Target="https://youtu.be/WpIEE4771NY?t=2864" TargetMode="External"/><Relationship Id="rId145" Type="http://schemas.openxmlformats.org/officeDocument/2006/relationships/hyperlink" Target="https://youtu.be/nc8DmJjAOpI?t=1978" TargetMode="External"/><Relationship Id="rId8" Type="http://schemas.openxmlformats.org/officeDocument/2006/relationships/hyperlink" Target="https://youtu.be/Q6KWlzXSNDA?t=2854" TargetMode="External"/><Relationship Id="rId144" Type="http://schemas.openxmlformats.org/officeDocument/2006/relationships/hyperlink" Target="https://youtu.be/cChLqp2h7Ck?t=922" TargetMode="External"/><Relationship Id="rId73" Type="http://schemas.openxmlformats.org/officeDocument/2006/relationships/hyperlink" Target="https://youtu.be/o68NxNWQDGQ?t=5762" TargetMode="External"/><Relationship Id="rId72" Type="http://schemas.openxmlformats.org/officeDocument/2006/relationships/hyperlink" Target="https://youtu.be/hYlquUAGinU?t=4839" TargetMode="External"/><Relationship Id="rId75" Type="http://schemas.openxmlformats.org/officeDocument/2006/relationships/hyperlink" Target="https://youtu.be/o68NxNWQDGQ?t=6714" TargetMode="External"/><Relationship Id="rId74" Type="http://schemas.openxmlformats.org/officeDocument/2006/relationships/hyperlink" Target="https://youtu.be/hYlquUAGinU?t=5815" TargetMode="External"/><Relationship Id="rId77" Type="http://schemas.openxmlformats.org/officeDocument/2006/relationships/hyperlink" Target="https://youtu.be/o68NxNWQDGQ?t=7637" TargetMode="External"/><Relationship Id="rId76" Type="http://schemas.openxmlformats.org/officeDocument/2006/relationships/hyperlink" Target="https://youtu.be/hYlquUAGinU?t=6741" TargetMode="External"/><Relationship Id="rId79" Type="http://schemas.openxmlformats.org/officeDocument/2006/relationships/hyperlink" Target="https://youtu.be/o68NxNWQDGQ?t=8559" TargetMode="External"/><Relationship Id="rId78" Type="http://schemas.openxmlformats.org/officeDocument/2006/relationships/hyperlink" Target="https://youtu.be/hYlquUAGinU?t=7729" TargetMode="External"/><Relationship Id="rId71" Type="http://schemas.openxmlformats.org/officeDocument/2006/relationships/hyperlink" Target="https://youtu.be/o68NxNWQDGQ?t=4789" TargetMode="External"/><Relationship Id="rId70" Type="http://schemas.openxmlformats.org/officeDocument/2006/relationships/hyperlink" Target="https://youtu.be/hYlquUAGinU?t=3900" TargetMode="External"/><Relationship Id="rId139" Type="http://schemas.openxmlformats.org/officeDocument/2006/relationships/hyperlink" Target="https://youtu.be/6vqCov-MAC8?t=7958" TargetMode="External"/><Relationship Id="rId138" Type="http://schemas.openxmlformats.org/officeDocument/2006/relationships/hyperlink" Target="https://youtu.be/PDsXYuSZ5Y8?t=7162" TargetMode="External"/><Relationship Id="rId137" Type="http://schemas.openxmlformats.org/officeDocument/2006/relationships/hyperlink" Target="https://youtu.be/6vqCov-MAC8?t=7110" TargetMode="External"/><Relationship Id="rId132" Type="http://schemas.openxmlformats.org/officeDocument/2006/relationships/hyperlink" Target="https://youtu.be/PDsXYuSZ5Y8?t=4524" TargetMode="External"/><Relationship Id="rId131" Type="http://schemas.openxmlformats.org/officeDocument/2006/relationships/hyperlink" Target="https://youtu.be/6vqCov-MAC8?t=4503" TargetMode="External"/><Relationship Id="rId130" Type="http://schemas.openxmlformats.org/officeDocument/2006/relationships/hyperlink" Target="https://youtu.be/PDsXYuSZ5Y8?t=3632" TargetMode="External"/><Relationship Id="rId136" Type="http://schemas.openxmlformats.org/officeDocument/2006/relationships/hyperlink" Target="https://youtu.be/PDsXYuSZ5Y8?t=6302" TargetMode="External"/><Relationship Id="rId135" Type="http://schemas.openxmlformats.org/officeDocument/2006/relationships/hyperlink" Target="https://youtu.be/6vqCov-MAC8?t=6249" TargetMode="External"/><Relationship Id="rId134" Type="http://schemas.openxmlformats.org/officeDocument/2006/relationships/hyperlink" Target="https://youtu.be/PDsXYuSZ5Y8?t=5390" TargetMode="External"/><Relationship Id="rId133" Type="http://schemas.openxmlformats.org/officeDocument/2006/relationships/hyperlink" Target="https://youtu.be/6vqCov-MAC8?t=5387" TargetMode="External"/><Relationship Id="rId62" Type="http://schemas.openxmlformats.org/officeDocument/2006/relationships/hyperlink" Target="https://youtu.be/hYlquUAGinU" TargetMode="External"/><Relationship Id="rId61" Type="http://schemas.openxmlformats.org/officeDocument/2006/relationships/hyperlink" Target="https://youtu.be/o68NxNWQDGQ" TargetMode="External"/><Relationship Id="rId64" Type="http://schemas.openxmlformats.org/officeDocument/2006/relationships/hyperlink" Target="https://youtu.be/hYlquUAGinU?t=1090" TargetMode="External"/><Relationship Id="rId63" Type="http://schemas.openxmlformats.org/officeDocument/2006/relationships/hyperlink" Target="https://youtu.be/o68NxNWQDGQ?t=1000" TargetMode="External"/><Relationship Id="rId66" Type="http://schemas.openxmlformats.org/officeDocument/2006/relationships/hyperlink" Target="https://youtu.be/hYlquUAGinU?t=2052" TargetMode="External"/><Relationship Id="rId172" Type="http://schemas.openxmlformats.org/officeDocument/2006/relationships/hyperlink" Target="https://youtu.be/HJUmYTYHLck?t=4818" TargetMode="External"/><Relationship Id="rId65" Type="http://schemas.openxmlformats.org/officeDocument/2006/relationships/hyperlink" Target="https://youtu.be/o68NxNWQDGQ?t=1974" TargetMode="External"/><Relationship Id="rId171" Type="http://schemas.openxmlformats.org/officeDocument/2006/relationships/hyperlink" Target="https://youtu.be/3HiTWnv98mI?t=4867" TargetMode="External"/><Relationship Id="rId68" Type="http://schemas.openxmlformats.org/officeDocument/2006/relationships/hyperlink" Target="https://youtu.be/hYlquUAGinU?t=2939" TargetMode="External"/><Relationship Id="rId170" Type="http://schemas.openxmlformats.org/officeDocument/2006/relationships/hyperlink" Target="https://youtu.be/HJUmYTYHLck?t=3906" TargetMode="External"/><Relationship Id="rId67" Type="http://schemas.openxmlformats.org/officeDocument/2006/relationships/hyperlink" Target="https://youtu.be/o68NxNWQDGQ?t=2886" TargetMode="External"/><Relationship Id="rId60" Type="http://schemas.openxmlformats.org/officeDocument/2006/relationships/hyperlink" Target="https://youtu.be/7vYKenJk1m0?t=8446" TargetMode="External"/><Relationship Id="rId165" Type="http://schemas.openxmlformats.org/officeDocument/2006/relationships/hyperlink" Target="https://youtu.be/3HiTWnv98mI?t=2001" TargetMode="External"/><Relationship Id="rId69" Type="http://schemas.openxmlformats.org/officeDocument/2006/relationships/hyperlink" Target="https://youtu.be/o68NxNWQDGQ?t=3826" TargetMode="External"/><Relationship Id="rId164" Type="http://schemas.openxmlformats.org/officeDocument/2006/relationships/hyperlink" Target="https://youtu.be/HJUmYTYHLck?t=992" TargetMode="External"/><Relationship Id="rId163" Type="http://schemas.openxmlformats.org/officeDocument/2006/relationships/hyperlink" Target="https://youtu.be/3HiTWnv98mI?t=1061" TargetMode="External"/><Relationship Id="rId162" Type="http://schemas.openxmlformats.org/officeDocument/2006/relationships/hyperlink" Target="https://youtu.be/HJUmYTYHLck" TargetMode="External"/><Relationship Id="rId169" Type="http://schemas.openxmlformats.org/officeDocument/2006/relationships/hyperlink" Target="https://youtu.be/3HiTWnv98mI?t=3816" TargetMode="External"/><Relationship Id="rId168" Type="http://schemas.openxmlformats.org/officeDocument/2006/relationships/hyperlink" Target="https://youtu.be/HJUmYTYHLck?t=2927" TargetMode="External"/><Relationship Id="rId167" Type="http://schemas.openxmlformats.org/officeDocument/2006/relationships/hyperlink" Target="https://youtu.be/3HiTWnv98mI?t=2916" TargetMode="External"/><Relationship Id="rId166" Type="http://schemas.openxmlformats.org/officeDocument/2006/relationships/hyperlink" Target="https://youtu.be/HJUmYTYHLck?t=1925" TargetMode="External"/><Relationship Id="rId51" Type="http://schemas.openxmlformats.org/officeDocument/2006/relationships/hyperlink" Target="https://youtu.be/Nr2qWxLYQb4?t=4703" TargetMode="External"/><Relationship Id="rId50" Type="http://schemas.openxmlformats.org/officeDocument/2006/relationships/hyperlink" Target="https://youtu.be/7vYKenJk1m0?t=3717" TargetMode="External"/><Relationship Id="rId53" Type="http://schemas.openxmlformats.org/officeDocument/2006/relationships/hyperlink" Target="https://youtu.be/Nr2qWxLYQb4?t=5670" TargetMode="External"/><Relationship Id="rId52" Type="http://schemas.openxmlformats.org/officeDocument/2006/relationships/hyperlink" Target="https://youtu.be/7vYKenJk1m0?t=4661" TargetMode="External"/><Relationship Id="rId55" Type="http://schemas.openxmlformats.org/officeDocument/2006/relationships/hyperlink" Target="https://youtu.be/Nr2qWxLYQb4?t=6598" TargetMode="External"/><Relationship Id="rId161" Type="http://schemas.openxmlformats.org/officeDocument/2006/relationships/hyperlink" Target="https://youtu.be/3HiTWnv98mI" TargetMode="External"/><Relationship Id="rId54" Type="http://schemas.openxmlformats.org/officeDocument/2006/relationships/hyperlink" Target="https://youtu.be/7vYKenJk1m0?t=5648" TargetMode="External"/><Relationship Id="rId160" Type="http://schemas.openxmlformats.org/officeDocument/2006/relationships/hyperlink" Target="https://youtu.be/cChLqp2h7Ck?t=8382" TargetMode="External"/><Relationship Id="rId57" Type="http://schemas.openxmlformats.org/officeDocument/2006/relationships/hyperlink" Target="https://youtu.be/Nr2qWxLYQb4?t=7515" TargetMode="External"/><Relationship Id="rId56" Type="http://schemas.openxmlformats.org/officeDocument/2006/relationships/hyperlink" Target="https://youtu.be/7vYKenJk1m0?t=6625" TargetMode="External"/><Relationship Id="rId159" Type="http://schemas.openxmlformats.org/officeDocument/2006/relationships/hyperlink" Target="https://youtu.be/nc8DmJjAOpI?t=8532" TargetMode="External"/><Relationship Id="rId59" Type="http://schemas.openxmlformats.org/officeDocument/2006/relationships/hyperlink" Target="https://youtu.be/Nr2qWxLYQb4?t=8420" TargetMode="External"/><Relationship Id="rId154" Type="http://schemas.openxmlformats.org/officeDocument/2006/relationships/hyperlink" Target="https://youtu.be/cChLqp2h7Ck?t=5601" TargetMode="External"/><Relationship Id="rId58" Type="http://schemas.openxmlformats.org/officeDocument/2006/relationships/hyperlink" Target="https://youtu.be/7vYKenJk1m0?t=7543" TargetMode="External"/><Relationship Id="rId153" Type="http://schemas.openxmlformats.org/officeDocument/2006/relationships/hyperlink" Target="https://youtu.be/nc8DmJjAOpI?t=5718" TargetMode="External"/><Relationship Id="rId152" Type="http://schemas.openxmlformats.org/officeDocument/2006/relationships/hyperlink" Target="https://youtu.be/cChLqp2h7Ck?t=4678" TargetMode="External"/><Relationship Id="rId151" Type="http://schemas.openxmlformats.org/officeDocument/2006/relationships/hyperlink" Target="https://youtu.be/nc8DmJjAOpI?t=4777" TargetMode="External"/><Relationship Id="rId158" Type="http://schemas.openxmlformats.org/officeDocument/2006/relationships/hyperlink" Target="https://youtu.be/cChLqp2h7Ck?t=7524" TargetMode="External"/><Relationship Id="rId157" Type="http://schemas.openxmlformats.org/officeDocument/2006/relationships/hyperlink" Target="https://youtu.be/nc8DmJjAOpI?t=7583" TargetMode="External"/><Relationship Id="rId156" Type="http://schemas.openxmlformats.org/officeDocument/2006/relationships/hyperlink" Target="https://youtu.be/cChLqp2h7Ck?t=6544" TargetMode="External"/><Relationship Id="rId155" Type="http://schemas.openxmlformats.org/officeDocument/2006/relationships/hyperlink" Target="https://youtu.be/nc8DmJjAOpI?t=6661" TargetMode="External"/><Relationship Id="rId107" Type="http://schemas.openxmlformats.org/officeDocument/2006/relationships/hyperlink" Target="https://youtu.be/Vo5UYiyIHGI?t=2979" TargetMode="External"/><Relationship Id="rId228" Type="http://schemas.openxmlformats.org/officeDocument/2006/relationships/hyperlink" Target="https://youtu.be/QPyrbZoGZCs?t=2793" TargetMode="External"/><Relationship Id="rId106" Type="http://schemas.openxmlformats.org/officeDocument/2006/relationships/hyperlink" Target="https://youtu.be/T-nUNliedGE?t=1854" TargetMode="External"/><Relationship Id="rId227" Type="http://schemas.openxmlformats.org/officeDocument/2006/relationships/hyperlink" Target="https://youtu.be/mdl46xpea4c?t=2881" TargetMode="External"/><Relationship Id="rId105" Type="http://schemas.openxmlformats.org/officeDocument/2006/relationships/hyperlink" Target="https://youtu.be/Vo5UYiyIHGI?t=2030" TargetMode="External"/><Relationship Id="rId226" Type="http://schemas.openxmlformats.org/officeDocument/2006/relationships/hyperlink" Target="https://youtu.be/QPyrbZoGZCs?t=1862" TargetMode="External"/><Relationship Id="rId104" Type="http://schemas.openxmlformats.org/officeDocument/2006/relationships/hyperlink" Target="https://youtu.be/T-nUNliedGE?t=927" TargetMode="External"/><Relationship Id="rId225" Type="http://schemas.openxmlformats.org/officeDocument/2006/relationships/hyperlink" Target="https://youtu.be/mdl46xpea4c?t=1950" TargetMode="External"/><Relationship Id="rId109" Type="http://schemas.openxmlformats.org/officeDocument/2006/relationships/hyperlink" Target="https://youtu.be/Vo5UYiyIHGI?t=3924" TargetMode="External"/><Relationship Id="rId108" Type="http://schemas.openxmlformats.org/officeDocument/2006/relationships/hyperlink" Target="https://youtu.be/T-nUNliedGE?t=2805" TargetMode="External"/><Relationship Id="rId229" Type="http://schemas.openxmlformats.org/officeDocument/2006/relationships/hyperlink" Target="https://youtu.be/mdl46xpea4c?t=3809" TargetMode="External"/><Relationship Id="rId220" Type="http://schemas.openxmlformats.org/officeDocument/2006/relationships/hyperlink" Target="https://youtu.be/Se8ugLynFFs?t=7512" TargetMode="External"/><Relationship Id="rId103" Type="http://schemas.openxmlformats.org/officeDocument/2006/relationships/hyperlink" Target="https://youtu.be/Vo5UYiyIHGI?t=1075" TargetMode="External"/><Relationship Id="rId224" Type="http://schemas.openxmlformats.org/officeDocument/2006/relationships/hyperlink" Target="https://youtu.be/QPyrbZoGZCs?t=958" TargetMode="External"/><Relationship Id="rId102" Type="http://schemas.openxmlformats.org/officeDocument/2006/relationships/hyperlink" Target="https://youtu.be/T-nUNliedGE" TargetMode="External"/><Relationship Id="rId223" Type="http://schemas.openxmlformats.org/officeDocument/2006/relationships/hyperlink" Target="https://youtu.be/mdl46xpea4c?t=998" TargetMode="External"/><Relationship Id="rId101" Type="http://schemas.openxmlformats.org/officeDocument/2006/relationships/hyperlink" Target="https://youtu.be/Vo5UYiyIHGI" TargetMode="External"/><Relationship Id="rId222" Type="http://schemas.openxmlformats.org/officeDocument/2006/relationships/hyperlink" Target="https://youtu.be/QPyrbZoGZCs" TargetMode="External"/><Relationship Id="rId100" Type="http://schemas.openxmlformats.org/officeDocument/2006/relationships/hyperlink" Target="https://youtu.be/OStx_Smo6aE?t=7798" TargetMode="External"/><Relationship Id="rId221" Type="http://schemas.openxmlformats.org/officeDocument/2006/relationships/hyperlink" Target="https://youtu.be/mdl46xpea4c" TargetMode="External"/><Relationship Id="rId217" Type="http://schemas.openxmlformats.org/officeDocument/2006/relationships/hyperlink" Target="https://youtu.be/qtYy9cmJ3no?t=6691" TargetMode="External"/><Relationship Id="rId216" Type="http://schemas.openxmlformats.org/officeDocument/2006/relationships/hyperlink" Target="https://youtu.be/Se8ugLynFFs?t=5772" TargetMode="External"/><Relationship Id="rId215" Type="http://schemas.openxmlformats.org/officeDocument/2006/relationships/hyperlink" Target="https://youtu.be/qtYy9cmJ3no?t=5791" TargetMode="External"/><Relationship Id="rId214" Type="http://schemas.openxmlformats.org/officeDocument/2006/relationships/hyperlink" Target="https://youtu.be/Se8ugLynFFs?t=4893" TargetMode="External"/><Relationship Id="rId219" Type="http://schemas.openxmlformats.org/officeDocument/2006/relationships/hyperlink" Target="https://youtu.be/qtYy9cmJ3no?t=7570" TargetMode="External"/><Relationship Id="rId218" Type="http://schemas.openxmlformats.org/officeDocument/2006/relationships/hyperlink" Target="https://youtu.be/Se8ugLynFFs?t=6676" TargetMode="External"/><Relationship Id="rId213" Type="http://schemas.openxmlformats.org/officeDocument/2006/relationships/hyperlink" Target="https://youtu.be/qtYy9cmJ3no?t=4951" TargetMode="External"/><Relationship Id="rId212" Type="http://schemas.openxmlformats.org/officeDocument/2006/relationships/hyperlink" Target="https://youtu.be/Se8ugLynFFs?t=4101" TargetMode="External"/><Relationship Id="rId211" Type="http://schemas.openxmlformats.org/officeDocument/2006/relationships/hyperlink" Target="https://youtu.be/qtYy9cmJ3no?t=4092" TargetMode="External"/><Relationship Id="rId210" Type="http://schemas.openxmlformats.org/officeDocument/2006/relationships/hyperlink" Target="https://youtu.be/Se8ugLynFFs?t=3304" TargetMode="External"/><Relationship Id="rId129" Type="http://schemas.openxmlformats.org/officeDocument/2006/relationships/hyperlink" Target="https://youtu.be/6vqCov-MAC8?t=3631" TargetMode="External"/><Relationship Id="rId128" Type="http://schemas.openxmlformats.org/officeDocument/2006/relationships/hyperlink" Target="https://youtu.be/PDsXYuSZ5Y8?t=2807" TargetMode="External"/><Relationship Id="rId127" Type="http://schemas.openxmlformats.org/officeDocument/2006/relationships/hyperlink" Target="https://youtu.be/6vqCov-MAC8?t=2726" TargetMode="External"/><Relationship Id="rId126" Type="http://schemas.openxmlformats.org/officeDocument/2006/relationships/hyperlink" Target="https://youtu.be/PDsXYuSZ5Y8?t=1902" TargetMode="External"/><Relationship Id="rId121" Type="http://schemas.openxmlformats.org/officeDocument/2006/relationships/hyperlink" Target="https://youtu.be/6vqCov-MAC8" TargetMode="External"/><Relationship Id="rId120" Type="http://schemas.openxmlformats.org/officeDocument/2006/relationships/hyperlink" Target="https://youtu.be/T-nUNliedGE?t=8629" TargetMode="External"/><Relationship Id="rId241" Type="http://schemas.openxmlformats.org/officeDocument/2006/relationships/drawing" Target="../drawings/drawing44.xml"/><Relationship Id="rId240" Type="http://schemas.openxmlformats.org/officeDocument/2006/relationships/hyperlink" Target="https://youtu.be/QPyrbZoGZCs?t=8561" TargetMode="External"/><Relationship Id="rId125" Type="http://schemas.openxmlformats.org/officeDocument/2006/relationships/hyperlink" Target="https://youtu.be/6vqCov-MAC8?t=1786" TargetMode="External"/><Relationship Id="rId124" Type="http://schemas.openxmlformats.org/officeDocument/2006/relationships/hyperlink" Target="https://youtu.be/PDsXYuSZ5Y8?t=1000" TargetMode="External"/><Relationship Id="rId123" Type="http://schemas.openxmlformats.org/officeDocument/2006/relationships/hyperlink" Target="https://youtu.be/6vqCov-MAC8?t=873" TargetMode="External"/><Relationship Id="rId122" Type="http://schemas.openxmlformats.org/officeDocument/2006/relationships/hyperlink" Target="https://youtu.be/PDsXYuSZ5Y8" TargetMode="External"/><Relationship Id="rId95" Type="http://schemas.openxmlformats.org/officeDocument/2006/relationships/hyperlink" Target="https://youtu.be/0FplM7nptVM?t=6176" TargetMode="External"/><Relationship Id="rId94" Type="http://schemas.openxmlformats.org/officeDocument/2006/relationships/hyperlink" Target="https://youtu.be/OStx_Smo6aE?t=5169" TargetMode="External"/><Relationship Id="rId97" Type="http://schemas.openxmlformats.org/officeDocument/2006/relationships/hyperlink" Target="https://youtu.be/0FplM7nptVM?t=7027" TargetMode="External"/><Relationship Id="rId96" Type="http://schemas.openxmlformats.org/officeDocument/2006/relationships/hyperlink" Target="https://youtu.be/OStx_Smo6aE?t=6014" TargetMode="External"/><Relationship Id="rId99" Type="http://schemas.openxmlformats.org/officeDocument/2006/relationships/hyperlink" Target="https://youtu.be/0FplM7nptVM?t=7829" TargetMode="External"/><Relationship Id="rId98" Type="http://schemas.openxmlformats.org/officeDocument/2006/relationships/hyperlink" Target="https://youtu.be/OStx_Smo6aE?t=6988" TargetMode="External"/><Relationship Id="rId91" Type="http://schemas.openxmlformats.org/officeDocument/2006/relationships/hyperlink" Target="https://youtu.be/0FplM7nptVM?t=4398" TargetMode="External"/><Relationship Id="rId90" Type="http://schemas.openxmlformats.org/officeDocument/2006/relationships/hyperlink" Target="https://youtu.be/OStx_Smo6aE?t=3449" TargetMode="External"/><Relationship Id="rId93" Type="http://schemas.openxmlformats.org/officeDocument/2006/relationships/hyperlink" Target="https://youtu.be/0FplM7nptVM?t=5246" TargetMode="External"/><Relationship Id="rId92" Type="http://schemas.openxmlformats.org/officeDocument/2006/relationships/hyperlink" Target="https://youtu.be/OStx_Smo6aE?t=4318" TargetMode="External"/><Relationship Id="rId118" Type="http://schemas.openxmlformats.org/officeDocument/2006/relationships/hyperlink" Target="https://youtu.be/T-nUNliedGE?t=7643" TargetMode="External"/><Relationship Id="rId239" Type="http://schemas.openxmlformats.org/officeDocument/2006/relationships/hyperlink" Target="https://youtu.be/mdl46xpea4c?t=8613" TargetMode="External"/><Relationship Id="rId117" Type="http://schemas.openxmlformats.org/officeDocument/2006/relationships/hyperlink" Target="https://youtu.be/Vo5UYiyIHGI?t=7565" TargetMode="External"/><Relationship Id="rId238" Type="http://schemas.openxmlformats.org/officeDocument/2006/relationships/hyperlink" Target="https://youtu.be/QPyrbZoGZCs?t=7542" TargetMode="External"/><Relationship Id="rId116" Type="http://schemas.openxmlformats.org/officeDocument/2006/relationships/hyperlink" Target="https://youtu.be/T-nUNliedGE?t=6561" TargetMode="External"/><Relationship Id="rId237" Type="http://schemas.openxmlformats.org/officeDocument/2006/relationships/hyperlink" Target="https://youtu.be/mdl46xpea4c?t=7693" TargetMode="External"/><Relationship Id="rId115" Type="http://schemas.openxmlformats.org/officeDocument/2006/relationships/hyperlink" Target="https://youtu.be/Vo5UYiyIHGI?t=6681" TargetMode="External"/><Relationship Id="rId236" Type="http://schemas.openxmlformats.org/officeDocument/2006/relationships/hyperlink" Target="https://youtu.be/QPyrbZoGZCs?t=6572" TargetMode="External"/><Relationship Id="rId119" Type="http://schemas.openxmlformats.org/officeDocument/2006/relationships/hyperlink" Target="https://youtu.be/Vo5UYiyIHGI?t=8686" TargetMode="External"/><Relationship Id="rId110" Type="http://schemas.openxmlformats.org/officeDocument/2006/relationships/hyperlink" Target="https://youtu.be/T-nUNliedGE?t=3827" TargetMode="External"/><Relationship Id="rId231" Type="http://schemas.openxmlformats.org/officeDocument/2006/relationships/hyperlink" Target="https://youtu.be/mdl46xpea4c?t=4786" TargetMode="External"/><Relationship Id="rId230" Type="http://schemas.openxmlformats.org/officeDocument/2006/relationships/hyperlink" Target="https://youtu.be/QPyrbZoGZCs?t=3762" TargetMode="External"/><Relationship Id="rId114" Type="http://schemas.openxmlformats.org/officeDocument/2006/relationships/hyperlink" Target="https://youtu.be/T-nUNliedGE?t=5652" TargetMode="External"/><Relationship Id="rId235" Type="http://schemas.openxmlformats.org/officeDocument/2006/relationships/hyperlink" Target="https://youtu.be/mdl46xpea4c?t=6747" TargetMode="External"/><Relationship Id="rId113" Type="http://schemas.openxmlformats.org/officeDocument/2006/relationships/hyperlink" Target="https://youtu.be/Vo5UYiyIHGI?t=5702" TargetMode="External"/><Relationship Id="rId234" Type="http://schemas.openxmlformats.org/officeDocument/2006/relationships/hyperlink" Target="https://youtu.be/QPyrbZoGZCs?t=5620" TargetMode="External"/><Relationship Id="rId112" Type="http://schemas.openxmlformats.org/officeDocument/2006/relationships/hyperlink" Target="https://youtu.be/T-nUNliedGE?t=4736" TargetMode="External"/><Relationship Id="rId233" Type="http://schemas.openxmlformats.org/officeDocument/2006/relationships/hyperlink" Target="https://youtu.be/mdl46xpea4c?t=5732" TargetMode="External"/><Relationship Id="rId111" Type="http://schemas.openxmlformats.org/officeDocument/2006/relationships/hyperlink" Target="https://youtu.be/Vo5UYiyIHGI?t=4813" TargetMode="External"/><Relationship Id="rId232" Type="http://schemas.openxmlformats.org/officeDocument/2006/relationships/hyperlink" Target="https://youtu.be/QPyrbZoGZCs?t=4694" TargetMode="External"/><Relationship Id="rId206" Type="http://schemas.openxmlformats.org/officeDocument/2006/relationships/hyperlink" Target="https://youtu.be/Se8ugLynFFs?t=1671" TargetMode="External"/><Relationship Id="rId205" Type="http://schemas.openxmlformats.org/officeDocument/2006/relationships/hyperlink" Target="https://youtu.be/qtYy9cmJ3no?t=1659" TargetMode="External"/><Relationship Id="rId204" Type="http://schemas.openxmlformats.org/officeDocument/2006/relationships/hyperlink" Target="https://youtu.be/Se8ugLynFFs?t=864" TargetMode="External"/><Relationship Id="rId203" Type="http://schemas.openxmlformats.org/officeDocument/2006/relationships/hyperlink" Target="https://youtu.be/qtYy9cmJ3no?t=846" TargetMode="External"/><Relationship Id="rId209" Type="http://schemas.openxmlformats.org/officeDocument/2006/relationships/hyperlink" Target="https://youtu.be/qtYy9cmJ3no?t=3285" TargetMode="External"/><Relationship Id="rId208" Type="http://schemas.openxmlformats.org/officeDocument/2006/relationships/hyperlink" Target="https://youtu.be/Se8ugLynFFs?t=2473" TargetMode="External"/><Relationship Id="rId207" Type="http://schemas.openxmlformats.org/officeDocument/2006/relationships/hyperlink" Target="https://youtu.be/qtYy9cmJ3no?t=2474" TargetMode="External"/><Relationship Id="rId202" Type="http://schemas.openxmlformats.org/officeDocument/2006/relationships/hyperlink" Target="https://youtu.be/Se8ugLynFFs" TargetMode="External"/><Relationship Id="rId201" Type="http://schemas.openxmlformats.org/officeDocument/2006/relationships/hyperlink" Target="https://youtu.be/qtYy9cmJ3no" TargetMode="External"/><Relationship Id="rId200" Type="http://schemas.openxmlformats.org/officeDocument/2006/relationships/hyperlink" Target="https://youtu.be/DD9UrPm92-4?t=8523" TargetMode="External"/></Relationships>
</file>

<file path=xl/worksheets/_rels/sheet4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dce32un0k8I?t=8644" TargetMode="External"/><Relationship Id="rId190" Type="http://schemas.openxmlformats.org/officeDocument/2006/relationships/hyperlink" Target="https://youtu.be/34q_rY0omkc?t=3718" TargetMode="External"/><Relationship Id="rId42" Type="http://schemas.openxmlformats.org/officeDocument/2006/relationships/hyperlink" Target="https://youtu.be/ihgMIZ7rGq4" TargetMode="External"/><Relationship Id="rId41" Type="http://schemas.openxmlformats.org/officeDocument/2006/relationships/hyperlink" Target="https://youtu.be/QTWQkXuaJb4" TargetMode="External"/><Relationship Id="rId44" Type="http://schemas.openxmlformats.org/officeDocument/2006/relationships/hyperlink" Target="https://youtu.be/ihgMIZ7rGq4?t=1013" TargetMode="External"/><Relationship Id="rId194" Type="http://schemas.openxmlformats.org/officeDocument/2006/relationships/hyperlink" Target="https://youtu.be/34q_rY0omkc?t=5566" TargetMode="External"/><Relationship Id="rId43" Type="http://schemas.openxmlformats.org/officeDocument/2006/relationships/hyperlink" Target="https://youtu.be/QTWQkXuaJb4?t=1069" TargetMode="External"/><Relationship Id="rId193" Type="http://schemas.openxmlformats.org/officeDocument/2006/relationships/hyperlink" Target="https://youtu.be/91Nfbfi-X-0?t=4721" TargetMode="External"/><Relationship Id="rId46" Type="http://schemas.openxmlformats.org/officeDocument/2006/relationships/hyperlink" Target="https://youtu.be/ihgMIZ7rGq4?t=1932" TargetMode="External"/><Relationship Id="rId192" Type="http://schemas.openxmlformats.org/officeDocument/2006/relationships/hyperlink" Target="https://youtu.be/34q_rY0omkc?t=4634" TargetMode="External"/><Relationship Id="rId45" Type="http://schemas.openxmlformats.org/officeDocument/2006/relationships/hyperlink" Target="https://youtu.be/QTWQkXuaJb4?t=2045" TargetMode="External"/><Relationship Id="rId191" Type="http://schemas.openxmlformats.org/officeDocument/2006/relationships/hyperlink" Target="https://youtu.be/91Nfbfi-X-0?t=3757" TargetMode="External"/><Relationship Id="rId48" Type="http://schemas.openxmlformats.org/officeDocument/2006/relationships/hyperlink" Target="https://youtu.be/ihgMIZ7rGq4?t=2891" TargetMode="External"/><Relationship Id="rId187" Type="http://schemas.openxmlformats.org/officeDocument/2006/relationships/hyperlink" Target="https://youtu.be/91Nfbfi-X-0?t=1805" TargetMode="External"/><Relationship Id="rId47" Type="http://schemas.openxmlformats.org/officeDocument/2006/relationships/hyperlink" Target="https://youtu.be/QTWQkXuaJb4?t=3022" TargetMode="External"/><Relationship Id="rId186" Type="http://schemas.openxmlformats.org/officeDocument/2006/relationships/hyperlink" Target="https://youtu.be/34q_rY0omkc?t=1788" TargetMode="External"/><Relationship Id="rId185" Type="http://schemas.openxmlformats.org/officeDocument/2006/relationships/hyperlink" Target="https://youtu.be/91Nfbfi-X-0?t=1007" TargetMode="External"/><Relationship Id="rId49" Type="http://schemas.openxmlformats.org/officeDocument/2006/relationships/hyperlink" Target="https://youtu.be/QTWQkXuaJb4?t=3984" TargetMode="External"/><Relationship Id="rId184" Type="http://schemas.openxmlformats.org/officeDocument/2006/relationships/hyperlink" Target="https://youtu.be/34q_rY0omkc?t=1014" TargetMode="External"/><Relationship Id="rId189" Type="http://schemas.openxmlformats.org/officeDocument/2006/relationships/hyperlink" Target="https://youtu.be/91Nfbfi-X-0?t=2803" TargetMode="External"/><Relationship Id="rId188" Type="http://schemas.openxmlformats.org/officeDocument/2006/relationships/hyperlink" Target="https://youtu.be/34q_rY0omkc?t=2756" TargetMode="External"/><Relationship Id="rId31" Type="http://schemas.openxmlformats.org/officeDocument/2006/relationships/hyperlink" Target="https://youtu.be/HOxbG1J0U6c?t=4824" TargetMode="External"/><Relationship Id="rId30" Type="http://schemas.openxmlformats.org/officeDocument/2006/relationships/hyperlink" Target="https://youtu.be/dce32un0k8I?t=3858" TargetMode="External"/><Relationship Id="rId33" Type="http://schemas.openxmlformats.org/officeDocument/2006/relationships/hyperlink" Target="https://youtu.be/HOxbG1J0U6c?t=5780" TargetMode="External"/><Relationship Id="rId183" Type="http://schemas.openxmlformats.org/officeDocument/2006/relationships/hyperlink" Target="https://youtu.be/91Nfbfi-X-0" TargetMode="External"/><Relationship Id="rId32" Type="http://schemas.openxmlformats.org/officeDocument/2006/relationships/hyperlink" Target="https://youtu.be/dce32un0k8I?t=4837" TargetMode="External"/><Relationship Id="rId182" Type="http://schemas.openxmlformats.org/officeDocument/2006/relationships/hyperlink" Target="https://youtu.be/34q_rY0omkc" TargetMode="External"/><Relationship Id="rId35" Type="http://schemas.openxmlformats.org/officeDocument/2006/relationships/hyperlink" Target="https://youtu.be/HOxbG1J0U6c?t=6738" TargetMode="External"/><Relationship Id="rId181" Type="http://schemas.openxmlformats.org/officeDocument/2006/relationships/hyperlink" Target="https://youtu.be/Jbx4CANwJWU?t=8544" TargetMode="External"/><Relationship Id="rId34" Type="http://schemas.openxmlformats.org/officeDocument/2006/relationships/hyperlink" Target="https://youtu.be/dce32un0k8I?t=5821" TargetMode="External"/><Relationship Id="rId180" Type="http://schemas.openxmlformats.org/officeDocument/2006/relationships/hyperlink" Target="https://youtu.be/83xU7HDtEY0?t=8528" TargetMode="External"/><Relationship Id="rId37" Type="http://schemas.openxmlformats.org/officeDocument/2006/relationships/hyperlink" Target="https://youtu.be/HOxbG1J0U6c?t=7699" TargetMode="External"/><Relationship Id="rId176" Type="http://schemas.openxmlformats.org/officeDocument/2006/relationships/hyperlink" Target="https://youtu.be/83xU7HDtEY0?t=6673" TargetMode="External"/><Relationship Id="rId36" Type="http://schemas.openxmlformats.org/officeDocument/2006/relationships/hyperlink" Target="https://youtu.be/dce32un0k8I?t=6801" TargetMode="External"/><Relationship Id="rId175" Type="http://schemas.openxmlformats.org/officeDocument/2006/relationships/hyperlink" Target="https://youtu.be/Jbx4CANwJWU?t=5682" TargetMode="External"/><Relationship Id="rId39" Type="http://schemas.openxmlformats.org/officeDocument/2006/relationships/hyperlink" Target="https://youtu.be/HOxbG1J0U6c?t=8662" TargetMode="External"/><Relationship Id="rId174" Type="http://schemas.openxmlformats.org/officeDocument/2006/relationships/hyperlink" Target="https://youtu.be/83xU7HDtEY0?t=5710" TargetMode="External"/><Relationship Id="rId38" Type="http://schemas.openxmlformats.org/officeDocument/2006/relationships/hyperlink" Target="https://youtu.be/dce32un0k8I?t=7742" TargetMode="External"/><Relationship Id="rId173" Type="http://schemas.openxmlformats.org/officeDocument/2006/relationships/hyperlink" Target="https://youtu.be/Jbx4CANwJWU?t=4764" TargetMode="External"/><Relationship Id="rId179" Type="http://schemas.openxmlformats.org/officeDocument/2006/relationships/hyperlink" Target="https://youtu.be/Jbx4CANwJWU?t=7569" TargetMode="External"/><Relationship Id="rId178" Type="http://schemas.openxmlformats.org/officeDocument/2006/relationships/hyperlink" Target="https://youtu.be/83xU7HDtEY0?t=7594" TargetMode="External"/><Relationship Id="rId177" Type="http://schemas.openxmlformats.org/officeDocument/2006/relationships/hyperlink" Target="https://youtu.be/Jbx4CANwJWU?t=6607" TargetMode="External"/><Relationship Id="rId20" Type="http://schemas.openxmlformats.org/officeDocument/2006/relationships/hyperlink" Target="https://youtu.be/dQBZ8OiCJ8w?t=9716" TargetMode="External"/><Relationship Id="rId22" Type="http://schemas.openxmlformats.org/officeDocument/2006/relationships/hyperlink" Target="https://youtu.be/dce32un0k8I" TargetMode="External"/><Relationship Id="rId21" Type="http://schemas.openxmlformats.org/officeDocument/2006/relationships/hyperlink" Target="https://youtu.be/HOxbG1J0U6c" TargetMode="External"/><Relationship Id="rId24" Type="http://schemas.openxmlformats.org/officeDocument/2006/relationships/hyperlink" Target="https://youtu.be/dce32un0k8I?t=1052" TargetMode="External"/><Relationship Id="rId23" Type="http://schemas.openxmlformats.org/officeDocument/2006/relationships/hyperlink" Target="https://youtu.be/HOxbG1J0U6c?t=970" TargetMode="External"/><Relationship Id="rId26" Type="http://schemas.openxmlformats.org/officeDocument/2006/relationships/hyperlink" Target="https://youtu.be/dce32un0k8I?t=1994" TargetMode="External"/><Relationship Id="rId25" Type="http://schemas.openxmlformats.org/officeDocument/2006/relationships/hyperlink" Target="https://youtu.be/HOxbG1J0U6c?t=1942" TargetMode="External"/><Relationship Id="rId28" Type="http://schemas.openxmlformats.org/officeDocument/2006/relationships/hyperlink" Target="https://youtu.be/dce32un0k8I?t=2925" TargetMode="External"/><Relationship Id="rId27" Type="http://schemas.openxmlformats.org/officeDocument/2006/relationships/hyperlink" Target="https://youtu.be/HOxbG1J0U6c?t=2904" TargetMode="External"/><Relationship Id="rId29" Type="http://schemas.openxmlformats.org/officeDocument/2006/relationships/hyperlink" Target="https://youtu.be/HOxbG1J0U6c?t=3859" TargetMode="External"/><Relationship Id="rId11" Type="http://schemas.openxmlformats.org/officeDocument/2006/relationships/hyperlink" Target="https://youtu.be/Vl0fbT_ZsLg?t=6022" TargetMode="External"/><Relationship Id="rId10" Type="http://schemas.openxmlformats.org/officeDocument/2006/relationships/hyperlink" Target="https://youtu.be/dQBZ8OiCJ8w?t=5320" TargetMode="External"/><Relationship Id="rId13" Type="http://schemas.openxmlformats.org/officeDocument/2006/relationships/hyperlink" Target="https://youtu.be/Vl0fbT_ZsLg?t=6896" TargetMode="External"/><Relationship Id="rId12" Type="http://schemas.openxmlformats.org/officeDocument/2006/relationships/hyperlink" Target="https://youtu.be/dQBZ8OiCJ8w?t=6184" TargetMode="External"/><Relationship Id="rId15" Type="http://schemas.openxmlformats.org/officeDocument/2006/relationships/hyperlink" Target="https://youtu.be/Vl0fbT_ZsLg?t=7733" TargetMode="External"/><Relationship Id="rId198" Type="http://schemas.openxmlformats.org/officeDocument/2006/relationships/hyperlink" Target="https://youtu.be/34q_rY0omkc?t=7479" TargetMode="External"/><Relationship Id="rId14" Type="http://schemas.openxmlformats.org/officeDocument/2006/relationships/hyperlink" Target="https://youtu.be/dQBZ8OiCJ8w?t=7040" TargetMode="External"/><Relationship Id="rId197" Type="http://schemas.openxmlformats.org/officeDocument/2006/relationships/hyperlink" Target="https://youtu.be/91Nfbfi-X-0?t=6538" TargetMode="External"/><Relationship Id="rId17" Type="http://schemas.openxmlformats.org/officeDocument/2006/relationships/hyperlink" Target="https://youtu.be/Vl0fbT_ZsLg?t=8573" TargetMode="External"/><Relationship Id="rId196" Type="http://schemas.openxmlformats.org/officeDocument/2006/relationships/hyperlink" Target="https://youtu.be/34q_rY0omkc?t=6490" TargetMode="External"/><Relationship Id="rId16" Type="http://schemas.openxmlformats.org/officeDocument/2006/relationships/hyperlink" Target="https://youtu.be/dQBZ8OiCJ8w?t=7969" TargetMode="External"/><Relationship Id="rId195" Type="http://schemas.openxmlformats.org/officeDocument/2006/relationships/hyperlink" Target="https://youtu.be/91Nfbfi-X-0?t=5648" TargetMode="External"/><Relationship Id="rId19" Type="http://schemas.openxmlformats.org/officeDocument/2006/relationships/hyperlink" Target="https://youtu.be/Vl0fbT_ZsLg?t=9470" TargetMode="External"/><Relationship Id="rId18" Type="http://schemas.openxmlformats.org/officeDocument/2006/relationships/hyperlink" Target="https://youtu.be/dQBZ8OiCJ8w?t=8858" TargetMode="External"/><Relationship Id="rId199" Type="http://schemas.openxmlformats.org/officeDocument/2006/relationships/hyperlink" Target="https://youtu.be/91Nfbfi-X-0?t=7481" TargetMode="External"/><Relationship Id="rId84" Type="http://schemas.openxmlformats.org/officeDocument/2006/relationships/hyperlink" Target="https://youtu.be/x_DisYXO6OY?t=1048" TargetMode="External"/><Relationship Id="rId83" Type="http://schemas.openxmlformats.org/officeDocument/2006/relationships/hyperlink" Target="https://youtu.be/duH9XZZpZDA?t=851" TargetMode="External"/><Relationship Id="rId86" Type="http://schemas.openxmlformats.org/officeDocument/2006/relationships/hyperlink" Target="https://youtu.be/x_DisYXO6OY?t=1964" TargetMode="External"/><Relationship Id="rId85" Type="http://schemas.openxmlformats.org/officeDocument/2006/relationships/hyperlink" Target="https://youtu.be/duH9XZZpZDA?t=1834" TargetMode="External"/><Relationship Id="rId88" Type="http://schemas.openxmlformats.org/officeDocument/2006/relationships/hyperlink" Target="https://youtu.be/x_DisYXO6OY?t=3005" TargetMode="External"/><Relationship Id="rId150" Type="http://schemas.openxmlformats.org/officeDocument/2006/relationships/hyperlink" Target="https://youtu.be/lBTW4jD_qPw?t=3916" TargetMode="External"/><Relationship Id="rId87" Type="http://schemas.openxmlformats.org/officeDocument/2006/relationships/hyperlink" Target="https://youtu.be/duH9XZZpZDA?t=2818" TargetMode="External"/><Relationship Id="rId89" Type="http://schemas.openxmlformats.org/officeDocument/2006/relationships/hyperlink" Target="https://youtu.be/duH9XZZpZDA?t=3626" TargetMode="External"/><Relationship Id="rId80" Type="http://schemas.openxmlformats.org/officeDocument/2006/relationships/hyperlink" Target="https://youtu.be/r6Sbz2BkH5w?t=8736" TargetMode="External"/><Relationship Id="rId82" Type="http://schemas.openxmlformats.org/officeDocument/2006/relationships/hyperlink" Target="https://youtu.be/x_DisYXO6OY" TargetMode="External"/><Relationship Id="rId81" Type="http://schemas.openxmlformats.org/officeDocument/2006/relationships/hyperlink" Target="https://youtu.be/duH9XZZpZDA" TargetMode="External"/><Relationship Id="rId1" Type="http://schemas.openxmlformats.org/officeDocument/2006/relationships/hyperlink" Target="https://youtu.be/Vl0fbT_ZsLg" TargetMode="External"/><Relationship Id="rId2" Type="http://schemas.openxmlformats.org/officeDocument/2006/relationships/hyperlink" Target="https://youtu.be/dQBZ8OiCJ8w" TargetMode="External"/><Relationship Id="rId3" Type="http://schemas.openxmlformats.org/officeDocument/2006/relationships/hyperlink" Target="https://youtu.be/Vl0fbT_ZsLg?t=961" TargetMode="External"/><Relationship Id="rId149" Type="http://schemas.openxmlformats.org/officeDocument/2006/relationships/hyperlink" Target="https://youtu.be/ha3cM7zmPrk?t=2811" TargetMode="External"/><Relationship Id="rId4" Type="http://schemas.openxmlformats.org/officeDocument/2006/relationships/hyperlink" Target="https://youtu.be/dQBZ8OiCJ8w?t=1498" TargetMode="External"/><Relationship Id="rId148" Type="http://schemas.openxmlformats.org/officeDocument/2006/relationships/hyperlink" Target="https://youtu.be/lBTW4jD_qPw?t=2994" TargetMode="External"/><Relationship Id="rId9" Type="http://schemas.openxmlformats.org/officeDocument/2006/relationships/hyperlink" Target="https://youtu.be/Vl0fbT_ZsLg?t=3861" TargetMode="External"/><Relationship Id="rId143" Type="http://schemas.openxmlformats.org/officeDocument/2006/relationships/hyperlink" Target="https://youtu.be/lBTW4jD_qPw?t=1026" TargetMode="External"/><Relationship Id="rId142" Type="http://schemas.openxmlformats.org/officeDocument/2006/relationships/hyperlink" Target="https://youtu.be/ha3cM7zmPrk" TargetMode="External"/><Relationship Id="rId141" Type="http://schemas.openxmlformats.org/officeDocument/2006/relationships/hyperlink" Target="https://youtu.be/lBTW4jD_qPw" TargetMode="External"/><Relationship Id="rId140" Type="http://schemas.openxmlformats.org/officeDocument/2006/relationships/hyperlink" Target="https://youtu.be/5N63oI1_5ak?t=8418" TargetMode="External"/><Relationship Id="rId5" Type="http://schemas.openxmlformats.org/officeDocument/2006/relationships/hyperlink" Target="https://youtu.be/Vl0fbT_ZsLg?t=1910" TargetMode="External"/><Relationship Id="rId147" Type="http://schemas.openxmlformats.org/officeDocument/2006/relationships/hyperlink" Target="https://youtu.be/ha3cM7zmPrk?t=1867" TargetMode="External"/><Relationship Id="rId6" Type="http://schemas.openxmlformats.org/officeDocument/2006/relationships/hyperlink" Target="https://youtu.be/dQBZ8OiCJ8w?t=2415" TargetMode="External"/><Relationship Id="rId146" Type="http://schemas.openxmlformats.org/officeDocument/2006/relationships/hyperlink" Target="https://youtu.be/lBTW4jD_qPw?t=2008" TargetMode="External"/><Relationship Id="rId7" Type="http://schemas.openxmlformats.org/officeDocument/2006/relationships/hyperlink" Target="https://youtu.be/Vl0fbT_ZsLg?t=2894" TargetMode="External"/><Relationship Id="rId145" Type="http://schemas.openxmlformats.org/officeDocument/2006/relationships/hyperlink" Target="https://youtu.be/ha3cM7zmPrk?t=953" TargetMode="External"/><Relationship Id="rId8" Type="http://schemas.openxmlformats.org/officeDocument/2006/relationships/hyperlink" Target="https://youtu.be/dQBZ8OiCJ8w?t=3307" TargetMode="External"/><Relationship Id="rId144" Type="http://schemas.openxmlformats.org/officeDocument/2006/relationships/hyperlink" Target="https://youtu.be/ha3cM7zmPrk?t=8672" TargetMode="External"/><Relationship Id="rId73" Type="http://schemas.openxmlformats.org/officeDocument/2006/relationships/hyperlink" Target="https://youtu.be/B9_hELlyxbY?t=5796" TargetMode="External"/><Relationship Id="rId72" Type="http://schemas.openxmlformats.org/officeDocument/2006/relationships/hyperlink" Target="https://youtu.be/r6Sbz2BkH5w?t=4913" TargetMode="External"/><Relationship Id="rId75" Type="http://schemas.openxmlformats.org/officeDocument/2006/relationships/hyperlink" Target="https://youtu.be/B9_hELlyxbY?t=6859" TargetMode="External"/><Relationship Id="rId74" Type="http://schemas.openxmlformats.org/officeDocument/2006/relationships/hyperlink" Target="https://youtu.be/r6Sbz2BkH5w?t=5866" TargetMode="External"/><Relationship Id="rId77" Type="http://schemas.openxmlformats.org/officeDocument/2006/relationships/hyperlink" Target="https://youtu.be/B9_hELlyxbY?t=7825" TargetMode="External"/><Relationship Id="rId76" Type="http://schemas.openxmlformats.org/officeDocument/2006/relationships/hyperlink" Target="https://youtu.be/r6Sbz2BkH5w?t=6786" TargetMode="External"/><Relationship Id="rId79" Type="http://schemas.openxmlformats.org/officeDocument/2006/relationships/hyperlink" Target="https://youtu.be/B9_hELlyxbY?t=8771" TargetMode="External"/><Relationship Id="rId78" Type="http://schemas.openxmlformats.org/officeDocument/2006/relationships/hyperlink" Target="https://youtu.be/r6Sbz2BkH5w?t=7715" TargetMode="External"/><Relationship Id="rId71" Type="http://schemas.openxmlformats.org/officeDocument/2006/relationships/hyperlink" Target="https://youtu.be/B9_hELlyxbY?t=4881" TargetMode="External"/><Relationship Id="rId70" Type="http://schemas.openxmlformats.org/officeDocument/2006/relationships/hyperlink" Target="https://youtu.be/r6Sbz2BkH5w?t=3967" TargetMode="External"/><Relationship Id="rId139" Type="http://schemas.openxmlformats.org/officeDocument/2006/relationships/hyperlink" Target="https://youtu.be/csJ-3Dy5_nU?t=8557" TargetMode="External"/><Relationship Id="rId138" Type="http://schemas.openxmlformats.org/officeDocument/2006/relationships/hyperlink" Target="https://youtu.be/5N63oI1_5ak?t=7457" TargetMode="External"/><Relationship Id="rId137" Type="http://schemas.openxmlformats.org/officeDocument/2006/relationships/hyperlink" Target="https://youtu.be/csJ-3Dy5_nU?t=7671" TargetMode="External"/><Relationship Id="rId132" Type="http://schemas.openxmlformats.org/officeDocument/2006/relationships/hyperlink" Target="https://youtu.be/5N63oI1_5ak?t=4702" TargetMode="External"/><Relationship Id="rId131" Type="http://schemas.openxmlformats.org/officeDocument/2006/relationships/hyperlink" Target="https://youtu.be/csJ-3Dy5_nU?t=4860" TargetMode="External"/><Relationship Id="rId130" Type="http://schemas.openxmlformats.org/officeDocument/2006/relationships/hyperlink" Target="https://youtu.be/5N63oI1_5ak?t=3726" TargetMode="External"/><Relationship Id="rId136" Type="http://schemas.openxmlformats.org/officeDocument/2006/relationships/hyperlink" Target="https://youtu.be/5N63oI1_5ak?t=6529" TargetMode="External"/><Relationship Id="rId135" Type="http://schemas.openxmlformats.org/officeDocument/2006/relationships/hyperlink" Target="https://youtu.be/csJ-3Dy5_nU?t=6706" TargetMode="External"/><Relationship Id="rId134" Type="http://schemas.openxmlformats.org/officeDocument/2006/relationships/hyperlink" Target="https://youtu.be/5N63oI1_5ak?t=5642" TargetMode="External"/><Relationship Id="rId133" Type="http://schemas.openxmlformats.org/officeDocument/2006/relationships/hyperlink" Target="https://youtu.be/csJ-3Dy5_nU?t=5775" TargetMode="External"/><Relationship Id="rId62" Type="http://schemas.openxmlformats.org/officeDocument/2006/relationships/hyperlink" Target="https://youtu.be/r6Sbz2BkH5w" TargetMode="External"/><Relationship Id="rId61" Type="http://schemas.openxmlformats.org/officeDocument/2006/relationships/hyperlink" Target="https://youtu.be/B9_hELlyxbY" TargetMode="External"/><Relationship Id="rId64" Type="http://schemas.openxmlformats.org/officeDocument/2006/relationships/hyperlink" Target="https://youtu.be/r6Sbz2BkH5w?t=1041" TargetMode="External"/><Relationship Id="rId63" Type="http://schemas.openxmlformats.org/officeDocument/2006/relationships/hyperlink" Target="https://youtu.be/B9_hELlyxbY?t=1127" TargetMode="External"/><Relationship Id="rId66" Type="http://schemas.openxmlformats.org/officeDocument/2006/relationships/hyperlink" Target="https://youtu.be/r6Sbz2BkH5w?t=1991" TargetMode="External"/><Relationship Id="rId172" Type="http://schemas.openxmlformats.org/officeDocument/2006/relationships/hyperlink" Target="https://youtu.be/83xU7HDtEY0?t=4716" TargetMode="External"/><Relationship Id="rId65" Type="http://schemas.openxmlformats.org/officeDocument/2006/relationships/hyperlink" Target="https://youtu.be/B9_hELlyxbY?t=2110" TargetMode="External"/><Relationship Id="rId171" Type="http://schemas.openxmlformats.org/officeDocument/2006/relationships/hyperlink" Target="https://youtu.be/Jbx4CANwJWU?t=3799" TargetMode="External"/><Relationship Id="rId68" Type="http://schemas.openxmlformats.org/officeDocument/2006/relationships/hyperlink" Target="https://youtu.be/r6Sbz2BkH5w?t=2956" TargetMode="External"/><Relationship Id="rId170" Type="http://schemas.openxmlformats.org/officeDocument/2006/relationships/hyperlink" Target="https://youtu.be/83xU7HDtEY0?t=3801" TargetMode="External"/><Relationship Id="rId67" Type="http://schemas.openxmlformats.org/officeDocument/2006/relationships/hyperlink" Target="https://youtu.be/B9_hELlyxbY?t=3101" TargetMode="External"/><Relationship Id="rId60" Type="http://schemas.openxmlformats.org/officeDocument/2006/relationships/hyperlink" Target="https://youtu.be/ihgMIZ7rGq4?t=8625" TargetMode="External"/><Relationship Id="rId165" Type="http://schemas.openxmlformats.org/officeDocument/2006/relationships/hyperlink" Target="https://youtu.be/Jbx4CANwJWU?t=994" TargetMode="External"/><Relationship Id="rId69" Type="http://schemas.openxmlformats.org/officeDocument/2006/relationships/hyperlink" Target="https://youtu.be/B9_hELlyxbY?t=3961" TargetMode="External"/><Relationship Id="rId164" Type="http://schemas.openxmlformats.org/officeDocument/2006/relationships/hyperlink" Target="https://youtu.be/83xU7HDtEY0?t=1042" TargetMode="External"/><Relationship Id="rId163" Type="http://schemas.openxmlformats.org/officeDocument/2006/relationships/hyperlink" Target="https://youtu.be/Jbx4CANwJWU" TargetMode="External"/><Relationship Id="rId162" Type="http://schemas.openxmlformats.org/officeDocument/2006/relationships/hyperlink" Target="https://youtu.be/83xU7HDtEY0" TargetMode="External"/><Relationship Id="rId169" Type="http://schemas.openxmlformats.org/officeDocument/2006/relationships/hyperlink" Target="https://youtu.be/Jbx4CANwJWU?t=2833" TargetMode="External"/><Relationship Id="rId168" Type="http://schemas.openxmlformats.org/officeDocument/2006/relationships/hyperlink" Target="https://youtu.be/83xU7HDtEY0?t=2901" TargetMode="External"/><Relationship Id="rId167" Type="http://schemas.openxmlformats.org/officeDocument/2006/relationships/hyperlink" Target="https://youtu.be/Jbx4CANwJWU?t=1919" TargetMode="External"/><Relationship Id="rId166" Type="http://schemas.openxmlformats.org/officeDocument/2006/relationships/hyperlink" Target="https://youtu.be/83xU7HDtEY0?t=1951" TargetMode="External"/><Relationship Id="rId51" Type="http://schemas.openxmlformats.org/officeDocument/2006/relationships/hyperlink" Target="https://youtu.be/QTWQkXuaJb4?t=4916" TargetMode="External"/><Relationship Id="rId50" Type="http://schemas.openxmlformats.org/officeDocument/2006/relationships/hyperlink" Target="https://youtu.be/ihgMIZ7rGq4?t=3835" TargetMode="External"/><Relationship Id="rId53" Type="http://schemas.openxmlformats.org/officeDocument/2006/relationships/hyperlink" Target="https://youtu.be/QTWQkXuaJb4?t=5812" TargetMode="External"/><Relationship Id="rId52" Type="http://schemas.openxmlformats.org/officeDocument/2006/relationships/hyperlink" Target="https://youtu.be/ihgMIZ7rGq4?t=4834" TargetMode="External"/><Relationship Id="rId55" Type="http://schemas.openxmlformats.org/officeDocument/2006/relationships/hyperlink" Target="https://youtu.be/QTWQkXuaJb4?t=6754" TargetMode="External"/><Relationship Id="rId161" Type="http://schemas.openxmlformats.org/officeDocument/2006/relationships/hyperlink" Target="https://youtu.be/ha3cM7zmPrk?t=8672" TargetMode="External"/><Relationship Id="rId54" Type="http://schemas.openxmlformats.org/officeDocument/2006/relationships/hyperlink" Target="https://youtu.be/ihgMIZ7rGq4?t=5818" TargetMode="External"/><Relationship Id="rId160" Type="http://schemas.openxmlformats.org/officeDocument/2006/relationships/hyperlink" Target="https://youtu.be/lBTW4jD_qPw?t=8723" TargetMode="External"/><Relationship Id="rId57" Type="http://schemas.openxmlformats.org/officeDocument/2006/relationships/hyperlink" Target="https://youtu.be/QTWQkXuaJb4?t=7782" TargetMode="External"/><Relationship Id="rId56" Type="http://schemas.openxmlformats.org/officeDocument/2006/relationships/hyperlink" Target="https://youtu.be/ihgMIZ7rGq4?t=6732" TargetMode="External"/><Relationship Id="rId159" Type="http://schemas.openxmlformats.org/officeDocument/2006/relationships/hyperlink" Target="https://youtu.be/ha3cM7zmPrk?t=7724" TargetMode="External"/><Relationship Id="rId59" Type="http://schemas.openxmlformats.org/officeDocument/2006/relationships/hyperlink" Target="https://youtu.be/QTWQkXuaJb4?t=8714" TargetMode="External"/><Relationship Id="rId154" Type="http://schemas.openxmlformats.org/officeDocument/2006/relationships/hyperlink" Target="https://youtu.be/lBTW4jD_qPw?t=5738" TargetMode="External"/><Relationship Id="rId58" Type="http://schemas.openxmlformats.org/officeDocument/2006/relationships/hyperlink" Target="https://youtu.be/ihgMIZ7rGq4?t=7681" TargetMode="External"/><Relationship Id="rId153" Type="http://schemas.openxmlformats.org/officeDocument/2006/relationships/hyperlink" Target="https://youtu.be/ha3cM7zmPrk?t=4833" TargetMode="External"/><Relationship Id="rId152" Type="http://schemas.openxmlformats.org/officeDocument/2006/relationships/hyperlink" Target="https://youtu.be/lBTW4jD_qPw?t=4842" TargetMode="External"/><Relationship Id="rId151" Type="http://schemas.openxmlformats.org/officeDocument/2006/relationships/hyperlink" Target="https://youtu.be/ha3cM7zmPrk?t=3874" TargetMode="External"/><Relationship Id="rId158" Type="http://schemas.openxmlformats.org/officeDocument/2006/relationships/hyperlink" Target="https://youtu.be/lBTW4jD_qPw?t=7621" TargetMode="External"/><Relationship Id="rId157" Type="http://schemas.openxmlformats.org/officeDocument/2006/relationships/hyperlink" Target="https://youtu.be/ha3cM7zmPrk?t=6760" TargetMode="External"/><Relationship Id="rId156" Type="http://schemas.openxmlformats.org/officeDocument/2006/relationships/hyperlink" Target="https://youtu.be/lBTW4jD_qPw?t=6660" TargetMode="External"/><Relationship Id="rId155" Type="http://schemas.openxmlformats.org/officeDocument/2006/relationships/hyperlink" Target="https://youtu.be/ha3cM7zmPrk?t=5816" TargetMode="External"/><Relationship Id="rId107" Type="http://schemas.openxmlformats.org/officeDocument/2006/relationships/hyperlink" Target="https://youtu.be/qdj2WJOYsaA?t=2793" TargetMode="External"/><Relationship Id="rId106" Type="http://schemas.openxmlformats.org/officeDocument/2006/relationships/hyperlink" Target="https://youtu.be/i6jDCcsH0tg?t=1937" TargetMode="External"/><Relationship Id="rId105" Type="http://schemas.openxmlformats.org/officeDocument/2006/relationships/hyperlink" Target="https://youtu.be/qdj2WJOYsaA?t=1787" TargetMode="External"/><Relationship Id="rId104" Type="http://schemas.openxmlformats.org/officeDocument/2006/relationships/hyperlink" Target="https://youtu.be/i6jDCcsH0tg?t=1015" TargetMode="External"/><Relationship Id="rId109" Type="http://schemas.openxmlformats.org/officeDocument/2006/relationships/hyperlink" Target="https://youtu.be/qdj2WJOYsaA?t=3652" TargetMode="External"/><Relationship Id="rId108" Type="http://schemas.openxmlformats.org/officeDocument/2006/relationships/hyperlink" Target="https://youtu.be/i6jDCcsH0tg?t=2903" TargetMode="External"/><Relationship Id="rId103" Type="http://schemas.openxmlformats.org/officeDocument/2006/relationships/hyperlink" Target="https://youtu.be/qdj2WJOYsaA?t=820" TargetMode="External"/><Relationship Id="rId102" Type="http://schemas.openxmlformats.org/officeDocument/2006/relationships/hyperlink" Target="https://youtu.be/i6jDCcsH0tg" TargetMode="External"/><Relationship Id="rId101" Type="http://schemas.openxmlformats.org/officeDocument/2006/relationships/hyperlink" Target="https://youtu.be/qdj2WJOYsaA" TargetMode="External"/><Relationship Id="rId100" Type="http://schemas.openxmlformats.org/officeDocument/2006/relationships/hyperlink" Target="https://youtu.be/x_DisYXO6OY?t=8581" TargetMode="External"/><Relationship Id="rId129" Type="http://schemas.openxmlformats.org/officeDocument/2006/relationships/hyperlink" Target="https://youtu.be/csJ-3Dy5_nU?t=3825" TargetMode="External"/><Relationship Id="rId128" Type="http://schemas.openxmlformats.org/officeDocument/2006/relationships/hyperlink" Target="https://youtu.be/5N63oI1_5ak?t=2828" TargetMode="External"/><Relationship Id="rId127" Type="http://schemas.openxmlformats.org/officeDocument/2006/relationships/hyperlink" Target="https://youtu.be/csJ-3Dy5_nU?t=2925" TargetMode="External"/><Relationship Id="rId126" Type="http://schemas.openxmlformats.org/officeDocument/2006/relationships/hyperlink" Target="https://youtu.be/5N63oI1_5ak?t=1898" TargetMode="External"/><Relationship Id="rId121" Type="http://schemas.openxmlformats.org/officeDocument/2006/relationships/hyperlink" Target="https://youtu.be/csJ-3Dy5_nU" TargetMode="External"/><Relationship Id="rId120" Type="http://schemas.openxmlformats.org/officeDocument/2006/relationships/hyperlink" Target="https://youtu.be/i6jDCcsH0tg?t=8541" TargetMode="External"/><Relationship Id="rId125" Type="http://schemas.openxmlformats.org/officeDocument/2006/relationships/hyperlink" Target="https://youtu.be/csJ-3Dy5_nU?t=1994" TargetMode="External"/><Relationship Id="rId124" Type="http://schemas.openxmlformats.org/officeDocument/2006/relationships/hyperlink" Target="https://youtu.be/5N63oI1_5ak?t=949" TargetMode="External"/><Relationship Id="rId123" Type="http://schemas.openxmlformats.org/officeDocument/2006/relationships/hyperlink" Target="https://youtu.be/csJ-3Dy5_nU?t=1034" TargetMode="External"/><Relationship Id="rId122" Type="http://schemas.openxmlformats.org/officeDocument/2006/relationships/hyperlink" Target="https://youtu.be/5N63oI1_5ak" TargetMode="External"/><Relationship Id="rId95" Type="http://schemas.openxmlformats.org/officeDocument/2006/relationships/hyperlink" Target="https://youtu.be/duH9XZZpZDA?t=6437" TargetMode="External"/><Relationship Id="rId94" Type="http://schemas.openxmlformats.org/officeDocument/2006/relationships/hyperlink" Target="https://youtu.be/x_DisYXO6OY?t=5763" TargetMode="External"/><Relationship Id="rId97" Type="http://schemas.openxmlformats.org/officeDocument/2006/relationships/hyperlink" Target="https://youtu.be/duH9XZZpZDA?t=7389" TargetMode="External"/><Relationship Id="rId96" Type="http://schemas.openxmlformats.org/officeDocument/2006/relationships/hyperlink" Target="https://youtu.be/x_DisYXO6OY?t=6698" TargetMode="External"/><Relationship Id="rId99" Type="http://schemas.openxmlformats.org/officeDocument/2006/relationships/hyperlink" Target="https://youtu.be/duH9XZZpZDA?t=8254" TargetMode="External"/><Relationship Id="rId98" Type="http://schemas.openxmlformats.org/officeDocument/2006/relationships/hyperlink" Target="https://youtu.be/x_DisYXO6OY?t=7613" TargetMode="External"/><Relationship Id="rId91" Type="http://schemas.openxmlformats.org/officeDocument/2006/relationships/hyperlink" Target="https://youtu.be/duH9XZZpZDA?t=4552" TargetMode="External"/><Relationship Id="rId90" Type="http://schemas.openxmlformats.org/officeDocument/2006/relationships/hyperlink" Target="https://youtu.be/x_DisYXO6OY?t=3918" TargetMode="External"/><Relationship Id="rId93" Type="http://schemas.openxmlformats.org/officeDocument/2006/relationships/hyperlink" Target="https://youtu.be/duH9XZZpZDA?t=5479" TargetMode="External"/><Relationship Id="rId92" Type="http://schemas.openxmlformats.org/officeDocument/2006/relationships/hyperlink" Target="https://youtu.be/x_DisYXO6OY?t=4854" TargetMode="External"/><Relationship Id="rId118" Type="http://schemas.openxmlformats.org/officeDocument/2006/relationships/hyperlink" Target="https://youtu.be/i6jDCcsH0tg?t=7624" TargetMode="External"/><Relationship Id="rId117" Type="http://schemas.openxmlformats.org/officeDocument/2006/relationships/hyperlink" Target="https://youtu.be/qdj2WJOYsaA?t=7445" TargetMode="External"/><Relationship Id="rId116" Type="http://schemas.openxmlformats.org/officeDocument/2006/relationships/hyperlink" Target="https://youtu.be/i6jDCcsH0tg?t=6727" TargetMode="External"/><Relationship Id="rId115" Type="http://schemas.openxmlformats.org/officeDocument/2006/relationships/hyperlink" Target="https://youtu.be/qdj2WJOYsaA?t=6560" TargetMode="External"/><Relationship Id="rId119" Type="http://schemas.openxmlformats.org/officeDocument/2006/relationships/hyperlink" Target="https://youtu.be/qdj2WJOYsaA?t=8342" TargetMode="External"/><Relationship Id="rId110" Type="http://schemas.openxmlformats.org/officeDocument/2006/relationships/hyperlink" Target="https://youtu.be/i6jDCcsH0tg?t=3934" TargetMode="External"/><Relationship Id="rId114" Type="http://schemas.openxmlformats.org/officeDocument/2006/relationships/hyperlink" Target="https://youtu.be/i6jDCcsH0tg?t=5804" TargetMode="External"/><Relationship Id="rId113" Type="http://schemas.openxmlformats.org/officeDocument/2006/relationships/hyperlink" Target="https://youtu.be/qdj2WJOYsaA?t=5523" TargetMode="External"/><Relationship Id="rId112" Type="http://schemas.openxmlformats.org/officeDocument/2006/relationships/hyperlink" Target="https://youtu.be/i6jDCcsH0tg?t=4847" TargetMode="External"/><Relationship Id="rId111" Type="http://schemas.openxmlformats.org/officeDocument/2006/relationships/hyperlink" Target="https://youtu.be/qdj2WJOYsaA?t=4593" TargetMode="External"/><Relationship Id="rId202" Type="http://schemas.openxmlformats.org/officeDocument/2006/relationships/drawing" Target="../drawings/drawing45.xml"/><Relationship Id="rId201" Type="http://schemas.openxmlformats.org/officeDocument/2006/relationships/hyperlink" Target="https://youtu.be/91Nfbfi-X-0?t=8386" TargetMode="External"/><Relationship Id="rId200" Type="http://schemas.openxmlformats.org/officeDocument/2006/relationships/hyperlink" Target="https://youtu.be/34q_rY0omkc?t=8449" TargetMode="External"/></Relationships>
</file>

<file path=xl/worksheets/_rels/sheet4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rRedWvGm0o?t=8707" TargetMode="External"/><Relationship Id="rId190" Type="http://schemas.openxmlformats.org/officeDocument/2006/relationships/hyperlink" Target="https://youtu.be/ch5TeX2NvqU?t=3746" TargetMode="External"/><Relationship Id="rId42" Type="http://schemas.openxmlformats.org/officeDocument/2006/relationships/hyperlink" Target="https://youtu.be/goakzBwwGyw" TargetMode="External"/><Relationship Id="rId41" Type="http://schemas.openxmlformats.org/officeDocument/2006/relationships/hyperlink" Target="https://youtu.be/MBmiO9_A8h0" TargetMode="External"/><Relationship Id="rId44" Type="http://schemas.openxmlformats.org/officeDocument/2006/relationships/hyperlink" Target="https://youtu.be/goakzBwwGyw?t=1095" TargetMode="External"/><Relationship Id="rId194" Type="http://schemas.openxmlformats.org/officeDocument/2006/relationships/hyperlink" Target="https://youtu.be/ch5TeX2NvqU?t=5631" TargetMode="External"/><Relationship Id="rId43" Type="http://schemas.openxmlformats.org/officeDocument/2006/relationships/hyperlink" Target="https://youtu.be/MBmiO9_A8h0?t=957" TargetMode="External"/><Relationship Id="rId193" Type="http://schemas.openxmlformats.org/officeDocument/2006/relationships/hyperlink" Target="https://youtu.be/alhmJEq7wE8?t=5730" TargetMode="External"/><Relationship Id="rId46" Type="http://schemas.openxmlformats.org/officeDocument/2006/relationships/hyperlink" Target="https://youtu.be/goakzBwwGyw?t=2013" TargetMode="External"/><Relationship Id="rId192" Type="http://schemas.openxmlformats.org/officeDocument/2006/relationships/hyperlink" Target="https://youtu.be/ch5TeX2NvqU?t=4676" TargetMode="External"/><Relationship Id="rId45" Type="http://schemas.openxmlformats.org/officeDocument/2006/relationships/hyperlink" Target="https://youtu.be/MBmiO9_A8h0?t=1914" TargetMode="External"/><Relationship Id="rId191" Type="http://schemas.openxmlformats.org/officeDocument/2006/relationships/hyperlink" Target="https://youtu.be/alhmJEq7wE8?t=4806" TargetMode="External"/><Relationship Id="rId48" Type="http://schemas.openxmlformats.org/officeDocument/2006/relationships/hyperlink" Target="https://youtu.be/goakzBwwGyw?t=2961" TargetMode="External"/><Relationship Id="rId187" Type="http://schemas.openxmlformats.org/officeDocument/2006/relationships/hyperlink" Target="https://youtu.be/alhmJEq7wE8?t=2895" TargetMode="External"/><Relationship Id="rId47" Type="http://schemas.openxmlformats.org/officeDocument/2006/relationships/hyperlink" Target="https://youtu.be/MBmiO9_A8h0?t=2847" TargetMode="External"/><Relationship Id="rId186" Type="http://schemas.openxmlformats.org/officeDocument/2006/relationships/hyperlink" Target="https://youtu.be/ch5TeX2NvqU?t=1949" TargetMode="External"/><Relationship Id="rId185" Type="http://schemas.openxmlformats.org/officeDocument/2006/relationships/hyperlink" Target="https://youtu.be/alhmJEq7wE8?t=1955" TargetMode="External"/><Relationship Id="rId49" Type="http://schemas.openxmlformats.org/officeDocument/2006/relationships/hyperlink" Target="https://youtu.be/MBmiO9_A8h0?t=3797" TargetMode="External"/><Relationship Id="rId184" Type="http://schemas.openxmlformats.org/officeDocument/2006/relationships/hyperlink" Target="https://youtu.be/ch5TeX2NvqU?t=1015" TargetMode="External"/><Relationship Id="rId189" Type="http://schemas.openxmlformats.org/officeDocument/2006/relationships/hyperlink" Target="https://youtu.be/alhmJEq7wE8?t=3867" TargetMode="External"/><Relationship Id="rId188" Type="http://schemas.openxmlformats.org/officeDocument/2006/relationships/hyperlink" Target="https://youtu.be/ch5TeX2NvqU?t=2855" TargetMode="External"/><Relationship Id="rId31" Type="http://schemas.openxmlformats.org/officeDocument/2006/relationships/hyperlink" Target="https://youtu.be/3EWk0w_Zjb0?t=5028" TargetMode="External"/><Relationship Id="rId30" Type="http://schemas.openxmlformats.org/officeDocument/2006/relationships/hyperlink" Target="https://youtu.be/irRedWvGm0o?t=3895" TargetMode="External"/><Relationship Id="rId33" Type="http://schemas.openxmlformats.org/officeDocument/2006/relationships/hyperlink" Target="https://youtu.be/3EWk0w_Zjb0?t=5927" TargetMode="External"/><Relationship Id="rId183" Type="http://schemas.openxmlformats.org/officeDocument/2006/relationships/hyperlink" Target="https://youtu.be/alhmJEq7wE8?t=1009" TargetMode="External"/><Relationship Id="rId32" Type="http://schemas.openxmlformats.org/officeDocument/2006/relationships/hyperlink" Target="https://youtu.be/irRedWvGm0o?t=4854" TargetMode="External"/><Relationship Id="rId182" Type="http://schemas.openxmlformats.org/officeDocument/2006/relationships/hyperlink" Target="https://youtu.be/ch5TeX2NvqU" TargetMode="External"/><Relationship Id="rId35" Type="http://schemas.openxmlformats.org/officeDocument/2006/relationships/hyperlink" Target="https://youtu.be/3EWk0w_Zjb0?t=6862" TargetMode="External"/><Relationship Id="rId181" Type="http://schemas.openxmlformats.org/officeDocument/2006/relationships/hyperlink" Target="https://youtu.be/alhmJEq7wE8" TargetMode="External"/><Relationship Id="rId34" Type="http://schemas.openxmlformats.org/officeDocument/2006/relationships/hyperlink" Target="https://youtu.be/irRedWvGm0o?t=5886" TargetMode="External"/><Relationship Id="rId180" Type="http://schemas.openxmlformats.org/officeDocument/2006/relationships/hyperlink" Target="https://youtu.be/89um6vOzZvQ?t=8538" TargetMode="External"/><Relationship Id="rId37" Type="http://schemas.openxmlformats.org/officeDocument/2006/relationships/hyperlink" Target="https://youtu.be/3EWk0w_Zjb0?t=7788" TargetMode="External"/><Relationship Id="rId176" Type="http://schemas.openxmlformats.org/officeDocument/2006/relationships/hyperlink" Target="https://youtu.be/89um6vOzZvQ?t=6729" TargetMode="External"/><Relationship Id="rId36" Type="http://schemas.openxmlformats.org/officeDocument/2006/relationships/hyperlink" Target="https://youtu.be/irRedWvGm0o?t=6790" TargetMode="External"/><Relationship Id="rId175" Type="http://schemas.openxmlformats.org/officeDocument/2006/relationships/hyperlink" Target="https://youtu.be/dAC2ZFB3QCI?t=7973" TargetMode="External"/><Relationship Id="rId39" Type="http://schemas.openxmlformats.org/officeDocument/2006/relationships/hyperlink" Target="https://youtu.be/3EWk0w_Zjb0?t=8688" TargetMode="External"/><Relationship Id="rId174" Type="http://schemas.openxmlformats.org/officeDocument/2006/relationships/hyperlink" Target="https://youtu.be/89um6vOzZvQ?t=5753" TargetMode="External"/><Relationship Id="rId38" Type="http://schemas.openxmlformats.org/officeDocument/2006/relationships/hyperlink" Target="https://youtu.be/irRedWvGm0o?t=7706" TargetMode="External"/><Relationship Id="rId173" Type="http://schemas.openxmlformats.org/officeDocument/2006/relationships/hyperlink" Target="https://youtu.be/dAC2ZFB3QCI?t=7036" TargetMode="External"/><Relationship Id="rId179" Type="http://schemas.openxmlformats.org/officeDocument/2006/relationships/hyperlink" Target="https://youtu.be/dAC2ZFB3QCI?t=9919" TargetMode="External"/><Relationship Id="rId178" Type="http://schemas.openxmlformats.org/officeDocument/2006/relationships/hyperlink" Target="https://youtu.be/89um6vOzZvQ?t=7656" TargetMode="External"/><Relationship Id="rId177" Type="http://schemas.openxmlformats.org/officeDocument/2006/relationships/hyperlink" Target="https://youtu.be/dAC2ZFB3QCI?t=8944" TargetMode="External"/><Relationship Id="rId20" Type="http://schemas.openxmlformats.org/officeDocument/2006/relationships/hyperlink" Target="https://youtu.be/3E1YhQINEgk?t=8559" TargetMode="External"/><Relationship Id="rId22" Type="http://schemas.openxmlformats.org/officeDocument/2006/relationships/hyperlink" Target="https://youtu.be/irRedWvGm0o" TargetMode="External"/><Relationship Id="rId21" Type="http://schemas.openxmlformats.org/officeDocument/2006/relationships/hyperlink" Target="https://youtu.be/3EWk0w_Zjb0" TargetMode="External"/><Relationship Id="rId24" Type="http://schemas.openxmlformats.org/officeDocument/2006/relationships/hyperlink" Target="https://youtu.be/irRedWvGm0o?t=1077" TargetMode="External"/><Relationship Id="rId23" Type="http://schemas.openxmlformats.org/officeDocument/2006/relationships/hyperlink" Target="https://youtu.be/3EWk0w_Zjb0?t=1104" TargetMode="External"/><Relationship Id="rId26" Type="http://schemas.openxmlformats.org/officeDocument/2006/relationships/hyperlink" Target="https://youtu.be/irRedWvGm0o?t=2002" TargetMode="External"/><Relationship Id="rId25" Type="http://schemas.openxmlformats.org/officeDocument/2006/relationships/hyperlink" Target="https://youtu.be/3EWk0w_Zjb0?t=2004" TargetMode="External"/><Relationship Id="rId28" Type="http://schemas.openxmlformats.org/officeDocument/2006/relationships/hyperlink" Target="https://youtu.be/irRedWvGm0o?t=2929" TargetMode="External"/><Relationship Id="rId27" Type="http://schemas.openxmlformats.org/officeDocument/2006/relationships/hyperlink" Target="https://youtu.be/3EWk0w_Zjb0?t=3003" TargetMode="External"/><Relationship Id="rId29" Type="http://schemas.openxmlformats.org/officeDocument/2006/relationships/hyperlink" Target="https://youtu.be/3EWk0w_Zjb0?t=4125" TargetMode="External"/><Relationship Id="rId11" Type="http://schemas.openxmlformats.org/officeDocument/2006/relationships/hyperlink" Target="https://youtu.be/g87JMH48OO4?t=4851" TargetMode="External"/><Relationship Id="rId10" Type="http://schemas.openxmlformats.org/officeDocument/2006/relationships/hyperlink" Target="https://youtu.be/3E1YhQINEgk?t=3839" TargetMode="External"/><Relationship Id="rId13" Type="http://schemas.openxmlformats.org/officeDocument/2006/relationships/hyperlink" Target="https://youtu.be/g87JMH48OO4?t=5733" TargetMode="External"/><Relationship Id="rId12" Type="http://schemas.openxmlformats.org/officeDocument/2006/relationships/hyperlink" Target="https://youtu.be/3E1YhQINEgk?t=4761" TargetMode="External"/><Relationship Id="rId15" Type="http://schemas.openxmlformats.org/officeDocument/2006/relationships/hyperlink" Target="https://youtu.be/g87JMH48OO4?t=6667" TargetMode="External"/><Relationship Id="rId198" Type="http://schemas.openxmlformats.org/officeDocument/2006/relationships/hyperlink" Target="https://youtu.be/ch5TeX2NvqU?t=7541" TargetMode="External"/><Relationship Id="rId14" Type="http://schemas.openxmlformats.org/officeDocument/2006/relationships/hyperlink" Target="https://youtu.be/3E1YhQINEgk?t=5706" TargetMode="External"/><Relationship Id="rId197" Type="http://schemas.openxmlformats.org/officeDocument/2006/relationships/hyperlink" Target="https://youtu.be/alhmJEq7wE8?t=7678" TargetMode="External"/><Relationship Id="rId17" Type="http://schemas.openxmlformats.org/officeDocument/2006/relationships/hyperlink" Target="https://youtu.be/g87JMH48OO4?t=7603" TargetMode="External"/><Relationship Id="rId196" Type="http://schemas.openxmlformats.org/officeDocument/2006/relationships/hyperlink" Target="https://youtu.be/ch5TeX2NvqU?t=6567" TargetMode="External"/><Relationship Id="rId16" Type="http://schemas.openxmlformats.org/officeDocument/2006/relationships/hyperlink" Target="https://youtu.be/3E1YhQINEgk?t=6653" TargetMode="External"/><Relationship Id="rId195" Type="http://schemas.openxmlformats.org/officeDocument/2006/relationships/hyperlink" Target="https://youtu.be/alhmJEq7wE8?t=6718" TargetMode="External"/><Relationship Id="rId19" Type="http://schemas.openxmlformats.org/officeDocument/2006/relationships/hyperlink" Target="https://youtu.be/g87JMH48OO4?t=8515" TargetMode="External"/><Relationship Id="rId18" Type="http://schemas.openxmlformats.org/officeDocument/2006/relationships/hyperlink" Target="https://youtu.be/3E1YhQINEgk?t=7622" TargetMode="External"/><Relationship Id="rId199" Type="http://schemas.openxmlformats.org/officeDocument/2006/relationships/hyperlink" Target="https://youtu.be/alhmJEq7wE8?t=8574" TargetMode="External"/><Relationship Id="rId84" Type="http://schemas.openxmlformats.org/officeDocument/2006/relationships/hyperlink" Target="https://youtu.be/boQ-4Ie6laA?t=966" TargetMode="External"/><Relationship Id="rId83" Type="http://schemas.openxmlformats.org/officeDocument/2006/relationships/hyperlink" Target="https://youtu.be/XA4FPVJNOqA?t=968" TargetMode="External"/><Relationship Id="rId86" Type="http://schemas.openxmlformats.org/officeDocument/2006/relationships/hyperlink" Target="https://youtu.be/boQ-4Ie6laA?t=1968" TargetMode="External"/><Relationship Id="rId85" Type="http://schemas.openxmlformats.org/officeDocument/2006/relationships/hyperlink" Target="https://youtu.be/XA4FPVJNOqA?t=1877" TargetMode="External"/><Relationship Id="rId88" Type="http://schemas.openxmlformats.org/officeDocument/2006/relationships/hyperlink" Target="https://youtu.be/boQ-4Ie6laA?t=2919" TargetMode="External"/><Relationship Id="rId150" Type="http://schemas.openxmlformats.org/officeDocument/2006/relationships/hyperlink" Target="https://youtu.be/QFjVnRwGgmY?t=3814" TargetMode="External"/><Relationship Id="rId87" Type="http://schemas.openxmlformats.org/officeDocument/2006/relationships/hyperlink" Target="https://youtu.be/XA4FPVJNOqA?t=2865" TargetMode="External"/><Relationship Id="rId89" Type="http://schemas.openxmlformats.org/officeDocument/2006/relationships/hyperlink" Target="https://youtu.be/XA4FPVJNOqA?t=3847" TargetMode="External"/><Relationship Id="rId80" Type="http://schemas.openxmlformats.org/officeDocument/2006/relationships/hyperlink" Target="https://youtu.be/a8I6j__LgH4?t=8546" TargetMode="External"/><Relationship Id="rId82" Type="http://schemas.openxmlformats.org/officeDocument/2006/relationships/hyperlink" Target="https://youtu.be/boQ-4Ie6laA" TargetMode="External"/><Relationship Id="rId81" Type="http://schemas.openxmlformats.org/officeDocument/2006/relationships/hyperlink" Target="https://youtu.be/XA4FPVJNOqA" TargetMode="External"/><Relationship Id="rId1" Type="http://schemas.openxmlformats.org/officeDocument/2006/relationships/hyperlink" Target="https://youtu.be/g87JMH48OO4" TargetMode="External"/><Relationship Id="rId2" Type="http://schemas.openxmlformats.org/officeDocument/2006/relationships/hyperlink" Target="https://youtu.be/3E1YhQINEgk" TargetMode="External"/><Relationship Id="rId3" Type="http://schemas.openxmlformats.org/officeDocument/2006/relationships/hyperlink" Target="https://youtu.be/g87JMH48OO4?t=1078" TargetMode="External"/><Relationship Id="rId149" Type="http://schemas.openxmlformats.org/officeDocument/2006/relationships/hyperlink" Target="https://youtu.be/o7EEDbE6HdM?t=3772" TargetMode="External"/><Relationship Id="rId4" Type="http://schemas.openxmlformats.org/officeDocument/2006/relationships/hyperlink" Target="https://youtu.be/3E1YhQINEgk?t=1040" TargetMode="External"/><Relationship Id="rId148" Type="http://schemas.openxmlformats.org/officeDocument/2006/relationships/hyperlink" Target="https://youtu.be/QFjVnRwGgmY?t=2870" TargetMode="External"/><Relationship Id="rId9" Type="http://schemas.openxmlformats.org/officeDocument/2006/relationships/hyperlink" Target="https://youtu.be/g87JMH48OO4?t=3901" TargetMode="External"/><Relationship Id="rId143" Type="http://schemas.openxmlformats.org/officeDocument/2006/relationships/hyperlink" Target="https://youtu.be/o7EEDbE6HdM?t=993" TargetMode="External"/><Relationship Id="rId142" Type="http://schemas.openxmlformats.org/officeDocument/2006/relationships/hyperlink" Target="https://youtu.be/QFjVnRwGgmY" TargetMode="External"/><Relationship Id="rId141" Type="http://schemas.openxmlformats.org/officeDocument/2006/relationships/hyperlink" Target="https://youtu.be/o7EEDbE6HdM?t=59" TargetMode="External"/><Relationship Id="rId140" Type="http://schemas.openxmlformats.org/officeDocument/2006/relationships/hyperlink" Target="https://youtu.be/X7g-lnMznm4?t=8618" TargetMode="External"/><Relationship Id="rId5" Type="http://schemas.openxmlformats.org/officeDocument/2006/relationships/hyperlink" Target="https://youtu.be/g87JMH48OO4?t=2014" TargetMode="External"/><Relationship Id="rId147" Type="http://schemas.openxmlformats.org/officeDocument/2006/relationships/hyperlink" Target="https://youtu.be/o7EEDbE6HdM?t=2850" TargetMode="External"/><Relationship Id="rId6" Type="http://schemas.openxmlformats.org/officeDocument/2006/relationships/hyperlink" Target="https://youtu.be/3E1YhQINEgk?t=1949" TargetMode="External"/><Relationship Id="rId146" Type="http://schemas.openxmlformats.org/officeDocument/2006/relationships/hyperlink" Target="https://youtu.be/QFjVnRwGgmY?t=1928" TargetMode="External"/><Relationship Id="rId7" Type="http://schemas.openxmlformats.org/officeDocument/2006/relationships/hyperlink" Target="https://youtu.be/g87JMH48OO4?t=2953" TargetMode="External"/><Relationship Id="rId145" Type="http://schemas.openxmlformats.org/officeDocument/2006/relationships/hyperlink" Target="https://youtu.be/o7EEDbE6HdM?t=1936" TargetMode="External"/><Relationship Id="rId8" Type="http://schemas.openxmlformats.org/officeDocument/2006/relationships/hyperlink" Target="https://youtu.be/3E1YhQINEgk?t=2880" TargetMode="External"/><Relationship Id="rId144" Type="http://schemas.openxmlformats.org/officeDocument/2006/relationships/hyperlink" Target="https://youtu.be/QFjVnRwGgmY?t=1022" TargetMode="External"/><Relationship Id="rId73" Type="http://schemas.openxmlformats.org/officeDocument/2006/relationships/hyperlink" Target="https://youtu.be/AuWAzb0SKxA?t=5702" TargetMode="External"/><Relationship Id="rId72" Type="http://schemas.openxmlformats.org/officeDocument/2006/relationships/hyperlink" Target="https://youtu.be/a8I6j__LgH4?t=4837" TargetMode="External"/><Relationship Id="rId75" Type="http://schemas.openxmlformats.org/officeDocument/2006/relationships/hyperlink" Target="https://youtu.be/AuWAzb0SKxA?t=6624" TargetMode="External"/><Relationship Id="rId74" Type="http://schemas.openxmlformats.org/officeDocument/2006/relationships/hyperlink" Target="https://youtu.be/a8I6j__LgH4?t=5712" TargetMode="External"/><Relationship Id="rId77" Type="http://schemas.openxmlformats.org/officeDocument/2006/relationships/hyperlink" Target="https://youtu.be/AuWAzb0SKxA?t=7579" TargetMode="External"/><Relationship Id="rId76" Type="http://schemas.openxmlformats.org/officeDocument/2006/relationships/hyperlink" Target="https://youtu.be/a8I6j__LgH4?t=6633" TargetMode="External"/><Relationship Id="rId79" Type="http://schemas.openxmlformats.org/officeDocument/2006/relationships/hyperlink" Target="https://youtu.be/AuWAzb0SKxA?t=8509" TargetMode="External"/><Relationship Id="rId78" Type="http://schemas.openxmlformats.org/officeDocument/2006/relationships/hyperlink" Target="https://youtu.be/a8I6j__LgH4?t=7648" TargetMode="External"/><Relationship Id="rId71" Type="http://schemas.openxmlformats.org/officeDocument/2006/relationships/hyperlink" Target="https://youtu.be/AuWAzb0SKxA?t=4764" TargetMode="External"/><Relationship Id="rId70" Type="http://schemas.openxmlformats.org/officeDocument/2006/relationships/hyperlink" Target="https://youtu.be/a8I6j__LgH4?t=3892" TargetMode="External"/><Relationship Id="rId139" Type="http://schemas.openxmlformats.org/officeDocument/2006/relationships/hyperlink" Target="https://youtu.be/g3-1i-bQ1Jg?t=8542" TargetMode="External"/><Relationship Id="rId138" Type="http://schemas.openxmlformats.org/officeDocument/2006/relationships/hyperlink" Target="https://youtu.be/X7g-lnMznm4?t=7691" TargetMode="External"/><Relationship Id="rId137" Type="http://schemas.openxmlformats.org/officeDocument/2006/relationships/hyperlink" Target="https://youtu.be/g3-1i-bQ1Jg?t=7637" TargetMode="External"/><Relationship Id="rId132" Type="http://schemas.openxmlformats.org/officeDocument/2006/relationships/hyperlink" Target="https://youtu.be/X7g-lnMznm4?t=4835" TargetMode="External"/><Relationship Id="rId131" Type="http://schemas.openxmlformats.org/officeDocument/2006/relationships/hyperlink" Target="https://youtu.be/g3-1i-bQ1Jg?t=4784" TargetMode="External"/><Relationship Id="rId130" Type="http://schemas.openxmlformats.org/officeDocument/2006/relationships/hyperlink" Target="https://youtu.be/X7g-lnMznm4?t=3885" TargetMode="External"/><Relationship Id="rId136" Type="http://schemas.openxmlformats.org/officeDocument/2006/relationships/hyperlink" Target="https://youtu.be/X7g-lnMznm4?t=6716" TargetMode="External"/><Relationship Id="rId135" Type="http://schemas.openxmlformats.org/officeDocument/2006/relationships/hyperlink" Target="https://youtu.be/g3-1i-bQ1Jg?t=6643" TargetMode="External"/><Relationship Id="rId134" Type="http://schemas.openxmlformats.org/officeDocument/2006/relationships/hyperlink" Target="https://youtu.be/X7g-lnMznm4?t=5794" TargetMode="External"/><Relationship Id="rId133" Type="http://schemas.openxmlformats.org/officeDocument/2006/relationships/hyperlink" Target="https://youtu.be/g3-1i-bQ1Jg?t=5716" TargetMode="External"/><Relationship Id="rId62" Type="http://schemas.openxmlformats.org/officeDocument/2006/relationships/hyperlink" Target="https://youtu.be/a8I6j__LgH4" TargetMode="External"/><Relationship Id="rId61" Type="http://schemas.openxmlformats.org/officeDocument/2006/relationships/hyperlink" Target="https://youtu.be/AuWAzb0SKxA" TargetMode="External"/><Relationship Id="rId64" Type="http://schemas.openxmlformats.org/officeDocument/2006/relationships/hyperlink" Target="https://youtu.be/a8I6j__LgH4?t=1040" TargetMode="External"/><Relationship Id="rId63" Type="http://schemas.openxmlformats.org/officeDocument/2006/relationships/hyperlink" Target="https://youtu.be/AuWAzb0SKxA?t=999" TargetMode="External"/><Relationship Id="rId66" Type="http://schemas.openxmlformats.org/officeDocument/2006/relationships/hyperlink" Target="https://youtu.be/a8I6j__LgH4?t=1969" TargetMode="External"/><Relationship Id="rId172" Type="http://schemas.openxmlformats.org/officeDocument/2006/relationships/hyperlink" Target="https://youtu.be/89um6vOzZvQ?t=4782" TargetMode="External"/><Relationship Id="rId65" Type="http://schemas.openxmlformats.org/officeDocument/2006/relationships/hyperlink" Target="https://youtu.be/AuWAzb0SKxA?t=1957" TargetMode="External"/><Relationship Id="rId171" Type="http://schemas.openxmlformats.org/officeDocument/2006/relationships/hyperlink" Target="https://youtu.be/dAC2ZFB3QCI?t=6081" TargetMode="External"/><Relationship Id="rId68" Type="http://schemas.openxmlformats.org/officeDocument/2006/relationships/hyperlink" Target="https://youtu.be/a8I6j__LgH4?t=2929" TargetMode="External"/><Relationship Id="rId170" Type="http://schemas.openxmlformats.org/officeDocument/2006/relationships/hyperlink" Target="https://youtu.be/89um6vOzZvQ?t=3900" TargetMode="External"/><Relationship Id="rId67" Type="http://schemas.openxmlformats.org/officeDocument/2006/relationships/hyperlink" Target="https://youtu.be/AuWAzb0SKxA?t=2894" TargetMode="External"/><Relationship Id="rId60" Type="http://schemas.openxmlformats.org/officeDocument/2006/relationships/hyperlink" Target="https://youtu.be/goakzBwwGyw?t=8571" TargetMode="External"/><Relationship Id="rId165" Type="http://schemas.openxmlformats.org/officeDocument/2006/relationships/hyperlink" Target="https://youtu.be/dAC2ZFB3QCI?t=3169" TargetMode="External"/><Relationship Id="rId69" Type="http://schemas.openxmlformats.org/officeDocument/2006/relationships/hyperlink" Target="https://youtu.be/AuWAzb0SKxA?t=3829" TargetMode="External"/><Relationship Id="rId164" Type="http://schemas.openxmlformats.org/officeDocument/2006/relationships/hyperlink" Target="https://youtu.be/89um6vOzZvQ?t=1070" TargetMode="External"/><Relationship Id="rId163" Type="http://schemas.openxmlformats.org/officeDocument/2006/relationships/hyperlink" Target="https://youtu.be/dAC2ZFB3QCI?t=2183" TargetMode="External"/><Relationship Id="rId162" Type="http://schemas.openxmlformats.org/officeDocument/2006/relationships/hyperlink" Target="https://youtu.be/89um6vOzZvQ" TargetMode="External"/><Relationship Id="rId169" Type="http://schemas.openxmlformats.org/officeDocument/2006/relationships/hyperlink" Target="https://youtu.be/dAC2ZFB3QCI?t=5116" TargetMode="External"/><Relationship Id="rId168" Type="http://schemas.openxmlformats.org/officeDocument/2006/relationships/hyperlink" Target="https://youtu.be/89um6vOzZvQ?t=3003" TargetMode="External"/><Relationship Id="rId167" Type="http://schemas.openxmlformats.org/officeDocument/2006/relationships/hyperlink" Target="https://youtu.be/dAC2ZFB3QCI?t=4139" TargetMode="External"/><Relationship Id="rId166" Type="http://schemas.openxmlformats.org/officeDocument/2006/relationships/hyperlink" Target="https://youtu.be/89um6vOzZvQ?t=2017" TargetMode="External"/><Relationship Id="rId51" Type="http://schemas.openxmlformats.org/officeDocument/2006/relationships/hyperlink" Target="https://youtu.be/MBmiO9_A8h0?t=4743" TargetMode="External"/><Relationship Id="rId50" Type="http://schemas.openxmlformats.org/officeDocument/2006/relationships/hyperlink" Target="https://youtu.be/goakzBwwGyw?t=3909" TargetMode="External"/><Relationship Id="rId53" Type="http://schemas.openxmlformats.org/officeDocument/2006/relationships/hyperlink" Target="https://youtu.be/MBmiO9_A8h0?t=5662" TargetMode="External"/><Relationship Id="rId52" Type="http://schemas.openxmlformats.org/officeDocument/2006/relationships/hyperlink" Target="https://youtu.be/goakzBwwGyw?t=4822" TargetMode="External"/><Relationship Id="rId55" Type="http://schemas.openxmlformats.org/officeDocument/2006/relationships/hyperlink" Target="https://youtu.be/MBmiO9_A8h0?t=6579" TargetMode="External"/><Relationship Id="rId161" Type="http://schemas.openxmlformats.org/officeDocument/2006/relationships/hyperlink" Target="https://youtu.be/dAC2ZFB3QCI" TargetMode="External"/><Relationship Id="rId54" Type="http://schemas.openxmlformats.org/officeDocument/2006/relationships/hyperlink" Target="https://youtu.be/goakzBwwGyw?t=5776" TargetMode="External"/><Relationship Id="rId160" Type="http://schemas.openxmlformats.org/officeDocument/2006/relationships/hyperlink" Target="https://youtu.be/QFjVnRwGgmY?t=8531" TargetMode="External"/><Relationship Id="rId57" Type="http://schemas.openxmlformats.org/officeDocument/2006/relationships/hyperlink" Target="https://youtu.be/MBmiO9_A8h0?t=7500" TargetMode="External"/><Relationship Id="rId56" Type="http://schemas.openxmlformats.org/officeDocument/2006/relationships/hyperlink" Target="https://youtu.be/goakzBwwGyw?t=6680" TargetMode="External"/><Relationship Id="rId159" Type="http://schemas.openxmlformats.org/officeDocument/2006/relationships/hyperlink" Target="https://youtu.be/o7EEDbE6HdM?t=8475" TargetMode="External"/><Relationship Id="rId59" Type="http://schemas.openxmlformats.org/officeDocument/2006/relationships/hyperlink" Target="https://youtu.be/MBmiO9_A8h0?t=8441" TargetMode="External"/><Relationship Id="rId154" Type="http://schemas.openxmlformats.org/officeDocument/2006/relationships/hyperlink" Target="https://youtu.be/QFjVnRwGgmY?t=5719" TargetMode="External"/><Relationship Id="rId58" Type="http://schemas.openxmlformats.org/officeDocument/2006/relationships/hyperlink" Target="https://youtu.be/goakzBwwGyw?t=7595" TargetMode="External"/><Relationship Id="rId153" Type="http://schemas.openxmlformats.org/officeDocument/2006/relationships/hyperlink" Target="https://youtu.be/o7EEDbE6HdM?t=5625" TargetMode="External"/><Relationship Id="rId152" Type="http://schemas.openxmlformats.org/officeDocument/2006/relationships/hyperlink" Target="https://youtu.be/QFjVnRwGgmY?t=4762" TargetMode="External"/><Relationship Id="rId151" Type="http://schemas.openxmlformats.org/officeDocument/2006/relationships/hyperlink" Target="https://youtu.be/o7EEDbE6HdM?t=4693" TargetMode="External"/><Relationship Id="rId158" Type="http://schemas.openxmlformats.org/officeDocument/2006/relationships/hyperlink" Target="https://youtu.be/QFjVnRwGgmY?t=7612" TargetMode="External"/><Relationship Id="rId157" Type="http://schemas.openxmlformats.org/officeDocument/2006/relationships/hyperlink" Target="https://youtu.be/o7EEDbE6HdM?t=7542" TargetMode="External"/><Relationship Id="rId156" Type="http://schemas.openxmlformats.org/officeDocument/2006/relationships/hyperlink" Target="https://youtu.be/QFjVnRwGgmY?t=6655" TargetMode="External"/><Relationship Id="rId155" Type="http://schemas.openxmlformats.org/officeDocument/2006/relationships/hyperlink" Target="https://youtu.be/o7EEDbE6HdM?t=6570" TargetMode="External"/><Relationship Id="rId107" Type="http://schemas.openxmlformats.org/officeDocument/2006/relationships/hyperlink" Target="https://youtu.be/kQHKaZmbtQI?t=2918" TargetMode="External"/><Relationship Id="rId228" Type="http://schemas.openxmlformats.org/officeDocument/2006/relationships/hyperlink" Target="https://youtu.be/BbMtErrjtUE?t=2923" TargetMode="External"/><Relationship Id="rId106" Type="http://schemas.openxmlformats.org/officeDocument/2006/relationships/hyperlink" Target="https://youtu.be/15HAC-XcCPk?t=1982" TargetMode="External"/><Relationship Id="rId227" Type="http://schemas.openxmlformats.org/officeDocument/2006/relationships/hyperlink" Target="https://youtu.be/fy0YHTfAQaE?t=2937" TargetMode="External"/><Relationship Id="rId105" Type="http://schemas.openxmlformats.org/officeDocument/2006/relationships/hyperlink" Target="https://youtu.be/kQHKaZmbtQI?t=1961" TargetMode="External"/><Relationship Id="rId226" Type="http://schemas.openxmlformats.org/officeDocument/2006/relationships/hyperlink" Target="https://youtu.be/BbMtErrjtUE?t=1996" TargetMode="External"/><Relationship Id="rId104" Type="http://schemas.openxmlformats.org/officeDocument/2006/relationships/hyperlink" Target="https://youtu.be/15HAC-XcCPk?t=996" TargetMode="External"/><Relationship Id="rId225" Type="http://schemas.openxmlformats.org/officeDocument/2006/relationships/hyperlink" Target="https://youtu.be/fy0YHTfAQaE?t=2014" TargetMode="External"/><Relationship Id="rId109" Type="http://schemas.openxmlformats.org/officeDocument/2006/relationships/hyperlink" Target="https://youtu.be/kQHKaZmbtQI?t=3885" TargetMode="External"/><Relationship Id="rId108" Type="http://schemas.openxmlformats.org/officeDocument/2006/relationships/hyperlink" Target="https://youtu.be/15HAC-XcCPk?t=2942" TargetMode="External"/><Relationship Id="rId229" Type="http://schemas.openxmlformats.org/officeDocument/2006/relationships/hyperlink" Target="https://youtu.be/fy0YHTfAQaE?t=3854" TargetMode="External"/><Relationship Id="rId220" Type="http://schemas.openxmlformats.org/officeDocument/2006/relationships/hyperlink" Target="https://youtu.be/nhe55WGu2lE?t=8564" TargetMode="External"/><Relationship Id="rId103" Type="http://schemas.openxmlformats.org/officeDocument/2006/relationships/hyperlink" Target="https://youtu.be/kQHKaZmbtQI?t=1055" TargetMode="External"/><Relationship Id="rId224" Type="http://schemas.openxmlformats.org/officeDocument/2006/relationships/hyperlink" Target="https://youtu.be/BbMtErrjtUE?t=1042" TargetMode="External"/><Relationship Id="rId102" Type="http://schemas.openxmlformats.org/officeDocument/2006/relationships/hyperlink" Target="https://youtu.be/15HAC-XcCPk" TargetMode="External"/><Relationship Id="rId223" Type="http://schemas.openxmlformats.org/officeDocument/2006/relationships/hyperlink" Target="https://youtu.be/fy0YHTfAQaE?t=1021" TargetMode="External"/><Relationship Id="rId101" Type="http://schemas.openxmlformats.org/officeDocument/2006/relationships/hyperlink" Target="https://youtu.be/kQHKaZmbtQI" TargetMode="External"/><Relationship Id="rId222" Type="http://schemas.openxmlformats.org/officeDocument/2006/relationships/hyperlink" Target="https://youtu.be/BbMtErrjtUE" TargetMode="External"/><Relationship Id="rId100" Type="http://schemas.openxmlformats.org/officeDocument/2006/relationships/hyperlink" Target="https://youtu.be/boQ-4Ie6laA?t=8878" TargetMode="External"/><Relationship Id="rId221" Type="http://schemas.openxmlformats.org/officeDocument/2006/relationships/hyperlink" Target="https://youtu.be/fy0YHTfAQaE" TargetMode="External"/><Relationship Id="rId217" Type="http://schemas.openxmlformats.org/officeDocument/2006/relationships/hyperlink" Target="https://youtu.be/4FqPp0GtGtA?t=7675" TargetMode="External"/><Relationship Id="rId216" Type="http://schemas.openxmlformats.org/officeDocument/2006/relationships/hyperlink" Target="https://youtu.be/nhe55WGu2lE?t=6724" TargetMode="External"/><Relationship Id="rId215" Type="http://schemas.openxmlformats.org/officeDocument/2006/relationships/hyperlink" Target="https://youtu.be/4FqPp0GtGtA?t=6776" TargetMode="External"/><Relationship Id="rId214" Type="http://schemas.openxmlformats.org/officeDocument/2006/relationships/hyperlink" Target="https://youtu.be/nhe55WGu2lE?t=5728" TargetMode="External"/><Relationship Id="rId219" Type="http://schemas.openxmlformats.org/officeDocument/2006/relationships/hyperlink" Target="https://youtu.be/4FqPp0GtGtA?t=8595" TargetMode="External"/><Relationship Id="rId218" Type="http://schemas.openxmlformats.org/officeDocument/2006/relationships/hyperlink" Target="https://youtu.be/nhe55WGu2lE?t=7666" TargetMode="External"/><Relationship Id="rId213" Type="http://schemas.openxmlformats.org/officeDocument/2006/relationships/hyperlink" Target="https://youtu.be/4FqPp0GtGtA?t=5749" TargetMode="External"/><Relationship Id="rId212" Type="http://schemas.openxmlformats.org/officeDocument/2006/relationships/hyperlink" Target="https://youtu.be/nhe55WGu2lE?t=4747" TargetMode="External"/><Relationship Id="rId211" Type="http://schemas.openxmlformats.org/officeDocument/2006/relationships/hyperlink" Target="https://youtu.be/4FqPp0GtGtA?t=4809" TargetMode="External"/><Relationship Id="rId210" Type="http://schemas.openxmlformats.org/officeDocument/2006/relationships/hyperlink" Target="https://youtu.be/nhe55WGu2lE?t=3816" TargetMode="External"/><Relationship Id="rId129" Type="http://schemas.openxmlformats.org/officeDocument/2006/relationships/hyperlink" Target="https://youtu.be/g3-1i-bQ1Jg?t=3827" TargetMode="External"/><Relationship Id="rId128" Type="http://schemas.openxmlformats.org/officeDocument/2006/relationships/hyperlink" Target="https://youtu.be/X7g-lnMznm4?t=2937" TargetMode="External"/><Relationship Id="rId127" Type="http://schemas.openxmlformats.org/officeDocument/2006/relationships/hyperlink" Target="https://youtu.be/g3-1i-bQ1Jg?t=2897" TargetMode="External"/><Relationship Id="rId126" Type="http://schemas.openxmlformats.org/officeDocument/2006/relationships/hyperlink" Target="https://youtu.be/X7g-lnMznm4?t=2015" TargetMode="External"/><Relationship Id="rId121" Type="http://schemas.openxmlformats.org/officeDocument/2006/relationships/hyperlink" Target="https://youtu.be/g3-1i-bQ1Jg" TargetMode="External"/><Relationship Id="rId120" Type="http://schemas.openxmlformats.org/officeDocument/2006/relationships/hyperlink" Target="https://youtu.be/15HAC-XcCPk?t=8757" TargetMode="External"/><Relationship Id="rId241" Type="http://schemas.openxmlformats.org/officeDocument/2006/relationships/drawing" Target="../drawings/drawing46.xml"/><Relationship Id="rId240" Type="http://schemas.openxmlformats.org/officeDocument/2006/relationships/hyperlink" Target="https://youtu.be/BbMtErrjtUE?t=8460" TargetMode="External"/><Relationship Id="rId125" Type="http://schemas.openxmlformats.org/officeDocument/2006/relationships/hyperlink" Target="https://youtu.be/g3-1i-bQ1Jg?t=1983" TargetMode="External"/><Relationship Id="rId124" Type="http://schemas.openxmlformats.org/officeDocument/2006/relationships/hyperlink" Target="https://youtu.be/X7g-lnMznm4?t=1122" TargetMode="External"/><Relationship Id="rId123" Type="http://schemas.openxmlformats.org/officeDocument/2006/relationships/hyperlink" Target="https://youtu.be/g3-1i-bQ1Jg?t=1033" TargetMode="External"/><Relationship Id="rId122" Type="http://schemas.openxmlformats.org/officeDocument/2006/relationships/hyperlink" Target="https://youtu.be/X7g-lnMznm4" TargetMode="External"/><Relationship Id="rId95" Type="http://schemas.openxmlformats.org/officeDocument/2006/relationships/hyperlink" Target="https://youtu.be/XA4FPVJNOqA?t=6692" TargetMode="External"/><Relationship Id="rId94" Type="http://schemas.openxmlformats.org/officeDocument/2006/relationships/hyperlink" Target="https://youtu.be/boQ-4Ie6laA?t=4852" TargetMode="External"/><Relationship Id="rId97" Type="http://schemas.openxmlformats.org/officeDocument/2006/relationships/hyperlink" Target="https://youtu.be/XA4FPVJNOqA?t=7642" TargetMode="External"/><Relationship Id="rId96" Type="http://schemas.openxmlformats.org/officeDocument/2006/relationships/hyperlink" Target="https://youtu.be/boQ-4Ie6laA?t=6801" TargetMode="External"/><Relationship Id="rId99" Type="http://schemas.openxmlformats.org/officeDocument/2006/relationships/hyperlink" Target="https://youtu.be/XA4FPVJNOqA?t=8559" TargetMode="External"/><Relationship Id="rId98" Type="http://schemas.openxmlformats.org/officeDocument/2006/relationships/hyperlink" Target="https://youtu.be/boQ-4Ie6laA?t=7819" TargetMode="External"/><Relationship Id="rId91" Type="http://schemas.openxmlformats.org/officeDocument/2006/relationships/hyperlink" Target="https://youtu.be/XA4FPVJNOqA?t=4760" TargetMode="External"/><Relationship Id="rId90" Type="http://schemas.openxmlformats.org/officeDocument/2006/relationships/hyperlink" Target="https://youtu.be/boQ-4Ie6laA?t=3922" TargetMode="External"/><Relationship Id="rId93" Type="http://schemas.openxmlformats.org/officeDocument/2006/relationships/hyperlink" Target="https://youtu.be/XA4FPVJNOqA?t=5727" TargetMode="External"/><Relationship Id="rId92" Type="http://schemas.openxmlformats.org/officeDocument/2006/relationships/hyperlink" Target="https://youtu.be/boQ-4Ie6laA?t=4852" TargetMode="External"/><Relationship Id="rId118" Type="http://schemas.openxmlformats.org/officeDocument/2006/relationships/hyperlink" Target="https://youtu.be/15HAC-XcCPk?t=7902" TargetMode="External"/><Relationship Id="rId239" Type="http://schemas.openxmlformats.org/officeDocument/2006/relationships/hyperlink" Target="https://youtu.be/fy0YHTfAQaE?t=8514" TargetMode="External"/><Relationship Id="rId117" Type="http://schemas.openxmlformats.org/officeDocument/2006/relationships/hyperlink" Target="https://youtu.be/kQHKaZmbtQI?t=7815" TargetMode="External"/><Relationship Id="rId238" Type="http://schemas.openxmlformats.org/officeDocument/2006/relationships/hyperlink" Target="https://youtu.be/BbMtErrjtUE?t=7529" TargetMode="External"/><Relationship Id="rId116" Type="http://schemas.openxmlformats.org/officeDocument/2006/relationships/hyperlink" Target="https://youtu.be/15HAC-XcCPk?t=6870" TargetMode="External"/><Relationship Id="rId237" Type="http://schemas.openxmlformats.org/officeDocument/2006/relationships/hyperlink" Target="https://youtu.be/fy0YHTfAQaE?t=7599" TargetMode="External"/><Relationship Id="rId115" Type="http://schemas.openxmlformats.org/officeDocument/2006/relationships/hyperlink" Target="https://youtu.be/kQHKaZmbtQI?t=6929" TargetMode="External"/><Relationship Id="rId236" Type="http://schemas.openxmlformats.org/officeDocument/2006/relationships/hyperlink" Target="https://youtu.be/BbMtErrjtUE?t=6633" TargetMode="External"/><Relationship Id="rId119" Type="http://schemas.openxmlformats.org/officeDocument/2006/relationships/hyperlink" Target="https://youtu.be/kQHKaZmbtQI?t=8742" TargetMode="External"/><Relationship Id="rId110" Type="http://schemas.openxmlformats.org/officeDocument/2006/relationships/hyperlink" Target="https://youtu.be/15HAC-XcCPk?t=3978" TargetMode="External"/><Relationship Id="rId231" Type="http://schemas.openxmlformats.org/officeDocument/2006/relationships/hyperlink" Target="https://youtu.be/fy0YHTfAQaE?t=4806" TargetMode="External"/><Relationship Id="rId230" Type="http://schemas.openxmlformats.org/officeDocument/2006/relationships/hyperlink" Target="https://youtu.be/BbMtErrjtUE?t=3786" TargetMode="External"/><Relationship Id="rId114" Type="http://schemas.openxmlformats.org/officeDocument/2006/relationships/hyperlink" Target="https://youtu.be/15HAC-XcCPk?t=5849" TargetMode="External"/><Relationship Id="rId235" Type="http://schemas.openxmlformats.org/officeDocument/2006/relationships/hyperlink" Target="https://youtu.be/fy0YHTfAQaE?t=6624" TargetMode="External"/><Relationship Id="rId113" Type="http://schemas.openxmlformats.org/officeDocument/2006/relationships/hyperlink" Target="https://youtu.be/kQHKaZmbtQI?t=5893" TargetMode="External"/><Relationship Id="rId234" Type="http://schemas.openxmlformats.org/officeDocument/2006/relationships/hyperlink" Target="https://youtu.be/BbMtErrjtUE?t=5734" TargetMode="External"/><Relationship Id="rId112" Type="http://schemas.openxmlformats.org/officeDocument/2006/relationships/hyperlink" Target="https://youtu.be/15HAC-XcCPk?t=4965" TargetMode="External"/><Relationship Id="rId233" Type="http://schemas.openxmlformats.org/officeDocument/2006/relationships/hyperlink" Target="https://youtu.be/fy0YHTfAQaE?t=5726" TargetMode="External"/><Relationship Id="rId111" Type="http://schemas.openxmlformats.org/officeDocument/2006/relationships/hyperlink" Target="https://youtu.be/kQHKaZmbtQI?t=4878" TargetMode="External"/><Relationship Id="rId232" Type="http://schemas.openxmlformats.org/officeDocument/2006/relationships/hyperlink" Target="https://youtu.be/BbMtErrjtUE?t=4741" TargetMode="External"/><Relationship Id="rId206" Type="http://schemas.openxmlformats.org/officeDocument/2006/relationships/hyperlink" Target="https://youtu.be/nhe55WGu2lE?t=1988" TargetMode="External"/><Relationship Id="rId205" Type="http://schemas.openxmlformats.org/officeDocument/2006/relationships/hyperlink" Target="https://youtu.be/4FqPp0GtGtA?t=1979" TargetMode="External"/><Relationship Id="rId204" Type="http://schemas.openxmlformats.org/officeDocument/2006/relationships/hyperlink" Target="https://youtu.be/nhe55WGu2lE?t=1041" TargetMode="External"/><Relationship Id="rId203" Type="http://schemas.openxmlformats.org/officeDocument/2006/relationships/hyperlink" Target="https://youtu.be/4FqPp0GtGtA?t=1032" TargetMode="External"/><Relationship Id="rId209" Type="http://schemas.openxmlformats.org/officeDocument/2006/relationships/hyperlink" Target="https://youtu.be/4FqPp0GtGtA?t=3867" TargetMode="External"/><Relationship Id="rId208" Type="http://schemas.openxmlformats.org/officeDocument/2006/relationships/hyperlink" Target="https://youtu.be/nhe55WGu2lE?t=2886" TargetMode="External"/><Relationship Id="rId207" Type="http://schemas.openxmlformats.org/officeDocument/2006/relationships/hyperlink" Target="https://youtu.be/4FqPp0GtGtA?t=2926" TargetMode="External"/><Relationship Id="rId202" Type="http://schemas.openxmlformats.org/officeDocument/2006/relationships/hyperlink" Target="https://youtu.be/nhe55WGu2lE" TargetMode="External"/><Relationship Id="rId201" Type="http://schemas.openxmlformats.org/officeDocument/2006/relationships/hyperlink" Target="https://youtu.be/4FqPp0GtGtA" TargetMode="External"/><Relationship Id="rId200" Type="http://schemas.openxmlformats.org/officeDocument/2006/relationships/hyperlink" Target="https://youtu.be/ch5TeX2NvqU?t=8477" TargetMode="External"/></Relationships>
</file>

<file path=xl/worksheets/_rels/sheet4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QNm4TbZUuVk?t=8380" TargetMode="External"/><Relationship Id="rId190" Type="http://schemas.openxmlformats.org/officeDocument/2006/relationships/hyperlink" Target="https://youtu.be/enZ3L_fOkX0?t=8349" TargetMode="External"/><Relationship Id="rId42" Type="http://schemas.openxmlformats.org/officeDocument/2006/relationships/hyperlink" Target="https://youtu.be/R4EDmitJyGQ" TargetMode="External"/><Relationship Id="rId41" Type="http://schemas.openxmlformats.org/officeDocument/2006/relationships/hyperlink" Target="https://youtu.be/om7GBizX4CM" TargetMode="External"/><Relationship Id="rId44" Type="http://schemas.openxmlformats.org/officeDocument/2006/relationships/hyperlink" Target="https://youtu.be/R4EDmitJyGQ?t=1033" TargetMode="External"/><Relationship Id="rId194" Type="http://schemas.openxmlformats.org/officeDocument/2006/relationships/hyperlink" Target="https://youtu.be/WYFf5z5SfO4?t=1051" TargetMode="External"/><Relationship Id="rId43" Type="http://schemas.openxmlformats.org/officeDocument/2006/relationships/hyperlink" Target="https://youtu.be/om7GBizX4CM?t=976" TargetMode="External"/><Relationship Id="rId193" Type="http://schemas.openxmlformats.org/officeDocument/2006/relationships/hyperlink" Target="https://youtu.be/kJOkubn_FnQ" TargetMode="External"/><Relationship Id="rId46" Type="http://schemas.openxmlformats.org/officeDocument/2006/relationships/hyperlink" Target="https://youtu.be/R4EDmitJyGQ?t=2002" TargetMode="External"/><Relationship Id="rId192" Type="http://schemas.openxmlformats.org/officeDocument/2006/relationships/hyperlink" Target="https://youtu.be/WYFf5z5SfO4" TargetMode="External"/><Relationship Id="rId45" Type="http://schemas.openxmlformats.org/officeDocument/2006/relationships/hyperlink" Target="https://youtu.be/om7GBizX4CM?t=1902" TargetMode="External"/><Relationship Id="rId191" Type="http://schemas.openxmlformats.org/officeDocument/2006/relationships/hyperlink" Target="https://youtu.be/mUm96sZJb74?t=8827" TargetMode="External"/><Relationship Id="rId48" Type="http://schemas.openxmlformats.org/officeDocument/2006/relationships/hyperlink" Target="https://youtu.be/R4EDmitJyGQ?t=2944" TargetMode="External"/><Relationship Id="rId187" Type="http://schemas.openxmlformats.org/officeDocument/2006/relationships/hyperlink" Target="https://youtu.be/mUm96sZJb74?t=6869" TargetMode="External"/><Relationship Id="rId47" Type="http://schemas.openxmlformats.org/officeDocument/2006/relationships/hyperlink" Target="https://youtu.be/om7GBizX4CM?t=2808" TargetMode="External"/><Relationship Id="rId186" Type="http://schemas.openxmlformats.org/officeDocument/2006/relationships/hyperlink" Target="https://youtu.be/enZ3L_fOkX0?t=6348" TargetMode="External"/><Relationship Id="rId185" Type="http://schemas.openxmlformats.org/officeDocument/2006/relationships/hyperlink" Target="https://youtu.be/mUm96sZJb74?t=5847" TargetMode="External"/><Relationship Id="rId49" Type="http://schemas.openxmlformats.org/officeDocument/2006/relationships/hyperlink" Target="https://youtu.be/om7GBizX4CM?t=3746" TargetMode="External"/><Relationship Id="rId184" Type="http://schemas.openxmlformats.org/officeDocument/2006/relationships/hyperlink" Target="https://youtu.be/enZ3L_fOkX0?t=5397" TargetMode="External"/><Relationship Id="rId189" Type="http://schemas.openxmlformats.org/officeDocument/2006/relationships/hyperlink" Target="https://youtu.be/mUm96sZJb74?t=7897" TargetMode="External"/><Relationship Id="rId188" Type="http://schemas.openxmlformats.org/officeDocument/2006/relationships/hyperlink" Target="https://youtu.be/enZ3L_fOkX0?t=7320" TargetMode="External"/><Relationship Id="rId31" Type="http://schemas.openxmlformats.org/officeDocument/2006/relationships/hyperlink" Target="https://youtu.be/BLtufGXaM7s?t=4704" TargetMode="External"/><Relationship Id="rId30" Type="http://schemas.openxmlformats.org/officeDocument/2006/relationships/hyperlink" Target="https://youtu.be/QNm4TbZUuVk?t=3863" TargetMode="External"/><Relationship Id="rId33" Type="http://schemas.openxmlformats.org/officeDocument/2006/relationships/hyperlink" Target="https://youtu.be/BLtufGXaM7s?t=5609" TargetMode="External"/><Relationship Id="rId183" Type="http://schemas.openxmlformats.org/officeDocument/2006/relationships/hyperlink" Target="https://youtu.be/mUm96sZJb74?t=4866" TargetMode="External"/><Relationship Id="rId32" Type="http://schemas.openxmlformats.org/officeDocument/2006/relationships/hyperlink" Target="https://youtu.be/QNm4TbZUuVk?t=4833" TargetMode="External"/><Relationship Id="rId182" Type="http://schemas.openxmlformats.org/officeDocument/2006/relationships/hyperlink" Target="https://youtu.be/enZ3L_fOkX0?t=4538" TargetMode="External"/><Relationship Id="rId35" Type="http://schemas.openxmlformats.org/officeDocument/2006/relationships/hyperlink" Target="https://youtu.be/BLtufGXaM7s?t=6526" TargetMode="External"/><Relationship Id="rId181" Type="http://schemas.openxmlformats.org/officeDocument/2006/relationships/hyperlink" Target="https://youtu.be/mUm96sZJb74?t=3868" TargetMode="External"/><Relationship Id="rId34" Type="http://schemas.openxmlformats.org/officeDocument/2006/relationships/hyperlink" Target="https://youtu.be/QNm4TbZUuVk?t=5711" TargetMode="External"/><Relationship Id="rId180" Type="http://schemas.openxmlformats.org/officeDocument/2006/relationships/hyperlink" Target="https://youtu.be/enZ3L_fOkX0?t=3625" TargetMode="External"/><Relationship Id="rId37" Type="http://schemas.openxmlformats.org/officeDocument/2006/relationships/hyperlink" Target="https://youtu.be/BLtufGXaM7s?t=7466" TargetMode="External"/><Relationship Id="rId176" Type="http://schemas.openxmlformats.org/officeDocument/2006/relationships/hyperlink" Target="https://youtu.be/enZ3L_fOkX0?t=1849" TargetMode="External"/><Relationship Id="rId36" Type="http://schemas.openxmlformats.org/officeDocument/2006/relationships/hyperlink" Target="https://youtu.be/QNm4TbZUuVk?t=6599" TargetMode="External"/><Relationship Id="rId175" Type="http://schemas.openxmlformats.org/officeDocument/2006/relationships/hyperlink" Target="https://youtu.be/mUm96sZJb74?t=945" TargetMode="External"/><Relationship Id="rId39" Type="http://schemas.openxmlformats.org/officeDocument/2006/relationships/hyperlink" Target="https://youtu.be/BLtufGXaM7s?t=8339" TargetMode="External"/><Relationship Id="rId174" Type="http://schemas.openxmlformats.org/officeDocument/2006/relationships/hyperlink" Target="https://youtu.be/enZ3L_fOkX0?t=902" TargetMode="External"/><Relationship Id="rId38" Type="http://schemas.openxmlformats.org/officeDocument/2006/relationships/hyperlink" Target="https://youtu.be/QNm4TbZUuVk?t=7481" TargetMode="External"/><Relationship Id="rId173" Type="http://schemas.openxmlformats.org/officeDocument/2006/relationships/hyperlink" Target="https://youtu.be/mUm96sZJb74" TargetMode="External"/><Relationship Id="rId179" Type="http://schemas.openxmlformats.org/officeDocument/2006/relationships/hyperlink" Target="https://youtu.be/mUm96sZJb74?t=2872" TargetMode="External"/><Relationship Id="rId178" Type="http://schemas.openxmlformats.org/officeDocument/2006/relationships/hyperlink" Target="https://youtu.be/enZ3L_fOkX0?t=2791" TargetMode="External"/><Relationship Id="rId177" Type="http://schemas.openxmlformats.org/officeDocument/2006/relationships/hyperlink" Target="https://youtu.be/mUm96sZJb74?t=1916" TargetMode="External"/><Relationship Id="rId20" Type="http://schemas.openxmlformats.org/officeDocument/2006/relationships/hyperlink" Target="https://youtu.be/fIC-hnsItbk?t=8674" TargetMode="External"/><Relationship Id="rId22" Type="http://schemas.openxmlformats.org/officeDocument/2006/relationships/hyperlink" Target="https://youtu.be/QNm4TbZUuVk" TargetMode="External"/><Relationship Id="rId21" Type="http://schemas.openxmlformats.org/officeDocument/2006/relationships/hyperlink" Target="https://youtu.be/BLtufGXaM7s" TargetMode="External"/><Relationship Id="rId24" Type="http://schemas.openxmlformats.org/officeDocument/2006/relationships/hyperlink" Target="https://youtu.be/QNm4TbZUuVk?t=1087" TargetMode="External"/><Relationship Id="rId23" Type="http://schemas.openxmlformats.org/officeDocument/2006/relationships/hyperlink" Target="https://youtu.be/BLtufGXaM7s?t=932" TargetMode="External"/><Relationship Id="rId26" Type="http://schemas.openxmlformats.org/officeDocument/2006/relationships/hyperlink" Target="https://youtu.be/QNm4TbZUuVk?t=2036" TargetMode="External"/><Relationship Id="rId25" Type="http://schemas.openxmlformats.org/officeDocument/2006/relationships/hyperlink" Target="https://youtu.be/BLtufGXaM7s?t=1826" TargetMode="External"/><Relationship Id="rId28" Type="http://schemas.openxmlformats.org/officeDocument/2006/relationships/hyperlink" Target="https://youtu.be/QNm4TbZUuVk?t=2934" TargetMode="External"/><Relationship Id="rId27" Type="http://schemas.openxmlformats.org/officeDocument/2006/relationships/hyperlink" Target="https://youtu.be/BLtufGXaM7s?t=2901" TargetMode="External"/><Relationship Id="rId29" Type="http://schemas.openxmlformats.org/officeDocument/2006/relationships/hyperlink" Target="https://youtu.be/BLtufGXaM7s?t=3803" TargetMode="External"/><Relationship Id="rId11" Type="http://schemas.openxmlformats.org/officeDocument/2006/relationships/hyperlink" Target="https://youtu.be/rBn14egJ5FI?t=4734" TargetMode="External"/><Relationship Id="rId10" Type="http://schemas.openxmlformats.org/officeDocument/2006/relationships/hyperlink" Target="https://youtu.be/fIC-hnsItbk?t=3932" TargetMode="External"/><Relationship Id="rId13" Type="http://schemas.openxmlformats.org/officeDocument/2006/relationships/hyperlink" Target="https://youtu.be/rBn14egJ5FI?t=5685" TargetMode="External"/><Relationship Id="rId12" Type="http://schemas.openxmlformats.org/officeDocument/2006/relationships/hyperlink" Target="https://youtu.be/fIC-hnsItbk?t=4882" TargetMode="External"/><Relationship Id="rId15" Type="http://schemas.openxmlformats.org/officeDocument/2006/relationships/hyperlink" Target="https://youtu.be/rBn14egJ5FI?t=6622" TargetMode="External"/><Relationship Id="rId198" Type="http://schemas.openxmlformats.org/officeDocument/2006/relationships/hyperlink" Target="https://youtu.be/WYFf5z5SfO4?t=2979" TargetMode="External"/><Relationship Id="rId14" Type="http://schemas.openxmlformats.org/officeDocument/2006/relationships/hyperlink" Target="https://youtu.be/fIC-hnsItbk?t=5843" TargetMode="External"/><Relationship Id="rId197" Type="http://schemas.openxmlformats.org/officeDocument/2006/relationships/hyperlink" Target="https://youtu.be/kJOkubn_FnQ?t=1853" TargetMode="External"/><Relationship Id="rId17" Type="http://schemas.openxmlformats.org/officeDocument/2006/relationships/hyperlink" Target="https://youtu.be/rBn14egJ5FI?t=7568" TargetMode="External"/><Relationship Id="rId196" Type="http://schemas.openxmlformats.org/officeDocument/2006/relationships/hyperlink" Target="https://youtu.be/WYFf5z5SfO4?t=2025" TargetMode="External"/><Relationship Id="rId16" Type="http://schemas.openxmlformats.org/officeDocument/2006/relationships/hyperlink" Target="https://youtu.be/fIC-hnsItbk?t=6766" TargetMode="External"/><Relationship Id="rId195" Type="http://schemas.openxmlformats.org/officeDocument/2006/relationships/hyperlink" Target="https://youtu.be/kJOkubn_FnQ?t=931" TargetMode="External"/><Relationship Id="rId19" Type="http://schemas.openxmlformats.org/officeDocument/2006/relationships/hyperlink" Target="https://youtu.be/rBn14egJ5FI?t=8527" TargetMode="External"/><Relationship Id="rId18" Type="http://schemas.openxmlformats.org/officeDocument/2006/relationships/hyperlink" Target="https://youtu.be/fIC-hnsItbk?t=7698" TargetMode="External"/><Relationship Id="rId199" Type="http://schemas.openxmlformats.org/officeDocument/2006/relationships/hyperlink" Target="https://youtu.be/kJOkubn_FnQ?t=2785" TargetMode="External"/><Relationship Id="rId84" Type="http://schemas.openxmlformats.org/officeDocument/2006/relationships/hyperlink" Target="https://youtu.be/SGzAMSx-PaM?t=1056" TargetMode="External"/><Relationship Id="rId83" Type="http://schemas.openxmlformats.org/officeDocument/2006/relationships/hyperlink" Target="https://youtu.be/4WXdpuLQGEs?t=804" TargetMode="External"/><Relationship Id="rId86" Type="http://schemas.openxmlformats.org/officeDocument/2006/relationships/hyperlink" Target="https://youtu.be/SGzAMSx-PaM?t=1882" TargetMode="External"/><Relationship Id="rId85" Type="http://schemas.openxmlformats.org/officeDocument/2006/relationships/hyperlink" Target="https://youtu.be/4WXdpuLQGEs?t=1734" TargetMode="External"/><Relationship Id="rId88" Type="http://schemas.openxmlformats.org/officeDocument/2006/relationships/hyperlink" Target="https://youtu.be/SGzAMSx-PaM?t=2829" TargetMode="External"/><Relationship Id="rId150" Type="http://schemas.openxmlformats.org/officeDocument/2006/relationships/hyperlink" Target="https://youtu.be/B00ySD0tVa4?t=8515" TargetMode="External"/><Relationship Id="rId87" Type="http://schemas.openxmlformats.org/officeDocument/2006/relationships/hyperlink" Target="https://youtu.be/4WXdpuLQGEs?t=2778" TargetMode="External"/><Relationship Id="rId89" Type="http://schemas.openxmlformats.org/officeDocument/2006/relationships/hyperlink" Target="https://youtu.be/4WXdpuLQGEs?t=3757" TargetMode="External"/><Relationship Id="rId80" Type="http://schemas.openxmlformats.org/officeDocument/2006/relationships/hyperlink" Target="https://youtu.be/bSYTOUz8-eE?t=8282" TargetMode="External"/><Relationship Id="rId82" Type="http://schemas.openxmlformats.org/officeDocument/2006/relationships/hyperlink" Target="https://youtu.be/SGzAMSx-PaM" TargetMode="External"/><Relationship Id="rId81" Type="http://schemas.openxmlformats.org/officeDocument/2006/relationships/hyperlink" Target="https://youtu.be/4WXdpuLQGEs" TargetMode="External"/><Relationship Id="rId1" Type="http://schemas.openxmlformats.org/officeDocument/2006/relationships/hyperlink" Target="https://youtu.be/rBn14egJ5FI" TargetMode="External"/><Relationship Id="rId2" Type="http://schemas.openxmlformats.org/officeDocument/2006/relationships/hyperlink" Target="https://youtu.be/fIC-hnsItbk" TargetMode="External"/><Relationship Id="rId3" Type="http://schemas.openxmlformats.org/officeDocument/2006/relationships/hyperlink" Target="https://youtu.be/rBn14egJ5FI?t=977" TargetMode="External"/><Relationship Id="rId149" Type="http://schemas.openxmlformats.org/officeDocument/2006/relationships/hyperlink" Target="https://youtu.be/WRMmOJo3OfQ?t=7654" TargetMode="External"/><Relationship Id="rId4" Type="http://schemas.openxmlformats.org/officeDocument/2006/relationships/hyperlink" Target="https://youtu.be/fIC-hnsItbk?t=1130" TargetMode="External"/><Relationship Id="rId148" Type="http://schemas.openxmlformats.org/officeDocument/2006/relationships/hyperlink" Target="https://youtu.be/B00ySD0tVa4?t=7594" TargetMode="External"/><Relationship Id="rId9" Type="http://schemas.openxmlformats.org/officeDocument/2006/relationships/hyperlink" Target="https://youtu.be/rBn14egJ5FI?t=3824" TargetMode="External"/><Relationship Id="rId143" Type="http://schemas.openxmlformats.org/officeDocument/2006/relationships/hyperlink" Target="https://youtu.be/WRMmOJo3OfQ?t=4749" TargetMode="External"/><Relationship Id="rId142" Type="http://schemas.openxmlformats.org/officeDocument/2006/relationships/hyperlink" Target="https://youtu.be/B00ySD0tVa4?t=4710" TargetMode="External"/><Relationship Id="rId141" Type="http://schemas.openxmlformats.org/officeDocument/2006/relationships/hyperlink" Target="https://youtu.be/WRMmOJo3OfQ?t=3830" TargetMode="External"/><Relationship Id="rId140" Type="http://schemas.openxmlformats.org/officeDocument/2006/relationships/hyperlink" Target="https://youtu.be/B00ySD0tVa4?t=3780" TargetMode="External"/><Relationship Id="rId5" Type="http://schemas.openxmlformats.org/officeDocument/2006/relationships/hyperlink" Target="https://youtu.be/rBn14egJ5FI?t=1959" TargetMode="External"/><Relationship Id="rId147" Type="http://schemas.openxmlformats.org/officeDocument/2006/relationships/hyperlink" Target="https://youtu.be/WRMmOJo3OfQ?t=6685" TargetMode="External"/><Relationship Id="rId6" Type="http://schemas.openxmlformats.org/officeDocument/2006/relationships/hyperlink" Target="https://youtu.be/fIC-hnsItbk?t=2055" TargetMode="External"/><Relationship Id="rId146" Type="http://schemas.openxmlformats.org/officeDocument/2006/relationships/hyperlink" Target="https://youtu.be/B00ySD0tVa4?t=6591" TargetMode="External"/><Relationship Id="rId7" Type="http://schemas.openxmlformats.org/officeDocument/2006/relationships/hyperlink" Target="https://youtu.be/rBn14egJ5FI?t=2911" TargetMode="External"/><Relationship Id="rId145" Type="http://schemas.openxmlformats.org/officeDocument/2006/relationships/hyperlink" Target="https://youtu.be/WRMmOJo3OfQ?t=5713" TargetMode="External"/><Relationship Id="rId8" Type="http://schemas.openxmlformats.org/officeDocument/2006/relationships/hyperlink" Target="https://youtu.be/fIC-hnsItbk?t=2993" TargetMode="External"/><Relationship Id="rId144" Type="http://schemas.openxmlformats.org/officeDocument/2006/relationships/hyperlink" Target="https://youtu.be/B00ySD0tVa4?t=5641" TargetMode="External"/><Relationship Id="rId73" Type="http://schemas.openxmlformats.org/officeDocument/2006/relationships/hyperlink" Target="https://youtu.be/w-obn_cgvZ0?t=5826" TargetMode="External"/><Relationship Id="rId72" Type="http://schemas.openxmlformats.org/officeDocument/2006/relationships/hyperlink" Target="https://youtu.be/bSYTOUz8-eE?t=4570" TargetMode="External"/><Relationship Id="rId75" Type="http://schemas.openxmlformats.org/officeDocument/2006/relationships/hyperlink" Target="https://youtu.be/w-obn_cgvZ0?t=6752" TargetMode="External"/><Relationship Id="rId74" Type="http://schemas.openxmlformats.org/officeDocument/2006/relationships/hyperlink" Target="https://youtu.be/bSYTOUz8-eE?t=5538" TargetMode="External"/><Relationship Id="rId77" Type="http://schemas.openxmlformats.org/officeDocument/2006/relationships/hyperlink" Target="https://youtu.be/w-obn_cgvZ0?t=7660" TargetMode="External"/><Relationship Id="rId76" Type="http://schemas.openxmlformats.org/officeDocument/2006/relationships/hyperlink" Target="https://youtu.be/bSYTOUz8-eE?t=6487" TargetMode="External"/><Relationship Id="rId79" Type="http://schemas.openxmlformats.org/officeDocument/2006/relationships/hyperlink" Target="https://youtu.be/w-obn_cgvZ0?t=8574" TargetMode="External"/><Relationship Id="rId78" Type="http://schemas.openxmlformats.org/officeDocument/2006/relationships/hyperlink" Target="https://youtu.be/bSYTOUz8-eE?t=7388" TargetMode="External"/><Relationship Id="rId71" Type="http://schemas.openxmlformats.org/officeDocument/2006/relationships/hyperlink" Target="https://youtu.be/w-obn_cgvZ0?t=4873" TargetMode="External"/><Relationship Id="rId70" Type="http://schemas.openxmlformats.org/officeDocument/2006/relationships/hyperlink" Target="https://youtu.be/bSYTOUz8-eE?t=3636" TargetMode="External"/><Relationship Id="rId139" Type="http://schemas.openxmlformats.org/officeDocument/2006/relationships/hyperlink" Target="https://youtu.be/WRMmOJo3OfQ?t=2951" TargetMode="External"/><Relationship Id="rId138" Type="http://schemas.openxmlformats.org/officeDocument/2006/relationships/hyperlink" Target="https://youtu.be/B00ySD0tVa4?t=2840" TargetMode="External"/><Relationship Id="rId137" Type="http://schemas.openxmlformats.org/officeDocument/2006/relationships/hyperlink" Target="https://youtu.be/WRMmOJo3OfQ?t=1975" TargetMode="External"/><Relationship Id="rId132" Type="http://schemas.openxmlformats.org/officeDocument/2006/relationships/hyperlink" Target="https://youtu.be/B00ySD0tVa4" TargetMode="External"/><Relationship Id="rId131" Type="http://schemas.openxmlformats.org/officeDocument/2006/relationships/hyperlink" Target="https://youtu.be/H2Ya8711Trk?t=8604" TargetMode="External"/><Relationship Id="rId130" Type="http://schemas.openxmlformats.org/officeDocument/2006/relationships/hyperlink" Target="https://youtu.be/3flXDirLebU?t=8493" TargetMode="External"/><Relationship Id="rId136" Type="http://schemas.openxmlformats.org/officeDocument/2006/relationships/hyperlink" Target="https://youtu.be/B00ySD0tVa4?t=1891" TargetMode="External"/><Relationship Id="rId135" Type="http://schemas.openxmlformats.org/officeDocument/2006/relationships/hyperlink" Target="https://youtu.be/WRMmOJo3OfQ?t=1051" TargetMode="External"/><Relationship Id="rId134" Type="http://schemas.openxmlformats.org/officeDocument/2006/relationships/hyperlink" Target="https://youtu.be/B00ySD0tVa4?t=955" TargetMode="External"/><Relationship Id="rId133" Type="http://schemas.openxmlformats.org/officeDocument/2006/relationships/hyperlink" Target="https://youtu.be/WRMmOJo3OfQ" TargetMode="External"/><Relationship Id="rId62" Type="http://schemas.openxmlformats.org/officeDocument/2006/relationships/hyperlink" Target="https://youtu.be/bSYTOUz8-eE?t=74" TargetMode="External"/><Relationship Id="rId61" Type="http://schemas.openxmlformats.org/officeDocument/2006/relationships/hyperlink" Target="https://youtu.be/w-obn_cgvZ0" TargetMode="External"/><Relationship Id="rId64" Type="http://schemas.openxmlformats.org/officeDocument/2006/relationships/hyperlink" Target="https://youtu.be/bSYTOUz8-eE?t=921" TargetMode="External"/><Relationship Id="rId63" Type="http://schemas.openxmlformats.org/officeDocument/2006/relationships/hyperlink" Target="https://youtu.be/w-obn_cgvZ0?t=1123" TargetMode="External"/><Relationship Id="rId66" Type="http://schemas.openxmlformats.org/officeDocument/2006/relationships/hyperlink" Target="https://youtu.be/bSYTOUz8-eE?t=1765" TargetMode="External"/><Relationship Id="rId172" Type="http://schemas.openxmlformats.org/officeDocument/2006/relationships/hyperlink" Target="https://youtu.be/enZ3L_fOkX0" TargetMode="External"/><Relationship Id="rId65" Type="http://schemas.openxmlformats.org/officeDocument/2006/relationships/hyperlink" Target="https://youtu.be/w-obn_cgvZ0?t=2150" TargetMode="External"/><Relationship Id="rId171" Type="http://schemas.openxmlformats.org/officeDocument/2006/relationships/hyperlink" Target="https://youtu.be/LTqv8rREMKA?t=8815" TargetMode="External"/><Relationship Id="rId68" Type="http://schemas.openxmlformats.org/officeDocument/2006/relationships/hyperlink" Target="https://youtu.be/bSYTOUz8-eE?t=2655" TargetMode="External"/><Relationship Id="rId170" Type="http://schemas.openxmlformats.org/officeDocument/2006/relationships/hyperlink" Target="https://youtu.be/RToVtoavMZQ?t=8202" TargetMode="External"/><Relationship Id="rId67" Type="http://schemas.openxmlformats.org/officeDocument/2006/relationships/hyperlink" Target="https://youtu.be/w-obn_cgvZ0?t=3087" TargetMode="External"/><Relationship Id="rId60" Type="http://schemas.openxmlformats.org/officeDocument/2006/relationships/hyperlink" Target="https://youtu.be/R4EDmitJyGQ?t=8540" TargetMode="External"/><Relationship Id="rId165" Type="http://schemas.openxmlformats.org/officeDocument/2006/relationships/hyperlink" Target="https://youtu.be/LTqv8rREMKA?t=5845" TargetMode="External"/><Relationship Id="rId69" Type="http://schemas.openxmlformats.org/officeDocument/2006/relationships/hyperlink" Target="https://youtu.be/w-obn_cgvZ0?t=3954" TargetMode="External"/><Relationship Id="rId164" Type="http://schemas.openxmlformats.org/officeDocument/2006/relationships/hyperlink" Target="https://youtu.be/RToVtoavMZQ?t=5523" TargetMode="External"/><Relationship Id="rId163" Type="http://schemas.openxmlformats.org/officeDocument/2006/relationships/hyperlink" Target="https://youtu.be/LTqv8rREMKA?t=4823" TargetMode="External"/><Relationship Id="rId162" Type="http://schemas.openxmlformats.org/officeDocument/2006/relationships/hyperlink" Target="https://youtu.be/RToVtoavMZQ?t=4537" TargetMode="External"/><Relationship Id="rId169" Type="http://schemas.openxmlformats.org/officeDocument/2006/relationships/hyperlink" Target="https://youtu.be/LTqv8rREMKA?t=7786" TargetMode="External"/><Relationship Id="rId168" Type="http://schemas.openxmlformats.org/officeDocument/2006/relationships/hyperlink" Target="https://youtu.be/RToVtoavMZQ?t=7352" TargetMode="External"/><Relationship Id="rId167" Type="http://schemas.openxmlformats.org/officeDocument/2006/relationships/hyperlink" Target="https://youtu.be/LTqv8rREMKA?t=6823" TargetMode="External"/><Relationship Id="rId166" Type="http://schemas.openxmlformats.org/officeDocument/2006/relationships/hyperlink" Target="https://youtu.be/RToVtoavMZQ?t=6445" TargetMode="External"/><Relationship Id="rId51" Type="http://schemas.openxmlformats.org/officeDocument/2006/relationships/hyperlink" Target="https://youtu.be/om7GBizX4CM?t=4678" TargetMode="External"/><Relationship Id="rId50" Type="http://schemas.openxmlformats.org/officeDocument/2006/relationships/hyperlink" Target="https://youtu.be/R4EDmitJyGQ?t=3853" TargetMode="External"/><Relationship Id="rId53" Type="http://schemas.openxmlformats.org/officeDocument/2006/relationships/hyperlink" Target="https://youtu.be/om7GBizX4CM?t=5589" TargetMode="External"/><Relationship Id="rId52" Type="http://schemas.openxmlformats.org/officeDocument/2006/relationships/hyperlink" Target="https://youtu.be/R4EDmitJyGQ?t=4745" TargetMode="External"/><Relationship Id="rId55" Type="http://schemas.openxmlformats.org/officeDocument/2006/relationships/hyperlink" Target="https://youtu.be/om7GBizX4CM?t=6493" TargetMode="External"/><Relationship Id="rId161" Type="http://schemas.openxmlformats.org/officeDocument/2006/relationships/hyperlink" Target="https://youtu.be/LTqv8rREMKA?t=3773" TargetMode="External"/><Relationship Id="rId54" Type="http://schemas.openxmlformats.org/officeDocument/2006/relationships/hyperlink" Target="https://youtu.be/R4EDmitJyGQ?t=5677" TargetMode="External"/><Relationship Id="rId160" Type="http://schemas.openxmlformats.org/officeDocument/2006/relationships/hyperlink" Target="https://youtu.be/RToVtoavMZQ?t=3615" TargetMode="External"/><Relationship Id="rId57" Type="http://schemas.openxmlformats.org/officeDocument/2006/relationships/hyperlink" Target="https://youtu.be/om7GBizX4CM?t=7411" TargetMode="External"/><Relationship Id="rId56" Type="http://schemas.openxmlformats.org/officeDocument/2006/relationships/hyperlink" Target="https://youtu.be/R4EDmitJyGQ?t=6619" TargetMode="External"/><Relationship Id="rId159" Type="http://schemas.openxmlformats.org/officeDocument/2006/relationships/hyperlink" Target="https://youtu.be/LTqv8rREMKA?t=2836" TargetMode="External"/><Relationship Id="rId59" Type="http://schemas.openxmlformats.org/officeDocument/2006/relationships/hyperlink" Target="https://youtu.be/om7GBizX4CM?t=8465" TargetMode="External"/><Relationship Id="rId154" Type="http://schemas.openxmlformats.org/officeDocument/2006/relationships/hyperlink" Target="https://youtu.be/RToVtoavMZQ?t=742" TargetMode="External"/><Relationship Id="rId58" Type="http://schemas.openxmlformats.org/officeDocument/2006/relationships/hyperlink" Target="https://youtu.be/R4EDmitJyGQ?t=7519" TargetMode="External"/><Relationship Id="rId153" Type="http://schemas.openxmlformats.org/officeDocument/2006/relationships/hyperlink" Target="https://youtu.be/LTqv8rREMKA" TargetMode="External"/><Relationship Id="rId152" Type="http://schemas.openxmlformats.org/officeDocument/2006/relationships/hyperlink" Target="https://youtu.be/RToVtoavMZQ" TargetMode="External"/><Relationship Id="rId151" Type="http://schemas.openxmlformats.org/officeDocument/2006/relationships/hyperlink" Target="https://youtu.be/WRMmOJo3OfQ?t=8581" TargetMode="External"/><Relationship Id="rId158" Type="http://schemas.openxmlformats.org/officeDocument/2006/relationships/hyperlink" Target="https://youtu.be/RToVtoavMZQ?t=2776" TargetMode="External"/><Relationship Id="rId157" Type="http://schemas.openxmlformats.org/officeDocument/2006/relationships/hyperlink" Target="https://youtu.be/LTqv8rREMKA?t=1894" TargetMode="External"/><Relationship Id="rId156" Type="http://schemas.openxmlformats.org/officeDocument/2006/relationships/hyperlink" Target="https://youtu.be/RToVtoavMZQ?t=1766" TargetMode="External"/><Relationship Id="rId155" Type="http://schemas.openxmlformats.org/officeDocument/2006/relationships/hyperlink" Target="https://youtu.be/LTqv8rREMKA?t=926" TargetMode="External"/><Relationship Id="rId107" Type="http://schemas.openxmlformats.org/officeDocument/2006/relationships/hyperlink" Target="https://youtu.be/M6ZKdVSh3pQ?t=4639" TargetMode="External"/><Relationship Id="rId228" Type="http://schemas.openxmlformats.org/officeDocument/2006/relationships/hyperlink" Target="https://youtu.be/y_fRZYb9D50?t=7751" TargetMode="External"/><Relationship Id="rId106" Type="http://schemas.openxmlformats.org/officeDocument/2006/relationships/hyperlink" Target="https://youtu.be/M6ZKdVSh3pQ?t=3763" TargetMode="External"/><Relationship Id="rId227" Type="http://schemas.openxmlformats.org/officeDocument/2006/relationships/hyperlink" Target="https://youtu.be/tchAsAeD_L8?t=6714" TargetMode="External"/><Relationship Id="rId105" Type="http://schemas.openxmlformats.org/officeDocument/2006/relationships/hyperlink" Target="https://youtu.be/M6ZKdVSh3pQ?t=2802" TargetMode="External"/><Relationship Id="rId226" Type="http://schemas.openxmlformats.org/officeDocument/2006/relationships/hyperlink" Target="https://youtu.be/y_fRZYb9D50?t=6861" TargetMode="External"/><Relationship Id="rId104" Type="http://schemas.openxmlformats.org/officeDocument/2006/relationships/hyperlink" Target="https://youtu.be/M6ZKdVSh3pQ?t=1851" TargetMode="External"/><Relationship Id="rId225" Type="http://schemas.openxmlformats.org/officeDocument/2006/relationships/hyperlink" Target="https://youtu.be/tchAsAeD_L8?t=5871" TargetMode="External"/><Relationship Id="rId109" Type="http://schemas.openxmlformats.org/officeDocument/2006/relationships/hyperlink" Target="https://youtu.be/M6ZKdVSh3pQ?t=6571" TargetMode="External"/><Relationship Id="rId108" Type="http://schemas.openxmlformats.org/officeDocument/2006/relationships/hyperlink" Target="https://youtu.be/M6ZKdVSh3pQ?t=5610" TargetMode="External"/><Relationship Id="rId229" Type="http://schemas.openxmlformats.org/officeDocument/2006/relationships/hyperlink" Target="https://youtu.be/tchAsAeD_L8?t=7654" TargetMode="External"/><Relationship Id="rId220" Type="http://schemas.openxmlformats.org/officeDocument/2006/relationships/hyperlink" Target="https://youtu.be/y_fRZYb9D50?t=4038" TargetMode="External"/><Relationship Id="rId103" Type="http://schemas.openxmlformats.org/officeDocument/2006/relationships/hyperlink" Target="https://youtu.be/M6ZKdVSh3pQ?t=940" TargetMode="External"/><Relationship Id="rId224" Type="http://schemas.openxmlformats.org/officeDocument/2006/relationships/hyperlink" Target="https://youtu.be/y_fRZYb9D50?t=5906" TargetMode="External"/><Relationship Id="rId102" Type="http://schemas.openxmlformats.org/officeDocument/2006/relationships/hyperlink" Target="https://youtu.be/M6ZKdVSh3pQ" TargetMode="External"/><Relationship Id="rId223" Type="http://schemas.openxmlformats.org/officeDocument/2006/relationships/hyperlink" Target="https://youtu.be/tchAsAeD_L8?t=4904" TargetMode="External"/><Relationship Id="rId101" Type="http://schemas.openxmlformats.org/officeDocument/2006/relationships/hyperlink" Target="https://youtu.be/t25yzDAWg_M" TargetMode="External"/><Relationship Id="rId222" Type="http://schemas.openxmlformats.org/officeDocument/2006/relationships/hyperlink" Target="https://youtu.be/y_fRZYb9D50?t=4996" TargetMode="External"/><Relationship Id="rId100" Type="http://schemas.openxmlformats.org/officeDocument/2006/relationships/hyperlink" Target="https://youtu.be/SGzAMSx-PaM?t=8582" TargetMode="External"/><Relationship Id="rId221" Type="http://schemas.openxmlformats.org/officeDocument/2006/relationships/hyperlink" Target="https://youtu.be/tchAsAeD_L8?t=3949" TargetMode="External"/><Relationship Id="rId217" Type="http://schemas.openxmlformats.org/officeDocument/2006/relationships/hyperlink" Target="https://youtu.be/tchAsAeD_L8?t=1977" TargetMode="External"/><Relationship Id="rId216" Type="http://schemas.openxmlformats.org/officeDocument/2006/relationships/hyperlink" Target="https://youtu.be/y_fRZYb9D50?t=2056" TargetMode="External"/><Relationship Id="rId215" Type="http://schemas.openxmlformats.org/officeDocument/2006/relationships/hyperlink" Target="https://youtu.be/tchAsAeD_L8?t=1039" TargetMode="External"/><Relationship Id="rId214" Type="http://schemas.openxmlformats.org/officeDocument/2006/relationships/hyperlink" Target="https://youtu.be/y_fRZYb9D50?t=1100" TargetMode="External"/><Relationship Id="rId219" Type="http://schemas.openxmlformats.org/officeDocument/2006/relationships/hyperlink" Target="https://youtu.be/tchAsAeD_L8?t=2943" TargetMode="External"/><Relationship Id="rId218" Type="http://schemas.openxmlformats.org/officeDocument/2006/relationships/hyperlink" Target="https://youtu.be/y_fRZYb9D50?t=3065" TargetMode="External"/><Relationship Id="rId213" Type="http://schemas.openxmlformats.org/officeDocument/2006/relationships/hyperlink" Target="https://youtu.be/tchAsAeD_L8" TargetMode="External"/><Relationship Id="rId212" Type="http://schemas.openxmlformats.org/officeDocument/2006/relationships/hyperlink" Target="https://youtu.be/y_fRZYb9D50" TargetMode="External"/><Relationship Id="rId211" Type="http://schemas.openxmlformats.org/officeDocument/2006/relationships/hyperlink" Target="https://youtu.be/kJOkubn_FnQ?t=8544" TargetMode="External"/><Relationship Id="rId210" Type="http://schemas.openxmlformats.org/officeDocument/2006/relationships/hyperlink" Target="https://youtu.be/WYFf5z5SfO4?t=8659" TargetMode="External"/><Relationship Id="rId129" Type="http://schemas.openxmlformats.org/officeDocument/2006/relationships/hyperlink" Target="https://youtu.be/H2Ya8711Trk?t=7691" TargetMode="External"/><Relationship Id="rId128" Type="http://schemas.openxmlformats.org/officeDocument/2006/relationships/hyperlink" Target="https://youtu.be/3flXDirLebU?t=7569" TargetMode="External"/><Relationship Id="rId127" Type="http://schemas.openxmlformats.org/officeDocument/2006/relationships/hyperlink" Target="https://youtu.be/H2Ya8711Trk?t=6713" TargetMode="External"/><Relationship Id="rId126" Type="http://schemas.openxmlformats.org/officeDocument/2006/relationships/hyperlink" Target="https://youtu.be/3flXDirLebU?t=6641" TargetMode="External"/><Relationship Id="rId121" Type="http://schemas.openxmlformats.org/officeDocument/2006/relationships/hyperlink" Target="https://youtu.be/H2Ya8711Trk?t=3959" TargetMode="External"/><Relationship Id="rId120" Type="http://schemas.openxmlformats.org/officeDocument/2006/relationships/hyperlink" Target="https://youtu.be/3flXDirLebU?t=3873" TargetMode="External"/><Relationship Id="rId125" Type="http://schemas.openxmlformats.org/officeDocument/2006/relationships/hyperlink" Target="https://youtu.be/H2Ya8711Trk?t=5764" TargetMode="External"/><Relationship Id="rId124" Type="http://schemas.openxmlformats.org/officeDocument/2006/relationships/hyperlink" Target="https://youtu.be/3flXDirLebU?t=5726" TargetMode="External"/><Relationship Id="rId123" Type="http://schemas.openxmlformats.org/officeDocument/2006/relationships/hyperlink" Target="https://youtu.be/H2Ya8711Trk?t=4867" TargetMode="External"/><Relationship Id="rId122" Type="http://schemas.openxmlformats.org/officeDocument/2006/relationships/hyperlink" Target="https://youtu.be/3flXDirLebU?t=4793" TargetMode="External"/><Relationship Id="rId95" Type="http://schemas.openxmlformats.org/officeDocument/2006/relationships/hyperlink" Target="https://youtu.be/4WXdpuLQGEs?t=6526" TargetMode="External"/><Relationship Id="rId94" Type="http://schemas.openxmlformats.org/officeDocument/2006/relationships/hyperlink" Target="https://youtu.be/SGzAMSx-PaM?t=5728" TargetMode="External"/><Relationship Id="rId97" Type="http://schemas.openxmlformats.org/officeDocument/2006/relationships/hyperlink" Target="https://youtu.be/4WXdpuLQGEs?t=7615" TargetMode="External"/><Relationship Id="rId96" Type="http://schemas.openxmlformats.org/officeDocument/2006/relationships/hyperlink" Target="https://youtu.be/SGzAMSx-PaM?t=6664" TargetMode="External"/><Relationship Id="rId99" Type="http://schemas.openxmlformats.org/officeDocument/2006/relationships/hyperlink" Target="https://youtu.be/4WXdpuLQGEs?t=8555" TargetMode="External"/><Relationship Id="rId98" Type="http://schemas.openxmlformats.org/officeDocument/2006/relationships/hyperlink" Target="https://youtu.be/SGzAMSx-PaM?t=7675" TargetMode="External"/><Relationship Id="rId91" Type="http://schemas.openxmlformats.org/officeDocument/2006/relationships/hyperlink" Target="https://youtu.be/4WXdpuLQGEs?t=4737" TargetMode="External"/><Relationship Id="rId90" Type="http://schemas.openxmlformats.org/officeDocument/2006/relationships/hyperlink" Target="https://youtu.be/SGzAMSx-PaM?t=3870" TargetMode="External"/><Relationship Id="rId93" Type="http://schemas.openxmlformats.org/officeDocument/2006/relationships/hyperlink" Target="https://youtu.be/4WXdpuLQGEs?t=5681" TargetMode="External"/><Relationship Id="rId92" Type="http://schemas.openxmlformats.org/officeDocument/2006/relationships/hyperlink" Target="https://youtu.be/SGzAMSx-PaM?t=4801" TargetMode="External"/><Relationship Id="rId118" Type="http://schemas.openxmlformats.org/officeDocument/2006/relationships/hyperlink" Target="https://youtu.be/3flXDirLebU?t=2942" TargetMode="External"/><Relationship Id="rId117" Type="http://schemas.openxmlformats.org/officeDocument/2006/relationships/hyperlink" Target="https://youtu.be/H2Ya8711Trk?t=2123" TargetMode="External"/><Relationship Id="rId116" Type="http://schemas.openxmlformats.org/officeDocument/2006/relationships/hyperlink" Target="https://youtu.be/3flXDirLebU?t=1949" TargetMode="External"/><Relationship Id="rId115" Type="http://schemas.openxmlformats.org/officeDocument/2006/relationships/hyperlink" Target="https://youtu.be/H2Ya8711Trk?t=1219" TargetMode="External"/><Relationship Id="rId119" Type="http://schemas.openxmlformats.org/officeDocument/2006/relationships/hyperlink" Target="https://youtu.be/H2Ya8711Trk?t=3037" TargetMode="External"/><Relationship Id="rId110" Type="http://schemas.openxmlformats.org/officeDocument/2006/relationships/hyperlink" Target="https://youtu.be/M6ZKdVSh3pQ?t=7556" TargetMode="External"/><Relationship Id="rId231" Type="http://schemas.openxmlformats.org/officeDocument/2006/relationships/hyperlink" Target="https://youtu.be/tchAsAeD_L8?t=8669" TargetMode="External"/><Relationship Id="rId230" Type="http://schemas.openxmlformats.org/officeDocument/2006/relationships/hyperlink" Target="https://youtu.be/y_fRZYb9D50?t=8704" TargetMode="External"/><Relationship Id="rId114" Type="http://schemas.openxmlformats.org/officeDocument/2006/relationships/hyperlink" Target="https://youtu.be/3flXDirLebU?t=963" TargetMode="External"/><Relationship Id="rId113" Type="http://schemas.openxmlformats.org/officeDocument/2006/relationships/hyperlink" Target="https://youtu.be/H2Ya8711Trk" TargetMode="External"/><Relationship Id="rId112" Type="http://schemas.openxmlformats.org/officeDocument/2006/relationships/hyperlink" Target="https://youtu.be/3flXDirLebU" TargetMode="External"/><Relationship Id="rId111" Type="http://schemas.openxmlformats.org/officeDocument/2006/relationships/hyperlink" Target="https://youtu.be/M6ZKdVSh3pQ?t=8522" TargetMode="External"/><Relationship Id="rId232" Type="http://schemas.openxmlformats.org/officeDocument/2006/relationships/drawing" Target="../drawings/drawing47.xml"/><Relationship Id="rId206" Type="http://schemas.openxmlformats.org/officeDocument/2006/relationships/hyperlink" Target="https://youtu.be/WYFf5z5SfO4?t=6769" TargetMode="External"/><Relationship Id="rId205" Type="http://schemas.openxmlformats.org/officeDocument/2006/relationships/hyperlink" Target="https://youtu.be/kJOkubn_FnQ?t=5680" TargetMode="External"/><Relationship Id="rId204" Type="http://schemas.openxmlformats.org/officeDocument/2006/relationships/hyperlink" Target="https://youtu.be/WYFf5z5SfO4?t=5838" TargetMode="External"/><Relationship Id="rId203" Type="http://schemas.openxmlformats.org/officeDocument/2006/relationships/hyperlink" Target="https://youtu.be/kJOkubn_FnQ?t=4727" TargetMode="External"/><Relationship Id="rId209" Type="http://schemas.openxmlformats.org/officeDocument/2006/relationships/hyperlink" Target="https://youtu.be/kJOkubn_FnQ?t=7578" TargetMode="External"/><Relationship Id="rId208" Type="http://schemas.openxmlformats.org/officeDocument/2006/relationships/hyperlink" Target="https://youtu.be/WYFf5z5SfO4?t=7779" TargetMode="External"/><Relationship Id="rId207" Type="http://schemas.openxmlformats.org/officeDocument/2006/relationships/hyperlink" Target="https://youtu.be/kJOkubn_FnQ?t=6624" TargetMode="External"/><Relationship Id="rId202" Type="http://schemas.openxmlformats.org/officeDocument/2006/relationships/hyperlink" Target="https://youtu.be/WYFf5z5SfO4?t=4901" TargetMode="External"/><Relationship Id="rId201" Type="http://schemas.openxmlformats.org/officeDocument/2006/relationships/hyperlink" Target="https://youtu.be/kJOkubn_FnQ?t=3761" TargetMode="External"/><Relationship Id="rId200" Type="http://schemas.openxmlformats.org/officeDocument/2006/relationships/hyperlink" Target="https://youtu.be/WYFf5z5SfO4?t=3958" TargetMode="External"/></Relationships>
</file>

<file path=xl/worksheets/_rels/sheet4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o30sSffjPMI?t=7673" TargetMode="External"/><Relationship Id="rId42" Type="http://schemas.openxmlformats.org/officeDocument/2006/relationships/hyperlink" Target="https://youtu.be/5OPyWCPAtNM?t=107" TargetMode="External"/><Relationship Id="rId41" Type="http://schemas.openxmlformats.org/officeDocument/2006/relationships/hyperlink" Target="https://youtu.be/mX7cvT2hwck" TargetMode="External"/><Relationship Id="rId44" Type="http://schemas.openxmlformats.org/officeDocument/2006/relationships/hyperlink" Target="https://youtu.be/5OPyWCPAtNM?t=1012" TargetMode="External"/><Relationship Id="rId43" Type="http://schemas.openxmlformats.org/officeDocument/2006/relationships/hyperlink" Target="https://youtu.be/mX7cvT2hwck?t=926" TargetMode="External"/><Relationship Id="rId46" Type="http://schemas.openxmlformats.org/officeDocument/2006/relationships/hyperlink" Target="https://youtu.be/5OPyWCPAtNM?t=1904" TargetMode="External"/><Relationship Id="rId45" Type="http://schemas.openxmlformats.org/officeDocument/2006/relationships/hyperlink" Target="https://youtu.be/mX7cvT2hwck?t=1798" TargetMode="External"/><Relationship Id="rId48" Type="http://schemas.openxmlformats.org/officeDocument/2006/relationships/hyperlink" Target="https://youtu.be/5OPyWCPAtNM?t=2721" TargetMode="External"/><Relationship Id="rId47" Type="http://schemas.openxmlformats.org/officeDocument/2006/relationships/hyperlink" Target="https://youtu.be/mX7cvT2hwck?t=2623" TargetMode="External"/><Relationship Id="rId49" Type="http://schemas.openxmlformats.org/officeDocument/2006/relationships/hyperlink" Target="https://youtu.be/mX7cvT2hwck?t=3526" TargetMode="External"/><Relationship Id="rId31" Type="http://schemas.openxmlformats.org/officeDocument/2006/relationships/hyperlink" Target="https://youtu.be/tOCCn0iOMLY?t=4170" TargetMode="External"/><Relationship Id="rId30" Type="http://schemas.openxmlformats.org/officeDocument/2006/relationships/hyperlink" Target="https://youtu.be/o30sSffjPMI?t=3511" TargetMode="External"/><Relationship Id="rId33" Type="http://schemas.openxmlformats.org/officeDocument/2006/relationships/hyperlink" Target="https://youtu.be/tOCCn0iOMLY?t=5047" TargetMode="External"/><Relationship Id="rId32" Type="http://schemas.openxmlformats.org/officeDocument/2006/relationships/hyperlink" Target="https://youtu.be/o30sSffjPMI?t=4352" TargetMode="External"/><Relationship Id="rId35" Type="http://schemas.openxmlformats.org/officeDocument/2006/relationships/hyperlink" Target="https://youtu.be/tOCCn0iOMLY?t=5866" TargetMode="External"/><Relationship Id="rId34" Type="http://schemas.openxmlformats.org/officeDocument/2006/relationships/hyperlink" Target="https://youtu.be/o30sSffjPMI?t=5190" TargetMode="External"/><Relationship Id="rId37" Type="http://schemas.openxmlformats.org/officeDocument/2006/relationships/hyperlink" Target="https://youtu.be/tOCCn0iOMLY?t=6670" TargetMode="External"/><Relationship Id="rId36" Type="http://schemas.openxmlformats.org/officeDocument/2006/relationships/hyperlink" Target="https://youtu.be/o30sSffjPMI?t=6005" TargetMode="External"/><Relationship Id="rId39" Type="http://schemas.openxmlformats.org/officeDocument/2006/relationships/hyperlink" Target="https://youtu.be/tOCCn0iOMLY?t=7469" TargetMode="External"/><Relationship Id="rId38" Type="http://schemas.openxmlformats.org/officeDocument/2006/relationships/hyperlink" Target="https://youtu.be/o30sSffjPMI?t=6831" TargetMode="External"/><Relationship Id="rId20" Type="http://schemas.openxmlformats.org/officeDocument/2006/relationships/hyperlink" Target="https://youtu.be/HhC4O0_aVtQ?t=8710" TargetMode="External"/><Relationship Id="rId22" Type="http://schemas.openxmlformats.org/officeDocument/2006/relationships/hyperlink" Target="https://youtu.be/o30sSffjPMI" TargetMode="External"/><Relationship Id="rId21" Type="http://schemas.openxmlformats.org/officeDocument/2006/relationships/hyperlink" Target="https://youtu.be/tOCCn0iOMLY?t=23" TargetMode="External"/><Relationship Id="rId24" Type="http://schemas.openxmlformats.org/officeDocument/2006/relationships/hyperlink" Target="https://youtu.be/o30sSffjPMI?t=975" TargetMode="External"/><Relationship Id="rId23" Type="http://schemas.openxmlformats.org/officeDocument/2006/relationships/hyperlink" Target="https://youtu.be/tOCCn0iOMLY?t=852" TargetMode="External"/><Relationship Id="rId26" Type="http://schemas.openxmlformats.org/officeDocument/2006/relationships/hyperlink" Target="https://youtu.be/o30sSffjPMI?t=1786" TargetMode="External"/><Relationship Id="rId25" Type="http://schemas.openxmlformats.org/officeDocument/2006/relationships/hyperlink" Target="https://youtu.be/tOCCn0iOMLY?t=1662" TargetMode="External"/><Relationship Id="rId28" Type="http://schemas.openxmlformats.org/officeDocument/2006/relationships/hyperlink" Target="https://youtu.be/o30sSffjPMI?t=2684" TargetMode="External"/><Relationship Id="rId27" Type="http://schemas.openxmlformats.org/officeDocument/2006/relationships/hyperlink" Target="https://youtu.be/tOCCn0iOMLY?t=2519" TargetMode="External"/><Relationship Id="rId29" Type="http://schemas.openxmlformats.org/officeDocument/2006/relationships/hyperlink" Target="https://youtu.be/tOCCn0iOMLY?t=3340" TargetMode="External"/><Relationship Id="rId11" Type="http://schemas.openxmlformats.org/officeDocument/2006/relationships/hyperlink" Target="https://youtu.be/g5I-ekl7ceA?t=5030" TargetMode="External"/><Relationship Id="rId10" Type="http://schemas.openxmlformats.org/officeDocument/2006/relationships/hyperlink" Target="https://youtu.be/HhC4O0_aVtQ?t=3920" TargetMode="External"/><Relationship Id="rId13" Type="http://schemas.openxmlformats.org/officeDocument/2006/relationships/hyperlink" Target="https://youtu.be/g5I-ekl7ceA?t=5953" TargetMode="External"/><Relationship Id="rId12" Type="http://schemas.openxmlformats.org/officeDocument/2006/relationships/hyperlink" Target="https://youtu.be/HhC4O0_aVtQ?t=4931" TargetMode="External"/><Relationship Id="rId15" Type="http://schemas.openxmlformats.org/officeDocument/2006/relationships/hyperlink" Target="https://youtu.be/g5I-ekl7ceA?t=6922" TargetMode="External"/><Relationship Id="rId14" Type="http://schemas.openxmlformats.org/officeDocument/2006/relationships/hyperlink" Target="https://youtu.be/HhC4O0_aVtQ?t=5781" TargetMode="External"/><Relationship Id="rId17" Type="http://schemas.openxmlformats.org/officeDocument/2006/relationships/hyperlink" Target="https://youtu.be/g5I-ekl7ceA?t=7875" TargetMode="External"/><Relationship Id="rId16" Type="http://schemas.openxmlformats.org/officeDocument/2006/relationships/hyperlink" Target="https://youtu.be/HhC4O0_aVtQ?t=6752" TargetMode="External"/><Relationship Id="rId19" Type="http://schemas.openxmlformats.org/officeDocument/2006/relationships/hyperlink" Target="https://youtu.be/g5I-ekl7ceA?t=8850" TargetMode="External"/><Relationship Id="rId18" Type="http://schemas.openxmlformats.org/officeDocument/2006/relationships/hyperlink" Target="https://youtu.be/HhC4O0_aVtQ?t=7739" TargetMode="External"/><Relationship Id="rId84" Type="http://schemas.openxmlformats.org/officeDocument/2006/relationships/hyperlink" Target="https://youtu.be/mrVB5EEASZY?t=942" TargetMode="External"/><Relationship Id="rId83" Type="http://schemas.openxmlformats.org/officeDocument/2006/relationships/hyperlink" Target="https://youtu.be/UXb92bII9Lk?t=1071" TargetMode="External"/><Relationship Id="rId86" Type="http://schemas.openxmlformats.org/officeDocument/2006/relationships/hyperlink" Target="https://youtu.be/mrVB5EEASZY?t=1916" TargetMode="External"/><Relationship Id="rId85" Type="http://schemas.openxmlformats.org/officeDocument/2006/relationships/hyperlink" Target="https://youtu.be/UXb92bII9Lk?t=1974" TargetMode="External"/><Relationship Id="rId88" Type="http://schemas.openxmlformats.org/officeDocument/2006/relationships/hyperlink" Target="https://youtu.be/mrVB5EEASZY?t=2909" TargetMode="External"/><Relationship Id="rId87" Type="http://schemas.openxmlformats.org/officeDocument/2006/relationships/hyperlink" Target="https://youtu.be/UXb92bII9Lk?t=2891" TargetMode="External"/><Relationship Id="rId89" Type="http://schemas.openxmlformats.org/officeDocument/2006/relationships/hyperlink" Target="https://youtu.be/UXb92bII9Lk?t=3819" TargetMode="External"/><Relationship Id="rId80" Type="http://schemas.openxmlformats.org/officeDocument/2006/relationships/hyperlink" Target="https://youtu.be/jFFo1ZRfFZQ?t=8737" TargetMode="External"/><Relationship Id="rId82" Type="http://schemas.openxmlformats.org/officeDocument/2006/relationships/hyperlink" Target="https://youtu.be/mrVB5EEASZY" TargetMode="External"/><Relationship Id="rId81" Type="http://schemas.openxmlformats.org/officeDocument/2006/relationships/hyperlink" Target="https://youtu.be/UXb92bII9Lk" TargetMode="External"/><Relationship Id="rId1" Type="http://schemas.openxmlformats.org/officeDocument/2006/relationships/hyperlink" Target="https://youtu.be/g5I-ekl7ceA" TargetMode="External"/><Relationship Id="rId2" Type="http://schemas.openxmlformats.org/officeDocument/2006/relationships/hyperlink" Target="https://youtu.be/HhC4O0_aVtQ" TargetMode="External"/><Relationship Id="rId3" Type="http://schemas.openxmlformats.org/officeDocument/2006/relationships/hyperlink" Target="https://youtu.be/g5I-ekl7ceA?t=1102" TargetMode="External"/><Relationship Id="rId4" Type="http://schemas.openxmlformats.org/officeDocument/2006/relationships/hyperlink" Target="https://youtu.be/HhC4O0_aVtQ?t=971" TargetMode="External"/><Relationship Id="rId9" Type="http://schemas.openxmlformats.org/officeDocument/2006/relationships/hyperlink" Target="https://youtu.be/g5I-ekl7ceA?t=4004" TargetMode="External"/><Relationship Id="rId141" Type="http://schemas.openxmlformats.org/officeDocument/2006/relationships/drawing" Target="../drawings/drawing48.xml"/><Relationship Id="rId140" Type="http://schemas.openxmlformats.org/officeDocument/2006/relationships/hyperlink" Target="https://youtu.be/4VhuYLEZjVY?t=8833" TargetMode="External"/><Relationship Id="rId5" Type="http://schemas.openxmlformats.org/officeDocument/2006/relationships/hyperlink" Target="https://youtu.be/g5I-ekl7ceA?t=2030" TargetMode="External"/><Relationship Id="rId6" Type="http://schemas.openxmlformats.org/officeDocument/2006/relationships/hyperlink" Target="https://youtu.be/HhC4O0_aVtQ?t=1942" TargetMode="External"/><Relationship Id="rId7" Type="http://schemas.openxmlformats.org/officeDocument/2006/relationships/hyperlink" Target="https://youtu.be/g5I-ekl7ceA?t=3072" TargetMode="External"/><Relationship Id="rId8" Type="http://schemas.openxmlformats.org/officeDocument/2006/relationships/hyperlink" Target="https://youtu.be/HhC4O0_aVtQ?t=2999" TargetMode="External"/><Relationship Id="rId73" Type="http://schemas.openxmlformats.org/officeDocument/2006/relationships/hyperlink" Target="https://youtu.be/RbZuZp7YsU4?t=5885" TargetMode="External"/><Relationship Id="rId72" Type="http://schemas.openxmlformats.org/officeDocument/2006/relationships/hyperlink" Target="https://youtu.be/jFFo1ZRfFZQ?t=4889" TargetMode="External"/><Relationship Id="rId75" Type="http://schemas.openxmlformats.org/officeDocument/2006/relationships/hyperlink" Target="https://youtu.be/RbZuZp7YsU4?t=6876" TargetMode="External"/><Relationship Id="rId74" Type="http://schemas.openxmlformats.org/officeDocument/2006/relationships/hyperlink" Target="https://youtu.be/jFFo1ZRfFZQ?t=5858" TargetMode="External"/><Relationship Id="rId77" Type="http://schemas.openxmlformats.org/officeDocument/2006/relationships/hyperlink" Target="https://youtu.be/RbZuZp7YsU4?t=7775" TargetMode="External"/><Relationship Id="rId76" Type="http://schemas.openxmlformats.org/officeDocument/2006/relationships/hyperlink" Target="https://youtu.be/jFFo1ZRfFZQ?t=6923" TargetMode="External"/><Relationship Id="rId79" Type="http://schemas.openxmlformats.org/officeDocument/2006/relationships/hyperlink" Target="https://youtu.be/RbZuZp7YsU4?t=8675" TargetMode="External"/><Relationship Id="rId78" Type="http://schemas.openxmlformats.org/officeDocument/2006/relationships/hyperlink" Target="https://youtu.be/jFFo1ZRfFZQ?t=7807" TargetMode="External"/><Relationship Id="rId71" Type="http://schemas.openxmlformats.org/officeDocument/2006/relationships/hyperlink" Target="https://youtu.be/RbZuZp7YsU4?t=4900" TargetMode="External"/><Relationship Id="rId70" Type="http://schemas.openxmlformats.org/officeDocument/2006/relationships/hyperlink" Target="https://youtu.be/jFFo1ZRfFZQ?t=3965" TargetMode="External"/><Relationship Id="rId139" Type="http://schemas.openxmlformats.org/officeDocument/2006/relationships/hyperlink" Target="https://youtu.be/W-LovhCZzm8?t=8782" TargetMode="External"/><Relationship Id="rId138" Type="http://schemas.openxmlformats.org/officeDocument/2006/relationships/hyperlink" Target="https://youtu.be/4VhuYLEZjVY?t=7926" TargetMode="External"/><Relationship Id="rId137" Type="http://schemas.openxmlformats.org/officeDocument/2006/relationships/hyperlink" Target="https://youtu.be/W-LovhCZzm8?t=7904" TargetMode="External"/><Relationship Id="rId132" Type="http://schemas.openxmlformats.org/officeDocument/2006/relationships/hyperlink" Target="https://youtu.be/4VhuYLEZjVY?t=4766" TargetMode="External"/><Relationship Id="rId131" Type="http://schemas.openxmlformats.org/officeDocument/2006/relationships/hyperlink" Target="https://youtu.be/W-LovhCZzm8?t=4697" TargetMode="External"/><Relationship Id="rId130" Type="http://schemas.openxmlformats.org/officeDocument/2006/relationships/hyperlink" Target="https://youtu.be/4VhuYLEZjVY?t=3807" TargetMode="External"/><Relationship Id="rId136" Type="http://schemas.openxmlformats.org/officeDocument/2006/relationships/hyperlink" Target="https://youtu.be/4VhuYLEZjVY?t=7088" TargetMode="External"/><Relationship Id="rId135" Type="http://schemas.openxmlformats.org/officeDocument/2006/relationships/hyperlink" Target="https://youtu.be/W-LovhCZzm8?t=6943" TargetMode="External"/><Relationship Id="rId134" Type="http://schemas.openxmlformats.org/officeDocument/2006/relationships/hyperlink" Target="https://youtu.be/4VhuYLEZjVY?t=6279" TargetMode="External"/><Relationship Id="rId133" Type="http://schemas.openxmlformats.org/officeDocument/2006/relationships/hyperlink" Target="https://youtu.be/W-LovhCZzm8?t=5640" TargetMode="External"/><Relationship Id="rId62" Type="http://schemas.openxmlformats.org/officeDocument/2006/relationships/hyperlink" Target="https://youtu.be/jFFo1ZRfFZQ" TargetMode="External"/><Relationship Id="rId61" Type="http://schemas.openxmlformats.org/officeDocument/2006/relationships/hyperlink" Target="https://youtu.be/RbZuZp7YsU4" TargetMode="External"/><Relationship Id="rId64" Type="http://schemas.openxmlformats.org/officeDocument/2006/relationships/hyperlink" Target="https://youtu.be/jFFo1ZRfFZQ?t=984" TargetMode="External"/><Relationship Id="rId63" Type="http://schemas.openxmlformats.org/officeDocument/2006/relationships/hyperlink" Target="https://youtu.be/RbZuZp7YsU4?t=1089" TargetMode="External"/><Relationship Id="rId66" Type="http://schemas.openxmlformats.org/officeDocument/2006/relationships/hyperlink" Target="https://youtu.be/jFFo1ZRfFZQ?t=1999" TargetMode="External"/><Relationship Id="rId65" Type="http://schemas.openxmlformats.org/officeDocument/2006/relationships/hyperlink" Target="https://youtu.be/RbZuZp7YsU4?t=2065" TargetMode="External"/><Relationship Id="rId68" Type="http://schemas.openxmlformats.org/officeDocument/2006/relationships/hyperlink" Target="https://youtu.be/jFFo1ZRfFZQ?t=3005" TargetMode="External"/><Relationship Id="rId67" Type="http://schemas.openxmlformats.org/officeDocument/2006/relationships/hyperlink" Target="https://youtu.be/RbZuZp7YsU4?t=3005" TargetMode="External"/><Relationship Id="rId60" Type="http://schemas.openxmlformats.org/officeDocument/2006/relationships/hyperlink" Target="https://youtu.be/5OPyWCPAtNM?t=8207" TargetMode="External"/><Relationship Id="rId69" Type="http://schemas.openxmlformats.org/officeDocument/2006/relationships/hyperlink" Target="https://youtu.be/RbZuZp7YsU4?t=3920" TargetMode="External"/><Relationship Id="rId51" Type="http://schemas.openxmlformats.org/officeDocument/2006/relationships/hyperlink" Target="https://youtu.be/mX7cvT2hwck?t=4452" TargetMode="External"/><Relationship Id="rId50" Type="http://schemas.openxmlformats.org/officeDocument/2006/relationships/hyperlink" Target="https://youtu.be/5OPyWCPAtNM?t=3619" TargetMode="External"/><Relationship Id="rId53" Type="http://schemas.openxmlformats.org/officeDocument/2006/relationships/hyperlink" Target="https://youtu.be/mX7cvT2hwck?t=5465" TargetMode="External"/><Relationship Id="rId52" Type="http://schemas.openxmlformats.org/officeDocument/2006/relationships/hyperlink" Target="https://youtu.be/5OPyWCPAtNM?t=4516" TargetMode="External"/><Relationship Id="rId55" Type="http://schemas.openxmlformats.org/officeDocument/2006/relationships/hyperlink" Target="https://youtu.be/mX7cvT2hwck?t=6362" TargetMode="External"/><Relationship Id="rId54" Type="http://schemas.openxmlformats.org/officeDocument/2006/relationships/hyperlink" Target="https://youtu.be/5OPyWCPAtNM?t=5406" TargetMode="External"/><Relationship Id="rId57" Type="http://schemas.openxmlformats.org/officeDocument/2006/relationships/hyperlink" Target="https://youtu.be/mX7cvT2hwck?t=7291" TargetMode="External"/><Relationship Id="rId56" Type="http://schemas.openxmlformats.org/officeDocument/2006/relationships/hyperlink" Target="https://youtu.be/5OPyWCPAtNM?t=6339" TargetMode="External"/><Relationship Id="rId59" Type="http://schemas.openxmlformats.org/officeDocument/2006/relationships/hyperlink" Target="https://youtu.be/mX7cvT2hwck?t=8124" TargetMode="External"/><Relationship Id="rId58" Type="http://schemas.openxmlformats.org/officeDocument/2006/relationships/hyperlink" Target="https://youtu.be/5OPyWCPAtNM?t=7317" TargetMode="External"/><Relationship Id="rId107" Type="http://schemas.openxmlformats.org/officeDocument/2006/relationships/hyperlink" Target="https://youtu.be/djvz6wdqHwc?t=2839" TargetMode="External"/><Relationship Id="rId106" Type="http://schemas.openxmlformats.org/officeDocument/2006/relationships/hyperlink" Target="https://youtu.be/jyk2c-1KbE4?t=2084" TargetMode="External"/><Relationship Id="rId105" Type="http://schemas.openxmlformats.org/officeDocument/2006/relationships/hyperlink" Target="https://youtu.be/djvz6wdqHwc?t=1905" TargetMode="External"/><Relationship Id="rId104" Type="http://schemas.openxmlformats.org/officeDocument/2006/relationships/hyperlink" Target="https://youtu.be/jyk2c-1KbE4?t=1235" TargetMode="External"/><Relationship Id="rId109" Type="http://schemas.openxmlformats.org/officeDocument/2006/relationships/hyperlink" Target="https://youtu.be/djvz6wdqHwc?t=3804" TargetMode="External"/><Relationship Id="rId108" Type="http://schemas.openxmlformats.org/officeDocument/2006/relationships/hyperlink" Target="https://youtu.be/jyk2c-1KbE4?t=2963" TargetMode="External"/><Relationship Id="rId103" Type="http://schemas.openxmlformats.org/officeDocument/2006/relationships/hyperlink" Target="https://youtu.be/djvz6wdqHwc?t=1008" TargetMode="External"/><Relationship Id="rId102" Type="http://schemas.openxmlformats.org/officeDocument/2006/relationships/hyperlink" Target="https://youtu.be/jyk2c-1KbE4" TargetMode="External"/><Relationship Id="rId101" Type="http://schemas.openxmlformats.org/officeDocument/2006/relationships/hyperlink" Target="https://youtu.be/djvz6wdqHwc" TargetMode="External"/><Relationship Id="rId100" Type="http://schemas.openxmlformats.org/officeDocument/2006/relationships/hyperlink" Target="https://youtu.be/mrVB5EEASZY?t=8715" TargetMode="External"/><Relationship Id="rId129" Type="http://schemas.openxmlformats.org/officeDocument/2006/relationships/hyperlink" Target="https://youtu.be/W-LovhCZzm8?t=3774" TargetMode="External"/><Relationship Id="rId128" Type="http://schemas.openxmlformats.org/officeDocument/2006/relationships/hyperlink" Target="https://youtu.be/4VhuYLEZjVY?t=2863" TargetMode="External"/><Relationship Id="rId127" Type="http://schemas.openxmlformats.org/officeDocument/2006/relationships/hyperlink" Target="https://youtu.be/W-LovhCZzm8?t=2834" TargetMode="External"/><Relationship Id="rId126" Type="http://schemas.openxmlformats.org/officeDocument/2006/relationships/hyperlink" Target="https://youtu.be/4VhuYLEZjVY?t=1957" TargetMode="External"/><Relationship Id="rId121" Type="http://schemas.openxmlformats.org/officeDocument/2006/relationships/hyperlink" Target="https://youtu.be/W-LovhCZzm8" TargetMode="External"/><Relationship Id="rId120" Type="http://schemas.openxmlformats.org/officeDocument/2006/relationships/hyperlink" Target="https://youtu.be/jyk2c-1KbE4?t=8510" TargetMode="External"/><Relationship Id="rId125" Type="http://schemas.openxmlformats.org/officeDocument/2006/relationships/hyperlink" Target="https://youtu.be/W-LovhCZzm8?t=1895" TargetMode="External"/><Relationship Id="rId124" Type="http://schemas.openxmlformats.org/officeDocument/2006/relationships/hyperlink" Target="https://youtu.be/4VhuYLEZjVY?t=1008" TargetMode="External"/><Relationship Id="rId123" Type="http://schemas.openxmlformats.org/officeDocument/2006/relationships/hyperlink" Target="https://youtu.be/W-LovhCZzm8?t=969" TargetMode="External"/><Relationship Id="rId122" Type="http://schemas.openxmlformats.org/officeDocument/2006/relationships/hyperlink" Target="https://youtu.be/4VhuYLEZjVY" TargetMode="External"/><Relationship Id="rId95" Type="http://schemas.openxmlformats.org/officeDocument/2006/relationships/hyperlink" Target="https://youtu.be/UXb92bII9Lk?t=6740" TargetMode="External"/><Relationship Id="rId94" Type="http://schemas.openxmlformats.org/officeDocument/2006/relationships/hyperlink" Target="https://youtu.be/mrVB5EEASZY?t=5718" TargetMode="External"/><Relationship Id="rId97" Type="http://schemas.openxmlformats.org/officeDocument/2006/relationships/hyperlink" Target="https://youtu.be/UXb92bII9Lk?t=7648" TargetMode="External"/><Relationship Id="rId96" Type="http://schemas.openxmlformats.org/officeDocument/2006/relationships/hyperlink" Target="https://youtu.be/mrVB5EEASZY?t=6711" TargetMode="External"/><Relationship Id="rId99" Type="http://schemas.openxmlformats.org/officeDocument/2006/relationships/hyperlink" Target="https://youtu.be/UXb92bII9Lk?t=8570" TargetMode="External"/><Relationship Id="rId98" Type="http://schemas.openxmlformats.org/officeDocument/2006/relationships/hyperlink" Target="https://youtu.be/mrVB5EEASZY?t=7684" TargetMode="External"/><Relationship Id="rId91" Type="http://schemas.openxmlformats.org/officeDocument/2006/relationships/hyperlink" Target="https://youtu.be/UXb92bII9Lk?t=4820" TargetMode="External"/><Relationship Id="rId90" Type="http://schemas.openxmlformats.org/officeDocument/2006/relationships/hyperlink" Target="https://youtu.be/mrVB5EEASZY?t=3852" TargetMode="External"/><Relationship Id="rId93" Type="http://schemas.openxmlformats.org/officeDocument/2006/relationships/hyperlink" Target="https://youtu.be/UXb92bII9Lk?t=5778" TargetMode="External"/><Relationship Id="rId92" Type="http://schemas.openxmlformats.org/officeDocument/2006/relationships/hyperlink" Target="https://youtu.be/mrVB5EEASZY?t=4694" TargetMode="External"/><Relationship Id="rId118" Type="http://schemas.openxmlformats.org/officeDocument/2006/relationships/hyperlink" Target="https://youtu.be/jyk2c-1KbE4?t=7572" TargetMode="External"/><Relationship Id="rId117" Type="http://schemas.openxmlformats.org/officeDocument/2006/relationships/hyperlink" Target="https://youtu.be/djvz6wdqHwc?t=7549" TargetMode="External"/><Relationship Id="rId116" Type="http://schemas.openxmlformats.org/officeDocument/2006/relationships/hyperlink" Target="https://youtu.be/jyk2c-1KbE4?t=6643" TargetMode="External"/><Relationship Id="rId115" Type="http://schemas.openxmlformats.org/officeDocument/2006/relationships/hyperlink" Target="https://youtu.be/djvz6wdqHwc?t=6565" TargetMode="External"/><Relationship Id="rId119" Type="http://schemas.openxmlformats.org/officeDocument/2006/relationships/hyperlink" Target="https://youtu.be/djvz6wdqHwc?t=8408" TargetMode="External"/><Relationship Id="rId110" Type="http://schemas.openxmlformats.org/officeDocument/2006/relationships/hyperlink" Target="https://youtu.be/jyk2c-1KbE4?t=3893" TargetMode="External"/><Relationship Id="rId114" Type="http://schemas.openxmlformats.org/officeDocument/2006/relationships/hyperlink" Target="https://youtu.be/jyk2c-1KbE4?t=5720" TargetMode="External"/><Relationship Id="rId113" Type="http://schemas.openxmlformats.org/officeDocument/2006/relationships/hyperlink" Target="https://youtu.be/djvz6wdqHwc?t=5662" TargetMode="External"/><Relationship Id="rId112" Type="http://schemas.openxmlformats.org/officeDocument/2006/relationships/hyperlink" Target="https://youtu.be/jyk2c-1KbE4?t=4815" TargetMode="External"/><Relationship Id="rId111" Type="http://schemas.openxmlformats.org/officeDocument/2006/relationships/hyperlink" Target="https://youtu.be/djvz6wdqHwc?t=4737" TargetMode="External"/></Relationships>
</file>

<file path=xl/worksheets/_rels/sheet4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XgOgQ0Za07o?t=1918" TargetMode="External"/><Relationship Id="rId42" Type="http://schemas.openxmlformats.org/officeDocument/2006/relationships/hyperlink" Target="https://youtu.be/XgOgQ0Za07o?t=3852" TargetMode="External"/><Relationship Id="rId41" Type="http://schemas.openxmlformats.org/officeDocument/2006/relationships/hyperlink" Target="https://youtu.be/XgOgQ0Za07o?t=2849" TargetMode="External"/><Relationship Id="rId44" Type="http://schemas.openxmlformats.org/officeDocument/2006/relationships/hyperlink" Target="https://youtu.be/XgOgQ0Za07o?t=5804" TargetMode="External"/><Relationship Id="rId43" Type="http://schemas.openxmlformats.org/officeDocument/2006/relationships/hyperlink" Target="https://youtu.be/XgOgQ0Za07o?t=4793" TargetMode="External"/><Relationship Id="rId46" Type="http://schemas.openxmlformats.org/officeDocument/2006/relationships/hyperlink" Target="https://youtu.be/XgOgQ0Za07o?t=7595" TargetMode="External"/><Relationship Id="rId45" Type="http://schemas.openxmlformats.org/officeDocument/2006/relationships/hyperlink" Target="https://youtu.be/XgOgQ0Za07o?t=6683" TargetMode="External"/><Relationship Id="rId48" Type="http://schemas.openxmlformats.org/officeDocument/2006/relationships/hyperlink" Target="https://youtu.be/fs2tZ8XzIpY" TargetMode="External"/><Relationship Id="rId47" Type="http://schemas.openxmlformats.org/officeDocument/2006/relationships/hyperlink" Target="https://youtu.be/XgOgQ0Za07o?t=8528" TargetMode="External"/><Relationship Id="rId49" Type="http://schemas.openxmlformats.org/officeDocument/2006/relationships/hyperlink" Target="https://youtu.be/fs2tZ8XzIpY?t=1039" TargetMode="External"/><Relationship Id="rId31" Type="http://schemas.openxmlformats.org/officeDocument/2006/relationships/hyperlink" Target="https://youtu.be/td_vH4MnoQU?t=3015" TargetMode="External"/><Relationship Id="rId30" Type="http://schemas.openxmlformats.org/officeDocument/2006/relationships/hyperlink" Target="https://youtu.be/td_vH4MnoQU?t=2038" TargetMode="External"/><Relationship Id="rId33" Type="http://schemas.openxmlformats.org/officeDocument/2006/relationships/hyperlink" Target="https://youtu.be/td_vH4MnoQU?t=4875" TargetMode="External"/><Relationship Id="rId32" Type="http://schemas.openxmlformats.org/officeDocument/2006/relationships/hyperlink" Target="https://youtu.be/td_vH4MnoQU?t=3928" TargetMode="External"/><Relationship Id="rId35" Type="http://schemas.openxmlformats.org/officeDocument/2006/relationships/hyperlink" Target="https://youtu.be/td_vH4MnoQU?t=6790" TargetMode="External"/><Relationship Id="rId34" Type="http://schemas.openxmlformats.org/officeDocument/2006/relationships/hyperlink" Target="https://youtu.be/td_vH4MnoQU?t=5833" TargetMode="External"/><Relationship Id="rId37" Type="http://schemas.openxmlformats.org/officeDocument/2006/relationships/hyperlink" Target="https://youtu.be/td_vH4MnoQU?t=8600" TargetMode="External"/><Relationship Id="rId36" Type="http://schemas.openxmlformats.org/officeDocument/2006/relationships/hyperlink" Target="https://youtu.be/td_vH4MnoQU?t=7698" TargetMode="External"/><Relationship Id="rId39" Type="http://schemas.openxmlformats.org/officeDocument/2006/relationships/hyperlink" Target="https://youtu.be/XgOgQ0Za07o?t=969" TargetMode="External"/><Relationship Id="rId38" Type="http://schemas.openxmlformats.org/officeDocument/2006/relationships/hyperlink" Target="https://youtu.be/XgOgQ0Za07o" TargetMode="External"/><Relationship Id="rId20" Type="http://schemas.openxmlformats.org/officeDocument/2006/relationships/hyperlink" Target="https://youtu.be/i7lh5DUQnIk?t=1118" TargetMode="External"/><Relationship Id="rId22" Type="http://schemas.openxmlformats.org/officeDocument/2006/relationships/hyperlink" Target="https://youtu.be/i7lh5DUQnIk?t=2884" TargetMode="External"/><Relationship Id="rId21" Type="http://schemas.openxmlformats.org/officeDocument/2006/relationships/hyperlink" Target="https://youtu.be/i7lh5DUQnIk?t=2013" TargetMode="External"/><Relationship Id="rId24" Type="http://schemas.openxmlformats.org/officeDocument/2006/relationships/hyperlink" Target="https://youtu.be/i7lh5DUQnIk?t=4704" TargetMode="External"/><Relationship Id="rId23" Type="http://schemas.openxmlformats.org/officeDocument/2006/relationships/hyperlink" Target="https://youtu.be/i7lh5DUQnIk?t=3756" TargetMode="External"/><Relationship Id="rId26" Type="http://schemas.openxmlformats.org/officeDocument/2006/relationships/hyperlink" Target="https://youtu.be/i7lh5DUQnIk?t=6471" TargetMode="External"/><Relationship Id="rId25" Type="http://schemas.openxmlformats.org/officeDocument/2006/relationships/hyperlink" Target="https://youtu.be/i7lh5DUQnIk?t=5595" TargetMode="External"/><Relationship Id="rId28" Type="http://schemas.openxmlformats.org/officeDocument/2006/relationships/hyperlink" Target="https://youtu.be/i7lh5DUQnIk?t=8218" TargetMode="External"/><Relationship Id="rId27" Type="http://schemas.openxmlformats.org/officeDocument/2006/relationships/hyperlink" Target="https://youtu.be/i7lh5DUQnIk?t=7342" TargetMode="External"/><Relationship Id="rId29" Type="http://schemas.openxmlformats.org/officeDocument/2006/relationships/hyperlink" Target="https://youtu.be/td_vH4MnoQU?t=1102" TargetMode="External"/><Relationship Id="rId11" Type="http://schemas.openxmlformats.org/officeDocument/2006/relationships/hyperlink" Target="https://youtu.be/eq8qV9BAD04?t=1169" TargetMode="External"/><Relationship Id="rId10" Type="http://schemas.openxmlformats.org/officeDocument/2006/relationships/hyperlink" Target="https://youtu.be/eq8qV9BAD04" TargetMode="External"/><Relationship Id="rId13" Type="http://schemas.openxmlformats.org/officeDocument/2006/relationships/hyperlink" Target="https://youtu.be/eq8qV9BAD04?t=3085" TargetMode="External"/><Relationship Id="rId12" Type="http://schemas.openxmlformats.org/officeDocument/2006/relationships/hyperlink" Target="https://youtu.be/eq8qV9BAD04?t=2138" TargetMode="External"/><Relationship Id="rId15" Type="http://schemas.openxmlformats.org/officeDocument/2006/relationships/hyperlink" Target="https://youtu.be/eq8qV9BAD04?t=4989" TargetMode="External"/><Relationship Id="rId14" Type="http://schemas.openxmlformats.org/officeDocument/2006/relationships/hyperlink" Target="https://youtu.be/eq8qV9BAD04?t=3995" TargetMode="External"/><Relationship Id="rId17" Type="http://schemas.openxmlformats.org/officeDocument/2006/relationships/hyperlink" Target="https://youtu.be/eq8qV9BAD04?t=6820" TargetMode="External"/><Relationship Id="rId16" Type="http://schemas.openxmlformats.org/officeDocument/2006/relationships/hyperlink" Target="https://youtu.be/eq8qV9BAD04?t=5901" TargetMode="External"/><Relationship Id="rId19" Type="http://schemas.openxmlformats.org/officeDocument/2006/relationships/hyperlink" Target="https://youtu.be/eq8qV9BAD04?t=8637" TargetMode="External"/><Relationship Id="rId18" Type="http://schemas.openxmlformats.org/officeDocument/2006/relationships/hyperlink" Target="https://youtu.be/eq8qV9BAD04?t=7717" TargetMode="External"/><Relationship Id="rId1" Type="http://schemas.openxmlformats.org/officeDocument/2006/relationships/hyperlink" Target="https://youtu.be/o0t2HJaBSCM?t=921" TargetMode="External"/><Relationship Id="rId2" Type="http://schemas.openxmlformats.org/officeDocument/2006/relationships/hyperlink" Target="https://youtu.be/o0t2HJaBSCM?t=1775" TargetMode="External"/><Relationship Id="rId3" Type="http://schemas.openxmlformats.org/officeDocument/2006/relationships/hyperlink" Target="https://youtu.be/o0t2HJaBSCM?t=2688" TargetMode="External"/><Relationship Id="rId4" Type="http://schemas.openxmlformats.org/officeDocument/2006/relationships/hyperlink" Target="https://youtu.be/o0t2HJaBSCM?t=3581" TargetMode="External"/><Relationship Id="rId9" Type="http://schemas.openxmlformats.org/officeDocument/2006/relationships/hyperlink" Target="https://youtu.be/o0t2HJaBSCM?t=7926" TargetMode="External"/><Relationship Id="rId5" Type="http://schemas.openxmlformats.org/officeDocument/2006/relationships/hyperlink" Target="https://youtu.be/o0t2HJaBSCM?t=4521" TargetMode="External"/><Relationship Id="rId6" Type="http://schemas.openxmlformats.org/officeDocument/2006/relationships/hyperlink" Target="https://youtu.be/o0t2HJaBSCM?t=5404" TargetMode="External"/><Relationship Id="rId7" Type="http://schemas.openxmlformats.org/officeDocument/2006/relationships/hyperlink" Target="https://youtu.be/o0t2HJaBSCM?t=6273" TargetMode="External"/><Relationship Id="rId8" Type="http://schemas.openxmlformats.org/officeDocument/2006/relationships/hyperlink" Target="https://youtu.be/o0t2HJaBSCM?t=7106" TargetMode="External"/><Relationship Id="rId73" Type="http://schemas.openxmlformats.org/officeDocument/2006/relationships/hyperlink" Target="https://youtu.be/XwPU-BTvTCk?t=4822" TargetMode="External"/><Relationship Id="rId72" Type="http://schemas.openxmlformats.org/officeDocument/2006/relationships/hyperlink" Target="https://youtu.be/XwPU-BTvTCk?t=3831" TargetMode="External"/><Relationship Id="rId75" Type="http://schemas.openxmlformats.org/officeDocument/2006/relationships/hyperlink" Target="https://youtu.be/XwPU-BTvTCk?t=6805" TargetMode="External"/><Relationship Id="rId74" Type="http://schemas.openxmlformats.org/officeDocument/2006/relationships/hyperlink" Target="https://youtu.be/XwPU-BTvTCk?t=5884" TargetMode="External"/><Relationship Id="rId77" Type="http://schemas.openxmlformats.org/officeDocument/2006/relationships/hyperlink" Target="https://youtu.be/XwPU-BTvTCk?t=8633" TargetMode="External"/><Relationship Id="rId76" Type="http://schemas.openxmlformats.org/officeDocument/2006/relationships/hyperlink" Target="https://youtu.be/XwPU-BTvTCk?t=7732" TargetMode="External"/><Relationship Id="rId79" Type="http://schemas.openxmlformats.org/officeDocument/2006/relationships/drawing" Target="../drawings/drawing49.xml"/><Relationship Id="rId78" Type="http://schemas.openxmlformats.org/officeDocument/2006/relationships/hyperlink" Target="https://youtu.be/GUN0hKV_sok" TargetMode="External"/><Relationship Id="rId71" Type="http://schemas.openxmlformats.org/officeDocument/2006/relationships/hyperlink" Target="https://youtu.be/XwPU-BTvTCk?t=2929" TargetMode="External"/><Relationship Id="rId70" Type="http://schemas.openxmlformats.org/officeDocument/2006/relationships/hyperlink" Target="https://youtu.be/XwPU-BTvTCk?t=1993" TargetMode="External"/><Relationship Id="rId62" Type="http://schemas.openxmlformats.org/officeDocument/2006/relationships/hyperlink" Target="https://youtu.be/FEB7AyJ8vQM?t=3919" TargetMode="External"/><Relationship Id="rId61" Type="http://schemas.openxmlformats.org/officeDocument/2006/relationships/hyperlink" Target="https://youtu.be/FEB7AyJ8vQM?t=2871" TargetMode="External"/><Relationship Id="rId64" Type="http://schemas.openxmlformats.org/officeDocument/2006/relationships/hyperlink" Target="https://youtu.be/FEB7AyJ8vQM?t=5930" TargetMode="External"/><Relationship Id="rId63" Type="http://schemas.openxmlformats.org/officeDocument/2006/relationships/hyperlink" Target="https://youtu.be/FEB7AyJ8vQM?t=4927" TargetMode="External"/><Relationship Id="rId66" Type="http://schemas.openxmlformats.org/officeDocument/2006/relationships/hyperlink" Target="https://youtu.be/FEB7AyJ8vQM?t=7869" TargetMode="External"/><Relationship Id="rId65" Type="http://schemas.openxmlformats.org/officeDocument/2006/relationships/hyperlink" Target="https://youtu.be/FEB7AyJ8vQM?t=6892" TargetMode="External"/><Relationship Id="rId68" Type="http://schemas.openxmlformats.org/officeDocument/2006/relationships/hyperlink" Target="https://youtu.be/XwPU-BTvTCk" TargetMode="External"/><Relationship Id="rId67" Type="http://schemas.openxmlformats.org/officeDocument/2006/relationships/hyperlink" Target="https://youtu.be/FEB7AyJ8vQM?t=8806" TargetMode="External"/><Relationship Id="rId60" Type="http://schemas.openxmlformats.org/officeDocument/2006/relationships/hyperlink" Target="https://youtu.be/FEB7AyJ8vQM?t=1985" TargetMode="External"/><Relationship Id="rId69" Type="http://schemas.openxmlformats.org/officeDocument/2006/relationships/hyperlink" Target="https://youtu.be/XwPU-BTvTCk?t=1061" TargetMode="External"/><Relationship Id="rId51" Type="http://schemas.openxmlformats.org/officeDocument/2006/relationships/hyperlink" Target="https://youtu.be/fs2tZ8XzIpY?t=2860" TargetMode="External"/><Relationship Id="rId50" Type="http://schemas.openxmlformats.org/officeDocument/2006/relationships/hyperlink" Target="https://youtu.be/fs2tZ8XzIpY?t=1964" TargetMode="External"/><Relationship Id="rId53" Type="http://schemas.openxmlformats.org/officeDocument/2006/relationships/hyperlink" Target="https://youtu.be/fs2tZ8XzIpY?t=4790" TargetMode="External"/><Relationship Id="rId52" Type="http://schemas.openxmlformats.org/officeDocument/2006/relationships/hyperlink" Target="https://youtu.be/fs2tZ8XzIpY?t=3778" TargetMode="External"/><Relationship Id="rId55" Type="http://schemas.openxmlformats.org/officeDocument/2006/relationships/hyperlink" Target="https://youtu.be/fs2tZ8XzIpY?t=6704" TargetMode="External"/><Relationship Id="rId54" Type="http://schemas.openxmlformats.org/officeDocument/2006/relationships/hyperlink" Target="https://youtu.be/fs2tZ8XzIpY?t=5756" TargetMode="External"/><Relationship Id="rId57" Type="http://schemas.openxmlformats.org/officeDocument/2006/relationships/hyperlink" Target="https://youtu.be/fs2tZ8XzIpY?t=8537" TargetMode="External"/><Relationship Id="rId56" Type="http://schemas.openxmlformats.org/officeDocument/2006/relationships/hyperlink" Target="https://youtu.be/fs2tZ8XzIpY?t=7630" TargetMode="External"/><Relationship Id="rId59" Type="http://schemas.openxmlformats.org/officeDocument/2006/relationships/hyperlink" Target="https://youtu.be/FEB7AyJ8vQM?t=1088" TargetMode="External"/><Relationship Id="rId58" Type="http://schemas.openxmlformats.org/officeDocument/2006/relationships/hyperlink" Target="https://youtu.be/FEB7AyJ8vQM" TargetMode="Externa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6</v>
      </c>
      <c r="C3" s="9" t="s">
        <v>7</v>
      </c>
      <c r="D3" s="10" t="s">
        <v>8</v>
      </c>
      <c r="E3" s="11" t="s">
        <v>9</v>
      </c>
    </row>
    <row r="4">
      <c r="A4" s="7">
        <v>0.0625</v>
      </c>
      <c r="B4" s="12" t="s">
        <v>10</v>
      </c>
      <c r="C4" s="9" t="s">
        <v>11</v>
      </c>
      <c r="D4" s="8" t="s">
        <v>12</v>
      </c>
      <c r="E4" s="11" t="s">
        <v>13</v>
      </c>
    </row>
    <row r="5">
      <c r="A5" s="7">
        <v>0.07222222222222222</v>
      </c>
      <c r="B5" s="10" t="s">
        <v>10</v>
      </c>
      <c r="C5" s="9" t="s">
        <v>14</v>
      </c>
      <c r="D5" s="8" t="s">
        <v>8</v>
      </c>
      <c r="E5" s="11" t="s">
        <v>9</v>
      </c>
    </row>
    <row r="6">
      <c r="A6" s="7">
        <v>0.07222222222222222</v>
      </c>
      <c r="B6" s="8" t="s">
        <v>15</v>
      </c>
      <c r="C6" s="9" t="s">
        <v>16</v>
      </c>
      <c r="D6" s="10" t="s">
        <v>12</v>
      </c>
      <c r="E6" s="11" t="s">
        <v>13</v>
      </c>
    </row>
    <row r="7">
      <c r="A7" s="7">
        <v>0.08263888888888889</v>
      </c>
      <c r="B7" s="10" t="s">
        <v>15</v>
      </c>
      <c r="C7" s="9" t="s">
        <v>17</v>
      </c>
      <c r="D7" s="8" t="s">
        <v>10</v>
      </c>
      <c r="E7" s="11" t="s">
        <v>9</v>
      </c>
    </row>
    <row r="8">
      <c r="A8" s="7">
        <v>0.08263888888888889</v>
      </c>
      <c r="B8" s="8" t="s">
        <v>12</v>
      </c>
      <c r="C8" s="9" t="s">
        <v>18</v>
      </c>
      <c r="D8" s="8" t="s">
        <v>6</v>
      </c>
      <c r="E8" s="11" t="s">
        <v>13</v>
      </c>
    </row>
    <row r="9">
      <c r="A9" s="7">
        <v>0.09305555555555556</v>
      </c>
      <c r="B9" s="10" t="s">
        <v>15</v>
      </c>
      <c r="C9" s="9" t="s">
        <v>19</v>
      </c>
      <c r="D9" s="10" t="s">
        <v>8</v>
      </c>
      <c r="E9" s="11" t="s">
        <v>9</v>
      </c>
    </row>
    <row r="10">
      <c r="A10" s="7">
        <v>0.09305555555555556</v>
      </c>
      <c r="B10" s="8" t="s">
        <v>6</v>
      </c>
      <c r="C10" s="9" t="s">
        <v>20</v>
      </c>
      <c r="D10" s="8" t="s">
        <v>10</v>
      </c>
      <c r="E10" s="11" t="s">
        <v>13</v>
      </c>
    </row>
    <row r="11">
      <c r="A11" s="7">
        <v>0.10277777777777777</v>
      </c>
      <c r="B11" s="10" t="s">
        <v>12</v>
      </c>
      <c r="C11" s="9" t="s">
        <v>21</v>
      </c>
      <c r="D11" s="8" t="s">
        <v>8</v>
      </c>
      <c r="E11" s="11" t="s">
        <v>9</v>
      </c>
    </row>
    <row r="12">
      <c r="A12" s="7">
        <v>0.10277777777777777</v>
      </c>
      <c r="B12" s="8" t="s">
        <v>6</v>
      </c>
      <c r="C12" s="9" t="s">
        <v>22</v>
      </c>
      <c r="D12" s="10" t="s">
        <v>15</v>
      </c>
      <c r="E12" s="11" t="s">
        <v>13</v>
      </c>
    </row>
    <row r="13">
      <c r="A13" s="7">
        <v>0.11319444444444444</v>
      </c>
      <c r="B13" s="10" t="s">
        <v>8</v>
      </c>
      <c r="C13" s="9" t="s">
        <v>23</v>
      </c>
      <c r="D13" s="8" t="s">
        <v>6</v>
      </c>
      <c r="E13" s="11" t="s">
        <v>9</v>
      </c>
    </row>
    <row r="14">
      <c r="A14" s="7">
        <v>0.11319444444444444</v>
      </c>
      <c r="B14" s="8" t="s">
        <v>12</v>
      </c>
      <c r="C14" s="9" t="s">
        <v>18</v>
      </c>
      <c r="D14" s="8" t="s">
        <v>10</v>
      </c>
      <c r="E14" s="11" t="s">
        <v>13</v>
      </c>
    </row>
    <row r="15">
      <c r="A15" s="7">
        <v>0.12361111111111112</v>
      </c>
      <c r="B15" s="8" t="s">
        <v>8</v>
      </c>
      <c r="C15" s="13" t="s">
        <v>24</v>
      </c>
      <c r="D15" s="10" t="s">
        <v>10</v>
      </c>
      <c r="E15" s="11" t="s">
        <v>9</v>
      </c>
    </row>
    <row r="16">
      <c r="A16" s="7">
        <v>0.12361111111111112</v>
      </c>
      <c r="B16" s="10" t="s">
        <v>12</v>
      </c>
      <c r="C16" s="13" t="s">
        <v>25</v>
      </c>
      <c r="D16" s="8" t="s">
        <v>15</v>
      </c>
      <c r="E16" s="11" t="s">
        <v>13</v>
      </c>
    </row>
    <row r="17">
      <c r="A17" s="7">
        <v>0.13333333333333333</v>
      </c>
      <c r="B17" s="8" t="s">
        <v>10</v>
      </c>
      <c r="C17" s="13" t="s">
        <v>26</v>
      </c>
      <c r="D17" s="10" t="s">
        <v>15</v>
      </c>
      <c r="E17" s="11" t="s">
        <v>9</v>
      </c>
    </row>
    <row r="18">
      <c r="A18" s="7">
        <v>0.13333333333333333</v>
      </c>
      <c r="B18" s="8" t="s">
        <v>6</v>
      </c>
      <c r="C18" s="13" t="s">
        <v>22</v>
      </c>
      <c r="D18" s="8" t="s">
        <v>12</v>
      </c>
      <c r="E18" s="11" t="s">
        <v>13</v>
      </c>
    </row>
    <row r="19">
      <c r="A19" s="7">
        <v>0.14375</v>
      </c>
      <c r="B19" s="10" t="s">
        <v>8</v>
      </c>
      <c r="C19" s="13" t="s">
        <v>27</v>
      </c>
      <c r="D19" s="10" t="s">
        <v>15</v>
      </c>
      <c r="E19" s="11" t="s">
        <v>9</v>
      </c>
    </row>
    <row r="20">
      <c r="A20" s="7">
        <v>0.14375</v>
      </c>
      <c r="B20" s="8" t="s">
        <v>10</v>
      </c>
      <c r="C20" s="13" t="s">
        <v>16</v>
      </c>
      <c r="D20" s="8" t="s">
        <v>6</v>
      </c>
      <c r="E20" s="11" t="s">
        <v>13</v>
      </c>
    </row>
    <row r="21">
      <c r="A21" s="7">
        <v>0.15416666666666667</v>
      </c>
      <c r="B21" s="8" t="s">
        <v>8</v>
      </c>
      <c r="C21" s="13" t="s">
        <v>7</v>
      </c>
      <c r="D21" s="10" t="s">
        <v>12</v>
      </c>
      <c r="E21" s="11" t="s">
        <v>9</v>
      </c>
    </row>
    <row r="22">
      <c r="A22" s="7">
        <v>0.15416666666666667</v>
      </c>
      <c r="B22" s="10" t="s">
        <v>15</v>
      </c>
      <c r="C22" s="13" t="s">
        <v>28</v>
      </c>
      <c r="D22" s="8" t="s">
        <v>6</v>
      </c>
      <c r="E22" s="11" t="s">
        <v>13</v>
      </c>
    </row>
    <row r="23">
      <c r="A23" s="1"/>
      <c r="B23" s="1" t="s">
        <v>29</v>
      </c>
      <c r="C23" s="2"/>
      <c r="D23" s="3"/>
      <c r="E23" s="14"/>
    </row>
    <row r="24">
      <c r="A24" s="15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30</v>
      </c>
      <c r="C25" s="13" t="s">
        <v>31</v>
      </c>
      <c r="D25" s="8" t="s">
        <v>32</v>
      </c>
      <c r="E25" s="11" t="s">
        <v>33</v>
      </c>
    </row>
    <row r="26">
      <c r="A26" s="7">
        <v>0.0625</v>
      </c>
      <c r="B26" s="8" t="s">
        <v>34</v>
      </c>
      <c r="C26" s="13" t="s">
        <v>35</v>
      </c>
      <c r="D26" s="8" t="s">
        <v>36</v>
      </c>
      <c r="E26" s="11" t="s">
        <v>37</v>
      </c>
    </row>
    <row r="27">
      <c r="A27" s="7">
        <v>0.07222222222222222</v>
      </c>
      <c r="B27" s="10" t="s">
        <v>34</v>
      </c>
      <c r="C27" s="13" t="s">
        <v>38</v>
      </c>
      <c r="D27" s="10" t="s">
        <v>32</v>
      </c>
      <c r="E27" s="11" t="s">
        <v>33</v>
      </c>
    </row>
    <row r="28">
      <c r="A28" s="7">
        <v>0.07222222222222222</v>
      </c>
      <c r="B28" s="8" t="s">
        <v>39</v>
      </c>
      <c r="C28" s="13" t="s">
        <v>40</v>
      </c>
      <c r="D28" s="8" t="s">
        <v>36</v>
      </c>
      <c r="E28" s="11" t="s">
        <v>37</v>
      </c>
    </row>
    <row r="29">
      <c r="A29" s="7">
        <v>0.08263888888888889</v>
      </c>
      <c r="B29" s="10" t="s">
        <v>39</v>
      </c>
      <c r="C29" s="13" t="s">
        <v>41</v>
      </c>
      <c r="D29" s="8" t="s">
        <v>34</v>
      </c>
      <c r="E29" s="11" t="s">
        <v>33</v>
      </c>
    </row>
    <row r="30">
      <c r="A30" s="7">
        <v>0.08263888888888889</v>
      </c>
      <c r="B30" s="8" t="s">
        <v>36</v>
      </c>
      <c r="C30" s="13" t="s">
        <v>42</v>
      </c>
      <c r="D30" s="8" t="s">
        <v>30</v>
      </c>
      <c r="E30" s="11" t="s">
        <v>37</v>
      </c>
    </row>
    <row r="31">
      <c r="A31" s="7">
        <v>0.09305555555555556</v>
      </c>
      <c r="B31" s="10" t="s">
        <v>39</v>
      </c>
      <c r="C31" s="13" t="s">
        <v>43</v>
      </c>
      <c r="D31" s="8" t="s">
        <v>32</v>
      </c>
      <c r="E31" s="11" t="s">
        <v>33</v>
      </c>
    </row>
    <row r="32">
      <c r="A32" s="7">
        <v>0.09305555555555556</v>
      </c>
      <c r="B32" s="8" t="s">
        <v>30</v>
      </c>
      <c r="C32" s="13" t="s">
        <v>44</v>
      </c>
      <c r="D32" s="10" t="s">
        <v>34</v>
      </c>
      <c r="E32" s="11" t="s">
        <v>37</v>
      </c>
    </row>
    <row r="33">
      <c r="A33" s="7">
        <v>0.10277777777777777</v>
      </c>
      <c r="B33" s="8" t="s">
        <v>36</v>
      </c>
      <c r="C33" s="13" t="s">
        <v>45</v>
      </c>
      <c r="D33" s="8" t="s">
        <v>32</v>
      </c>
      <c r="E33" s="11" t="s">
        <v>33</v>
      </c>
    </row>
    <row r="34">
      <c r="A34" s="7">
        <v>0.10277777777777777</v>
      </c>
      <c r="B34" s="8" t="s">
        <v>30</v>
      </c>
      <c r="C34" s="13" t="s">
        <v>46</v>
      </c>
      <c r="D34" s="8" t="s">
        <v>39</v>
      </c>
      <c r="E34" s="11" t="s">
        <v>37</v>
      </c>
    </row>
    <row r="35">
      <c r="A35" s="7">
        <v>0.11319444444444444</v>
      </c>
      <c r="B35" s="8" t="s">
        <v>32</v>
      </c>
      <c r="C35" s="13" t="s">
        <v>42</v>
      </c>
      <c r="D35" s="8" t="s">
        <v>30</v>
      </c>
      <c r="E35" s="11" t="s">
        <v>33</v>
      </c>
    </row>
    <row r="36">
      <c r="A36" s="7">
        <v>0.11319444444444444</v>
      </c>
      <c r="B36" s="8" t="s">
        <v>36</v>
      </c>
      <c r="C36" s="13" t="s">
        <v>47</v>
      </c>
      <c r="D36" s="8" t="s">
        <v>34</v>
      </c>
      <c r="E36" s="11" t="s">
        <v>37</v>
      </c>
    </row>
    <row r="37">
      <c r="A37" s="7">
        <v>0.12361111111111112</v>
      </c>
      <c r="B37" s="10" t="s">
        <v>32</v>
      </c>
      <c r="C37" s="13" t="s">
        <v>48</v>
      </c>
      <c r="D37" s="10" t="s">
        <v>34</v>
      </c>
      <c r="E37" s="11" t="s">
        <v>33</v>
      </c>
    </row>
    <row r="38">
      <c r="A38" s="7">
        <v>0.12361111111111112</v>
      </c>
      <c r="B38" s="8" t="s">
        <v>36</v>
      </c>
      <c r="C38" s="13" t="s">
        <v>26</v>
      </c>
      <c r="D38" s="8" t="s">
        <v>39</v>
      </c>
      <c r="E38" s="11" t="s">
        <v>37</v>
      </c>
    </row>
    <row r="39">
      <c r="A39" s="7">
        <v>0.13333333333333333</v>
      </c>
      <c r="B39" s="8" t="s">
        <v>34</v>
      </c>
      <c r="C39" s="13" t="s">
        <v>49</v>
      </c>
      <c r="D39" s="10" t="s">
        <v>39</v>
      </c>
      <c r="E39" s="11" t="s">
        <v>33</v>
      </c>
    </row>
    <row r="40">
      <c r="A40" s="7">
        <v>0.13333333333333333</v>
      </c>
      <c r="B40" s="8" t="s">
        <v>30</v>
      </c>
      <c r="C40" s="13" t="s">
        <v>50</v>
      </c>
      <c r="D40" s="8" t="s">
        <v>36</v>
      </c>
      <c r="E40" s="11" t="s">
        <v>37</v>
      </c>
    </row>
    <row r="41">
      <c r="A41" s="7">
        <v>0.14375</v>
      </c>
      <c r="B41" s="8" t="s">
        <v>32</v>
      </c>
      <c r="C41" s="13" t="s">
        <v>20</v>
      </c>
      <c r="D41" s="10" t="s">
        <v>39</v>
      </c>
      <c r="E41" s="11" t="s">
        <v>33</v>
      </c>
    </row>
    <row r="42">
      <c r="A42" s="7">
        <v>0.14375</v>
      </c>
      <c r="B42" s="10" t="s">
        <v>34</v>
      </c>
      <c r="C42" s="13" t="s">
        <v>51</v>
      </c>
      <c r="D42" s="8" t="s">
        <v>30</v>
      </c>
      <c r="E42" s="11" t="s">
        <v>37</v>
      </c>
    </row>
    <row r="43">
      <c r="A43" s="7">
        <v>0.15416666666666667</v>
      </c>
      <c r="B43" s="8" t="s">
        <v>32</v>
      </c>
      <c r="C43" s="13" t="s">
        <v>22</v>
      </c>
      <c r="D43" s="8" t="s">
        <v>36</v>
      </c>
      <c r="E43" s="11" t="s">
        <v>33</v>
      </c>
    </row>
    <row r="44">
      <c r="A44" s="7">
        <v>0.15416666666666667</v>
      </c>
      <c r="B44" s="8" t="s">
        <v>39</v>
      </c>
      <c r="C44" s="13" t="s">
        <v>52</v>
      </c>
      <c r="D44" s="8" t="s">
        <v>30</v>
      </c>
      <c r="E44" s="11" t="s">
        <v>37</v>
      </c>
    </row>
    <row r="45">
      <c r="A45" s="1"/>
      <c r="B45" s="1" t="s">
        <v>53</v>
      </c>
      <c r="C45" s="2"/>
      <c r="D45" s="3"/>
      <c r="E45" s="14"/>
    </row>
    <row r="46">
      <c r="A46" s="15" t="s">
        <v>1</v>
      </c>
      <c r="B46" s="16" t="s">
        <v>2</v>
      </c>
      <c r="C46" s="16" t="s">
        <v>3</v>
      </c>
      <c r="D46" s="16" t="s">
        <v>4</v>
      </c>
      <c r="E46" s="16" t="s">
        <v>5</v>
      </c>
    </row>
    <row r="47">
      <c r="A47" s="7">
        <v>0.16666666666666666</v>
      </c>
      <c r="B47" s="8" t="s">
        <v>54</v>
      </c>
      <c r="C47" s="13" t="s">
        <v>55</v>
      </c>
      <c r="D47" s="8" t="s">
        <v>56</v>
      </c>
      <c r="E47" s="11" t="s">
        <v>9</v>
      </c>
    </row>
    <row r="48">
      <c r="A48" s="7">
        <v>0.16666666666666666</v>
      </c>
      <c r="B48" s="8" t="s">
        <v>57</v>
      </c>
      <c r="C48" s="13" t="s">
        <v>58</v>
      </c>
      <c r="D48" s="8" t="s">
        <v>59</v>
      </c>
      <c r="E48" s="11" t="s">
        <v>13</v>
      </c>
    </row>
    <row r="49">
      <c r="A49" s="7">
        <v>0.1763888888888889</v>
      </c>
      <c r="B49" s="8" t="s">
        <v>57</v>
      </c>
      <c r="C49" s="13" t="s">
        <v>60</v>
      </c>
      <c r="D49" s="8" t="s">
        <v>56</v>
      </c>
      <c r="E49" s="11" t="s">
        <v>9</v>
      </c>
    </row>
    <row r="50">
      <c r="A50" s="7">
        <v>0.1763888888888889</v>
      </c>
      <c r="B50" s="8" t="s">
        <v>61</v>
      </c>
      <c r="C50" s="13" t="s">
        <v>62</v>
      </c>
      <c r="D50" s="8" t="s">
        <v>59</v>
      </c>
      <c r="E50" s="11" t="s">
        <v>13</v>
      </c>
    </row>
    <row r="51">
      <c r="A51" s="7">
        <v>0.18680555555555556</v>
      </c>
      <c r="B51" s="8" t="s">
        <v>61</v>
      </c>
      <c r="C51" s="13" t="s">
        <v>63</v>
      </c>
      <c r="D51" s="8" t="s">
        <v>57</v>
      </c>
      <c r="E51" s="11" t="s">
        <v>9</v>
      </c>
    </row>
    <row r="52">
      <c r="A52" s="7">
        <v>0.18680555555555556</v>
      </c>
      <c r="B52" s="8" t="s">
        <v>59</v>
      </c>
      <c r="C52" s="13" t="s">
        <v>64</v>
      </c>
      <c r="D52" s="8" t="s">
        <v>54</v>
      </c>
      <c r="E52" s="11" t="s">
        <v>13</v>
      </c>
    </row>
    <row r="53">
      <c r="A53" s="7">
        <v>0.19722222222222222</v>
      </c>
      <c r="B53" s="8" t="s">
        <v>61</v>
      </c>
      <c r="C53" s="13" t="s">
        <v>43</v>
      </c>
      <c r="D53" s="8" t="s">
        <v>56</v>
      </c>
      <c r="E53" s="11" t="s">
        <v>9</v>
      </c>
    </row>
    <row r="54">
      <c r="A54" s="7">
        <v>0.19722222222222222</v>
      </c>
      <c r="B54" s="8" t="s">
        <v>54</v>
      </c>
      <c r="C54" s="13" t="s">
        <v>18</v>
      </c>
      <c r="D54" s="8" t="s">
        <v>57</v>
      </c>
      <c r="E54" s="11" t="s">
        <v>13</v>
      </c>
    </row>
    <row r="55">
      <c r="A55" s="7">
        <v>0.20694444444444443</v>
      </c>
      <c r="B55" s="8" t="s">
        <v>59</v>
      </c>
      <c r="C55" s="13" t="s">
        <v>65</v>
      </c>
      <c r="D55" s="8" t="s">
        <v>56</v>
      </c>
      <c r="E55" s="11" t="s">
        <v>9</v>
      </c>
    </row>
    <row r="56">
      <c r="A56" s="7">
        <v>0.20694444444444443</v>
      </c>
      <c r="B56" s="8" t="s">
        <v>54</v>
      </c>
      <c r="C56" s="13" t="s">
        <v>66</v>
      </c>
      <c r="D56" s="8" t="s">
        <v>61</v>
      </c>
      <c r="E56" s="11" t="s">
        <v>13</v>
      </c>
    </row>
    <row r="57">
      <c r="A57" s="7">
        <v>0.21736111111111112</v>
      </c>
      <c r="B57" s="8" t="s">
        <v>56</v>
      </c>
      <c r="C57" s="13" t="s">
        <v>58</v>
      </c>
      <c r="D57" s="8" t="s">
        <v>54</v>
      </c>
      <c r="E57" s="11" t="s">
        <v>9</v>
      </c>
    </row>
    <row r="58">
      <c r="A58" s="7">
        <v>0.21736111111111112</v>
      </c>
      <c r="B58" s="8" t="s">
        <v>59</v>
      </c>
      <c r="C58" s="13" t="s">
        <v>67</v>
      </c>
      <c r="D58" s="8" t="s">
        <v>57</v>
      </c>
      <c r="E58" s="11" t="s">
        <v>13</v>
      </c>
    </row>
    <row r="59">
      <c r="A59" s="7">
        <v>0.22777777777777777</v>
      </c>
      <c r="B59" s="8" t="s">
        <v>56</v>
      </c>
      <c r="C59" s="13" t="s">
        <v>68</v>
      </c>
      <c r="D59" s="8" t="s">
        <v>57</v>
      </c>
      <c r="E59" s="11" t="s">
        <v>9</v>
      </c>
    </row>
    <row r="60">
      <c r="A60" s="7">
        <v>0.22777777777777777</v>
      </c>
      <c r="B60" s="8" t="s">
        <v>59</v>
      </c>
      <c r="C60" s="13" t="s">
        <v>69</v>
      </c>
      <c r="D60" s="8" t="s">
        <v>61</v>
      </c>
      <c r="E60" s="11" t="s">
        <v>13</v>
      </c>
    </row>
    <row r="61">
      <c r="A61" s="7">
        <v>0.2375</v>
      </c>
      <c r="B61" s="8" t="s">
        <v>57</v>
      </c>
      <c r="C61" s="13" t="s">
        <v>35</v>
      </c>
      <c r="D61" s="8" t="s">
        <v>61</v>
      </c>
      <c r="E61" s="11" t="s">
        <v>9</v>
      </c>
    </row>
    <row r="62">
      <c r="A62" s="7">
        <v>0.2375</v>
      </c>
      <c r="B62" s="8" t="s">
        <v>54</v>
      </c>
      <c r="C62" s="13" t="s">
        <v>70</v>
      </c>
      <c r="D62" s="8" t="s">
        <v>59</v>
      </c>
      <c r="E62" s="11" t="s">
        <v>13</v>
      </c>
    </row>
    <row r="63">
      <c r="A63" s="7">
        <v>0.24791666666666667</v>
      </c>
      <c r="B63" s="8" t="s">
        <v>56</v>
      </c>
      <c r="C63" s="13" t="s">
        <v>71</v>
      </c>
      <c r="D63" s="8" t="s">
        <v>61</v>
      </c>
      <c r="E63" s="11" t="s">
        <v>9</v>
      </c>
    </row>
    <row r="64">
      <c r="A64" s="7">
        <v>0.24791666666666667</v>
      </c>
      <c r="B64" s="8" t="s">
        <v>57</v>
      </c>
      <c r="C64" s="13" t="s">
        <v>72</v>
      </c>
      <c r="D64" s="8" t="s">
        <v>54</v>
      </c>
      <c r="E64" s="11" t="s">
        <v>13</v>
      </c>
    </row>
    <row r="65">
      <c r="A65" s="7">
        <v>0.25833333333333336</v>
      </c>
      <c r="B65" s="8" t="s">
        <v>56</v>
      </c>
      <c r="C65" s="13" t="s">
        <v>58</v>
      </c>
      <c r="D65" s="8" t="s">
        <v>59</v>
      </c>
      <c r="E65" s="11" t="s">
        <v>9</v>
      </c>
    </row>
    <row r="66">
      <c r="A66" s="7">
        <v>0.25833333333333336</v>
      </c>
      <c r="B66" s="8" t="s">
        <v>61</v>
      </c>
      <c r="C66" s="13" t="s">
        <v>24</v>
      </c>
      <c r="D66" s="8" t="s">
        <v>54</v>
      </c>
      <c r="E66" s="11" t="s">
        <v>13</v>
      </c>
    </row>
    <row r="67">
      <c r="A67" s="1"/>
      <c r="B67" s="1" t="s">
        <v>53</v>
      </c>
      <c r="C67" s="2"/>
      <c r="D67" s="3"/>
      <c r="E67" s="4"/>
    </row>
    <row r="68">
      <c r="A68" s="15" t="s">
        <v>1</v>
      </c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7">
        <v>0.16666666666666666</v>
      </c>
      <c r="B69" s="8" t="s">
        <v>73</v>
      </c>
      <c r="C69" s="13" t="s">
        <v>43</v>
      </c>
      <c r="D69" s="8" t="s">
        <v>74</v>
      </c>
      <c r="E69" s="11" t="s">
        <v>33</v>
      </c>
    </row>
    <row r="70">
      <c r="A70" s="7">
        <v>0.16666666666666666</v>
      </c>
      <c r="B70" s="8" t="s">
        <v>75</v>
      </c>
      <c r="C70" s="13" t="s">
        <v>76</v>
      </c>
      <c r="D70" s="8" t="s">
        <v>77</v>
      </c>
      <c r="E70" s="11" t="s">
        <v>37</v>
      </c>
    </row>
    <row r="71">
      <c r="A71" s="7">
        <v>0.1763888888888889</v>
      </c>
      <c r="B71" s="8" t="s">
        <v>75</v>
      </c>
      <c r="C71" s="13" t="s">
        <v>78</v>
      </c>
      <c r="D71" s="8" t="s">
        <v>74</v>
      </c>
      <c r="E71" s="11" t="s">
        <v>33</v>
      </c>
    </row>
    <row r="72">
      <c r="A72" s="7">
        <v>0.1763888888888889</v>
      </c>
      <c r="B72" s="8" t="s">
        <v>79</v>
      </c>
      <c r="C72" s="13" t="s">
        <v>80</v>
      </c>
      <c r="D72" s="8" t="s">
        <v>77</v>
      </c>
      <c r="E72" s="11" t="s">
        <v>37</v>
      </c>
    </row>
    <row r="73">
      <c r="A73" s="7">
        <v>0.18680555555555556</v>
      </c>
      <c r="B73" s="8" t="s">
        <v>79</v>
      </c>
      <c r="C73" s="13" t="s">
        <v>81</v>
      </c>
      <c r="D73" s="8" t="s">
        <v>75</v>
      </c>
      <c r="E73" s="11" t="s">
        <v>33</v>
      </c>
    </row>
    <row r="74">
      <c r="A74" s="7">
        <v>0.18680555555555556</v>
      </c>
      <c r="B74" s="8" t="s">
        <v>77</v>
      </c>
      <c r="C74" s="13" t="s">
        <v>82</v>
      </c>
      <c r="D74" s="8" t="s">
        <v>73</v>
      </c>
      <c r="E74" s="11" t="s">
        <v>37</v>
      </c>
    </row>
    <row r="75">
      <c r="A75" s="7">
        <v>0.19722222222222222</v>
      </c>
      <c r="B75" s="8" t="s">
        <v>79</v>
      </c>
      <c r="C75" s="13" t="s">
        <v>68</v>
      </c>
      <c r="D75" s="8" t="s">
        <v>74</v>
      </c>
      <c r="E75" s="11" t="s">
        <v>33</v>
      </c>
    </row>
    <row r="76">
      <c r="A76" s="7">
        <v>0.19722222222222222</v>
      </c>
      <c r="B76" s="8" t="s">
        <v>73</v>
      </c>
      <c r="C76" s="13" t="s">
        <v>83</v>
      </c>
      <c r="D76" s="8" t="s">
        <v>75</v>
      </c>
      <c r="E76" s="11" t="s">
        <v>37</v>
      </c>
    </row>
    <row r="77">
      <c r="A77" s="7">
        <v>0.20694444444444443</v>
      </c>
      <c r="B77" s="8" t="s">
        <v>77</v>
      </c>
      <c r="C77" s="13" t="s">
        <v>82</v>
      </c>
      <c r="D77" s="8" t="s">
        <v>74</v>
      </c>
      <c r="E77" s="11" t="s">
        <v>33</v>
      </c>
    </row>
    <row r="78">
      <c r="A78" s="7">
        <v>0.20694444444444443</v>
      </c>
      <c r="B78" s="8" t="s">
        <v>73</v>
      </c>
      <c r="C78" s="13" t="s">
        <v>71</v>
      </c>
      <c r="D78" s="8" t="s">
        <v>79</v>
      </c>
      <c r="E78" s="11" t="s">
        <v>37</v>
      </c>
    </row>
    <row r="79">
      <c r="A79" s="7">
        <v>0.21736111111111112</v>
      </c>
      <c r="B79" s="8" t="s">
        <v>74</v>
      </c>
      <c r="C79" s="13" t="s">
        <v>25</v>
      </c>
      <c r="D79" s="8" t="s">
        <v>73</v>
      </c>
      <c r="E79" s="11" t="s">
        <v>33</v>
      </c>
    </row>
    <row r="80">
      <c r="A80" s="7">
        <v>0.21736111111111112</v>
      </c>
      <c r="B80" s="8" t="s">
        <v>77</v>
      </c>
      <c r="C80" s="13" t="s">
        <v>84</v>
      </c>
      <c r="D80" s="8" t="s">
        <v>75</v>
      </c>
      <c r="E80" s="11" t="s">
        <v>37</v>
      </c>
    </row>
    <row r="81">
      <c r="A81" s="7">
        <v>0.22777777777777777</v>
      </c>
      <c r="B81" s="8" t="s">
        <v>74</v>
      </c>
      <c r="C81" s="13" t="s">
        <v>11</v>
      </c>
      <c r="D81" s="8" t="s">
        <v>75</v>
      </c>
      <c r="E81" s="11" t="s">
        <v>33</v>
      </c>
    </row>
    <row r="82">
      <c r="A82" s="7">
        <v>0.22777777777777777</v>
      </c>
      <c r="B82" s="8" t="s">
        <v>77</v>
      </c>
      <c r="C82" s="13" t="s">
        <v>85</v>
      </c>
      <c r="D82" s="8" t="s">
        <v>79</v>
      </c>
      <c r="E82" s="11" t="s">
        <v>37</v>
      </c>
    </row>
    <row r="83">
      <c r="A83" s="7">
        <v>0.2375</v>
      </c>
      <c r="B83" s="8" t="s">
        <v>75</v>
      </c>
      <c r="C83" s="13" t="s">
        <v>86</v>
      </c>
      <c r="D83" s="8" t="s">
        <v>79</v>
      </c>
      <c r="E83" s="11" t="s">
        <v>33</v>
      </c>
    </row>
    <row r="84">
      <c r="A84" s="7">
        <v>0.2375</v>
      </c>
      <c r="B84" s="8" t="s">
        <v>73</v>
      </c>
      <c r="C84" s="13" t="s">
        <v>87</v>
      </c>
      <c r="D84" s="8" t="s">
        <v>77</v>
      </c>
      <c r="E84" s="11" t="s">
        <v>37</v>
      </c>
    </row>
    <row r="85">
      <c r="A85" s="7">
        <v>0.24791666666666667</v>
      </c>
      <c r="B85" s="8" t="s">
        <v>74</v>
      </c>
      <c r="C85" s="13" t="s">
        <v>49</v>
      </c>
      <c r="D85" s="8" t="s">
        <v>79</v>
      </c>
      <c r="E85" s="11" t="s">
        <v>33</v>
      </c>
    </row>
    <row r="86">
      <c r="A86" s="7">
        <v>0.24791666666666667</v>
      </c>
      <c r="B86" s="8" t="s">
        <v>75</v>
      </c>
      <c r="C86" s="13" t="s">
        <v>41</v>
      </c>
      <c r="D86" s="8" t="s">
        <v>73</v>
      </c>
      <c r="E86" s="11" t="s">
        <v>37</v>
      </c>
    </row>
    <row r="87">
      <c r="A87" s="7">
        <v>0.25833333333333336</v>
      </c>
      <c r="B87" s="8" t="s">
        <v>74</v>
      </c>
      <c r="C87" s="13" t="s">
        <v>88</v>
      </c>
      <c r="D87" s="8" t="s">
        <v>77</v>
      </c>
      <c r="E87" s="11" t="s">
        <v>33</v>
      </c>
    </row>
    <row r="88">
      <c r="A88" s="17">
        <v>0.25833333333333336</v>
      </c>
      <c r="B88" s="8" t="s">
        <v>79</v>
      </c>
      <c r="C88" s="13" t="s">
        <v>89</v>
      </c>
      <c r="D88" s="8" t="s">
        <v>73</v>
      </c>
      <c r="E88" s="11" t="s">
        <v>37</v>
      </c>
    </row>
    <row r="89">
      <c r="B89" s="1" t="s">
        <v>90</v>
      </c>
      <c r="C89" s="2"/>
      <c r="D89" s="3"/>
      <c r="E89" s="4"/>
    </row>
    <row r="90">
      <c r="A90" s="18" t="s">
        <v>1</v>
      </c>
      <c r="B90" s="16" t="s">
        <v>2</v>
      </c>
      <c r="C90" s="16" t="s">
        <v>3</v>
      </c>
      <c r="D90" s="16" t="s">
        <v>4</v>
      </c>
      <c r="E90" s="16" t="s">
        <v>5</v>
      </c>
    </row>
    <row r="91">
      <c r="A91" s="19">
        <v>0.3333333333333333</v>
      </c>
      <c r="B91" s="20" t="s">
        <v>91</v>
      </c>
      <c r="C91" s="16"/>
      <c r="D91" s="20" t="s">
        <v>92</v>
      </c>
      <c r="E91" s="11" t="s">
        <v>9</v>
      </c>
    </row>
    <row r="92">
      <c r="A92" s="19">
        <v>0.3333333333333333</v>
      </c>
      <c r="B92" s="20" t="s">
        <v>93</v>
      </c>
      <c r="C92" s="13"/>
      <c r="D92" s="20" t="s">
        <v>94</v>
      </c>
      <c r="E92" s="11" t="s">
        <v>13</v>
      </c>
    </row>
    <row r="93">
      <c r="A93" s="19">
        <v>0.34305555555555556</v>
      </c>
      <c r="B93" s="20" t="s">
        <v>93</v>
      </c>
      <c r="C93" s="16"/>
      <c r="D93" s="20" t="s">
        <v>92</v>
      </c>
      <c r="E93" s="21" t="s">
        <v>9</v>
      </c>
    </row>
    <row r="94">
      <c r="A94" s="19">
        <v>0.34305555555555556</v>
      </c>
      <c r="B94" s="20" t="s">
        <v>95</v>
      </c>
      <c r="C94" s="16"/>
      <c r="D94" s="20" t="s">
        <v>94</v>
      </c>
      <c r="E94" s="21" t="s">
        <v>13</v>
      </c>
    </row>
    <row r="95">
      <c r="A95" s="19">
        <v>0.35347222222222224</v>
      </c>
      <c r="B95" s="20" t="s">
        <v>95</v>
      </c>
      <c r="C95" s="16"/>
      <c r="D95" s="20" t="s">
        <v>93</v>
      </c>
      <c r="E95" s="21" t="s">
        <v>9</v>
      </c>
    </row>
    <row r="96">
      <c r="A96" s="19">
        <v>0.35347222222222224</v>
      </c>
      <c r="B96" s="20" t="s">
        <v>94</v>
      </c>
      <c r="C96" s="16"/>
      <c r="D96" s="20" t="s">
        <v>91</v>
      </c>
      <c r="E96" s="21" t="s">
        <v>13</v>
      </c>
    </row>
    <row r="97">
      <c r="A97" s="19">
        <v>0.3638888888888889</v>
      </c>
      <c r="B97" s="20" t="s">
        <v>95</v>
      </c>
      <c r="C97" s="16"/>
      <c r="D97" s="20" t="s">
        <v>92</v>
      </c>
      <c r="E97" s="21" t="s">
        <v>9</v>
      </c>
    </row>
    <row r="98">
      <c r="A98" s="19">
        <v>0.3638888888888889</v>
      </c>
      <c r="B98" s="20" t="s">
        <v>91</v>
      </c>
      <c r="C98" s="16"/>
      <c r="D98" s="20" t="s">
        <v>93</v>
      </c>
      <c r="E98" s="21" t="s">
        <v>13</v>
      </c>
    </row>
    <row r="99">
      <c r="A99" s="19">
        <v>0.3736111111111111</v>
      </c>
      <c r="B99" s="20" t="s">
        <v>94</v>
      </c>
      <c r="C99" s="16"/>
      <c r="D99" s="20" t="s">
        <v>92</v>
      </c>
      <c r="E99" s="21" t="s">
        <v>9</v>
      </c>
    </row>
    <row r="100">
      <c r="A100" s="19">
        <v>0.3736111111111111</v>
      </c>
      <c r="B100" s="20" t="s">
        <v>91</v>
      </c>
      <c r="C100" s="16"/>
      <c r="D100" s="20" t="s">
        <v>95</v>
      </c>
      <c r="E100" s="21" t="s">
        <v>13</v>
      </c>
    </row>
    <row r="101">
      <c r="A101" s="19">
        <v>0.3840277777777778</v>
      </c>
      <c r="B101" s="20" t="s">
        <v>92</v>
      </c>
      <c r="C101" s="16"/>
      <c r="D101" s="20" t="s">
        <v>91</v>
      </c>
      <c r="E101" s="21" t="s">
        <v>9</v>
      </c>
    </row>
    <row r="102">
      <c r="A102" s="19">
        <v>0.3840277777777778</v>
      </c>
      <c r="B102" s="20" t="s">
        <v>94</v>
      </c>
      <c r="C102" s="16"/>
      <c r="D102" s="20" t="s">
        <v>93</v>
      </c>
      <c r="E102" s="21" t="s">
        <v>13</v>
      </c>
    </row>
    <row r="103">
      <c r="A103" s="19">
        <v>0.39444444444444443</v>
      </c>
      <c r="B103" s="20" t="s">
        <v>92</v>
      </c>
      <c r="C103" s="16"/>
      <c r="D103" s="20" t="s">
        <v>93</v>
      </c>
      <c r="E103" s="21" t="s">
        <v>9</v>
      </c>
    </row>
    <row r="104">
      <c r="A104" s="19">
        <v>0.39444444444444443</v>
      </c>
      <c r="B104" s="20" t="s">
        <v>94</v>
      </c>
      <c r="C104" s="16"/>
      <c r="D104" s="20" t="s">
        <v>95</v>
      </c>
      <c r="E104" s="21" t="s">
        <v>13</v>
      </c>
    </row>
    <row r="105">
      <c r="A105" s="19">
        <v>0.4041666666666667</v>
      </c>
      <c r="B105" s="20" t="s">
        <v>93</v>
      </c>
      <c r="C105" s="16"/>
      <c r="D105" s="20" t="s">
        <v>95</v>
      </c>
      <c r="E105" s="21" t="s">
        <v>9</v>
      </c>
    </row>
    <row r="106">
      <c r="A106" s="19">
        <v>0.4041666666666667</v>
      </c>
      <c r="B106" s="20" t="s">
        <v>91</v>
      </c>
      <c r="C106" s="16"/>
      <c r="D106" s="20" t="s">
        <v>94</v>
      </c>
      <c r="E106" s="21" t="s">
        <v>13</v>
      </c>
    </row>
    <row r="107">
      <c r="A107" s="19">
        <v>0.41458333333333336</v>
      </c>
      <c r="B107" s="20" t="s">
        <v>92</v>
      </c>
      <c r="C107" s="16"/>
      <c r="D107" s="20" t="s">
        <v>95</v>
      </c>
      <c r="E107" s="21" t="s">
        <v>9</v>
      </c>
    </row>
    <row r="108">
      <c r="A108" s="19">
        <v>0.41458333333333336</v>
      </c>
      <c r="B108" s="20" t="s">
        <v>93</v>
      </c>
      <c r="C108" s="16"/>
      <c r="D108" s="20" t="s">
        <v>91</v>
      </c>
      <c r="E108" s="21" t="s">
        <v>13</v>
      </c>
    </row>
    <row r="109">
      <c r="A109" s="19">
        <v>0.425</v>
      </c>
      <c r="B109" s="20" t="s">
        <v>92</v>
      </c>
      <c r="C109" s="16"/>
      <c r="D109" s="20" t="s">
        <v>94</v>
      </c>
      <c r="E109" s="21" t="s">
        <v>9</v>
      </c>
    </row>
    <row r="110">
      <c r="A110" s="19">
        <v>0.425</v>
      </c>
      <c r="B110" s="20" t="s">
        <v>95</v>
      </c>
      <c r="C110" s="16"/>
      <c r="D110" s="20" t="s">
        <v>91</v>
      </c>
      <c r="E110" s="21" t="s">
        <v>13</v>
      </c>
    </row>
    <row r="111">
      <c r="A111" s="1"/>
      <c r="B111" s="1" t="s">
        <v>90</v>
      </c>
      <c r="C111" s="2"/>
      <c r="D111" s="3"/>
      <c r="E111" s="4"/>
    </row>
    <row r="112">
      <c r="A112" s="18" t="s">
        <v>1</v>
      </c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A113" s="22">
        <v>0.3333333333333333</v>
      </c>
      <c r="B113" s="8" t="s">
        <v>96</v>
      </c>
      <c r="C113" s="16"/>
      <c r="D113" s="8" t="s">
        <v>97</v>
      </c>
      <c r="E113" s="11" t="s">
        <v>33</v>
      </c>
    </row>
    <row r="114">
      <c r="A114" s="23">
        <v>0.3333333333333333</v>
      </c>
      <c r="B114" s="8" t="s">
        <v>98</v>
      </c>
      <c r="C114" s="16"/>
      <c r="D114" s="8" t="s">
        <v>99</v>
      </c>
      <c r="E114" s="11" t="s">
        <v>37</v>
      </c>
    </row>
    <row r="115">
      <c r="A115" s="23">
        <v>0.34305555555555556</v>
      </c>
      <c r="B115" s="8" t="s">
        <v>98</v>
      </c>
      <c r="C115" s="16"/>
      <c r="D115" s="8" t="s">
        <v>97</v>
      </c>
      <c r="E115" s="24" t="s">
        <v>33</v>
      </c>
    </row>
    <row r="116">
      <c r="A116" s="23">
        <v>0.34305555555555556</v>
      </c>
      <c r="B116" s="8" t="s">
        <v>100</v>
      </c>
      <c r="C116" s="16"/>
      <c r="D116" s="8" t="s">
        <v>99</v>
      </c>
      <c r="E116" s="24" t="s">
        <v>37</v>
      </c>
    </row>
    <row r="117">
      <c r="A117" s="23">
        <v>0.35347222222222224</v>
      </c>
      <c r="B117" s="8" t="s">
        <v>100</v>
      </c>
      <c r="C117" s="16"/>
      <c r="D117" s="8" t="s">
        <v>98</v>
      </c>
      <c r="E117" s="24" t="s">
        <v>33</v>
      </c>
    </row>
    <row r="118">
      <c r="A118" s="23">
        <v>0.35347222222222224</v>
      </c>
      <c r="B118" s="8" t="s">
        <v>99</v>
      </c>
      <c r="C118" s="16"/>
      <c r="D118" s="8" t="s">
        <v>96</v>
      </c>
      <c r="E118" s="24" t="s">
        <v>37</v>
      </c>
    </row>
    <row r="119">
      <c r="A119" s="23">
        <v>0.3638888888888889</v>
      </c>
      <c r="B119" s="8" t="s">
        <v>100</v>
      </c>
      <c r="C119" s="16"/>
      <c r="D119" s="8" t="s">
        <v>97</v>
      </c>
      <c r="E119" s="24" t="s">
        <v>33</v>
      </c>
    </row>
    <row r="120">
      <c r="A120" s="23">
        <v>0.3638888888888889</v>
      </c>
      <c r="B120" s="8" t="s">
        <v>96</v>
      </c>
      <c r="C120" s="16"/>
      <c r="D120" s="8" t="s">
        <v>98</v>
      </c>
      <c r="E120" s="24" t="s">
        <v>37</v>
      </c>
    </row>
    <row r="121">
      <c r="A121" s="23">
        <v>0.3736111111111111</v>
      </c>
      <c r="B121" s="8" t="s">
        <v>99</v>
      </c>
      <c r="C121" s="16"/>
      <c r="D121" s="8" t="s">
        <v>97</v>
      </c>
      <c r="E121" s="24" t="s">
        <v>33</v>
      </c>
    </row>
    <row r="122">
      <c r="A122" s="23">
        <v>0.3736111111111111</v>
      </c>
      <c r="B122" s="8" t="s">
        <v>96</v>
      </c>
      <c r="C122" s="16"/>
      <c r="D122" s="8" t="s">
        <v>100</v>
      </c>
      <c r="E122" s="24" t="s">
        <v>37</v>
      </c>
    </row>
    <row r="123">
      <c r="A123" s="23">
        <v>0.3840277777777778</v>
      </c>
      <c r="B123" s="8" t="s">
        <v>97</v>
      </c>
      <c r="C123" s="16"/>
      <c r="D123" s="8" t="s">
        <v>96</v>
      </c>
      <c r="E123" s="24" t="s">
        <v>33</v>
      </c>
    </row>
    <row r="124">
      <c r="A124" s="23">
        <v>0.3840277777777778</v>
      </c>
      <c r="B124" s="8" t="s">
        <v>99</v>
      </c>
      <c r="C124" s="16"/>
      <c r="D124" s="8" t="s">
        <v>98</v>
      </c>
      <c r="E124" s="24" t="s">
        <v>37</v>
      </c>
    </row>
    <row r="125">
      <c r="A125" s="23">
        <v>0.39444444444444443</v>
      </c>
      <c r="B125" s="8" t="s">
        <v>97</v>
      </c>
      <c r="C125" s="16"/>
      <c r="D125" s="8" t="s">
        <v>98</v>
      </c>
      <c r="E125" s="24" t="s">
        <v>33</v>
      </c>
    </row>
    <row r="126">
      <c r="A126" s="23">
        <v>0.39444444444444443</v>
      </c>
      <c r="B126" s="8" t="s">
        <v>99</v>
      </c>
      <c r="C126" s="16"/>
      <c r="D126" s="8" t="s">
        <v>100</v>
      </c>
      <c r="E126" s="24" t="s">
        <v>37</v>
      </c>
    </row>
    <row r="127">
      <c r="A127" s="23">
        <v>0.4041666666666667</v>
      </c>
      <c r="B127" s="8" t="s">
        <v>98</v>
      </c>
      <c r="C127" s="16"/>
      <c r="D127" s="8" t="s">
        <v>100</v>
      </c>
      <c r="E127" s="24" t="s">
        <v>33</v>
      </c>
    </row>
    <row r="128">
      <c r="A128" s="23">
        <v>0.4041666666666667</v>
      </c>
      <c r="B128" s="8" t="s">
        <v>96</v>
      </c>
      <c r="C128" s="16"/>
      <c r="D128" s="8" t="s">
        <v>99</v>
      </c>
      <c r="E128" s="24" t="s">
        <v>37</v>
      </c>
    </row>
    <row r="129">
      <c r="A129" s="23">
        <v>0.41458333333333336</v>
      </c>
      <c r="B129" s="8" t="s">
        <v>97</v>
      </c>
      <c r="C129" s="16"/>
      <c r="D129" s="8" t="s">
        <v>100</v>
      </c>
      <c r="E129" s="24" t="s">
        <v>33</v>
      </c>
    </row>
    <row r="130">
      <c r="A130" s="23">
        <v>0.41458333333333336</v>
      </c>
      <c r="B130" s="8" t="s">
        <v>98</v>
      </c>
      <c r="C130" s="16"/>
      <c r="D130" s="8" t="s">
        <v>96</v>
      </c>
      <c r="E130" s="24" t="s">
        <v>37</v>
      </c>
    </row>
    <row r="131">
      <c r="A131" s="23">
        <v>0.425</v>
      </c>
      <c r="B131" s="8" t="s">
        <v>97</v>
      </c>
      <c r="C131" s="16"/>
      <c r="D131" s="8" t="s">
        <v>99</v>
      </c>
      <c r="E131" s="24" t="s">
        <v>33</v>
      </c>
    </row>
    <row r="132">
      <c r="A132" s="23">
        <v>0.425</v>
      </c>
      <c r="B132" s="8" t="s">
        <v>100</v>
      </c>
      <c r="C132" s="16"/>
      <c r="D132" s="8" t="s">
        <v>96</v>
      </c>
      <c r="E132" s="24" t="s">
        <v>37</v>
      </c>
    </row>
    <row r="133">
      <c r="A133" s="1"/>
      <c r="B133" s="1" t="s">
        <v>101</v>
      </c>
      <c r="C133" s="2"/>
      <c r="D133" s="3"/>
      <c r="E133" s="4"/>
    </row>
    <row r="134">
      <c r="A134" s="18" t="s">
        <v>1</v>
      </c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A135" s="19">
        <v>0.4375</v>
      </c>
      <c r="B135" s="8" t="s">
        <v>102</v>
      </c>
      <c r="C135" s="25"/>
      <c r="D135" s="8" t="s">
        <v>103</v>
      </c>
      <c r="E135" s="21" t="s">
        <v>9</v>
      </c>
    </row>
    <row r="136">
      <c r="A136" s="19">
        <v>0.4375</v>
      </c>
      <c r="B136" s="8" t="s">
        <v>104</v>
      </c>
      <c r="C136" s="25"/>
      <c r="D136" s="8" t="s">
        <v>105</v>
      </c>
      <c r="E136" s="21" t="s">
        <v>13</v>
      </c>
    </row>
    <row r="137">
      <c r="A137" s="19">
        <v>0.44722222222222224</v>
      </c>
      <c r="B137" s="8" t="s">
        <v>104</v>
      </c>
      <c r="C137" s="26"/>
      <c r="D137" s="8" t="s">
        <v>103</v>
      </c>
      <c r="E137" s="21" t="s">
        <v>9</v>
      </c>
    </row>
    <row r="138">
      <c r="A138" s="19">
        <v>0.44722222222222224</v>
      </c>
      <c r="B138" s="8" t="s">
        <v>106</v>
      </c>
      <c r="C138" s="25"/>
      <c r="D138" s="8" t="s">
        <v>105</v>
      </c>
      <c r="E138" s="21" t="s">
        <v>13</v>
      </c>
    </row>
    <row r="139">
      <c r="A139" s="19">
        <v>0.4576388888888889</v>
      </c>
      <c r="B139" s="8" t="s">
        <v>106</v>
      </c>
      <c r="C139" s="25"/>
      <c r="D139" s="8" t="s">
        <v>104</v>
      </c>
      <c r="E139" s="21" t="s">
        <v>9</v>
      </c>
    </row>
    <row r="140">
      <c r="A140" s="19">
        <v>0.4576388888888889</v>
      </c>
      <c r="B140" s="8" t="s">
        <v>105</v>
      </c>
      <c r="C140" s="25"/>
      <c r="D140" s="8" t="s">
        <v>102</v>
      </c>
      <c r="E140" s="21" t="s">
        <v>13</v>
      </c>
    </row>
    <row r="141">
      <c r="A141" s="19">
        <v>0.46805555555555556</v>
      </c>
      <c r="B141" s="8" t="s">
        <v>106</v>
      </c>
      <c r="C141" s="25"/>
      <c r="D141" s="8" t="s">
        <v>103</v>
      </c>
      <c r="E141" s="21" t="s">
        <v>9</v>
      </c>
    </row>
    <row r="142">
      <c r="A142" s="19">
        <v>0.46805555555555556</v>
      </c>
      <c r="B142" s="8" t="s">
        <v>102</v>
      </c>
      <c r="C142" s="25"/>
      <c r="D142" s="8" t="s">
        <v>104</v>
      </c>
      <c r="E142" s="21" t="s">
        <v>13</v>
      </c>
    </row>
    <row r="143">
      <c r="A143" s="19">
        <v>0.4777777777777778</v>
      </c>
      <c r="B143" s="8" t="s">
        <v>105</v>
      </c>
      <c r="C143" s="25"/>
      <c r="D143" s="8" t="s">
        <v>103</v>
      </c>
      <c r="E143" s="21" t="s">
        <v>9</v>
      </c>
    </row>
    <row r="144">
      <c r="A144" s="19">
        <v>0.4777777777777778</v>
      </c>
      <c r="B144" s="8" t="s">
        <v>102</v>
      </c>
      <c r="C144" s="25"/>
      <c r="D144" s="8" t="s">
        <v>106</v>
      </c>
      <c r="E144" s="21" t="s">
        <v>13</v>
      </c>
    </row>
    <row r="145">
      <c r="A145" s="19">
        <v>0.48819444444444443</v>
      </c>
      <c r="B145" s="8" t="s">
        <v>103</v>
      </c>
      <c r="C145" s="25"/>
      <c r="D145" s="8" t="s">
        <v>102</v>
      </c>
      <c r="E145" s="21" t="s">
        <v>9</v>
      </c>
    </row>
    <row r="146">
      <c r="A146" s="19">
        <v>0.48819444444444443</v>
      </c>
      <c r="B146" s="8" t="s">
        <v>105</v>
      </c>
      <c r="C146" s="25"/>
      <c r="D146" s="8" t="s">
        <v>104</v>
      </c>
      <c r="E146" s="21" t="s">
        <v>13</v>
      </c>
    </row>
    <row r="147">
      <c r="A147" s="19">
        <v>0.4986111111111111</v>
      </c>
      <c r="B147" s="8" t="s">
        <v>103</v>
      </c>
      <c r="C147" s="16"/>
      <c r="D147" s="8" t="s">
        <v>104</v>
      </c>
      <c r="E147" s="21" t="s">
        <v>9</v>
      </c>
    </row>
    <row r="148">
      <c r="A148" s="19">
        <v>0.4986111111111111</v>
      </c>
      <c r="B148" s="8" t="s">
        <v>105</v>
      </c>
      <c r="C148" s="16"/>
      <c r="D148" s="8" t="s">
        <v>106</v>
      </c>
      <c r="E148" s="21" t="s">
        <v>13</v>
      </c>
    </row>
    <row r="149">
      <c r="A149" s="19">
        <v>0.5083333333333333</v>
      </c>
      <c r="B149" s="8" t="s">
        <v>104</v>
      </c>
      <c r="C149" s="16"/>
      <c r="D149" s="8" t="s">
        <v>106</v>
      </c>
      <c r="E149" s="21" t="s">
        <v>9</v>
      </c>
    </row>
    <row r="150">
      <c r="A150" s="19">
        <v>0.5083333333333333</v>
      </c>
      <c r="B150" s="8" t="s">
        <v>102</v>
      </c>
      <c r="C150" s="16"/>
      <c r="D150" s="8" t="s">
        <v>105</v>
      </c>
      <c r="E150" s="21" t="s">
        <v>13</v>
      </c>
    </row>
    <row r="151">
      <c r="A151" s="19">
        <v>0.51875</v>
      </c>
      <c r="B151" s="8" t="s">
        <v>103</v>
      </c>
      <c r="C151" s="16"/>
      <c r="D151" s="8" t="s">
        <v>106</v>
      </c>
      <c r="E151" s="21" t="s">
        <v>9</v>
      </c>
    </row>
    <row r="152">
      <c r="A152" s="19">
        <v>0.51875</v>
      </c>
      <c r="B152" s="8" t="s">
        <v>104</v>
      </c>
      <c r="C152" s="16"/>
      <c r="D152" s="8" t="s">
        <v>102</v>
      </c>
      <c r="E152" s="21" t="s">
        <v>13</v>
      </c>
    </row>
    <row r="153">
      <c r="A153" s="19">
        <v>0.5291666666666667</v>
      </c>
      <c r="B153" s="8" t="s">
        <v>103</v>
      </c>
      <c r="C153" s="16"/>
      <c r="D153" s="8" t="s">
        <v>105</v>
      </c>
      <c r="E153" s="21" t="s">
        <v>9</v>
      </c>
    </row>
    <row r="154">
      <c r="A154" s="19">
        <v>0.5291666666666667</v>
      </c>
      <c r="B154" s="8" t="s">
        <v>106</v>
      </c>
      <c r="C154" s="16"/>
      <c r="D154" s="8" t="s">
        <v>102</v>
      </c>
      <c r="E154" s="21" t="s">
        <v>13</v>
      </c>
    </row>
    <row r="155">
      <c r="A155" s="1"/>
      <c r="B155" s="1" t="s">
        <v>101</v>
      </c>
      <c r="C155" s="2"/>
      <c r="D155" s="3"/>
      <c r="E155" s="4"/>
    </row>
    <row r="156">
      <c r="A156" s="18" t="s">
        <v>1</v>
      </c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A157" s="19">
        <v>0.4375</v>
      </c>
      <c r="B157" s="8" t="s">
        <v>107</v>
      </c>
      <c r="C157" s="16"/>
      <c r="D157" s="8" t="s">
        <v>108</v>
      </c>
      <c r="E157" s="24" t="s">
        <v>33</v>
      </c>
    </row>
    <row r="158">
      <c r="A158" s="19">
        <v>0.4375</v>
      </c>
      <c r="B158" s="8" t="s">
        <v>109</v>
      </c>
      <c r="C158" s="16"/>
      <c r="D158" s="8" t="s">
        <v>110</v>
      </c>
      <c r="E158" s="24" t="s">
        <v>37</v>
      </c>
    </row>
    <row r="159">
      <c r="A159" s="19">
        <v>0.44722222222222224</v>
      </c>
      <c r="B159" s="8" t="s">
        <v>109</v>
      </c>
      <c r="C159" s="16"/>
      <c r="D159" s="8" t="s">
        <v>108</v>
      </c>
      <c r="E159" s="24" t="s">
        <v>33</v>
      </c>
    </row>
    <row r="160">
      <c r="A160" s="19">
        <v>0.44722222222222224</v>
      </c>
      <c r="B160" s="8" t="s">
        <v>111</v>
      </c>
      <c r="C160" s="16"/>
      <c r="D160" s="8" t="s">
        <v>110</v>
      </c>
      <c r="E160" s="24" t="s">
        <v>37</v>
      </c>
    </row>
    <row r="161">
      <c r="A161" s="19">
        <v>0.4576388888888889</v>
      </c>
      <c r="B161" s="8" t="s">
        <v>111</v>
      </c>
      <c r="C161" s="16"/>
      <c r="D161" s="8" t="s">
        <v>109</v>
      </c>
      <c r="E161" s="24" t="s">
        <v>33</v>
      </c>
    </row>
    <row r="162">
      <c r="A162" s="19">
        <v>0.4576388888888889</v>
      </c>
      <c r="B162" s="8" t="s">
        <v>110</v>
      </c>
      <c r="C162" s="16"/>
      <c r="D162" s="8" t="s">
        <v>107</v>
      </c>
      <c r="E162" s="24" t="s">
        <v>37</v>
      </c>
    </row>
    <row r="163">
      <c r="A163" s="19">
        <v>0.46805555555555556</v>
      </c>
      <c r="B163" s="8" t="s">
        <v>111</v>
      </c>
      <c r="C163" s="16"/>
      <c r="D163" s="8" t="s">
        <v>108</v>
      </c>
      <c r="E163" s="24" t="s">
        <v>33</v>
      </c>
    </row>
    <row r="164">
      <c r="A164" s="19">
        <v>0.46805555555555556</v>
      </c>
      <c r="B164" s="8" t="s">
        <v>107</v>
      </c>
      <c r="C164" s="16"/>
      <c r="D164" s="8" t="s">
        <v>109</v>
      </c>
      <c r="E164" s="24" t="s">
        <v>37</v>
      </c>
    </row>
    <row r="165">
      <c r="A165" s="19">
        <v>0.4777777777777778</v>
      </c>
      <c r="B165" s="8" t="s">
        <v>110</v>
      </c>
      <c r="C165" s="16"/>
      <c r="D165" s="8" t="s">
        <v>108</v>
      </c>
      <c r="E165" s="24" t="s">
        <v>33</v>
      </c>
    </row>
    <row r="166">
      <c r="A166" s="19">
        <v>0.4777777777777778</v>
      </c>
      <c r="B166" s="8" t="s">
        <v>107</v>
      </c>
      <c r="C166" s="16"/>
      <c r="D166" s="8" t="s">
        <v>111</v>
      </c>
      <c r="E166" s="24" t="s">
        <v>37</v>
      </c>
    </row>
    <row r="167">
      <c r="A167" s="19">
        <v>0.48819444444444443</v>
      </c>
      <c r="B167" s="8" t="s">
        <v>108</v>
      </c>
      <c r="C167" s="16"/>
      <c r="D167" s="8" t="s">
        <v>107</v>
      </c>
      <c r="E167" s="24" t="s">
        <v>33</v>
      </c>
    </row>
    <row r="168">
      <c r="A168" s="19">
        <v>0.48819444444444443</v>
      </c>
      <c r="B168" s="8" t="s">
        <v>110</v>
      </c>
      <c r="C168" s="16"/>
      <c r="D168" s="8" t="s">
        <v>109</v>
      </c>
      <c r="E168" s="24" t="s">
        <v>37</v>
      </c>
    </row>
    <row r="169">
      <c r="A169" s="19">
        <v>0.4986111111111111</v>
      </c>
      <c r="B169" s="8" t="s">
        <v>108</v>
      </c>
      <c r="C169" s="16"/>
      <c r="D169" s="8" t="s">
        <v>109</v>
      </c>
      <c r="E169" s="24" t="s">
        <v>33</v>
      </c>
    </row>
    <row r="170">
      <c r="A170" s="19">
        <v>0.4986111111111111</v>
      </c>
      <c r="B170" s="8" t="s">
        <v>110</v>
      </c>
      <c r="C170" s="16"/>
      <c r="D170" s="8" t="s">
        <v>111</v>
      </c>
      <c r="E170" s="24" t="s">
        <v>37</v>
      </c>
    </row>
    <row r="171">
      <c r="A171" s="19">
        <v>0.5083333333333333</v>
      </c>
      <c r="B171" s="8" t="s">
        <v>109</v>
      </c>
      <c r="C171" s="16"/>
      <c r="D171" s="8" t="s">
        <v>111</v>
      </c>
      <c r="E171" s="24" t="s">
        <v>33</v>
      </c>
    </row>
    <row r="172">
      <c r="A172" s="19">
        <v>0.5083333333333333</v>
      </c>
      <c r="B172" s="8" t="s">
        <v>107</v>
      </c>
      <c r="C172" s="16"/>
      <c r="D172" s="8" t="s">
        <v>110</v>
      </c>
      <c r="E172" s="24" t="s">
        <v>37</v>
      </c>
    </row>
    <row r="173">
      <c r="A173" s="19">
        <v>0.51875</v>
      </c>
      <c r="B173" s="8" t="s">
        <v>108</v>
      </c>
      <c r="C173" s="16"/>
      <c r="D173" s="8" t="s">
        <v>111</v>
      </c>
      <c r="E173" s="24" t="s">
        <v>33</v>
      </c>
    </row>
    <row r="174">
      <c r="A174" s="19">
        <v>0.51875</v>
      </c>
      <c r="B174" s="8" t="s">
        <v>109</v>
      </c>
      <c r="C174" s="16"/>
      <c r="D174" s="8" t="s">
        <v>107</v>
      </c>
      <c r="E174" s="24" t="s">
        <v>37</v>
      </c>
    </row>
    <row r="175">
      <c r="A175" s="19">
        <v>0.5291666666666667</v>
      </c>
      <c r="B175" s="8" t="s">
        <v>108</v>
      </c>
      <c r="C175" s="16"/>
      <c r="D175" s="8" t="s">
        <v>110</v>
      </c>
      <c r="E175" s="24" t="s">
        <v>33</v>
      </c>
    </row>
    <row r="176">
      <c r="A176" s="19">
        <v>0.5291666666666667</v>
      </c>
      <c r="B176" s="8" t="s">
        <v>111</v>
      </c>
      <c r="C176" s="16"/>
      <c r="D176" s="8" t="s">
        <v>107</v>
      </c>
      <c r="E176" s="24" t="s">
        <v>37</v>
      </c>
    </row>
    <row r="177">
      <c r="A177" s="1"/>
      <c r="B177" s="1" t="s">
        <v>112</v>
      </c>
      <c r="C177" s="2"/>
      <c r="D177" s="3"/>
      <c r="E177" s="4"/>
    </row>
    <row r="178">
      <c r="A178" s="18" t="s">
        <v>1</v>
      </c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A179" s="19">
        <v>0.5416666666666666</v>
      </c>
      <c r="B179" s="8" t="s">
        <v>113</v>
      </c>
      <c r="C179" s="4"/>
      <c r="D179" s="8" t="s">
        <v>114</v>
      </c>
      <c r="E179" s="21" t="s">
        <v>9</v>
      </c>
    </row>
    <row r="180">
      <c r="A180" s="19">
        <v>0.5416666666666666</v>
      </c>
      <c r="B180" s="8" t="s">
        <v>115</v>
      </c>
      <c r="C180" s="4"/>
      <c r="D180" s="8" t="s">
        <v>116</v>
      </c>
      <c r="E180" s="21" t="s">
        <v>13</v>
      </c>
    </row>
    <row r="181">
      <c r="A181" s="19">
        <v>0.5513888888888889</v>
      </c>
      <c r="B181" s="8" t="s">
        <v>115</v>
      </c>
      <c r="C181" s="4"/>
      <c r="D181" s="8" t="s">
        <v>114</v>
      </c>
      <c r="E181" s="21" t="s">
        <v>9</v>
      </c>
    </row>
    <row r="182">
      <c r="A182" s="19">
        <v>0.5513888888888889</v>
      </c>
      <c r="B182" s="8" t="s">
        <v>117</v>
      </c>
      <c r="C182" s="4"/>
      <c r="D182" s="8" t="s">
        <v>116</v>
      </c>
      <c r="E182" s="21" t="s">
        <v>13</v>
      </c>
    </row>
    <row r="183">
      <c r="A183" s="19">
        <v>0.5618055555555556</v>
      </c>
      <c r="B183" s="8" t="s">
        <v>117</v>
      </c>
      <c r="C183" s="4"/>
      <c r="D183" s="8" t="s">
        <v>115</v>
      </c>
      <c r="E183" s="21" t="s">
        <v>9</v>
      </c>
    </row>
    <row r="184">
      <c r="A184" s="19">
        <v>0.5618055555555556</v>
      </c>
      <c r="B184" s="8" t="s">
        <v>116</v>
      </c>
      <c r="C184" s="4"/>
      <c r="D184" s="8" t="s">
        <v>113</v>
      </c>
      <c r="E184" s="21" t="s">
        <v>13</v>
      </c>
    </row>
    <row r="185">
      <c r="A185" s="19">
        <v>0.5722222222222222</v>
      </c>
      <c r="B185" s="8" t="s">
        <v>117</v>
      </c>
      <c r="C185" s="4"/>
      <c r="D185" s="8" t="s">
        <v>114</v>
      </c>
      <c r="E185" s="21" t="s">
        <v>9</v>
      </c>
    </row>
    <row r="186">
      <c r="A186" s="19">
        <v>0.5722222222222222</v>
      </c>
      <c r="B186" s="8" t="s">
        <v>113</v>
      </c>
      <c r="C186" s="4"/>
      <c r="D186" s="8" t="s">
        <v>115</v>
      </c>
      <c r="E186" s="21" t="s">
        <v>13</v>
      </c>
    </row>
    <row r="187">
      <c r="A187" s="19">
        <v>0.5819444444444445</v>
      </c>
      <c r="B187" s="8" t="s">
        <v>116</v>
      </c>
      <c r="C187" s="4"/>
      <c r="D187" s="8" t="s">
        <v>114</v>
      </c>
      <c r="E187" s="21" t="s">
        <v>9</v>
      </c>
    </row>
    <row r="188">
      <c r="A188" s="19">
        <v>0.5819444444444445</v>
      </c>
      <c r="B188" s="8" t="s">
        <v>113</v>
      </c>
      <c r="C188" s="4"/>
      <c r="D188" s="8" t="s">
        <v>117</v>
      </c>
      <c r="E188" s="21" t="s">
        <v>13</v>
      </c>
    </row>
    <row r="189">
      <c r="A189" s="19">
        <v>0.5923611111111111</v>
      </c>
      <c r="B189" s="8" t="s">
        <v>114</v>
      </c>
      <c r="C189" s="4"/>
      <c r="D189" s="8" t="s">
        <v>113</v>
      </c>
      <c r="E189" s="21" t="s">
        <v>9</v>
      </c>
    </row>
    <row r="190">
      <c r="A190" s="19">
        <v>0.5923611111111111</v>
      </c>
      <c r="B190" s="8" t="s">
        <v>116</v>
      </c>
      <c r="C190" s="4"/>
      <c r="D190" s="8" t="s">
        <v>115</v>
      </c>
      <c r="E190" s="21" t="s">
        <v>13</v>
      </c>
    </row>
    <row r="191">
      <c r="A191" s="19">
        <v>0.6027777777777777</v>
      </c>
      <c r="B191" s="8" t="s">
        <v>114</v>
      </c>
      <c r="C191" s="4"/>
      <c r="D191" s="8" t="s">
        <v>115</v>
      </c>
      <c r="E191" s="21" t="s">
        <v>9</v>
      </c>
    </row>
    <row r="192">
      <c r="A192" s="19">
        <v>0.6027777777777777</v>
      </c>
      <c r="B192" s="8" t="s">
        <v>116</v>
      </c>
      <c r="C192" s="4"/>
      <c r="D192" s="8" t="s">
        <v>117</v>
      </c>
      <c r="E192" s="21" t="s">
        <v>13</v>
      </c>
    </row>
    <row r="193">
      <c r="A193" s="19">
        <v>0.6125</v>
      </c>
      <c r="B193" s="8" t="s">
        <v>115</v>
      </c>
      <c r="C193" s="4"/>
      <c r="D193" s="8" t="s">
        <v>117</v>
      </c>
      <c r="E193" s="21" t="s">
        <v>9</v>
      </c>
    </row>
    <row r="194">
      <c r="A194" s="19">
        <v>0.6125</v>
      </c>
      <c r="B194" s="8" t="s">
        <v>113</v>
      </c>
      <c r="C194" s="4"/>
      <c r="D194" s="8" t="s">
        <v>116</v>
      </c>
      <c r="E194" s="21" t="s">
        <v>13</v>
      </c>
    </row>
    <row r="195">
      <c r="A195" s="19">
        <v>0.6229166666666667</v>
      </c>
      <c r="B195" s="8" t="s">
        <v>114</v>
      </c>
      <c r="C195" s="4"/>
      <c r="D195" s="8" t="s">
        <v>117</v>
      </c>
      <c r="E195" s="21" t="s">
        <v>9</v>
      </c>
    </row>
    <row r="196">
      <c r="A196" s="19">
        <v>0.6229166666666667</v>
      </c>
      <c r="B196" s="8" t="s">
        <v>115</v>
      </c>
      <c r="C196" s="4"/>
      <c r="D196" s="8" t="s">
        <v>113</v>
      </c>
      <c r="E196" s="21" t="s">
        <v>13</v>
      </c>
    </row>
    <row r="197">
      <c r="A197" s="19">
        <v>0.6333333333333333</v>
      </c>
      <c r="B197" s="8" t="s">
        <v>114</v>
      </c>
      <c r="C197" s="4"/>
      <c r="D197" s="8" t="s">
        <v>116</v>
      </c>
      <c r="E197" s="21" t="s">
        <v>9</v>
      </c>
    </row>
    <row r="198">
      <c r="A198" s="19">
        <v>0.6333333333333333</v>
      </c>
      <c r="B198" s="8" t="s">
        <v>117</v>
      </c>
      <c r="C198" s="4"/>
      <c r="D198" s="8" t="s">
        <v>113</v>
      </c>
      <c r="E198" s="21" t="s">
        <v>13</v>
      </c>
    </row>
    <row r="199">
      <c r="A199" s="1"/>
      <c r="B199" s="1" t="s">
        <v>112</v>
      </c>
      <c r="C199" s="2"/>
      <c r="D199" s="3"/>
      <c r="E199" s="4"/>
    </row>
    <row r="200">
      <c r="A200" s="18" t="s">
        <v>1</v>
      </c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A201" s="19">
        <v>0.5416666666666666</v>
      </c>
      <c r="B201" s="8" t="s">
        <v>118</v>
      </c>
      <c r="C201" s="16"/>
      <c r="D201" s="8" t="s">
        <v>119</v>
      </c>
      <c r="E201" s="24" t="s">
        <v>33</v>
      </c>
    </row>
    <row r="202">
      <c r="A202" s="19">
        <v>0.5416666666666666</v>
      </c>
      <c r="B202" s="8" t="s">
        <v>120</v>
      </c>
      <c r="C202" s="16"/>
      <c r="D202" s="8" t="s">
        <v>121</v>
      </c>
      <c r="E202" s="24" t="s">
        <v>37</v>
      </c>
    </row>
    <row r="203">
      <c r="A203" s="19">
        <v>0.5513888888888889</v>
      </c>
      <c r="B203" s="8" t="s">
        <v>120</v>
      </c>
      <c r="C203" s="16"/>
      <c r="D203" s="8" t="s">
        <v>119</v>
      </c>
      <c r="E203" s="24" t="s">
        <v>33</v>
      </c>
    </row>
    <row r="204">
      <c r="A204" s="19">
        <v>0.5513888888888889</v>
      </c>
      <c r="B204" s="8" t="s">
        <v>122</v>
      </c>
      <c r="C204" s="16"/>
      <c r="D204" s="8" t="s">
        <v>121</v>
      </c>
      <c r="E204" s="24" t="s">
        <v>37</v>
      </c>
    </row>
    <row r="205">
      <c r="A205" s="19">
        <v>0.5618055555555556</v>
      </c>
      <c r="B205" s="8" t="s">
        <v>122</v>
      </c>
      <c r="C205" s="16"/>
      <c r="D205" s="8" t="s">
        <v>120</v>
      </c>
      <c r="E205" s="24" t="s">
        <v>33</v>
      </c>
    </row>
    <row r="206">
      <c r="A206" s="19">
        <v>0.5618055555555556</v>
      </c>
      <c r="B206" s="8" t="s">
        <v>121</v>
      </c>
      <c r="C206" s="16"/>
      <c r="D206" s="8" t="s">
        <v>118</v>
      </c>
      <c r="E206" s="24" t="s">
        <v>37</v>
      </c>
    </row>
    <row r="207">
      <c r="A207" s="19">
        <v>0.5722222222222222</v>
      </c>
      <c r="B207" s="8" t="s">
        <v>122</v>
      </c>
      <c r="C207" s="16"/>
      <c r="D207" s="8" t="s">
        <v>119</v>
      </c>
      <c r="E207" s="24" t="s">
        <v>33</v>
      </c>
    </row>
    <row r="208">
      <c r="A208" s="19">
        <v>0.5722222222222222</v>
      </c>
      <c r="B208" s="8" t="s">
        <v>118</v>
      </c>
      <c r="C208" s="16"/>
      <c r="D208" s="8" t="s">
        <v>120</v>
      </c>
      <c r="E208" s="24" t="s">
        <v>37</v>
      </c>
    </row>
    <row r="209">
      <c r="A209" s="19">
        <v>0.5819444444444445</v>
      </c>
      <c r="B209" s="8" t="s">
        <v>121</v>
      </c>
      <c r="C209" s="16"/>
      <c r="D209" s="8" t="s">
        <v>119</v>
      </c>
      <c r="E209" s="24" t="s">
        <v>33</v>
      </c>
    </row>
    <row r="210">
      <c r="A210" s="19">
        <v>0.5819444444444445</v>
      </c>
      <c r="B210" s="8" t="s">
        <v>118</v>
      </c>
      <c r="C210" s="16"/>
      <c r="D210" s="8" t="s">
        <v>122</v>
      </c>
      <c r="E210" s="24" t="s">
        <v>37</v>
      </c>
    </row>
    <row r="211">
      <c r="A211" s="19">
        <v>0.5923611111111111</v>
      </c>
      <c r="B211" s="8" t="s">
        <v>119</v>
      </c>
      <c r="C211" s="16"/>
      <c r="D211" s="8" t="s">
        <v>118</v>
      </c>
      <c r="E211" s="24" t="s">
        <v>33</v>
      </c>
    </row>
    <row r="212">
      <c r="A212" s="19">
        <v>0.5923611111111111</v>
      </c>
      <c r="B212" s="8" t="s">
        <v>121</v>
      </c>
      <c r="C212" s="16"/>
      <c r="D212" s="8" t="s">
        <v>120</v>
      </c>
      <c r="E212" s="24" t="s">
        <v>37</v>
      </c>
    </row>
    <row r="213">
      <c r="A213" s="19">
        <v>0.6027777777777777</v>
      </c>
      <c r="B213" s="8" t="s">
        <v>119</v>
      </c>
      <c r="C213" s="16"/>
      <c r="D213" s="8" t="s">
        <v>120</v>
      </c>
      <c r="E213" s="24" t="s">
        <v>33</v>
      </c>
    </row>
    <row r="214">
      <c r="A214" s="19">
        <v>0.6027777777777777</v>
      </c>
      <c r="B214" s="8" t="s">
        <v>121</v>
      </c>
      <c r="C214" s="16"/>
      <c r="D214" s="8" t="s">
        <v>122</v>
      </c>
      <c r="E214" s="24" t="s">
        <v>37</v>
      </c>
    </row>
    <row r="215">
      <c r="A215" s="19">
        <v>0.6125</v>
      </c>
      <c r="B215" s="8" t="s">
        <v>120</v>
      </c>
      <c r="C215" s="16"/>
      <c r="D215" s="8" t="s">
        <v>122</v>
      </c>
      <c r="E215" s="24" t="s">
        <v>33</v>
      </c>
    </row>
    <row r="216">
      <c r="A216" s="19">
        <v>0.6125</v>
      </c>
      <c r="B216" s="8" t="s">
        <v>118</v>
      </c>
      <c r="C216" s="16"/>
      <c r="D216" s="8" t="s">
        <v>121</v>
      </c>
      <c r="E216" s="24" t="s">
        <v>37</v>
      </c>
    </row>
    <row r="217">
      <c r="A217" s="19">
        <v>0.6229166666666667</v>
      </c>
      <c r="B217" s="8" t="s">
        <v>119</v>
      </c>
      <c r="C217" s="16"/>
      <c r="D217" s="8" t="s">
        <v>122</v>
      </c>
      <c r="E217" s="24" t="s">
        <v>33</v>
      </c>
    </row>
    <row r="218">
      <c r="A218" s="19">
        <v>0.6229166666666667</v>
      </c>
      <c r="B218" s="8" t="s">
        <v>120</v>
      </c>
      <c r="C218" s="16"/>
      <c r="D218" s="8" t="s">
        <v>118</v>
      </c>
      <c r="E218" s="24" t="s">
        <v>37</v>
      </c>
    </row>
    <row r="219">
      <c r="A219" s="19">
        <v>0.6333333333333333</v>
      </c>
      <c r="B219" s="8" t="s">
        <v>119</v>
      </c>
      <c r="C219" s="16"/>
      <c r="D219" s="8" t="s">
        <v>121</v>
      </c>
      <c r="E219" s="24" t="s">
        <v>33</v>
      </c>
    </row>
    <row r="220">
      <c r="A220" s="19">
        <v>0.6333333333333333</v>
      </c>
      <c r="B220" s="8" t="s">
        <v>122</v>
      </c>
      <c r="C220" s="16"/>
      <c r="D220" s="8" t="s">
        <v>118</v>
      </c>
      <c r="E220" s="24" t="s">
        <v>37</v>
      </c>
    </row>
    <row r="221">
      <c r="A221" s="27"/>
      <c r="B221" s="28" t="s">
        <v>123</v>
      </c>
      <c r="C221" s="2"/>
      <c r="D221" s="3"/>
      <c r="E221" s="29"/>
    </row>
    <row r="222">
      <c r="A222" s="18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9">
        <v>0.6458333333333334</v>
      </c>
      <c r="B223" s="10" t="s">
        <v>124</v>
      </c>
      <c r="C223" s="30"/>
      <c r="D223" s="10" t="s">
        <v>125</v>
      </c>
      <c r="E223" s="21" t="s">
        <v>9</v>
      </c>
    </row>
    <row r="224">
      <c r="A224" s="19">
        <v>0.6458333333333334</v>
      </c>
      <c r="B224" s="10" t="s">
        <v>126</v>
      </c>
      <c r="C224" s="30"/>
      <c r="D224" s="10" t="s">
        <v>127</v>
      </c>
      <c r="E224" s="21" t="s">
        <v>13</v>
      </c>
    </row>
    <row r="225">
      <c r="A225" s="19">
        <v>0.6555555555555556</v>
      </c>
      <c r="B225" s="10" t="s">
        <v>126</v>
      </c>
      <c r="C225" s="30"/>
      <c r="D225" s="10" t="s">
        <v>125</v>
      </c>
      <c r="E225" s="21" t="s">
        <v>9</v>
      </c>
    </row>
    <row r="226">
      <c r="A226" s="19">
        <v>0.6555555555555556</v>
      </c>
      <c r="B226" s="10" t="s">
        <v>128</v>
      </c>
      <c r="C226" s="30"/>
      <c r="D226" s="10" t="s">
        <v>127</v>
      </c>
      <c r="E226" s="21" t="s">
        <v>13</v>
      </c>
    </row>
    <row r="227">
      <c r="A227" s="19">
        <v>0.6659722222222222</v>
      </c>
      <c r="B227" s="10" t="s">
        <v>128</v>
      </c>
      <c r="C227" s="30"/>
      <c r="D227" s="10" t="s">
        <v>126</v>
      </c>
      <c r="E227" s="21" t="s">
        <v>9</v>
      </c>
    </row>
    <row r="228">
      <c r="A228" s="19">
        <v>0.6659722222222222</v>
      </c>
      <c r="B228" s="10" t="s">
        <v>127</v>
      </c>
      <c r="C228" s="30"/>
      <c r="D228" s="10" t="s">
        <v>124</v>
      </c>
      <c r="E228" s="21" t="s">
        <v>13</v>
      </c>
    </row>
    <row r="229">
      <c r="A229" s="19">
        <v>0.6763888888888889</v>
      </c>
      <c r="B229" s="10" t="s">
        <v>128</v>
      </c>
      <c r="C229" s="30"/>
      <c r="D229" s="10" t="s">
        <v>125</v>
      </c>
      <c r="E229" s="21" t="s">
        <v>9</v>
      </c>
    </row>
    <row r="230">
      <c r="A230" s="19">
        <v>0.6763888888888889</v>
      </c>
      <c r="B230" s="10" t="s">
        <v>124</v>
      </c>
      <c r="C230" s="30"/>
      <c r="D230" s="10" t="s">
        <v>126</v>
      </c>
      <c r="E230" s="21" t="s">
        <v>13</v>
      </c>
    </row>
    <row r="231">
      <c r="A231" s="19">
        <v>0.6861111111111111</v>
      </c>
      <c r="B231" s="10" t="s">
        <v>127</v>
      </c>
      <c r="C231" s="30"/>
      <c r="D231" s="10" t="s">
        <v>125</v>
      </c>
      <c r="E231" s="21" t="s">
        <v>9</v>
      </c>
    </row>
    <row r="232">
      <c r="A232" s="19">
        <v>0.6861111111111111</v>
      </c>
      <c r="B232" s="10" t="s">
        <v>124</v>
      </c>
      <c r="C232" s="30"/>
      <c r="D232" s="10" t="s">
        <v>128</v>
      </c>
      <c r="E232" s="21" t="s">
        <v>13</v>
      </c>
    </row>
    <row r="233">
      <c r="A233" s="19">
        <v>0.6965277777777777</v>
      </c>
      <c r="B233" s="10" t="s">
        <v>125</v>
      </c>
      <c r="C233" s="30"/>
      <c r="D233" s="10" t="s">
        <v>124</v>
      </c>
      <c r="E233" s="21" t="s">
        <v>9</v>
      </c>
    </row>
    <row r="234">
      <c r="A234" s="19">
        <v>0.6965277777777777</v>
      </c>
      <c r="B234" s="10" t="s">
        <v>127</v>
      </c>
      <c r="C234" s="30"/>
      <c r="D234" s="10" t="s">
        <v>126</v>
      </c>
      <c r="E234" s="21" t="s">
        <v>13</v>
      </c>
    </row>
    <row r="235">
      <c r="A235" s="19">
        <v>0.7069444444444445</v>
      </c>
      <c r="B235" s="10" t="s">
        <v>125</v>
      </c>
      <c r="C235" s="29"/>
      <c r="D235" s="10" t="s">
        <v>126</v>
      </c>
      <c r="E235" s="21" t="s">
        <v>9</v>
      </c>
    </row>
    <row r="236">
      <c r="A236" s="19">
        <v>0.7069444444444445</v>
      </c>
      <c r="B236" s="10" t="s">
        <v>127</v>
      </c>
      <c r="C236" s="29"/>
      <c r="D236" s="10" t="s">
        <v>128</v>
      </c>
      <c r="E236" s="21" t="s">
        <v>13</v>
      </c>
    </row>
    <row r="237">
      <c r="A237" s="19">
        <v>0.7166666666666667</v>
      </c>
      <c r="B237" s="10" t="s">
        <v>126</v>
      </c>
      <c r="C237" s="29"/>
      <c r="D237" s="10" t="s">
        <v>128</v>
      </c>
      <c r="E237" s="21" t="s">
        <v>9</v>
      </c>
    </row>
    <row r="238">
      <c r="A238" s="19">
        <v>0.7166666666666667</v>
      </c>
      <c r="B238" s="10" t="s">
        <v>124</v>
      </c>
      <c r="C238" s="29"/>
      <c r="D238" s="10" t="s">
        <v>127</v>
      </c>
      <c r="E238" s="21" t="s">
        <v>13</v>
      </c>
    </row>
    <row r="239">
      <c r="A239" s="19">
        <v>0.7270833333333333</v>
      </c>
      <c r="B239" s="10" t="s">
        <v>125</v>
      </c>
      <c r="C239" s="29"/>
      <c r="D239" s="10" t="s">
        <v>128</v>
      </c>
      <c r="E239" s="21" t="s">
        <v>9</v>
      </c>
    </row>
    <row r="240">
      <c r="A240" s="19">
        <v>0.7270833333333333</v>
      </c>
      <c r="B240" s="10" t="s">
        <v>126</v>
      </c>
      <c r="C240" s="29"/>
      <c r="D240" s="10" t="s">
        <v>124</v>
      </c>
      <c r="E240" s="21" t="s">
        <v>13</v>
      </c>
    </row>
    <row r="241">
      <c r="A241" s="19">
        <v>0.7375</v>
      </c>
      <c r="B241" s="10" t="s">
        <v>125</v>
      </c>
      <c r="C241" s="29"/>
      <c r="D241" s="10" t="s">
        <v>127</v>
      </c>
      <c r="E241" s="21" t="s">
        <v>9</v>
      </c>
    </row>
    <row r="242">
      <c r="A242" s="19">
        <v>0.7375</v>
      </c>
      <c r="B242" s="10" t="s">
        <v>128</v>
      </c>
      <c r="C242" s="29"/>
      <c r="D242" s="10" t="s">
        <v>124</v>
      </c>
      <c r="E242" s="21" t="s">
        <v>13</v>
      </c>
    </row>
    <row r="243">
      <c r="A243" s="27"/>
      <c r="B243" s="28" t="s">
        <v>123</v>
      </c>
      <c r="C243" s="2"/>
      <c r="D243" s="3"/>
      <c r="E243" s="29"/>
    </row>
    <row r="244">
      <c r="A244" s="18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9">
        <v>0.6458333333333334</v>
      </c>
      <c r="B245" s="10" t="s">
        <v>129</v>
      </c>
      <c r="C245" s="16"/>
      <c r="D245" s="10" t="s">
        <v>130</v>
      </c>
      <c r="E245" s="21" t="s">
        <v>33</v>
      </c>
    </row>
    <row r="246">
      <c r="A246" s="19">
        <v>0.6458333333333334</v>
      </c>
      <c r="B246" s="10" t="s">
        <v>131</v>
      </c>
      <c r="C246" s="16"/>
      <c r="D246" s="10" t="s">
        <v>132</v>
      </c>
      <c r="E246" s="21" t="s">
        <v>37</v>
      </c>
    </row>
    <row r="247">
      <c r="A247" s="19">
        <v>0.6555555555555556</v>
      </c>
      <c r="B247" s="10" t="s">
        <v>131</v>
      </c>
      <c r="C247" s="16"/>
      <c r="D247" s="10" t="s">
        <v>130</v>
      </c>
      <c r="E247" s="21" t="s">
        <v>33</v>
      </c>
    </row>
    <row r="248">
      <c r="A248" s="19">
        <v>0.6555555555555556</v>
      </c>
      <c r="B248" s="10" t="s">
        <v>133</v>
      </c>
      <c r="C248" s="16"/>
      <c r="D248" s="10" t="s">
        <v>132</v>
      </c>
      <c r="E248" s="21" t="s">
        <v>37</v>
      </c>
    </row>
    <row r="249">
      <c r="A249" s="19">
        <v>0.6659722222222222</v>
      </c>
      <c r="B249" s="10" t="s">
        <v>133</v>
      </c>
      <c r="C249" s="16"/>
      <c r="D249" s="10" t="s">
        <v>131</v>
      </c>
      <c r="E249" s="21" t="s">
        <v>33</v>
      </c>
    </row>
    <row r="250">
      <c r="A250" s="19">
        <v>0.6659722222222222</v>
      </c>
      <c r="B250" s="10" t="s">
        <v>132</v>
      </c>
      <c r="C250" s="16"/>
      <c r="D250" s="10" t="s">
        <v>129</v>
      </c>
      <c r="E250" s="21" t="s">
        <v>37</v>
      </c>
    </row>
    <row r="251">
      <c r="A251" s="19">
        <v>0.6763888888888889</v>
      </c>
      <c r="B251" s="10" t="s">
        <v>133</v>
      </c>
      <c r="C251" s="16"/>
      <c r="D251" s="10" t="s">
        <v>130</v>
      </c>
      <c r="E251" s="21" t="s">
        <v>33</v>
      </c>
    </row>
    <row r="252">
      <c r="A252" s="19">
        <v>0.6763888888888889</v>
      </c>
      <c r="B252" s="10" t="s">
        <v>129</v>
      </c>
      <c r="C252" s="16"/>
      <c r="D252" s="10" t="s">
        <v>131</v>
      </c>
      <c r="E252" s="21" t="s">
        <v>37</v>
      </c>
    </row>
    <row r="253">
      <c r="A253" s="19">
        <v>0.6861111111111111</v>
      </c>
      <c r="B253" s="10" t="s">
        <v>132</v>
      </c>
      <c r="C253" s="16"/>
      <c r="D253" s="10" t="s">
        <v>130</v>
      </c>
      <c r="E253" s="21" t="s">
        <v>33</v>
      </c>
    </row>
    <row r="254">
      <c r="A254" s="19">
        <v>0.6861111111111111</v>
      </c>
      <c r="B254" s="10" t="s">
        <v>129</v>
      </c>
      <c r="C254" s="16"/>
      <c r="D254" s="10" t="s">
        <v>133</v>
      </c>
      <c r="E254" s="21" t="s">
        <v>37</v>
      </c>
    </row>
    <row r="255">
      <c r="A255" s="19">
        <v>0.6965277777777777</v>
      </c>
      <c r="B255" s="10" t="s">
        <v>130</v>
      </c>
      <c r="C255" s="16"/>
      <c r="D255" s="10" t="s">
        <v>129</v>
      </c>
      <c r="E255" s="21" t="s">
        <v>33</v>
      </c>
    </row>
    <row r="256">
      <c r="A256" s="19">
        <v>0.6965277777777777</v>
      </c>
      <c r="B256" s="10" t="s">
        <v>132</v>
      </c>
      <c r="C256" s="16"/>
      <c r="D256" s="10" t="s">
        <v>131</v>
      </c>
      <c r="E256" s="21" t="s">
        <v>37</v>
      </c>
    </row>
    <row r="257">
      <c r="A257" s="19">
        <v>0.7069444444444445</v>
      </c>
      <c r="B257" s="10" t="s">
        <v>130</v>
      </c>
      <c r="C257" s="16"/>
      <c r="D257" s="10" t="s">
        <v>131</v>
      </c>
      <c r="E257" s="21" t="s">
        <v>33</v>
      </c>
    </row>
    <row r="258">
      <c r="A258" s="19">
        <v>0.7069444444444445</v>
      </c>
      <c r="B258" s="10" t="s">
        <v>132</v>
      </c>
      <c r="C258" s="16"/>
      <c r="D258" s="10" t="s">
        <v>133</v>
      </c>
      <c r="E258" s="21" t="s">
        <v>37</v>
      </c>
    </row>
    <row r="259">
      <c r="A259" s="19">
        <v>0.7166666666666667</v>
      </c>
      <c r="B259" s="10" t="s">
        <v>131</v>
      </c>
      <c r="C259" s="16"/>
      <c r="D259" s="10" t="s">
        <v>133</v>
      </c>
      <c r="E259" s="21" t="s">
        <v>33</v>
      </c>
    </row>
    <row r="260">
      <c r="A260" s="19">
        <v>0.7166666666666667</v>
      </c>
      <c r="B260" s="10" t="s">
        <v>129</v>
      </c>
      <c r="C260" s="16"/>
      <c r="D260" s="10" t="s">
        <v>132</v>
      </c>
      <c r="E260" s="21" t="s">
        <v>37</v>
      </c>
    </row>
    <row r="261">
      <c r="A261" s="19">
        <v>0.7270833333333333</v>
      </c>
      <c r="B261" s="10" t="s">
        <v>130</v>
      </c>
      <c r="C261" s="16"/>
      <c r="D261" s="10" t="s">
        <v>133</v>
      </c>
      <c r="E261" s="21" t="s">
        <v>33</v>
      </c>
    </row>
    <row r="262">
      <c r="A262" s="19">
        <v>0.7270833333333333</v>
      </c>
      <c r="B262" s="10" t="s">
        <v>131</v>
      </c>
      <c r="C262" s="16"/>
      <c r="D262" s="10" t="s">
        <v>129</v>
      </c>
      <c r="E262" s="21" t="s">
        <v>37</v>
      </c>
    </row>
    <row r="263">
      <c r="A263" s="19">
        <v>0.7375</v>
      </c>
      <c r="B263" s="10" t="s">
        <v>130</v>
      </c>
      <c r="C263" s="16"/>
      <c r="D263" s="10" t="s">
        <v>132</v>
      </c>
      <c r="E263" s="21" t="s">
        <v>33</v>
      </c>
    </row>
    <row r="264">
      <c r="A264" s="19">
        <v>0.7375</v>
      </c>
      <c r="B264" s="10" t="s">
        <v>133</v>
      </c>
      <c r="C264" s="16"/>
      <c r="D264" s="10" t="s">
        <v>129</v>
      </c>
      <c r="E264" s="21" t="s">
        <v>37</v>
      </c>
    </row>
    <row r="265">
      <c r="A265" s="27"/>
      <c r="B265" s="28" t="s">
        <v>134</v>
      </c>
      <c r="C265" s="2"/>
      <c r="D265" s="3"/>
      <c r="E265" s="29"/>
    </row>
    <row r="266">
      <c r="A266" s="18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9">
        <v>0.75</v>
      </c>
      <c r="B267" s="10" t="s">
        <v>135</v>
      </c>
      <c r="C267" s="29"/>
      <c r="D267" s="10" t="s">
        <v>136</v>
      </c>
      <c r="E267" s="21" t="s">
        <v>9</v>
      </c>
    </row>
    <row r="268">
      <c r="A268" s="19">
        <v>0.75</v>
      </c>
      <c r="B268" s="10" t="s">
        <v>137</v>
      </c>
      <c r="C268" s="29"/>
      <c r="D268" s="10" t="s">
        <v>138</v>
      </c>
      <c r="E268" s="21" t="s">
        <v>13</v>
      </c>
    </row>
    <row r="269">
      <c r="A269" s="19">
        <v>0.7597222222222222</v>
      </c>
      <c r="B269" s="10" t="s">
        <v>137</v>
      </c>
      <c r="C269" s="29"/>
      <c r="D269" s="10" t="s">
        <v>136</v>
      </c>
      <c r="E269" s="21" t="s">
        <v>9</v>
      </c>
    </row>
    <row r="270">
      <c r="A270" s="19">
        <v>0.7597222222222222</v>
      </c>
      <c r="B270" s="10" t="s">
        <v>139</v>
      </c>
      <c r="C270" s="29"/>
      <c r="D270" s="10" t="s">
        <v>138</v>
      </c>
      <c r="E270" s="21" t="s">
        <v>13</v>
      </c>
    </row>
    <row r="271">
      <c r="A271" s="19">
        <v>0.7701388888888889</v>
      </c>
      <c r="B271" s="10" t="s">
        <v>139</v>
      </c>
      <c r="C271" s="29"/>
      <c r="D271" s="10" t="s">
        <v>137</v>
      </c>
      <c r="E271" s="21" t="s">
        <v>9</v>
      </c>
    </row>
    <row r="272">
      <c r="A272" s="19">
        <v>0.7701388888888889</v>
      </c>
      <c r="B272" s="10" t="s">
        <v>138</v>
      </c>
      <c r="C272" s="29"/>
      <c r="D272" s="10" t="s">
        <v>135</v>
      </c>
      <c r="E272" s="21" t="s">
        <v>13</v>
      </c>
    </row>
    <row r="273">
      <c r="A273" s="19">
        <v>0.7805555555555556</v>
      </c>
      <c r="B273" s="10" t="s">
        <v>139</v>
      </c>
      <c r="C273" s="29"/>
      <c r="D273" s="10" t="s">
        <v>136</v>
      </c>
      <c r="E273" s="21" t="s">
        <v>9</v>
      </c>
    </row>
    <row r="274">
      <c r="A274" s="19">
        <v>0.7805555555555556</v>
      </c>
      <c r="B274" s="10" t="s">
        <v>135</v>
      </c>
      <c r="C274" s="29"/>
      <c r="D274" s="10" t="s">
        <v>137</v>
      </c>
      <c r="E274" s="21" t="s">
        <v>13</v>
      </c>
    </row>
    <row r="275">
      <c r="A275" s="19">
        <v>0.7902777777777777</v>
      </c>
      <c r="B275" s="10" t="s">
        <v>138</v>
      </c>
      <c r="C275" s="29"/>
      <c r="D275" s="10" t="s">
        <v>136</v>
      </c>
      <c r="E275" s="21" t="s">
        <v>9</v>
      </c>
    </row>
    <row r="276">
      <c r="A276" s="19">
        <v>0.7902777777777777</v>
      </c>
      <c r="B276" s="10" t="s">
        <v>135</v>
      </c>
      <c r="C276" s="29"/>
      <c r="D276" s="10" t="s">
        <v>139</v>
      </c>
      <c r="E276" s="21" t="s">
        <v>13</v>
      </c>
    </row>
    <row r="277">
      <c r="A277" s="19">
        <v>0.8006944444444445</v>
      </c>
      <c r="B277" s="10" t="s">
        <v>136</v>
      </c>
      <c r="C277" s="29"/>
      <c r="D277" s="10" t="s">
        <v>135</v>
      </c>
      <c r="E277" s="21" t="s">
        <v>9</v>
      </c>
    </row>
    <row r="278">
      <c r="A278" s="19">
        <v>0.8006944444444445</v>
      </c>
      <c r="B278" s="10" t="s">
        <v>138</v>
      </c>
      <c r="C278" s="29"/>
      <c r="D278" s="10" t="s">
        <v>137</v>
      </c>
      <c r="E278" s="21" t="s">
        <v>13</v>
      </c>
    </row>
    <row r="279">
      <c r="A279" s="19">
        <v>0.8111111111111111</v>
      </c>
      <c r="B279" s="10" t="s">
        <v>136</v>
      </c>
      <c r="C279" s="29"/>
      <c r="D279" s="10" t="s">
        <v>137</v>
      </c>
      <c r="E279" s="21" t="s">
        <v>9</v>
      </c>
    </row>
    <row r="280">
      <c r="A280" s="19">
        <v>0.8111111111111111</v>
      </c>
      <c r="B280" s="10" t="s">
        <v>138</v>
      </c>
      <c r="C280" s="29"/>
      <c r="D280" s="10" t="s">
        <v>139</v>
      </c>
      <c r="E280" s="21" t="s">
        <v>13</v>
      </c>
    </row>
    <row r="281">
      <c r="A281" s="19">
        <v>0.8208333333333333</v>
      </c>
      <c r="B281" s="10" t="s">
        <v>137</v>
      </c>
      <c r="C281" s="29"/>
      <c r="D281" s="10" t="s">
        <v>139</v>
      </c>
      <c r="E281" s="21" t="s">
        <v>9</v>
      </c>
    </row>
    <row r="282">
      <c r="A282" s="19">
        <v>0.8208333333333333</v>
      </c>
      <c r="B282" s="10" t="s">
        <v>135</v>
      </c>
      <c r="C282" s="29"/>
      <c r="D282" s="10" t="s">
        <v>138</v>
      </c>
      <c r="E282" s="21" t="s">
        <v>13</v>
      </c>
    </row>
    <row r="283">
      <c r="A283" s="19">
        <v>0.83125</v>
      </c>
      <c r="B283" s="10" t="s">
        <v>136</v>
      </c>
      <c r="C283" s="29"/>
      <c r="D283" s="10" t="s">
        <v>139</v>
      </c>
      <c r="E283" s="21" t="s">
        <v>9</v>
      </c>
    </row>
    <row r="284">
      <c r="A284" s="19">
        <v>0.83125</v>
      </c>
      <c r="B284" s="10" t="s">
        <v>137</v>
      </c>
      <c r="C284" s="29"/>
      <c r="D284" s="10" t="s">
        <v>135</v>
      </c>
      <c r="E284" s="21" t="s">
        <v>13</v>
      </c>
    </row>
    <row r="285">
      <c r="A285" s="19">
        <v>0.8416666666666667</v>
      </c>
      <c r="B285" s="10" t="s">
        <v>136</v>
      </c>
      <c r="C285" s="29"/>
      <c r="D285" s="10" t="s">
        <v>138</v>
      </c>
      <c r="E285" s="21" t="s">
        <v>9</v>
      </c>
    </row>
    <row r="286">
      <c r="A286" s="19">
        <v>0.8416666666666667</v>
      </c>
      <c r="B286" s="10" t="s">
        <v>139</v>
      </c>
      <c r="C286" s="29"/>
      <c r="D286" s="10" t="s">
        <v>135</v>
      </c>
      <c r="E286" s="21" t="s">
        <v>13</v>
      </c>
    </row>
    <row r="287">
      <c r="A287" s="27"/>
      <c r="B287" s="28" t="s">
        <v>134</v>
      </c>
      <c r="C287" s="2"/>
      <c r="D287" s="3"/>
      <c r="E287" s="29"/>
    </row>
    <row r="288">
      <c r="A288" s="18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9">
        <v>0.75</v>
      </c>
      <c r="B289" s="10" t="s">
        <v>140</v>
      </c>
      <c r="C289" s="16"/>
      <c r="D289" s="10" t="s">
        <v>141</v>
      </c>
      <c r="E289" s="21" t="s">
        <v>33</v>
      </c>
    </row>
    <row r="290">
      <c r="A290" s="19">
        <v>0.75</v>
      </c>
      <c r="B290" s="10" t="s">
        <v>142</v>
      </c>
      <c r="C290" s="16"/>
      <c r="D290" s="10" t="s">
        <v>143</v>
      </c>
      <c r="E290" s="21" t="s">
        <v>37</v>
      </c>
    </row>
    <row r="291">
      <c r="A291" s="19">
        <v>0.7597222222222222</v>
      </c>
      <c r="B291" s="10" t="s">
        <v>142</v>
      </c>
      <c r="C291" s="16"/>
      <c r="D291" s="10" t="s">
        <v>141</v>
      </c>
      <c r="E291" s="21" t="s">
        <v>33</v>
      </c>
    </row>
    <row r="292">
      <c r="A292" s="19">
        <v>0.7597222222222222</v>
      </c>
      <c r="B292" s="10" t="s">
        <v>144</v>
      </c>
      <c r="C292" s="16"/>
      <c r="D292" s="10" t="s">
        <v>143</v>
      </c>
      <c r="E292" s="21" t="s">
        <v>37</v>
      </c>
    </row>
    <row r="293">
      <c r="A293" s="19">
        <v>0.7701388888888889</v>
      </c>
      <c r="B293" s="10" t="s">
        <v>144</v>
      </c>
      <c r="C293" s="16"/>
      <c r="D293" s="10" t="s">
        <v>142</v>
      </c>
      <c r="E293" s="21" t="s">
        <v>33</v>
      </c>
    </row>
    <row r="294">
      <c r="A294" s="19">
        <v>0.7701388888888889</v>
      </c>
      <c r="B294" s="10" t="s">
        <v>143</v>
      </c>
      <c r="C294" s="16"/>
      <c r="D294" s="10" t="s">
        <v>140</v>
      </c>
      <c r="E294" s="21" t="s">
        <v>37</v>
      </c>
    </row>
    <row r="295">
      <c r="A295" s="19">
        <v>0.7805555555555556</v>
      </c>
      <c r="B295" s="10" t="s">
        <v>144</v>
      </c>
      <c r="C295" s="16"/>
      <c r="D295" s="10" t="s">
        <v>141</v>
      </c>
      <c r="E295" s="21" t="s">
        <v>33</v>
      </c>
    </row>
    <row r="296">
      <c r="A296" s="19">
        <v>0.7805555555555556</v>
      </c>
      <c r="B296" s="10" t="s">
        <v>140</v>
      </c>
      <c r="C296" s="16"/>
      <c r="D296" s="10" t="s">
        <v>142</v>
      </c>
      <c r="E296" s="21" t="s">
        <v>37</v>
      </c>
    </row>
    <row r="297">
      <c r="A297" s="19">
        <v>0.7902777777777777</v>
      </c>
      <c r="B297" s="10" t="s">
        <v>143</v>
      </c>
      <c r="C297" s="16"/>
      <c r="D297" s="10" t="s">
        <v>141</v>
      </c>
      <c r="E297" s="21" t="s">
        <v>33</v>
      </c>
    </row>
    <row r="298">
      <c r="A298" s="19">
        <v>0.7902777777777777</v>
      </c>
      <c r="B298" s="10" t="s">
        <v>140</v>
      </c>
      <c r="C298" s="16"/>
      <c r="D298" s="10" t="s">
        <v>144</v>
      </c>
      <c r="E298" s="21" t="s">
        <v>37</v>
      </c>
    </row>
    <row r="299">
      <c r="A299" s="19">
        <v>0.8006944444444445</v>
      </c>
      <c r="B299" s="10" t="s">
        <v>141</v>
      </c>
      <c r="C299" s="16"/>
      <c r="D299" s="10" t="s">
        <v>140</v>
      </c>
      <c r="E299" s="21" t="s">
        <v>33</v>
      </c>
    </row>
    <row r="300">
      <c r="A300" s="19">
        <v>0.8006944444444445</v>
      </c>
      <c r="B300" s="10" t="s">
        <v>143</v>
      </c>
      <c r="C300" s="16"/>
      <c r="D300" s="10" t="s">
        <v>142</v>
      </c>
      <c r="E300" s="21" t="s">
        <v>37</v>
      </c>
    </row>
    <row r="301">
      <c r="A301" s="19">
        <v>0.8111111111111111</v>
      </c>
      <c r="B301" s="10" t="s">
        <v>141</v>
      </c>
      <c r="C301" s="16"/>
      <c r="D301" s="10" t="s">
        <v>142</v>
      </c>
      <c r="E301" s="21" t="s">
        <v>33</v>
      </c>
    </row>
    <row r="302">
      <c r="A302" s="19">
        <v>0.8111111111111111</v>
      </c>
      <c r="B302" s="10" t="s">
        <v>143</v>
      </c>
      <c r="C302" s="16"/>
      <c r="D302" s="10" t="s">
        <v>144</v>
      </c>
      <c r="E302" s="21" t="s">
        <v>37</v>
      </c>
    </row>
    <row r="303">
      <c r="A303" s="19">
        <v>0.8208333333333333</v>
      </c>
      <c r="B303" s="10" t="s">
        <v>142</v>
      </c>
      <c r="C303" s="16"/>
      <c r="D303" s="10" t="s">
        <v>144</v>
      </c>
      <c r="E303" s="21" t="s">
        <v>33</v>
      </c>
    </row>
    <row r="304">
      <c r="A304" s="19">
        <v>0.8208333333333333</v>
      </c>
      <c r="B304" s="10" t="s">
        <v>140</v>
      </c>
      <c r="C304" s="16"/>
      <c r="D304" s="10" t="s">
        <v>143</v>
      </c>
      <c r="E304" s="21" t="s">
        <v>37</v>
      </c>
    </row>
    <row r="305">
      <c r="A305" s="19">
        <v>0.83125</v>
      </c>
      <c r="B305" s="10" t="s">
        <v>141</v>
      </c>
      <c r="C305" s="16"/>
      <c r="D305" s="10" t="s">
        <v>144</v>
      </c>
      <c r="E305" s="21" t="s">
        <v>33</v>
      </c>
    </row>
    <row r="306">
      <c r="A306" s="19">
        <v>0.83125</v>
      </c>
      <c r="B306" s="10" t="s">
        <v>142</v>
      </c>
      <c r="C306" s="16"/>
      <c r="D306" s="10" t="s">
        <v>140</v>
      </c>
      <c r="E306" s="21" t="s">
        <v>37</v>
      </c>
    </row>
    <row r="307">
      <c r="A307" s="19">
        <v>0.8416666666666667</v>
      </c>
      <c r="B307" s="10" t="s">
        <v>141</v>
      </c>
      <c r="C307" s="16"/>
      <c r="D307" s="10" t="s">
        <v>143</v>
      </c>
      <c r="E307" s="21" t="s">
        <v>33</v>
      </c>
    </row>
    <row r="308">
      <c r="A308" s="19">
        <v>0.8416666666666667</v>
      </c>
      <c r="B308" s="10" t="s">
        <v>144</v>
      </c>
      <c r="C308" s="16"/>
      <c r="D308" s="10" t="s">
        <v>140</v>
      </c>
      <c r="E308" s="21" t="s">
        <v>37</v>
      </c>
    </row>
    <row r="309">
      <c r="A309" s="27"/>
      <c r="B309" s="28" t="s">
        <v>145</v>
      </c>
      <c r="C309" s="2"/>
      <c r="D309" s="3"/>
      <c r="E309" s="29"/>
    </row>
    <row r="310">
      <c r="A310" s="18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9">
        <v>0.8541666666666666</v>
      </c>
      <c r="B311" s="10" t="s">
        <v>146</v>
      </c>
      <c r="C311" s="30"/>
      <c r="D311" s="10" t="s">
        <v>147</v>
      </c>
      <c r="E311" s="21" t="s">
        <v>9</v>
      </c>
    </row>
    <row r="312">
      <c r="A312" s="19">
        <v>0.8541666666666666</v>
      </c>
      <c r="B312" s="10" t="s">
        <v>148</v>
      </c>
      <c r="C312" s="30"/>
      <c r="D312" s="10" t="s">
        <v>149</v>
      </c>
      <c r="E312" s="21" t="s">
        <v>13</v>
      </c>
    </row>
    <row r="313">
      <c r="A313" s="19">
        <v>0.8638888888888889</v>
      </c>
      <c r="B313" s="10" t="s">
        <v>148</v>
      </c>
      <c r="C313" s="30"/>
      <c r="D313" s="10" t="s">
        <v>147</v>
      </c>
      <c r="E313" s="21" t="s">
        <v>9</v>
      </c>
    </row>
    <row r="314">
      <c r="A314" s="19">
        <v>0.8638888888888889</v>
      </c>
      <c r="B314" s="10" t="s">
        <v>150</v>
      </c>
      <c r="C314" s="30"/>
      <c r="D314" s="10" t="s">
        <v>149</v>
      </c>
      <c r="E314" s="21" t="s">
        <v>13</v>
      </c>
    </row>
    <row r="315">
      <c r="A315" s="19">
        <v>0.8743055555555556</v>
      </c>
      <c r="B315" s="10" t="s">
        <v>150</v>
      </c>
      <c r="C315" s="30"/>
      <c r="D315" s="10" t="s">
        <v>148</v>
      </c>
      <c r="E315" s="21" t="s">
        <v>9</v>
      </c>
    </row>
    <row r="316">
      <c r="A316" s="19">
        <v>0.8743055555555556</v>
      </c>
      <c r="B316" s="10" t="s">
        <v>149</v>
      </c>
      <c r="C316" s="30"/>
      <c r="D316" s="10" t="s">
        <v>146</v>
      </c>
      <c r="E316" s="21" t="s">
        <v>13</v>
      </c>
    </row>
    <row r="317">
      <c r="A317" s="19">
        <v>0.8847222222222222</v>
      </c>
      <c r="B317" s="10" t="s">
        <v>150</v>
      </c>
      <c r="C317" s="30"/>
      <c r="D317" s="10" t="s">
        <v>147</v>
      </c>
      <c r="E317" s="21" t="s">
        <v>9</v>
      </c>
    </row>
    <row r="318">
      <c r="A318" s="19">
        <v>0.8847222222222222</v>
      </c>
      <c r="B318" s="10" t="s">
        <v>146</v>
      </c>
      <c r="C318" s="30"/>
      <c r="D318" s="10" t="s">
        <v>148</v>
      </c>
      <c r="E318" s="21" t="s">
        <v>13</v>
      </c>
    </row>
    <row r="319">
      <c r="A319" s="19">
        <v>0.8944444444444445</v>
      </c>
      <c r="B319" s="10" t="s">
        <v>149</v>
      </c>
      <c r="C319" s="30"/>
      <c r="D319" s="10" t="s">
        <v>147</v>
      </c>
      <c r="E319" s="21" t="s">
        <v>9</v>
      </c>
    </row>
    <row r="320">
      <c r="A320" s="19">
        <v>0.8944444444444445</v>
      </c>
      <c r="B320" s="10" t="s">
        <v>146</v>
      </c>
      <c r="C320" s="30"/>
      <c r="D320" s="10" t="s">
        <v>150</v>
      </c>
      <c r="E320" s="21" t="s">
        <v>13</v>
      </c>
    </row>
    <row r="321">
      <c r="A321" s="19">
        <v>0.9048611111111111</v>
      </c>
      <c r="B321" s="10" t="s">
        <v>147</v>
      </c>
      <c r="C321" s="30"/>
      <c r="D321" s="10" t="s">
        <v>146</v>
      </c>
      <c r="E321" s="21" t="s">
        <v>9</v>
      </c>
    </row>
    <row r="322">
      <c r="A322" s="19">
        <v>0.9048611111111111</v>
      </c>
      <c r="B322" s="10" t="s">
        <v>149</v>
      </c>
      <c r="C322" s="30"/>
      <c r="D322" s="10" t="s">
        <v>148</v>
      </c>
      <c r="E322" s="21" t="s">
        <v>13</v>
      </c>
    </row>
    <row r="323">
      <c r="A323" s="19">
        <v>0.9152777777777777</v>
      </c>
      <c r="B323" s="10" t="s">
        <v>147</v>
      </c>
      <c r="C323" s="29"/>
      <c r="D323" s="10" t="s">
        <v>148</v>
      </c>
      <c r="E323" s="21" t="s">
        <v>9</v>
      </c>
    </row>
    <row r="324">
      <c r="A324" s="19">
        <v>0.9152777777777777</v>
      </c>
      <c r="B324" s="10" t="s">
        <v>149</v>
      </c>
      <c r="C324" s="29"/>
      <c r="D324" s="10" t="s">
        <v>150</v>
      </c>
      <c r="E324" s="21" t="s">
        <v>13</v>
      </c>
    </row>
    <row r="325">
      <c r="A325" s="19">
        <v>0.925</v>
      </c>
      <c r="B325" s="10" t="s">
        <v>148</v>
      </c>
      <c r="C325" s="29"/>
      <c r="D325" s="10" t="s">
        <v>150</v>
      </c>
      <c r="E325" s="21" t="s">
        <v>9</v>
      </c>
    </row>
    <row r="326">
      <c r="A326" s="19">
        <v>0.925</v>
      </c>
      <c r="B326" s="10" t="s">
        <v>146</v>
      </c>
      <c r="C326" s="29"/>
      <c r="D326" s="10" t="s">
        <v>149</v>
      </c>
      <c r="E326" s="21" t="s">
        <v>13</v>
      </c>
    </row>
    <row r="327">
      <c r="A327" s="19">
        <v>0.9354166666666667</v>
      </c>
      <c r="B327" s="10" t="s">
        <v>147</v>
      </c>
      <c r="C327" s="29"/>
      <c r="D327" s="10" t="s">
        <v>150</v>
      </c>
      <c r="E327" s="21" t="s">
        <v>9</v>
      </c>
    </row>
    <row r="328">
      <c r="A328" s="19">
        <v>0.9354166666666667</v>
      </c>
      <c r="B328" s="10" t="s">
        <v>148</v>
      </c>
      <c r="C328" s="29"/>
      <c r="D328" s="10" t="s">
        <v>146</v>
      </c>
      <c r="E328" s="21" t="s">
        <v>13</v>
      </c>
    </row>
    <row r="329">
      <c r="A329" s="19">
        <v>0.9458333333333333</v>
      </c>
      <c r="B329" s="10" t="s">
        <v>147</v>
      </c>
      <c r="C329" s="29"/>
      <c r="D329" s="10" t="s">
        <v>149</v>
      </c>
      <c r="E329" s="21" t="s">
        <v>9</v>
      </c>
    </row>
    <row r="330">
      <c r="A330" s="19">
        <v>0.9458333333333333</v>
      </c>
      <c r="B330" s="10" t="s">
        <v>150</v>
      </c>
      <c r="C330" s="29"/>
      <c r="D330" s="10" t="s">
        <v>146</v>
      </c>
      <c r="E330" s="21" t="s">
        <v>13</v>
      </c>
    </row>
    <row r="331">
      <c r="A331" s="27"/>
      <c r="B331" s="28" t="s">
        <v>145</v>
      </c>
      <c r="C331" s="2"/>
      <c r="D331" s="3"/>
      <c r="E331" s="29"/>
    </row>
    <row r="332">
      <c r="A332" s="18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9">
        <v>0.8541666666666666</v>
      </c>
      <c r="B333" s="10" t="s">
        <v>151</v>
      </c>
      <c r="C333" s="16"/>
      <c r="D333" s="10" t="s">
        <v>152</v>
      </c>
      <c r="E333" s="21" t="s">
        <v>33</v>
      </c>
    </row>
    <row r="334">
      <c r="A334" s="19">
        <v>0.8541666666666666</v>
      </c>
      <c r="B334" s="10" t="s">
        <v>153</v>
      </c>
      <c r="C334" s="16"/>
      <c r="D334" s="10" t="s">
        <v>154</v>
      </c>
      <c r="E334" s="21" t="s">
        <v>37</v>
      </c>
    </row>
    <row r="335">
      <c r="A335" s="19">
        <v>0.8638888888888889</v>
      </c>
      <c r="B335" s="10" t="s">
        <v>153</v>
      </c>
      <c r="C335" s="16"/>
      <c r="D335" s="10" t="s">
        <v>152</v>
      </c>
      <c r="E335" s="21" t="s">
        <v>33</v>
      </c>
    </row>
    <row r="336">
      <c r="A336" s="19">
        <v>0.8638888888888889</v>
      </c>
      <c r="B336" s="10" t="s">
        <v>155</v>
      </c>
      <c r="C336" s="16"/>
      <c r="D336" s="10" t="s">
        <v>154</v>
      </c>
      <c r="E336" s="21" t="s">
        <v>37</v>
      </c>
    </row>
    <row r="337">
      <c r="A337" s="19">
        <v>0.8743055555555556</v>
      </c>
      <c r="B337" s="10" t="s">
        <v>155</v>
      </c>
      <c r="C337" s="16"/>
      <c r="D337" s="10" t="s">
        <v>153</v>
      </c>
      <c r="E337" s="21" t="s">
        <v>33</v>
      </c>
    </row>
    <row r="338">
      <c r="A338" s="19">
        <v>0.8743055555555556</v>
      </c>
      <c r="B338" s="10" t="s">
        <v>154</v>
      </c>
      <c r="C338" s="16"/>
      <c r="D338" s="10" t="s">
        <v>151</v>
      </c>
      <c r="E338" s="21" t="s">
        <v>37</v>
      </c>
    </row>
    <row r="339">
      <c r="A339" s="19">
        <v>0.8847222222222222</v>
      </c>
      <c r="B339" s="10" t="s">
        <v>155</v>
      </c>
      <c r="C339" s="16"/>
      <c r="D339" s="10" t="s">
        <v>152</v>
      </c>
      <c r="E339" s="21" t="s">
        <v>33</v>
      </c>
    </row>
    <row r="340">
      <c r="A340" s="19">
        <v>0.8847222222222222</v>
      </c>
      <c r="B340" s="10" t="s">
        <v>151</v>
      </c>
      <c r="C340" s="16"/>
      <c r="D340" s="10" t="s">
        <v>153</v>
      </c>
      <c r="E340" s="21" t="s">
        <v>37</v>
      </c>
    </row>
    <row r="341">
      <c r="A341" s="19">
        <v>0.8944444444444445</v>
      </c>
      <c r="B341" s="10" t="s">
        <v>154</v>
      </c>
      <c r="C341" s="16"/>
      <c r="D341" s="10" t="s">
        <v>152</v>
      </c>
      <c r="E341" s="21" t="s">
        <v>33</v>
      </c>
    </row>
    <row r="342">
      <c r="A342" s="19">
        <v>0.8944444444444445</v>
      </c>
      <c r="B342" s="10" t="s">
        <v>151</v>
      </c>
      <c r="C342" s="16"/>
      <c r="D342" s="10" t="s">
        <v>155</v>
      </c>
      <c r="E342" s="21" t="s">
        <v>37</v>
      </c>
    </row>
    <row r="343">
      <c r="A343" s="19">
        <v>0.9048611111111111</v>
      </c>
      <c r="B343" s="10" t="s">
        <v>152</v>
      </c>
      <c r="C343" s="16"/>
      <c r="D343" s="10" t="s">
        <v>151</v>
      </c>
      <c r="E343" s="21" t="s">
        <v>33</v>
      </c>
    </row>
    <row r="344">
      <c r="A344" s="19">
        <v>0.9048611111111111</v>
      </c>
      <c r="B344" s="10" t="s">
        <v>154</v>
      </c>
      <c r="C344" s="16"/>
      <c r="D344" s="10" t="s">
        <v>153</v>
      </c>
      <c r="E344" s="21" t="s">
        <v>37</v>
      </c>
    </row>
    <row r="345">
      <c r="A345" s="19">
        <v>0.9152777777777777</v>
      </c>
      <c r="B345" s="10" t="s">
        <v>152</v>
      </c>
      <c r="C345" s="16"/>
      <c r="D345" s="10" t="s">
        <v>153</v>
      </c>
      <c r="E345" s="21" t="s">
        <v>33</v>
      </c>
    </row>
    <row r="346">
      <c r="A346" s="19">
        <v>0.9152777777777777</v>
      </c>
      <c r="B346" s="10" t="s">
        <v>154</v>
      </c>
      <c r="C346" s="16"/>
      <c r="D346" s="10" t="s">
        <v>155</v>
      </c>
      <c r="E346" s="21" t="s">
        <v>37</v>
      </c>
    </row>
    <row r="347">
      <c r="A347" s="19">
        <v>0.925</v>
      </c>
      <c r="B347" s="10" t="s">
        <v>153</v>
      </c>
      <c r="C347" s="16"/>
      <c r="D347" s="10" t="s">
        <v>155</v>
      </c>
      <c r="E347" s="21" t="s">
        <v>33</v>
      </c>
    </row>
    <row r="348">
      <c r="A348" s="19">
        <v>0.925</v>
      </c>
      <c r="B348" s="10" t="s">
        <v>151</v>
      </c>
      <c r="C348" s="16"/>
      <c r="D348" s="10" t="s">
        <v>154</v>
      </c>
      <c r="E348" s="21" t="s">
        <v>37</v>
      </c>
    </row>
    <row r="349">
      <c r="A349" s="19">
        <v>0.9354166666666667</v>
      </c>
      <c r="B349" s="10" t="s">
        <v>152</v>
      </c>
      <c r="C349" s="16"/>
      <c r="D349" s="10" t="s">
        <v>155</v>
      </c>
      <c r="E349" s="21" t="s">
        <v>33</v>
      </c>
    </row>
    <row r="350">
      <c r="A350" s="19">
        <v>0.9354166666666667</v>
      </c>
      <c r="B350" s="10" t="s">
        <v>153</v>
      </c>
      <c r="C350" s="16"/>
      <c r="D350" s="10" t="s">
        <v>151</v>
      </c>
      <c r="E350" s="21" t="s">
        <v>37</v>
      </c>
    </row>
    <row r="351">
      <c r="A351" s="19">
        <v>0.9458333333333333</v>
      </c>
      <c r="B351" s="10" t="s">
        <v>152</v>
      </c>
      <c r="C351" s="16"/>
      <c r="D351" s="10" t="s">
        <v>154</v>
      </c>
      <c r="E351" s="21" t="s">
        <v>33</v>
      </c>
    </row>
    <row r="352">
      <c r="A352" s="19">
        <v>0.9458333333333333</v>
      </c>
      <c r="B352" s="10" t="s">
        <v>155</v>
      </c>
      <c r="C352" s="16"/>
      <c r="D352" s="10" t="s">
        <v>151</v>
      </c>
      <c r="E352" s="21" t="s">
        <v>37</v>
      </c>
    </row>
    <row r="353">
      <c r="A353" s="27"/>
      <c r="B353" s="28" t="s">
        <v>156</v>
      </c>
      <c r="C353" s="2"/>
      <c r="D353" s="3"/>
      <c r="E353" s="29"/>
    </row>
    <row r="354">
      <c r="A354" s="18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9">
        <v>0.9583333333333334</v>
      </c>
      <c r="B355" s="10" t="s">
        <v>157</v>
      </c>
      <c r="C355" s="29"/>
      <c r="D355" s="10" t="s">
        <v>158</v>
      </c>
      <c r="E355" s="21" t="s">
        <v>9</v>
      </c>
    </row>
    <row r="356">
      <c r="A356" s="19">
        <v>0.9583333333333334</v>
      </c>
      <c r="B356" s="10" t="s">
        <v>159</v>
      </c>
      <c r="C356" s="29"/>
      <c r="D356" s="10" t="s">
        <v>160</v>
      </c>
      <c r="E356" s="21" t="s">
        <v>13</v>
      </c>
    </row>
    <row r="357">
      <c r="A357" s="19">
        <v>0.9680555555555556</v>
      </c>
      <c r="B357" s="10" t="s">
        <v>159</v>
      </c>
      <c r="C357" s="29"/>
      <c r="D357" s="10" t="s">
        <v>158</v>
      </c>
      <c r="E357" s="21" t="s">
        <v>9</v>
      </c>
    </row>
    <row r="358">
      <c r="A358" s="19">
        <v>0.9680555555555556</v>
      </c>
      <c r="B358" s="10" t="s">
        <v>161</v>
      </c>
      <c r="C358" s="29"/>
      <c r="D358" s="10" t="s">
        <v>160</v>
      </c>
      <c r="E358" s="21" t="s">
        <v>13</v>
      </c>
    </row>
    <row r="359">
      <c r="A359" s="19">
        <v>0.9784722222222222</v>
      </c>
      <c r="B359" s="10" t="s">
        <v>161</v>
      </c>
      <c r="C359" s="29"/>
      <c r="D359" s="10" t="s">
        <v>159</v>
      </c>
      <c r="E359" s="21" t="s">
        <v>9</v>
      </c>
    </row>
    <row r="360">
      <c r="A360" s="19">
        <v>0.9784722222222222</v>
      </c>
      <c r="B360" s="10" t="s">
        <v>160</v>
      </c>
      <c r="C360" s="29"/>
      <c r="D360" s="10" t="s">
        <v>157</v>
      </c>
      <c r="E360" s="21" t="s">
        <v>13</v>
      </c>
    </row>
    <row r="361">
      <c r="A361" s="19">
        <v>0.9888888888888889</v>
      </c>
      <c r="B361" s="10" t="s">
        <v>161</v>
      </c>
      <c r="C361" s="29"/>
      <c r="D361" s="10" t="s">
        <v>158</v>
      </c>
      <c r="E361" s="21" t="s">
        <v>9</v>
      </c>
    </row>
    <row r="362">
      <c r="A362" s="19">
        <v>0.9888888888888889</v>
      </c>
      <c r="B362" s="10" t="s">
        <v>157</v>
      </c>
      <c r="C362" s="29"/>
      <c r="D362" s="10" t="s">
        <v>159</v>
      </c>
      <c r="E362" s="21" t="s">
        <v>13</v>
      </c>
    </row>
    <row r="363">
      <c r="A363" s="19">
        <v>0.9986111111111111</v>
      </c>
      <c r="B363" s="10" t="s">
        <v>160</v>
      </c>
      <c r="C363" s="29"/>
      <c r="D363" s="10" t="s">
        <v>158</v>
      </c>
      <c r="E363" s="21" t="s">
        <v>9</v>
      </c>
    </row>
    <row r="364">
      <c r="A364" s="19">
        <v>0.9986111111111111</v>
      </c>
      <c r="B364" s="10" t="s">
        <v>157</v>
      </c>
      <c r="C364" s="29"/>
      <c r="D364" s="10" t="s">
        <v>161</v>
      </c>
      <c r="E364" s="21" t="s">
        <v>13</v>
      </c>
    </row>
    <row r="365">
      <c r="A365" s="19">
        <v>0.009027777777777777</v>
      </c>
      <c r="B365" s="10" t="s">
        <v>158</v>
      </c>
      <c r="C365" s="29"/>
      <c r="D365" s="10" t="s">
        <v>157</v>
      </c>
      <c r="E365" s="21" t="s">
        <v>9</v>
      </c>
    </row>
    <row r="366">
      <c r="A366" s="19">
        <v>0.009027777777777777</v>
      </c>
      <c r="B366" s="10" t="s">
        <v>160</v>
      </c>
      <c r="C366" s="29"/>
      <c r="D366" s="10" t="s">
        <v>159</v>
      </c>
      <c r="E366" s="21" t="s">
        <v>13</v>
      </c>
    </row>
    <row r="367">
      <c r="A367" s="19">
        <v>0.019444444444444445</v>
      </c>
      <c r="B367" s="10" t="s">
        <v>158</v>
      </c>
      <c r="C367" s="29"/>
      <c r="D367" s="10" t="s">
        <v>159</v>
      </c>
      <c r="E367" s="21" t="s">
        <v>9</v>
      </c>
    </row>
    <row r="368">
      <c r="A368" s="19">
        <v>0.019444444444444445</v>
      </c>
      <c r="B368" s="10" t="s">
        <v>160</v>
      </c>
      <c r="C368" s="29"/>
      <c r="D368" s="10" t="s">
        <v>161</v>
      </c>
      <c r="E368" s="21" t="s">
        <v>13</v>
      </c>
    </row>
    <row r="369">
      <c r="A369" s="19">
        <v>0.029166666666666667</v>
      </c>
      <c r="B369" s="10" t="s">
        <v>159</v>
      </c>
      <c r="C369" s="29"/>
      <c r="D369" s="10" t="s">
        <v>161</v>
      </c>
      <c r="E369" s="21" t="s">
        <v>9</v>
      </c>
    </row>
    <row r="370">
      <c r="A370" s="19">
        <v>0.029166666666666667</v>
      </c>
      <c r="B370" s="10" t="s">
        <v>157</v>
      </c>
      <c r="C370" s="29"/>
      <c r="D370" s="10" t="s">
        <v>160</v>
      </c>
      <c r="E370" s="21" t="s">
        <v>13</v>
      </c>
    </row>
    <row r="371">
      <c r="A371" s="19">
        <v>0.03958333333333333</v>
      </c>
      <c r="B371" s="10" t="s">
        <v>158</v>
      </c>
      <c r="C371" s="29"/>
      <c r="D371" s="10" t="s">
        <v>161</v>
      </c>
      <c r="E371" s="21" t="s">
        <v>9</v>
      </c>
    </row>
    <row r="372">
      <c r="A372" s="19">
        <v>0.03958333333333333</v>
      </c>
      <c r="B372" s="10" t="s">
        <v>159</v>
      </c>
      <c r="C372" s="29"/>
      <c r="D372" s="10" t="s">
        <v>157</v>
      </c>
      <c r="E372" s="21" t="s">
        <v>13</v>
      </c>
    </row>
    <row r="373">
      <c r="A373" s="19">
        <v>0.05</v>
      </c>
      <c r="B373" s="10" t="s">
        <v>158</v>
      </c>
      <c r="C373" s="29"/>
      <c r="D373" s="10" t="s">
        <v>160</v>
      </c>
      <c r="E373" s="21" t="s">
        <v>9</v>
      </c>
    </row>
    <row r="374">
      <c r="A374" s="19">
        <v>0.05</v>
      </c>
      <c r="B374" s="10" t="s">
        <v>161</v>
      </c>
      <c r="C374" s="29"/>
      <c r="D374" s="10" t="s">
        <v>157</v>
      </c>
      <c r="E374" s="21" t="s">
        <v>13</v>
      </c>
    </row>
    <row r="375">
      <c r="B375" s="28" t="s">
        <v>156</v>
      </c>
      <c r="C375" s="2"/>
      <c r="D375" s="3"/>
      <c r="E375" s="29"/>
    </row>
    <row r="376">
      <c r="A376" s="18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9">
        <v>0.9583333333333334</v>
      </c>
      <c r="B377" s="10" t="s">
        <v>162</v>
      </c>
      <c r="C377" s="16"/>
      <c r="D377" s="10" t="s">
        <v>163</v>
      </c>
      <c r="E377" s="21" t="s">
        <v>33</v>
      </c>
    </row>
    <row r="378">
      <c r="A378" s="19">
        <v>0.9583333333333334</v>
      </c>
      <c r="B378" s="10" t="s">
        <v>164</v>
      </c>
      <c r="C378" s="16"/>
      <c r="D378" s="10" t="s">
        <v>165</v>
      </c>
      <c r="E378" s="21" t="s">
        <v>37</v>
      </c>
    </row>
    <row r="379">
      <c r="A379" s="19">
        <v>0.9680555555555556</v>
      </c>
      <c r="B379" s="10" t="s">
        <v>164</v>
      </c>
      <c r="C379" s="16"/>
      <c r="D379" s="10" t="s">
        <v>163</v>
      </c>
      <c r="E379" s="21" t="s">
        <v>33</v>
      </c>
    </row>
    <row r="380">
      <c r="A380" s="19">
        <v>0.9680555555555556</v>
      </c>
      <c r="B380" s="10" t="s">
        <v>166</v>
      </c>
      <c r="C380" s="16"/>
      <c r="D380" s="10" t="s">
        <v>165</v>
      </c>
      <c r="E380" s="21" t="s">
        <v>37</v>
      </c>
    </row>
    <row r="381">
      <c r="A381" s="19">
        <v>0.9784722222222222</v>
      </c>
      <c r="B381" s="10" t="s">
        <v>166</v>
      </c>
      <c r="C381" s="16"/>
      <c r="D381" s="10" t="s">
        <v>164</v>
      </c>
      <c r="E381" s="21" t="s">
        <v>33</v>
      </c>
    </row>
    <row r="382">
      <c r="A382" s="19">
        <v>0.9784722222222222</v>
      </c>
      <c r="B382" s="10" t="s">
        <v>165</v>
      </c>
      <c r="C382" s="16"/>
      <c r="D382" s="10" t="s">
        <v>162</v>
      </c>
      <c r="E382" s="21" t="s">
        <v>37</v>
      </c>
    </row>
    <row r="383">
      <c r="A383" s="19">
        <v>0.9888888888888889</v>
      </c>
      <c r="B383" s="10" t="s">
        <v>166</v>
      </c>
      <c r="C383" s="16"/>
      <c r="D383" s="10" t="s">
        <v>163</v>
      </c>
      <c r="E383" s="21" t="s">
        <v>33</v>
      </c>
    </row>
    <row r="384">
      <c r="A384" s="19">
        <v>0.9888888888888889</v>
      </c>
      <c r="B384" s="10" t="s">
        <v>162</v>
      </c>
      <c r="C384" s="16"/>
      <c r="D384" s="10" t="s">
        <v>164</v>
      </c>
      <c r="E384" s="21" t="s">
        <v>37</v>
      </c>
    </row>
    <row r="385">
      <c r="A385" s="19">
        <v>0.9986111111111111</v>
      </c>
      <c r="B385" s="10" t="s">
        <v>165</v>
      </c>
      <c r="C385" s="16"/>
      <c r="D385" s="10" t="s">
        <v>163</v>
      </c>
      <c r="E385" s="21" t="s">
        <v>33</v>
      </c>
    </row>
    <row r="386">
      <c r="A386" s="19">
        <v>0.9986111111111111</v>
      </c>
      <c r="B386" s="10" t="s">
        <v>162</v>
      </c>
      <c r="C386" s="16"/>
      <c r="D386" s="10" t="s">
        <v>166</v>
      </c>
      <c r="E386" s="21" t="s">
        <v>37</v>
      </c>
    </row>
    <row r="387">
      <c r="A387" s="19">
        <v>0.009027777777777777</v>
      </c>
      <c r="B387" s="10" t="s">
        <v>163</v>
      </c>
      <c r="C387" s="16"/>
      <c r="D387" s="10" t="s">
        <v>162</v>
      </c>
      <c r="E387" s="21" t="s">
        <v>33</v>
      </c>
    </row>
    <row r="388">
      <c r="A388" s="19">
        <v>0.009027777777777777</v>
      </c>
      <c r="B388" s="10" t="s">
        <v>165</v>
      </c>
      <c r="C388" s="16"/>
      <c r="D388" s="10" t="s">
        <v>164</v>
      </c>
      <c r="E388" s="21" t="s">
        <v>37</v>
      </c>
    </row>
    <row r="389">
      <c r="A389" s="19">
        <v>0.019444444444444445</v>
      </c>
      <c r="B389" s="10" t="s">
        <v>163</v>
      </c>
      <c r="C389" s="16"/>
      <c r="D389" s="10" t="s">
        <v>164</v>
      </c>
      <c r="E389" s="21" t="s">
        <v>33</v>
      </c>
    </row>
    <row r="390">
      <c r="A390" s="19">
        <v>0.019444444444444445</v>
      </c>
      <c r="B390" s="10" t="s">
        <v>165</v>
      </c>
      <c r="C390" s="16"/>
      <c r="D390" s="10" t="s">
        <v>166</v>
      </c>
      <c r="E390" s="21" t="s">
        <v>37</v>
      </c>
    </row>
    <row r="391">
      <c r="A391" s="19">
        <v>0.029166666666666667</v>
      </c>
      <c r="B391" s="10" t="s">
        <v>164</v>
      </c>
      <c r="C391" s="16"/>
      <c r="D391" s="10" t="s">
        <v>166</v>
      </c>
      <c r="E391" s="21" t="s">
        <v>33</v>
      </c>
    </row>
    <row r="392">
      <c r="A392" s="19">
        <v>0.029166666666666667</v>
      </c>
      <c r="B392" s="10" t="s">
        <v>162</v>
      </c>
      <c r="C392" s="16"/>
      <c r="D392" s="10" t="s">
        <v>165</v>
      </c>
      <c r="E392" s="21" t="s">
        <v>37</v>
      </c>
    </row>
    <row r="393">
      <c r="A393" s="19">
        <v>0.03958333333333333</v>
      </c>
      <c r="B393" s="10" t="s">
        <v>163</v>
      </c>
      <c r="C393" s="16"/>
      <c r="D393" s="10" t="s">
        <v>166</v>
      </c>
      <c r="E393" s="21" t="s">
        <v>33</v>
      </c>
    </row>
    <row r="394">
      <c r="A394" s="19">
        <v>0.03958333333333333</v>
      </c>
      <c r="B394" s="10" t="s">
        <v>164</v>
      </c>
      <c r="C394" s="16"/>
      <c r="D394" s="10" t="s">
        <v>162</v>
      </c>
      <c r="E394" s="21" t="s">
        <v>37</v>
      </c>
    </row>
    <row r="395">
      <c r="A395" s="19">
        <v>0.05</v>
      </c>
      <c r="B395" s="10" t="s">
        <v>163</v>
      </c>
      <c r="C395" s="16"/>
      <c r="D395" s="10" t="s">
        <v>165</v>
      </c>
      <c r="E395" s="21" t="s">
        <v>33</v>
      </c>
    </row>
    <row r="396">
      <c r="A396" s="19">
        <v>0.05</v>
      </c>
      <c r="B396" s="10" t="s">
        <v>166</v>
      </c>
      <c r="C396" s="16"/>
      <c r="D396" s="10" t="s">
        <v>162</v>
      </c>
      <c r="E396" s="21" t="s">
        <v>37</v>
      </c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113"/>
    <hyperlink r:id="rId84" ref="E114"/>
  </hyperlinks>
  <drawing r:id="rId85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167</v>
      </c>
      <c r="C3" s="30"/>
      <c r="D3" s="10" t="s">
        <v>168</v>
      </c>
      <c r="E3" s="24" t="s">
        <v>9</v>
      </c>
    </row>
    <row r="4">
      <c r="A4" s="7">
        <v>0.0625</v>
      </c>
      <c r="B4" s="8" t="s">
        <v>169</v>
      </c>
      <c r="C4" s="30"/>
      <c r="D4" s="8" t="s">
        <v>170</v>
      </c>
      <c r="E4" s="24" t="s">
        <v>13</v>
      </c>
    </row>
    <row r="5">
      <c r="A5" s="7">
        <v>0.07222222222222222</v>
      </c>
      <c r="B5" s="10" t="s">
        <v>169</v>
      </c>
      <c r="C5" s="30"/>
      <c r="D5" s="8" t="s">
        <v>168</v>
      </c>
      <c r="E5" s="24" t="s">
        <v>9</v>
      </c>
    </row>
    <row r="6">
      <c r="A6" s="7">
        <v>0.07222222222222222</v>
      </c>
      <c r="B6" s="8" t="s">
        <v>171</v>
      </c>
      <c r="C6" s="30"/>
      <c r="D6" s="10" t="s">
        <v>170</v>
      </c>
      <c r="E6" s="24" t="s">
        <v>13</v>
      </c>
    </row>
    <row r="7">
      <c r="A7" s="7">
        <v>0.08263888888888889</v>
      </c>
      <c r="B7" s="10" t="s">
        <v>171</v>
      </c>
      <c r="C7" s="30"/>
      <c r="D7" s="8" t="s">
        <v>169</v>
      </c>
      <c r="E7" s="24" t="s">
        <v>9</v>
      </c>
    </row>
    <row r="8">
      <c r="A8" s="7">
        <v>0.08263888888888889</v>
      </c>
      <c r="B8" s="8" t="s">
        <v>170</v>
      </c>
      <c r="C8" s="30"/>
      <c r="D8" s="8" t="s">
        <v>167</v>
      </c>
      <c r="E8" s="24" t="s">
        <v>13</v>
      </c>
    </row>
    <row r="9">
      <c r="A9" s="7">
        <v>0.09305555555555556</v>
      </c>
      <c r="B9" s="10" t="s">
        <v>171</v>
      </c>
      <c r="C9" s="30"/>
      <c r="D9" s="10" t="s">
        <v>168</v>
      </c>
      <c r="E9" s="24" t="s">
        <v>9</v>
      </c>
    </row>
    <row r="10">
      <c r="A10" s="7">
        <v>0.09305555555555556</v>
      </c>
      <c r="B10" s="8" t="s">
        <v>167</v>
      </c>
      <c r="C10" s="30"/>
      <c r="D10" s="8" t="s">
        <v>169</v>
      </c>
      <c r="E10" s="24" t="s">
        <v>13</v>
      </c>
    </row>
    <row r="11">
      <c r="A11" s="7">
        <v>0.10277777777777777</v>
      </c>
      <c r="B11" s="10" t="s">
        <v>170</v>
      </c>
      <c r="C11" s="30"/>
      <c r="D11" s="8" t="s">
        <v>168</v>
      </c>
      <c r="E11" s="24" t="s">
        <v>9</v>
      </c>
    </row>
    <row r="12">
      <c r="A12" s="7">
        <v>0.10277777777777777</v>
      </c>
      <c r="B12" s="8" t="s">
        <v>167</v>
      </c>
      <c r="C12" s="30"/>
      <c r="D12" s="10" t="s">
        <v>171</v>
      </c>
      <c r="E12" s="24" t="s">
        <v>13</v>
      </c>
    </row>
    <row r="13">
      <c r="A13" s="7">
        <v>0.11319444444444444</v>
      </c>
      <c r="B13" s="10" t="s">
        <v>168</v>
      </c>
      <c r="C13" s="30"/>
      <c r="D13" s="8" t="s">
        <v>167</v>
      </c>
      <c r="E13" s="24" t="s">
        <v>9</v>
      </c>
    </row>
    <row r="14">
      <c r="A14" s="7">
        <v>0.11319444444444444</v>
      </c>
      <c r="B14" s="8" t="s">
        <v>170</v>
      </c>
      <c r="C14" s="30"/>
      <c r="D14" s="8" t="s">
        <v>169</v>
      </c>
      <c r="E14" s="24" t="s">
        <v>13</v>
      </c>
    </row>
    <row r="15">
      <c r="A15" s="7">
        <v>0.12361111111111112</v>
      </c>
      <c r="B15" s="8" t="s">
        <v>168</v>
      </c>
      <c r="C15" s="29"/>
      <c r="D15" s="10" t="s">
        <v>169</v>
      </c>
      <c r="E15" s="24" t="s">
        <v>9</v>
      </c>
    </row>
    <row r="16">
      <c r="A16" s="7">
        <v>0.12361111111111112</v>
      </c>
      <c r="B16" s="10" t="s">
        <v>170</v>
      </c>
      <c r="C16" s="29"/>
      <c r="D16" s="8" t="s">
        <v>171</v>
      </c>
      <c r="E16" s="24" t="s">
        <v>13</v>
      </c>
    </row>
    <row r="17">
      <c r="A17" s="7">
        <v>0.13333333333333333</v>
      </c>
      <c r="B17" s="8" t="s">
        <v>169</v>
      </c>
      <c r="C17" s="29"/>
      <c r="D17" s="10" t="s">
        <v>171</v>
      </c>
      <c r="E17" s="24" t="s">
        <v>9</v>
      </c>
    </row>
    <row r="18">
      <c r="A18" s="7">
        <v>0.13333333333333333</v>
      </c>
      <c r="B18" s="8" t="s">
        <v>167</v>
      </c>
      <c r="C18" s="29"/>
      <c r="D18" s="8" t="s">
        <v>170</v>
      </c>
      <c r="E18" s="24" t="s">
        <v>13</v>
      </c>
    </row>
    <row r="19">
      <c r="A19" s="7">
        <v>0.14375</v>
      </c>
      <c r="B19" s="10" t="s">
        <v>168</v>
      </c>
      <c r="C19" s="29"/>
      <c r="D19" s="10" t="s">
        <v>171</v>
      </c>
      <c r="E19" s="24" t="s">
        <v>9</v>
      </c>
    </row>
    <row r="20">
      <c r="A20" s="7">
        <v>0.14375</v>
      </c>
      <c r="B20" s="8" t="s">
        <v>169</v>
      </c>
      <c r="C20" s="29"/>
      <c r="D20" s="8" t="s">
        <v>167</v>
      </c>
      <c r="E20" s="24" t="s">
        <v>13</v>
      </c>
    </row>
    <row r="21">
      <c r="A21" s="7">
        <v>0.15416666666666667</v>
      </c>
      <c r="B21" s="8" t="s">
        <v>168</v>
      </c>
      <c r="C21" s="29"/>
      <c r="D21" s="10" t="s">
        <v>170</v>
      </c>
      <c r="E21" s="24" t="s">
        <v>9</v>
      </c>
    </row>
    <row r="22">
      <c r="A22" s="7">
        <v>0.15416666666666667</v>
      </c>
      <c r="B22" s="10" t="s">
        <v>171</v>
      </c>
      <c r="C22" s="29"/>
      <c r="D22" s="8" t="s">
        <v>167</v>
      </c>
      <c r="E22" s="24" t="s">
        <v>13</v>
      </c>
    </row>
    <row r="23">
      <c r="A23" s="1"/>
      <c r="B23" s="1" t="s">
        <v>29</v>
      </c>
      <c r="C23" s="2"/>
      <c r="D23" s="3"/>
      <c r="E23" s="14"/>
    </row>
    <row r="24">
      <c r="A24" s="15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172</v>
      </c>
      <c r="C25" s="16"/>
      <c r="D25" s="8" t="s">
        <v>173</v>
      </c>
      <c r="E25" s="24" t="s">
        <v>33</v>
      </c>
    </row>
    <row r="26">
      <c r="A26" s="7">
        <v>0.0625</v>
      </c>
      <c r="B26" s="8" t="s">
        <v>174</v>
      </c>
      <c r="C26" s="16"/>
      <c r="D26" s="8" t="s">
        <v>175</v>
      </c>
      <c r="E26" s="24" t="s">
        <v>37</v>
      </c>
    </row>
    <row r="27">
      <c r="A27" s="7">
        <v>0.07222222222222222</v>
      </c>
      <c r="B27" s="10" t="s">
        <v>174</v>
      </c>
      <c r="C27" s="16"/>
      <c r="D27" s="10" t="s">
        <v>173</v>
      </c>
      <c r="E27" s="24" t="s">
        <v>33</v>
      </c>
    </row>
    <row r="28">
      <c r="A28" s="7">
        <v>0.07222222222222222</v>
      </c>
      <c r="B28" s="8" t="s">
        <v>176</v>
      </c>
      <c r="C28" s="16"/>
      <c r="D28" s="8" t="s">
        <v>175</v>
      </c>
      <c r="E28" s="24" t="s">
        <v>37</v>
      </c>
    </row>
    <row r="29">
      <c r="A29" s="7">
        <v>0.08263888888888889</v>
      </c>
      <c r="B29" s="10" t="s">
        <v>176</v>
      </c>
      <c r="C29" s="16"/>
      <c r="D29" s="8" t="s">
        <v>174</v>
      </c>
      <c r="E29" s="24" t="s">
        <v>33</v>
      </c>
    </row>
    <row r="30">
      <c r="A30" s="7">
        <v>0.08263888888888889</v>
      </c>
      <c r="B30" s="8" t="s">
        <v>175</v>
      </c>
      <c r="C30" s="16"/>
      <c r="D30" s="8" t="s">
        <v>172</v>
      </c>
      <c r="E30" s="24" t="s">
        <v>37</v>
      </c>
    </row>
    <row r="31">
      <c r="A31" s="7">
        <v>0.09305555555555556</v>
      </c>
      <c r="B31" s="10" t="s">
        <v>176</v>
      </c>
      <c r="C31" s="16"/>
      <c r="D31" s="8" t="s">
        <v>173</v>
      </c>
      <c r="E31" s="24" t="s">
        <v>33</v>
      </c>
    </row>
    <row r="32">
      <c r="A32" s="7">
        <v>0.09305555555555556</v>
      </c>
      <c r="B32" s="8" t="s">
        <v>172</v>
      </c>
      <c r="C32" s="16"/>
      <c r="D32" s="10" t="s">
        <v>174</v>
      </c>
      <c r="E32" s="24" t="s">
        <v>37</v>
      </c>
    </row>
    <row r="33">
      <c r="A33" s="7">
        <v>0.10277777777777777</v>
      </c>
      <c r="B33" s="8" t="s">
        <v>175</v>
      </c>
      <c r="C33" s="16"/>
      <c r="D33" s="8" t="s">
        <v>173</v>
      </c>
      <c r="E33" s="24" t="s">
        <v>33</v>
      </c>
    </row>
    <row r="34">
      <c r="A34" s="7">
        <v>0.10277777777777777</v>
      </c>
      <c r="B34" s="8" t="s">
        <v>172</v>
      </c>
      <c r="C34" s="16"/>
      <c r="D34" s="8" t="s">
        <v>176</v>
      </c>
      <c r="E34" s="24" t="s">
        <v>37</v>
      </c>
    </row>
    <row r="35">
      <c r="A35" s="7">
        <v>0.11319444444444444</v>
      </c>
      <c r="B35" s="8" t="s">
        <v>173</v>
      </c>
      <c r="C35" s="16"/>
      <c r="D35" s="8" t="s">
        <v>172</v>
      </c>
      <c r="E35" s="24" t="s">
        <v>33</v>
      </c>
    </row>
    <row r="36">
      <c r="A36" s="7">
        <v>0.11319444444444444</v>
      </c>
      <c r="B36" s="8" t="s">
        <v>175</v>
      </c>
      <c r="C36" s="16"/>
      <c r="D36" s="8" t="s">
        <v>174</v>
      </c>
      <c r="E36" s="24" t="s">
        <v>37</v>
      </c>
    </row>
    <row r="37">
      <c r="A37" s="7">
        <v>0.12361111111111112</v>
      </c>
      <c r="B37" s="10" t="s">
        <v>173</v>
      </c>
      <c r="C37" s="16"/>
      <c r="D37" s="10" t="s">
        <v>174</v>
      </c>
      <c r="E37" s="24" t="s">
        <v>33</v>
      </c>
    </row>
    <row r="38">
      <c r="A38" s="7">
        <v>0.12361111111111112</v>
      </c>
      <c r="B38" s="8" t="s">
        <v>175</v>
      </c>
      <c r="C38" s="16"/>
      <c r="D38" s="8" t="s">
        <v>176</v>
      </c>
      <c r="E38" s="24" t="s">
        <v>37</v>
      </c>
    </row>
    <row r="39">
      <c r="A39" s="7">
        <v>0.13333333333333333</v>
      </c>
      <c r="B39" s="8" t="s">
        <v>174</v>
      </c>
      <c r="C39" s="16"/>
      <c r="D39" s="10" t="s">
        <v>176</v>
      </c>
      <c r="E39" s="24" t="s">
        <v>33</v>
      </c>
    </row>
    <row r="40">
      <c r="A40" s="7">
        <v>0.13333333333333333</v>
      </c>
      <c r="B40" s="8" t="s">
        <v>172</v>
      </c>
      <c r="C40" s="16"/>
      <c r="D40" s="8" t="s">
        <v>175</v>
      </c>
      <c r="E40" s="24" t="s">
        <v>37</v>
      </c>
    </row>
    <row r="41">
      <c r="A41" s="7">
        <v>0.14375</v>
      </c>
      <c r="B41" s="8" t="s">
        <v>173</v>
      </c>
      <c r="C41" s="16"/>
      <c r="D41" s="10" t="s">
        <v>176</v>
      </c>
      <c r="E41" s="24" t="s">
        <v>33</v>
      </c>
    </row>
    <row r="42">
      <c r="A42" s="7">
        <v>0.14375</v>
      </c>
      <c r="B42" s="10" t="s">
        <v>174</v>
      </c>
      <c r="C42" s="16"/>
      <c r="D42" s="8" t="s">
        <v>172</v>
      </c>
      <c r="E42" s="24" t="s">
        <v>37</v>
      </c>
    </row>
    <row r="43">
      <c r="A43" s="7">
        <v>0.15416666666666667</v>
      </c>
      <c r="B43" s="8" t="s">
        <v>173</v>
      </c>
      <c r="C43" s="16"/>
      <c r="D43" s="8" t="s">
        <v>175</v>
      </c>
      <c r="E43" s="24" t="s">
        <v>33</v>
      </c>
    </row>
    <row r="44">
      <c r="A44" s="7">
        <v>0.15416666666666667</v>
      </c>
      <c r="B44" s="8" t="s">
        <v>176</v>
      </c>
      <c r="C44" s="16"/>
      <c r="D44" s="8" t="s">
        <v>172</v>
      </c>
      <c r="E44" s="24" t="s">
        <v>37</v>
      </c>
    </row>
    <row r="45">
      <c r="A45" s="1"/>
      <c r="B45" s="1" t="s">
        <v>53</v>
      </c>
      <c r="C45" s="2"/>
      <c r="D45" s="3"/>
      <c r="E45" s="14"/>
    </row>
    <row r="46">
      <c r="A46" s="15" t="s">
        <v>1</v>
      </c>
      <c r="B46" s="16" t="s">
        <v>2</v>
      </c>
      <c r="C46" s="16" t="s">
        <v>3</v>
      </c>
      <c r="D46" s="16" t="s">
        <v>4</v>
      </c>
      <c r="E46" s="16" t="s">
        <v>5</v>
      </c>
    </row>
    <row r="47">
      <c r="A47" s="7">
        <v>0.16666666666666666</v>
      </c>
      <c r="B47" s="8" t="s">
        <v>177</v>
      </c>
      <c r="C47" s="29"/>
      <c r="D47" s="8" t="s">
        <v>178</v>
      </c>
      <c r="E47" s="24" t="s">
        <v>9</v>
      </c>
    </row>
    <row r="48">
      <c r="A48" s="7">
        <v>0.16666666666666666</v>
      </c>
      <c r="B48" s="8" t="s">
        <v>179</v>
      </c>
      <c r="C48" s="29"/>
      <c r="D48" s="8" t="s">
        <v>180</v>
      </c>
      <c r="E48" s="24" t="s">
        <v>13</v>
      </c>
    </row>
    <row r="49">
      <c r="A49" s="7">
        <v>0.1763888888888889</v>
      </c>
      <c r="B49" s="8" t="s">
        <v>179</v>
      </c>
      <c r="C49" s="29"/>
      <c r="D49" s="8" t="s">
        <v>178</v>
      </c>
      <c r="E49" s="24" t="s">
        <v>9</v>
      </c>
    </row>
    <row r="50">
      <c r="A50" s="7">
        <v>0.1763888888888889</v>
      </c>
      <c r="B50" s="8" t="s">
        <v>181</v>
      </c>
      <c r="C50" s="29"/>
      <c r="D50" s="8" t="s">
        <v>180</v>
      </c>
      <c r="E50" s="24" t="s">
        <v>13</v>
      </c>
    </row>
    <row r="51">
      <c r="A51" s="7">
        <v>0.18680555555555556</v>
      </c>
      <c r="B51" s="8" t="s">
        <v>181</v>
      </c>
      <c r="C51" s="29"/>
      <c r="D51" s="8" t="s">
        <v>179</v>
      </c>
      <c r="E51" s="24" t="s">
        <v>9</v>
      </c>
    </row>
    <row r="52">
      <c r="A52" s="7">
        <v>0.18680555555555556</v>
      </c>
      <c r="B52" s="8" t="s">
        <v>180</v>
      </c>
      <c r="C52" s="29"/>
      <c r="D52" s="8" t="s">
        <v>177</v>
      </c>
      <c r="E52" s="24" t="s">
        <v>13</v>
      </c>
    </row>
    <row r="53">
      <c r="A53" s="7">
        <v>0.19722222222222222</v>
      </c>
      <c r="B53" s="8" t="s">
        <v>181</v>
      </c>
      <c r="C53" s="29"/>
      <c r="D53" s="8" t="s">
        <v>178</v>
      </c>
      <c r="E53" s="24" t="s">
        <v>9</v>
      </c>
    </row>
    <row r="54">
      <c r="A54" s="7">
        <v>0.19722222222222222</v>
      </c>
      <c r="B54" s="8" t="s">
        <v>177</v>
      </c>
      <c r="C54" s="29"/>
      <c r="D54" s="8" t="s">
        <v>179</v>
      </c>
      <c r="E54" s="24" t="s">
        <v>13</v>
      </c>
    </row>
    <row r="55">
      <c r="A55" s="7">
        <v>0.20694444444444443</v>
      </c>
      <c r="B55" s="8" t="s">
        <v>180</v>
      </c>
      <c r="C55" s="29"/>
      <c r="D55" s="8" t="s">
        <v>178</v>
      </c>
      <c r="E55" s="24" t="s">
        <v>9</v>
      </c>
    </row>
    <row r="56">
      <c r="A56" s="7">
        <v>0.20694444444444443</v>
      </c>
      <c r="B56" s="8" t="s">
        <v>177</v>
      </c>
      <c r="C56" s="29"/>
      <c r="D56" s="8" t="s">
        <v>181</v>
      </c>
      <c r="E56" s="24" t="s">
        <v>13</v>
      </c>
    </row>
    <row r="57">
      <c r="A57" s="7">
        <v>0.21736111111111112</v>
      </c>
      <c r="B57" s="8" t="s">
        <v>178</v>
      </c>
      <c r="C57" s="29"/>
      <c r="D57" s="8" t="s">
        <v>177</v>
      </c>
      <c r="E57" s="24" t="s">
        <v>9</v>
      </c>
    </row>
    <row r="58">
      <c r="A58" s="7">
        <v>0.21736111111111112</v>
      </c>
      <c r="B58" s="8" t="s">
        <v>180</v>
      </c>
      <c r="C58" s="29"/>
      <c r="D58" s="8" t="s">
        <v>179</v>
      </c>
      <c r="E58" s="24" t="s">
        <v>13</v>
      </c>
    </row>
    <row r="59">
      <c r="A59" s="7">
        <v>0.22777777777777777</v>
      </c>
      <c r="B59" s="8" t="s">
        <v>178</v>
      </c>
      <c r="C59" s="29"/>
      <c r="D59" s="8" t="s">
        <v>179</v>
      </c>
      <c r="E59" s="24" t="s">
        <v>9</v>
      </c>
    </row>
    <row r="60">
      <c r="A60" s="7">
        <v>0.22777777777777777</v>
      </c>
      <c r="B60" s="8" t="s">
        <v>180</v>
      </c>
      <c r="C60" s="29"/>
      <c r="D60" s="8" t="s">
        <v>181</v>
      </c>
      <c r="E60" s="24" t="s">
        <v>13</v>
      </c>
    </row>
    <row r="61">
      <c r="A61" s="7">
        <v>0.2375</v>
      </c>
      <c r="B61" s="8" t="s">
        <v>179</v>
      </c>
      <c r="C61" s="29"/>
      <c r="D61" s="8" t="s">
        <v>181</v>
      </c>
      <c r="E61" s="24" t="s">
        <v>9</v>
      </c>
    </row>
    <row r="62">
      <c r="A62" s="7">
        <v>0.2375</v>
      </c>
      <c r="B62" s="8" t="s">
        <v>177</v>
      </c>
      <c r="C62" s="29"/>
      <c r="D62" s="8" t="s">
        <v>180</v>
      </c>
      <c r="E62" s="24" t="s">
        <v>13</v>
      </c>
    </row>
    <row r="63">
      <c r="A63" s="7">
        <v>0.24791666666666667</v>
      </c>
      <c r="B63" s="8" t="s">
        <v>178</v>
      </c>
      <c r="C63" s="29"/>
      <c r="D63" s="8" t="s">
        <v>181</v>
      </c>
      <c r="E63" s="24" t="s">
        <v>9</v>
      </c>
    </row>
    <row r="64">
      <c r="A64" s="7">
        <v>0.24791666666666667</v>
      </c>
      <c r="B64" s="8" t="s">
        <v>179</v>
      </c>
      <c r="C64" s="29"/>
      <c r="D64" s="8" t="s">
        <v>177</v>
      </c>
      <c r="E64" s="24" t="s">
        <v>13</v>
      </c>
    </row>
    <row r="65">
      <c r="A65" s="7">
        <v>0.25833333333333336</v>
      </c>
      <c r="B65" s="8" t="s">
        <v>178</v>
      </c>
      <c r="C65" s="29"/>
      <c r="D65" s="8" t="s">
        <v>180</v>
      </c>
      <c r="E65" s="24" t="s">
        <v>9</v>
      </c>
    </row>
    <row r="66">
      <c r="A66" s="7">
        <v>0.25833333333333336</v>
      </c>
      <c r="B66" s="8" t="s">
        <v>181</v>
      </c>
      <c r="C66" s="29"/>
      <c r="D66" s="8" t="s">
        <v>177</v>
      </c>
      <c r="E66" s="24" t="s">
        <v>13</v>
      </c>
    </row>
    <row r="67">
      <c r="A67" s="1"/>
      <c r="B67" s="1" t="s">
        <v>53</v>
      </c>
      <c r="C67" s="2"/>
      <c r="D67" s="3"/>
      <c r="E67" s="4"/>
    </row>
    <row r="68">
      <c r="A68" s="15" t="s">
        <v>1</v>
      </c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7">
        <v>0.16666666666666666</v>
      </c>
      <c r="B69" s="8" t="s">
        <v>79</v>
      </c>
      <c r="C69" s="16"/>
      <c r="D69" s="8" t="s">
        <v>182</v>
      </c>
      <c r="E69" s="24" t="s">
        <v>33</v>
      </c>
    </row>
    <row r="70">
      <c r="A70" s="7">
        <v>0.16666666666666666</v>
      </c>
      <c r="B70" s="8" t="s">
        <v>183</v>
      </c>
      <c r="C70" s="16"/>
      <c r="D70" s="8" t="s">
        <v>184</v>
      </c>
      <c r="E70" s="24" t="s">
        <v>37</v>
      </c>
    </row>
    <row r="71">
      <c r="A71" s="7">
        <v>0.1763888888888889</v>
      </c>
      <c r="B71" s="8" t="s">
        <v>183</v>
      </c>
      <c r="C71" s="16"/>
      <c r="D71" s="8" t="s">
        <v>182</v>
      </c>
      <c r="E71" s="24" t="s">
        <v>33</v>
      </c>
    </row>
    <row r="72">
      <c r="A72" s="7">
        <v>0.1763888888888889</v>
      </c>
      <c r="B72" s="8" t="s">
        <v>185</v>
      </c>
      <c r="C72" s="16"/>
      <c r="D72" s="8" t="s">
        <v>184</v>
      </c>
      <c r="E72" s="24" t="s">
        <v>37</v>
      </c>
    </row>
    <row r="73">
      <c r="A73" s="7">
        <v>0.18680555555555556</v>
      </c>
      <c r="B73" s="8" t="s">
        <v>185</v>
      </c>
      <c r="C73" s="16"/>
      <c r="D73" s="8" t="s">
        <v>183</v>
      </c>
      <c r="E73" s="24" t="s">
        <v>33</v>
      </c>
    </row>
    <row r="74">
      <c r="A74" s="7">
        <v>0.18680555555555556</v>
      </c>
      <c r="B74" s="8" t="s">
        <v>184</v>
      </c>
      <c r="C74" s="16"/>
      <c r="D74" s="8" t="s">
        <v>79</v>
      </c>
      <c r="E74" s="24" t="s">
        <v>37</v>
      </c>
    </row>
    <row r="75">
      <c r="A75" s="7">
        <v>0.19722222222222222</v>
      </c>
      <c r="B75" s="8" t="s">
        <v>185</v>
      </c>
      <c r="C75" s="16"/>
      <c r="D75" s="8" t="s">
        <v>182</v>
      </c>
      <c r="E75" s="24" t="s">
        <v>33</v>
      </c>
    </row>
    <row r="76">
      <c r="A76" s="7">
        <v>0.19722222222222222</v>
      </c>
      <c r="B76" s="8" t="s">
        <v>79</v>
      </c>
      <c r="C76" s="16"/>
      <c r="D76" s="8" t="s">
        <v>183</v>
      </c>
      <c r="E76" s="24" t="s">
        <v>37</v>
      </c>
    </row>
    <row r="77">
      <c r="A77" s="7">
        <v>0.20694444444444443</v>
      </c>
      <c r="B77" s="8" t="s">
        <v>184</v>
      </c>
      <c r="C77" s="16"/>
      <c r="D77" s="8" t="s">
        <v>182</v>
      </c>
      <c r="E77" s="24" t="s">
        <v>33</v>
      </c>
    </row>
    <row r="78">
      <c r="A78" s="7">
        <v>0.20694444444444443</v>
      </c>
      <c r="B78" s="8" t="s">
        <v>79</v>
      </c>
      <c r="C78" s="16"/>
      <c r="D78" s="8" t="s">
        <v>185</v>
      </c>
      <c r="E78" s="24" t="s">
        <v>37</v>
      </c>
    </row>
    <row r="79">
      <c r="A79" s="7">
        <v>0.21736111111111112</v>
      </c>
      <c r="B79" s="8" t="s">
        <v>182</v>
      </c>
      <c r="C79" s="16"/>
      <c r="D79" s="8" t="s">
        <v>79</v>
      </c>
      <c r="E79" s="24" t="s">
        <v>33</v>
      </c>
    </row>
    <row r="80">
      <c r="A80" s="7">
        <v>0.21736111111111112</v>
      </c>
      <c r="B80" s="8" t="s">
        <v>184</v>
      </c>
      <c r="C80" s="16"/>
      <c r="D80" s="8" t="s">
        <v>183</v>
      </c>
      <c r="E80" s="24" t="s">
        <v>37</v>
      </c>
    </row>
    <row r="81">
      <c r="A81" s="7">
        <v>0.22777777777777777</v>
      </c>
      <c r="B81" s="8" t="s">
        <v>182</v>
      </c>
      <c r="C81" s="16"/>
      <c r="D81" s="8" t="s">
        <v>183</v>
      </c>
      <c r="E81" s="24" t="s">
        <v>33</v>
      </c>
    </row>
    <row r="82">
      <c r="A82" s="7">
        <v>0.22777777777777777</v>
      </c>
      <c r="B82" s="8" t="s">
        <v>184</v>
      </c>
      <c r="C82" s="16"/>
      <c r="D82" s="8" t="s">
        <v>185</v>
      </c>
      <c r="E82" s="24" t="s">
        <v>37</v>
      </c>
    </row>
    <row r="83">
      <c r="A83" s="7">
        <v>0.2375</v>
      </c>
      <c r="B83" s="8" t="s">
        <v>183</v>
      </c>
      <c r="C83" s="16"/>
      <c r="D83" s="8" t="s">
        <v>185</v>
      </c>
      <c r="E83" s="24" t="s">
        <v>33</v>
      </c>
    </row>
    <row r="84">
      <c r="A84" s="7">
        <v>0.2375</v>
      </c>
      <c r="B84" s="8" t="s">
        <v>79</v>
      </c>
      <c r="C84" s="16"/>
      <c r="D84" s="8" t="s">
        <v>184</v>
      </c>
      <c r="E84" s="24" t="s">
        <v>37</v>
      </c>
    </row>
    <row r="85">
      <c r="A85" s="7">
        <v>0.24791666666666667</v>
      </c>
      <c r="B85" s="8" t="s">
        <v>182</v>
      </c>
      <c r="C85" s="16"/>
      <c r="D85" s="8" t="s">
        <v>185</v>
      </c>
      <c r="E85" s="24" t="s">
        <v>33</v>
      </c>
    </row>
    <row r="86">
      <c r="A86" s="7">
        <v>0.24791666666666667</v>
      </c>
      <c r="B86" s="8" t="s">
        <v>183</v>
      </c>
      <c r="C86" s="16"/>
      <c r="D86" s="8" t="s">
        <v>79</v>
      </c>
      <c r="E86" s="24" t="s">
        <v>37</v>
      </c>
    </row>
    <row r="87">
      <c r="A87" s="7">
        <v>0.25833333333333336</v>
      </c>
      <c r="B87" s="8" t="s">
        <v>182</v>
      </c>
      <c r="C87" s="16"/>
      <c r="D87" s="8" t="s">
        <v>184</v>
      </c>
      <c r="E87" s="24" t="s">
        <v>33</v>
      </c>
    </row>
    <row r="88">
      <c r="A88" s="17">
        <v>0.25833333333333336</v>
      </c>
      <c r="B88" s="8" t="s">
        <v>185</v>
      </c>
      <c r="C88" s="16"/>
      <c r="D88" s="8" t="s">
        <v>79</v>
      </c>
      <c r="E88" s="24" t="s">
        <v>37</v>
      </c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4">
    <mergeCell ref="B1:D1"/>
    <mergeCell ref="B23:D23"/>
    <mergeCell ref="B45:D45"/>
    <mergeCell ref="B67:D67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32" t="s">
        <v>186</v>
      </c>
      <c r="C3" s="33" t="s">
        <v>187</v>
      </c>
      <c r="D3" s="34" t="s">
        <v>188</v>
      </c>
      <c r="E3" s="11" t="s">
        <v>9</v>
      </c>
    </row>
    <row r="4">
      <c r="A4" s="7">
        <v>0.0625</v>
      </c>
      <c r="B4" s="32" t="s">
        <v>189</v>
      </c>
      <c r="C4" s="33" t="s">
        <v>190</v>
      </c>
      <c r="D4" s="32" t="s">
        <v>191</v>
      </c>
      <c r="E4" s="11" t="s">
        <v>13</v>
      </c>
    </row>
    <row r="5">
      <c r="A5" s="7">
        <v>0.07222222222222222</v>
      </c>
      <c r="B5" s="34" t="s">
        <v>189</v>
      </c>
      <c r="C5" s="33" t="s">
        <v>58</v>
      </c>
      <c r="D5" s="32" t="s">
        <v>188</v>
      </c>
      <c r="E5" s="11" t="s">
        <v>9</v>
      </c>
    </row>
    <row r="6">
      <c r="A6" s="7">
        <v>0.07222222222222222</v>
      </c>
      <c r="B6" s="32" t="s">
        <v>192</v>
      </c>
      <c r="C6" s="33" t="s">
        <v>43</v>
      </c>
      <c r="D6" s="34" t="s">
        <v>191</v>
      </c>
      <c r="E6" s="11" t="s">
        <v>13</v>
      </c>
    </row>
    <row r="7">
      <c r="A7" s="7">
        <v>0.08263888888888889</v>
      </c>
      <c r="B7" s="34" t="s">
        <v>192</v>
      </c>
      <c r="C7" s="33" t="s">
        <v>78</v>
      </c>
      <c r="D7" s="32" t="s">
        <v>189</v>
      </c>
      <c r="E7" s="11" t="s">
        <v>9</v>
      </c>
    </row>
    <row r="8">
      <c r="A8" s="7">
        <v>0.08263888888888889</v>
      </c>
      <c r="B8" s="32" t="s">
        <v>191</v>
      </c>
      <c r="C8" s="33" t="s">
        <v>25</v>
      </c>
      <c r="D8" s="32" t="s">
        <v>186</v>
      </c>
      <c r="E8" s="11" t="s">
        <v>13</v>
      </c>
    </row>
    <row r="9">
      <c r="A9" s="7">
        <v>0.09305555555555556</v>
      </c>
      <c r="B9" s="34" t="s">
        <v>192</v>
      </c>
      <c r="C9" s="33" t="s">
        <v>43</v>
      </c>
      <c r="D9" s="34" t="s">
        <v>188</v>
      </c>
      <c r="E9" s="11" t="s">
        <v>9</v>
      </c>
    </row>
    <row r="10">
      <c r="A10" s="7">
        <v>0.09305555555555556</v>
      </c>
      <c r="B10" s="32" t="s">
        <v>186</v>
      </c>
      <c r="C10" s="33" t="s">
        <v>193</v>
      </c>
      <c r="D10" s="32" t="s">
        <v>189</v>
      </c>
      <c r="E10" s="11" t="s">
        <v>13</v>
      </c>
    </row>
    <row r="11">
      <c r="A11" s="7">
        <v>0.10277777777777777</v>
      </c>
      <c r="B11" s="34" t="s">
        <v>191</v>
      </c>
      <c r="C11" s="33" t="s">
        <v>194</v>
      </c>
      <c r="D11" s="32" t="s">
        <v>188</v>
      </c>
      <c r="E11" s="11" t="s">
        <v>9</v>
      </c>
    </row>
    <row r="12">
      <c r="A12" s="7">
        <v>0.10277777777777777</v>
      </c>
      <c r="B12" s="32" t="s">
        <v>186</v>
      </c>
      <c r="C12" s="33" t="s">
        <v>195</v>
      </c>
      <c r="D12" s="34" t="s">
        <v>192</v>
      </c>
      <c r="E12" s="11" t="s">
        <v>13</v>
      </c>
    </row>
    <row r="13">
      <c r="A13" s="7">
        <v>0.11319444444444444</v>
      </c>
      <c r="B13" s="34" t="s">
        <v>188</v>
      </c>
      <c r="C13" s="33" t="s">
        <v>19</v>
      </c>
      <c r="D13" s="32" t="s">
        <v>186</v>
      </c>
      <c r="E13" s="11" t="s">
        <v>9</v>
      </c>
    </row>
    <row r="14">
      <c r="A14" s="7">
        <v>0.11319444444444444</v>
      </c>
      <c r="B14" s="32" t="s">
        <v>191</v>
      </c>
      <c r="C14" s="33" t="s">
        <v>88</v>
      </c>
      <c r="D14" s="32" t="s">
        <v>189</v>
      </c>
      <c r="E14" s="11" t="s">
        <v>13</v>
      </c>
    </row>
    <row r="15">
      <c r="A15" s="7">
        <v>0.12361111111111112</v>
      </c>
      <c r="B15" s="32" t="s">
        <v>188</v>
      </c>
      <c r="C15" s="35" t="s">
        <v>196</v>
      </c>
      <c r="D15" s="34" t="s">
        <v>189</v>
      </c>
      <c r="E15" s="11" t="s">
        <v>9</v>
      </c>
    </row>
    <row r="16">
      <c r="A16" s="7">
        <v>0.12361111111111112</v>
      </c>
      <c r="B16" s="34" t="s">
        <v>191</v>
      </c>
      <c r="C16" s="35" t="s">
        <v>48</v>
      </c>
      <c r="D16" s="32" t="s">
        <v>192</v>
      </c>
      <c r="E16" s="11" t="s">
        <v>13</v>
      </c>
    </row>
    <row r="17">
      <c r="A17" s="7">
        <v>0.13333333333333333</v>
      </c>
      <c r="B17" s="32" t="s">
        <v>189</v>
      </c>
      <c r="C17" s="35" t="s">
        <v>16</v>
      </c>
      <c r="D17" s="34" t="s">
        <v>192</v>
      </c>
      <c r="E17" s="11" t="s">
        <v>9</v>
      </c>
    </row>
    <row r="18">
      <c r="A18" s="7">
        <v>0.13333333333333333</v>
      </c>
      <c r="B18" s="32" t="s">
        <v>186</v>
      </c>
      <c r="C18" s="35" t="s">
        <v>193</v>
      </c>
      <c r="D18" s="32" t="s">
        <v>191</v>
      </c>
      <c r="E18" s="11" t="s">
        <v>13</v>
      </c>
    </row>
    <row r="19">
      <c r="A19" s="7">
        <v>0.14375</v>
      </c>
      <c r="B19" s="34" t="s">
        <v>188</v>
      </c>
      <c r="C19" s="35" t="s">
        <v>62</v>
      </c>
      <c r="D19" s="34" t="s">
        <v>192</v>
      </c>
      <c r="E19" s="11" t="s">
        <v>9</v>
      </c>
    </row>
    <row r="20">
      <c r="A20" s="7">
        <v>0.14375</v>
      </c>
      <c r="B20" s="32" t="s">
        <v>189</v>
      </c>
      <c r="C20" s="35" t="s">
        <v>197</v>
      </c>
      <c r="D20" s="32" t="s">
        <v>186</v>
      </c>
      <c r="E20" s="11" t="s">
        <v>13</v>
      </c>
    </row>
    <row r="21">
      <c r="A21" s="7">
        <v>0.15416666666666667</v>
      </c>
      <c r="B21" s="32" t="s">
        <v>188</v>
      </c>
      <c r="C21" s="35" t="s">
        <v>64</v>
      </c>
      <c r="D21" s="34" t="s">
        <v>191</v>
      </c>
      <c r="E21" s="11" t="s">
        <v>9</v>
      </c>
    </row>
    <row r="22">
      <c r="A22" s="7">
        <v>0.15416666666666667</v>
      </c>
      <c r="B22" s="34" t="s">
        <v>192</v>
      </c>
      <c r="C22" s="35" t="s">
        <v>187</v>
      </c>
      <c r="D22" s="32" t="s">
        <v>186</v>
      </c>
      <c r="E22" s="11" t="s">
        <v>13</v>
      </c>
    </row>
    <row r="23">
      <c r="A23" s="1"/>
      <c r="B23" s="1" t="s">
        <v>29</v>
      </c>
      <c r="C23" s="2"/>
      <c r="D23" s="3"/>
      <c r="E23" s="14"/>
    </row>
    <row r="24">
      <c r="A24" s="15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32" t="s">
        <v>198</v>
      </c>
      <c r="C25" s="33" t="s">
        <v>64</v>
      </c>
      <c r="D25" s="32" t="s">
        <v>199</v>
      </c>
      <c r="E25" s="11" t="s">
        <v>33</v>
      </c>
    </row>
    <row r="26">
      <c r="A26" s="7">
        <v>0.0625</v>
      </c>
      <c r="B26" s="32" t="s">
        <v>200</v>
      </c>
      <c r="C26" s="33" t="s">
        <v>201</v>
      </c>
      <c r="D26" s="32" t="s">
        <v>202</v>
      </c>
      <c r="E26" s="11" t="s">
        <v>37</v>
      </c>
    </row>
    <row r="27">
      <c r="A27" s="7">
        <v>0.07222222222222222</v>
      </c>
      <c r="B27" s="34" t="s">
        <v>200</v>
      </c>
      <c r="C27" s="33" t="s">
        <v>203</v>
      </c>
      <c r="D27" s="34" t="s">
        <v>199</v>
      </c>
      <c r="E27" s="11" t="s">
        <v>33</v>
      </c>
    </row>
    <row r="28">
      <c r="A28" s="7">
        <v>0.07222222222222222</v>
      </c>
      <c r="B28" s="32" t="s">
        <v>204</v>
      </c>
      <c r="C28" s="33" t="s">
        <v>41</v>
      </c>
      <c r="D28" s="32" t="s">
        <v>202</v>
      </c>
      <c r="E28" s="11" t="s">
        <v>37</v>
      </c>
    </row>
    <row r="29">
      <c r="A29" s="7">
        <v>0.08263888888888889</v>
      </c>
      <c r="B29" s="34" t="s">
        <v>204</v>
      </c>
      <c r="C29" s="33" t="s">
        <v>201</v>
      </c>
      <c r="D29" s="32" t="s">
        <v>200</v>
      </c>
      <c r="E29" s="11" t="s">
        <v>33</v>
      </c>
    </row>
    <row r="30">
      <c r="A30" s="7">
        <v>0.08263888888888889</v>
      </c>
      <c r="B30" s="32" t="s">
        <v>202</v>
      </c>
      <c r="C30" s="33" t="s">
        <v>205</v>
      </c>
      <c r="D30" s="32" t="s">
        <v>198</v>
      </c>
      <c r="E30" s="11" t="s">
        <v>37</v>
      </c>
    </row>
    <row r="31">
      <c r="A31" s="7">
        <v>0.09305555555555556</v>
      </c>
      <c r="B31" s="34" t="s">
        <v>204</v>
      </c>
      <c r="C31" s="33" t="s">
        <v>51</v>
      </c>
      <c r="D31" s="32" t="s">
        <v>199</v>
      </c>
      <c r="E31" s="11" t="s">
        <v>33</v>
      </c>
    </row>
    <row r="32">
      <c r="A32" s="7">
        <v>0.09305555555555556</v>
      </c>
      <c r="B32" s="32" t="s">
        <v>198</v>
      </c>
      <c r="C32" s="33" t="s">
        <v>193</v>
      </c>
      <c r="D32" s="34" t="s">
        <v>200</v>
      </c>
      <c r="E32" s="11" t="s">
        <v>37</v>
      </c>
    </row>
    <row r="33">
      <c r="A33" s="7">
        <v>0.10277777777777777</v>
      </c>
      <c r="B33" s="32" t="s">
        <v>202</v>
      </c>
      <c r="C33" s="33" t="s">
        <v>47</v>
      </c>
      <c r="D33" s="32" t="s">
        <v>199</v>
      </c>
      <c r="E33" s="11" t="s">
        <v>33</v>
      </c>
    </row>
    <row r="34">
      <c r="A34" s="7">
        <v>0.10277777777777777</v>
      </c>
      <c r="B34" s="32" t="s">
        <v>198</v>
      </c>
      <c r="C34" s="33" t="s">
        <v>190</v>
      </c>
      <c r="D34" s="32" t="s">
        <v>204</v>
      </c>
      <c r="E34" s="11" t="s">
        <v>37</v>
      </c>
    </row>
    <row r="35">
      <c r="A35" s="7">
        <v>0.11319444444444444</v>
      </c>
      <c r="B35" s="32" t="s">
        <v>199</v>
      </c>
      <c r="C35" s="33" t="s">
        <v>87</v>
      </c>
      <c r="D35" s="32" t="s">
        <v>198</v>
      </c>
      <c r="E35" s="11" t="s">
        <v>33</v>
      </c>
    </row>
    <row r="36">
      <c r="A36" s="7">
        <v>0.11319444444444444</v>
      </c>
      <c r="B36" s="32" t="s">
        <v>202</v>
      </c>
      <c r="C36" s="33" t="s">
        <v>81</v>
      </c>
      <c r="D36" s="32" t="s">
        <v>200</v>
      </c>
      <c r="E36" s="11" t="s">
        <v>37</v>
      </c>
    </row>
    <row r="37">
      <c r="A37" s="7">
        <v>0.12361111111111112</v>
      </c>
      <c r="B37" s="34" t="s">
        <v>199</v>
      </c>
      <c r="C37" s="35" t="s">
        <v>206</v>
      </c>
      <c r="D37" s="34" t="s">
        <v>200</v>
      </c>
      <c r="E37" s="11" t="s">
        <v>33</v>
      </c>
    </row>
    <row r="38">
      <c r="A38" s="7">
        <v>0.12361111111111112</v>
      </c>
      <c r="B38" s="32" t="s">
        <v>202</v>
      </c>
      <c r="C38" s="35" t="s">
        <v>81</v>
      </c>
      <c r="D38" s="32" t="s">
        <v>204</v>
      </c>
      <c r="E38" s="11" t="s">
        <v>37</v>
      </c>
    </row>
    <row r="39">
      <c r="A39" s="7">
        <v>0.13333333333333333</v>
      </c>
      <c r="B39" s="32" t="s">
        <v>200</v>
      </c>
      <c r="C39" s="35" t="s">
        <v>66</v>
      </c>
      <c r="D39" s="34" t="s">
        <v>204</v>
      </c>
      <c r="E39" s="11" t="s">
        <v>33</v>
      </c>
    </row>
    <row r="40">
      <c r="A40" s="7">
        <v>0.13333333333333333</v>
      </c>
      <c r="B40" s="32" t="s">
        <v>198</v>
      </c>
      <c r="C40" s="35" t="s">
        <v>17</v>
      </c>
      <c r="D40" s="32" t="s">
        <v>202</v>
      </c>
      <c r="E40" s="11" t="s">
        <v>37</v>
      </c>
    </row>
    <row r="41">
      <c r="A41" s="7">
        <v>0.14375</v>
      </c>
      <c r="B41" s="32" t="s">
        <v>199</v>
      </c>
      <c r="C41" s="35" t="s">
        <v>197</v>
      </c>
      <c r="D41" s="34" t="s">
        <v>204</v>
      </c>
      <c r="E41" s="11" t="s">
        <v>33</v>
      </c>
    </row>
    <row r="42">
      <c r="A42" s="7">
        <v>0.14375</v>
      </c>
      <c r="B42" s="34" t="s">
        <v>200</v>
      </c>
      <c r="C42" s="35" t="s">
        <v>207</v>
      </c>
      <c r="D42" s="32" t="s">
        <v>198</v>
      </c>
      <c r="E42" s="11" t="s">
        <v>37</v>
      </c>
    </row>
    <row r="43">
      <c r="A43" s="7">
        <v>0.15416666666666667</v>
      </c>
      <c r="B43" s="32" t="s">
        <v>199</v>
      </c>
      <c r="C43" s="35" t="s">
        <v>208</v>
      </c>
      <c r="D43" s="32" t="s">
        <v>202</v>
      </c>
      <c r="E43" s="11" t="s">
        <v>33</v>
      </c>
    </row>
    <row r="44">
      <c r="A44" s="7">
        <v>0.15416666666666667</v>
      </c>
      <c r="B44" s="32" t="s">
        <v>204</v>
      </c>
      <c r="C44" s="35" t="s">
        <v>52</v>
      </c>
      <c r="D44" s="32" t="s">
        <v>198</v>
      </c>
      <c r="E44" s="11" t="s">
        <v>37</v>
      </c>
    </row>
    <row r="45">
      <c r="A45" s="1"/>
      <c r="B45" s="1" t="s">
        <v>53</v>
      </c>
      <c r="C45" s="2"/>
      <c r="D45" s="3"/>
      <c r="E45" s="14"/>
    </row>
    <row r="46">
      <c r="A46" s="15" t="s">
        <v>1</v>
      </c>
      <c r="B46" s="16" t="s">
        <v>2</v>
      </c>
      <c r="C46" s="16" t="s">
        <v>3</v>
      </c>
      <c r="D46" s="16" t="s">
        <v>4</v>
      </c>
      <c r="E46" s="16" t="s">
        <v>5</v>
      </c>
    </row>
    <row r="47">
      <c r="A47" s="7">
        <v>0.16666666666666666</v>
      </c>
      <c r="B47" s="32" t="s">
        <v>209</v>
      </c>
      <c r="C47" s="35" t="s">
        <v>19</v>
      </c>
      <c r="D47" s="32" t="s">
        <v>210</v>
      </c>
      <c r="E47" s="11" t="s">
        <v>9</v>
      </c>
    </row>
    <row r="48">
      <c r="A48" s="7">
        <v>0.16666666666666666</v>
      </c>
      <c r="B48" s="32" t="s">
        <v>211</v>
      </c>
      <c r="C48" s="35" t="s">
        <v>212</v>
      </c>
      <c r="D48" s="32" t="s">
        <v>213</v>
      </c>
      <c r="E48" s="11" t="s">
        <v>13</v>
      </c>
    </row>
    <row r="49">
      <c r="A49" s="7">
        <v>0.1763888888888889</v>
      </c>
      <c r="B49" s="32" t="s">
        <v>211</v>
      </c>
      <c r="C49" s="35" t="s">
        <v>195</v>
      </c>
      <c r="D49" s="32" t="s">
        <v>210</v>
      </c>
      <c r="E49" s="11" t="s">
        <v>9</v>
      </c>
    </row>
    <row r="50">
      <c r="A50" s="7">
        <v>0.1763888888888889</v>
      </c>
      <c r="B50" s="32" t="s">
        <v>214</v>
      </c>
      <c r="C50" s="35" t="s">
        <v>64</v>
      </c>
      <c r="D50" s="32" t="s">
        <v>213</v>
      </c>
      <c r="E50" s="11" t="s">
        <v>13</v>
      </c>
    </row>
    <row r="51">
      <c r="A51" s="7">
        <v>0.18680555555555556</v>
      </c>
      <c r="B51" s="32" t="s">
        <v>214</v>
      </c>
      <c r="C51" s="35" t="s">
        <v>22</v>
      </c>
      <c r="D51" s="32" t="s">
        <v>211</v>
      </c>
      <c r="E51" s="11" t="s">
        <v>9</v>
      </c>
    </row>
    <row r="52">
      <c r="A52" s="7">
        <v>0.18680555555555556</v>
      </c>
      <c r="B52" s="32" t="s">
        <v>213</v>
      </c>
      <c r="C52" s="35" t="s">
        <v>215</v>
      </c>
      <c r="D52" s="32" t="s">
        <v>209</v>
      </c>
      <c r="E52" s="11" t="s">
        <v>13</v>
      </c>
    </row>
    <row r="53">
      <c r="A53" s="7">
        <v>0.19722222222222222</v>
      </c>
      <c r="B53" s="32" t="s">
        <v>214</v>
      </c>
      <c r="C53" s="35" t="s">
        <v>216</v>
      </c>
      <c r="D53" s="32" t="s">
        <v>210</v>
      </c>
      <c r="E53" s="11" t="s">
        <v>9</v>
      </c>
    </row>
    <row r="54">
      <c r="A54" s="7">
        <v>0.19722222222222222</v>
      </c>
      <c r="B54" s="32" t="s">
        <v>209</v>
      </c>
      <c r="C54" s="35" t="s">
        <v>190</v>
      </c>
      <c r="D54" s="32" t="s">
        <v>211</v>
      </c>
      <c r="E54" s="11" t="s">
        <v>13</v>
      </c>
    </row>
    <row r="55">
      <c r="A55" s="7">
        <v>0.20694444444444443</v>
      </c>
      <c r="B55" s="32" t="s">
        <v>213</v>
      </c>
      <c r="C55" s="35" t="s">
        <v>217</v>
      </c>
      <c r="D55" s="32" t="s">
        <v>210</v>
      </c>
      <c r="E55" s="11" t="s">
        <v>9</v>
      </c>
    </row>
    <row r="56">
      <c r="A56" s="7">
        <v>0.20694444444444443</v>
      </c>
      <c r="B56" s="32" t="s">
        <v>209</v>
      </c>
      <c r="C56" s="35" t="s">
        <v>68</v>
      </c>
      <c r="D56" s="32" t="s">
        <v>214</v>
      </c>
      <c r="E56" s="11" t="s">
        <v>13</v>
      </c>
    </row>
    <row r="57">
      <c r="A57" s="7">
        <v>0.21736111111111112</v>
      </c>
      <c r="B57" s="32" t="s">
        <v>210</v>
      </c>
      <c r="C57" s="35" t="s">
        <v>43</v>
      </c>
      <c r="D57" s="32" t="s">
        <v>209</v>
      </c>
      <c r="E57" s="11" t="s">
        <v>9</v>
      </c>
    </row>
    <row r="58">
      <c r="A58" s="7">
        <v>0.21736111111111112</v>
      </c>
      <c r="B58" s="32" t="s">
        <v>213</v>
      </c>
      <c r="C58" s="35" t="s">
        <v>197</v>
      </c>
      <c r="D58" s="32" t="s">
        <v>211</v>
      </c>
      <c r="E58" s="11" t="s">
        <v>13</v>
      </c>
    </row>
    <row r="59">
      <c r="A59" s="7">
        <v>0.22777777777777777</v>
      </c>
      <c r="B59" s="32" t="s">
        <v>210</v>
      </c>
      <c r="C59" s="35" t="s">
        <v>218</v>
      </c>
      <c r="D59" s="32" t="s">
        <v>211</v>
      </c>
      <c r="E59" s="11" t="s">
        <v>9</v>
      </c>
    </row>
    <row r="60">
      <c r="A60" s="7">
        <v>0.22777777777777777</v>
      </c>
      <c r="B60" s="32" t="s">
        <v>213</v>
      </c>
      <c r="C60" s="35" t="s">
        <v>193</v>
      </c>
      <c r="D60" s="32" t="s">
        <v>214</v>
      </c>
      <c r="E60" s="11" t="s">
        <v>13</v>
      </c>
    </row>
    <row r="61">
      <c r="A61" s="7">
        <v>0.2375</v>
      </c>
      <c r="B61" s="32" t="s">
        <v>211</v>
      </c>
      <c r="C61" s="35" t="s">
        <v>71</v>
      </c>
      <c r="D61" s="32" t="s">
        <v>214</v>
      </c>
      <c r="E61" s="11" t="s">
        <v>9</v>
      </c>
    </row>
    <row r="62">
      <c r="A62" s="7">
        <v>0.2375</v>
      </c>
      <c r="B62" s="32" t="s">
        <v>209</v>
      </c>
      <c r="C62" s="35" t="s">
        <v>27</v>
      </c>
      <c r="D62" s="32" t="s">
        <v>213</v>
      </c>
      <c r="E62" s="11" t="s">
        <v>13</v>
      </c>
    </row>
    <row r="63">
      <c r="A63" s="7">
        <v>0.24791666666666667</v>
      </c>
      <c r="B63" s="32" t="s">
        <v>210</v>
      </c>
      <c r="C63" s="35" t="s">
        <v>219</v>
      </c>
      <c r="D63" s="32" t="s">
        <v>214</v>
      </c>
      <c r="E63" s="11" t="s">
        <v>9</v>
      </c>
    </row>
    <row r="64">
      <c r="A64" s="7">
        <v>0.24791666666666667</v>
      </c>
      <c r="B64" s="32" t="s">
        <v>211</v>
      </c>
      <c r="C64" s="35" t="s">
        <v>220</v>
      </c>
      <c r="D64" s="32" t="s">
        <v>209</v>
      </c>
      <c r="E64" s="11" t="s">
        <v>13</v>
      </c>
    </row>
    <row r="65">
      <c r="A65" s="7">
        <v>0.25833333333333336</v>
      </c>
      <c r="B65" s="32" t="s">
        <v>210</v>
      </c>
      <c r="C65" s="35" t="s">
        <v>217</v>
      </c>
      <c r="D65" s="32" t="s">
        <v>213</v>
      </c>
      <c r="E65" s="11" t="s">
        <v>9</v>
      </c>
    </row>
    <row r="66">
      <c r="A66" s="7">
        <v>0.25833333333333336</v>
      </c>
      <c r="B66" s="32" t="s">
        <v>214</v>
      </c>
      <c r="C66" s="35" t="s">
        <v>71</v>
      </c>
      <c r="D66" s="32" t="s">
        <v>209</v>
      </c>
      <c r="E66" s="11" t="s">
        <v>13</v>
      </c>
    </row>
    <row r="67">
      <c r="A67" s="1"/>
      <c r="B67" s="1" t="s">
        <v>53</v>
      </c>
      <c r="C67" s="2"/>
      <c r="D67" s="3"/>
      <c r="E67" s="4"/>
    </row>
    <row r="68">
      <c r="A68" s="15" t="s">
        <v>1</v>
      </c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7">
        <v>0.16666666666666666</v>
      </c>
      <c r="B69" s="32" t="s">
        <v>221</v>
      </c>
      <c r="C69" s="35" t="s">
        <v>195</v>
      </c>
      <c r="D69" s="32" t="s">
        <v>222</v>
      </c>
      <c r="E69" s="11" t="s">
        <v>33</v>
      </c>
    </row>
    <row r="70">
      <c r="A70" s="7">
        <v>0.16666666666666666</v>
      </c>
      <c r="B70" s="32" t="s">
        <v>223</v>
      </c>
      <c r="C70" s="35" t="s">
        <v>35</v>
      </c>
      <c r="D70" s="8" t="s">
        <v>224</v>
      </c>
      <c r="E70" s="11" t="s">
        <v>37</v>
      </c>
    </row>
    <row r="71">
      <c r="A71" s="7">
        <v>0.1763888888888889</v>
      </c>
      <c r="B71" s="32" t="s">
        <v>223</v>
      </c>
      <c r="C71" s="35" t="s">
        <v>218</v>
      </c>
      <c r="D71" s="32" t="s">
        <v>222</v>
      </c>
      <c r="E71" s="11" t="s">
        <v>33</v>
      </c>
    </row>
    <row r="72">
      <c r="A72" s="7">
        <v>0.1763888888888889</v>
      </c>
      <c r="B72" s="32" t="s">
        <v>225</v>
      </c>
      <c r="C72" s="35" t="s">
        <v>62</v>
      </c>
      <c r="D72" s="8" t="s">
        <v>224</v>
      </c>
      <c r="E72" s="11" t="s">
        <v>37</v>
      </c>
    </row>
    <row r="73">
      <c r="A73" s="7">
        <v>0.18680555555555556</v>
      </c>
      <c r="B73" s="32" t="s">
        <v>225</v>
      </c>
      <c r="C73" s="35" t="s">
        <v>72</v>
      </c>
      <c r="D73" s="32" t="s">
        <v>223</v>
      </c>
      <c r="E73" s="11" t="s">
        <v>33</v>
      </c>
    </row>
    <row r="74">
      <c r="A74" s="7">
        <v>0.18680555555555556</v>
      </c>
      <c r="B74" s="8" t="s">
        <v>224</v>
      </c>
      <c r="C74" s="35" t="s">
        <v>218</v>
      </c>
      <c r="D74" s="32" t="s">
        <v>221</v>
      </c>
      <c r="E74" s="11" t="s">
        <v>37</v>
      </c>
    </row>
    <row r="75">
      <c r="A75" s="7">
        <v>0.19722222222222222</v>
      </c>
      <c r="B75" s="32" t="s">
        <v>225</v>
      </c>
      <c r="C75" s="35" t="s">
        <v>43</v>
      </c>
      <c r="D75" s="32" t="s">
        <v>222</v>
      </c>
      <c r="E75" s="11" t="s">
        <v>33</v>
      </c>
    </row>
    <row r="76">
      <c r="A76" s="7">
        <v>0.19722222222222222</v>
      </c>
      <c r="B76" s="32" t="s">
        <v>221</v>
      </c>
      <c r="C76" s="35" t="s">
        <v>17</v>
      </c>
      <c r="D76" s="32" t="s">
        <v>223</v>
      </c>
      <c r="E76" s="11" t="s">
        <v>37</v>
      </c>
    </row>
    <row r="77">
      <c r="A77" s="7">
        <v>0.20694444444444443</v>
      </c>
      <c r="B77" s="8" t="s">
        <v>224</v>
      </c>
      <c r="C77" s="35" t="s">
        <v>78</v>
      </c>
      <c r="D77" s="32" t="s">
        <v>222</v>
      </c>
      <c r="E77" s="11" t="s">
        <v>33</v>
      </c>
    </row>
    <row r="78">
      <c r="A78" s="7">
        <v>0.20694444444444443</v>
      </c>
      <c r="B78" s="32" t="s">
        <v>221</v>
      </c>
      <c r="C78" s="35" t="s">
        <v>18</v>
      </c>
      <c r="D78" s="32" t="s">
        <v>225</v>
      </c>
      <c r="E78" s="11" t="s">
        <v>37</v>
      </c>
    </row>
    <row r="79">
      <c r="A79" s="7">
        <v>0.21736111111111112</v>
      </c>
      <c r="B79" s="32" t="s">
        <v>222</v>
      </c>
      <c r="C79" s="35" t="s">
        <v>66</v>
      </c>
      <c r="D79" s="32" t="s">
        <v>221</v>
      </c>
      <c r="E79" s="11" t="s">
        <v>33</v>
      </c>
    </row>
    <row r="80">
      <c r="A80" s="7">
        <v>0.21736111111111112</v>
      </c>
      <c r="B80" s="8" t="s">
        <v>224</v>
      </c>
      <c r="C80" s="35" t="s">
        <v>41</v>
      </c>
      <c r="D80" s="32" t="s">
        <v>223</v>
      </c>
      <c r="E80" s="11" t="s">
        <v>37</v>
      </c>
    </row>
    <row r="81">
      <c r="A81" s="7">
        <v>0.22777777777777777</v>
      </c>
      <c r="B81" s="32" t="s">
        <v>222</v>
      </c>
      <c r="C81" s="35" t="s">
        <v>62</v>
      </c>
      <c r="D81" s="32" t="s">
        <v>223</v>
      </c>
      <c r="E81" s="11" t="s">
        <v>33</v>
      </c>
    </row>
    <row r="82">
      <c r="A82" s="7">
        <v>0.22777777777777777</v>
      </c>
      <c r="B82" s="8" t="s">
        <v>224</v>
      </c>
      <c r="C82" s="35" t="s">
        <v>58</v>
      </c>
      <c r="D82" s="32" t="s">
        <v>225</v>
      </c>
      <c r="E82" s="11" t="s">
        <v>37</v>
      </c>
    </row>
    <row r="83">
      <c r="A83" s="7">
        <v>0.2375</v>
      </c>
      <c r="B83" s="32" t="s">
        <v>223</v>
      </c>
      <c r="C83" s="35" t="s">
        <v>14</v>
      </c>
      <c r="D83" s="32" t="s">
        <v>225</v>
      </c>
      <c r="E83" s="11" t="s">
        <v>33</v>
      </c>
    </row>
    <row r="84">
      <c r="A84" s="7">
        <v>0.2375</v>
      </c>
      <c r="B84" s="32" t="s">
        <v>221</v>
      </c>
      <c r="C84" s="35" t="s">
        <v>45</v>
      </c>
      <c r="D84" s="8" t="s">
        <v>224</v>
      </c>
      <c r="E84" s="11" t="s">
        <v>37</v>
      </c>
    </row>
    <row r="85">
      <c r="A85" s="7">
        <v>0.24791666666666667</v>
      </c>
      <c r="B85" s="32" t="s">
        <v>222</v>
      </c>
      <c r="C85" s="35" t="s">
        <v>14</v>
      </c>
      <c r="D85" s="32" t="s">
        <v>225</v>
      </c>
      <c r="E85" s="11" t="s">
        <v>33</v>
      </c>
    </row>
    <row r="86">
      <c r="A86" s="7">
        <v>0.24791666666666667</v>
      </c>
      <c r="B86" s="32" t="s">
        <v>223</v>
      </c>
      <c r="C86" s="35" t="s">
        <v>226</v>
      </c>
      <c r="D86" s="32" t="s">
        <v>221</v>
      </c>
      <c r="E86" s="11" t="s">
        <v>37</v>
      </c>
    </row>
    <row r="87">
      <c r="A87" s="7">
        <v>0.25833333333333336</v>
      </c>
      <c r="B87" s="32" t="s">
        <v>222</v>
      </c>
      <c r="C87" s="35" t="s">
        <v>19</v>
      </c>
      <c r="D87" s="8" t="s">
        <v>224</v>
      </c>
      <c r="E87" s="11" t="s">
        <v>33</v>
      </c>
    </row>
    <row r="88">
      <c r="A88" s="7">
        <v>0.25833333333333336</v>
      </c>
      <c r="B88" s="32" t="s">
        <v>225</v>
      </c>
      <c r="C88" s="35" t="s">
        <v>25</v>
      </c>
      <c r="D88" s="32" t="s">
        <v>221</v>
      </c>
      <c r="E88" s="11" t="s">
        <v>37</v>
      </c>
    </row>
    <row r="89">
      <c r="B89" s="1" t="s">
        <v>90</v>
      </c>
      <c r="C89" s="2"/>
      <c r="D89" s="3"/>
      <c r="E89" s="4"/>
    </row>
    <row r="90">
      <c r="A90" s="18" t="s">
        <v>1</v>
      </c>
      <c r="B90" s="16" t="s">
        <v>2</v>
      </c>
      <c r="C90" s="16" t="s">
        <v>3</v>
      </c>
      <c r="D90" s="16" t="s">
        <v>4</v>
      </c>
      <c r="E90" s="16" t="s">
        <v>5</v>
      </c>
    </row>
    <row r="91">
      <c r="A91" s="19">
        <v>0.3333333333333333</v>
      </c>
      <c r="B91" s="20" t="s">
        <v>91</v>
      </c>
      <c r="C91" s="35" t="s">
        <v>197</v>
      </c>
      <c r="D91" s="20" t="s">
        <v>227</v>
      </c>
      <c r="E91" s="11" t="s">
        <v>9</v>
      </c>
    </row>
    <row r="92">
      <c r="A92" s="19">
        <v>0.3333333333333333</v>
      </c>
      <c r="B92" s="20" t="s">
        <v>93</v>
      </c>
      <c r="C92" s="35" t="s">
        <v>38</v>
      </c>
      <c r="D92" s="20" t="s">
        <v>228</v>
      </c>
      <c r="E92" s="11" t="s">
        <v>13</v>
      </c>
      <c r="G92" s="36" t="s">
        <v>229</v>
      </c>
    </row>
    <row r="93">
      <c r="A93" s="19">
        <v>0.34305555555555556</v>
      </c>
      <c r="B93" s="20" t="s">
        <v>93</v>
      </c>
      <c r="C93" s="35" t="s">
        <v>193</v>
      </c>
      <c r="D93" s="20" t="s">
        <v>227</v>
      </c>
      <c r="E93" s="11" t="s">
        <v>9</v>
      </c>
    </row>
    <row r="94">
      <c r="A94" s="19">
        <v>0.34305555555555556</v>
      </c>
      <c r="B94" s="20" t="s">
        <v>230</v>
      </c>
      <c r="C94" s="35" t="s">
        <v>19</v>
      </c>
      <c r="D94" s="20" t="s">
        <v>228</v>
      </c>
      <c r="E94" s="11" t="s">
        <v>13</v>
      </c>
    </row>
    <row r="95">
      <c r="A95" s="19">
        <v>0.35347222222222224</v>
      </c>
      <c r="B95" s="20" t="s">
        <v>230</v>
      </c>
      <c r="C95" s="35" t="s">
        <v>25</v>
      </c>
      <c r="D95" s="20" t="s">
        <v>93</v>
      </c>
      <c r="E95" s="11" t="s">
        <v>9</v>
      </c>
    </row>
    <row r="96">
      <c r="A96" s="19">
        <v>0.35347222222222224</v>
      </c>
      <c r="B96" s="20" t="s">
        <v>228</v>
      </c>
      <c r="C96" s="35" t="s">
        <v>81</v>
      </c>
      <c r="D96" s="20" t="s">
        <v>91</v>
      </c>
      <c r="E96" s="11" t="s">
        <v>13</v>
      </c>
    </row>
    <row r="97">
      <c r="A97" s="19">
        <v>0.3638888888888889</v>
      </c>
      <c r="B97" s="20" t="s">
        <v>230</v>
      </c>
      <c r="C97" s="35" t="s">
        <v>87</v>
      </c>
      <c r="D97" s="20" t="s">
        <v>227</v>
      </c>
      <c r="E97" s="11" t="s">
        <v>9</v>
      </c>
    </row>
    <row r="98">
      <c r="A98" s="19">
        <v>0.3638888888888889</v>
      </c>
      <c r="B98" s="20" t="s">
        <v>91</v>
      </c>
      <c r="C98" s="35" t="s">
        <v>18</v>
      </c>
      <c r="D98" s="20" t="s">
        <v>93</v>
      </c>
      <c r="E98" s="11" t="s">
        <v>13</v>
      </c>
    </row>
    <row r="99">
      <c r="A99" s="19">
        <v>0.3736111111111111</v>
      </c>
      <c r="B99" s="20" t="s">
        <v>228</v>
      </c>
      <c r="C99" s="35" t="s">
        <v>81</v>
      </c>
      <c r="D99" s="20" t="s">
        <v>227</v>
      </c>
      <c r="E99" s="11" t="s">
        <v>9</v>
      </c>
    </row>
    <row r="100">
      <c r="A100" s="19">
        <v>0.3736111111111111</v>
      </c>
      <c r="B100" s="20" t="s">
        <v>91</v>
      </c>
      <c r="C100" s="35" t="s">
        <v>231</v>
      </c>
      <c r="D100" s="20" t="s">
        <v>230</v>
      </c>
      <c r="E100" s="11" t="s">
        <v>13</v>
      </c>
    </row>
    <row r="101">
      <c r="A101" s="19">
        <v>0.3840277777777778</v>
      </c>
      <c r="B101" s="20" t="s">
        <v>227</v>
      </c>
      <c r="C101" s="35" t="s">
        <v>43</v>
      </c>
      <c r="D101" s="20" t="s">
        <v>91</v>
      </c>
      <c r="E101" s="11" t="s">
        <v>9</v>
      </c>
    </row>
    <row r="102">
      <c r="A102" s="19">
        <v>0.3840277777777778</v>
      </c>
      <c r="B102" s="20" t="s">
        <v>228</v>
      </c>
      <c r="C102" s="35" t="s">
        <v>58</v>
      </c>
      <c r="D102" s="20" t="s">
        <v>93</v>
      </c>
      <c r="E102" s="11" t="s">
        <v>13</v>
      </c>
    </row>
    <row r="103">
      <c r="A103" s="19">
        <v>0.39444444444444443</v>
      </c>
      <c r="B103" s="20" t="s">
        <v>227</v>
      </c>
      <c r="C103" s="35" t="s">
        <v>21</v>
      </c>
      <c r="D103" s="20" t="s">
        <v>93</v>
      </c>
      <c r="E103" s="11" t="s">
        <v>9</v>
      </c>
    </row>
    <row r="104">
      <c r="A104" s="19">
        <v>0.39444444444444443</v>
      </c>
      <c r="B104" s="20" t="s">
        <v>228</v>
      </c>
      <c r="C104" s="35" t="s">
        <v>16</v>
      </c>
      <c r="D104" s="20" t="s">
        <v>230</v>
      </c>
      <c r="E104" s="11" t="s">
        <v>13</v>
      </c>
    </row>
    <row r="105">
      <c r="A105" s="19">
        <v>0.4041666666666667</v>
      </c>
      <c r="B105" s="20" t="s">
        <v>93</v>
      </c>
      <c r="C105" s="35" t="s">
        <v>47</v>
      </c>
      <c r="D105" s="20" t="s">
        <v>230</v>
      </c>
      <c r="E105" s="11" t="s">
        <v>9</v>
      </c>
    </row>
    <row r="106">
      <c r="A106" s="19">
        <v>0.4041666666666667</v>
      </c>
      <c r="B106" s="20" t="s">
        <v>91</v>
      </c>
      <c r="C106" s="35" t="s">
        <v>196</v>
      </c>
      <c r="D106" s="20" t="s">
        <v>228</v>
      </c>
      <c r="E106" s="11" t="s">
        <v>13</v>
      </c>
    </row>
    <row r="107">
      <c r="A107" s="19">
        <v>0.41458333333333336</v>
      </c>
      <c r="B107" s="20" t="s">
        <v>227</v>
      </c>
      <c r="C107" s="35" t="s">
        <v>88</v>
      </c>
      <c r="D107" s="20" t="s">
        <v>230</v>
      </c>
      <c r="E107" s="11" t="s">
        <v>9</v>
      </c>
    </row>
    <row r="108">
      <c r="A108" s="19">
        <v>0.41458333333333336</v>
      </c>
      <c r="B108" s="20" t="s">
        <v>93</v>
      </c>
      <c r="C108" s="35" t="s">
        <v>232</v>
      </c>
      <c r="D108" s="20" t="s">
        <v>91</v>
      </c>
      <c r="E108" s="11" t="s">
        <v>13</v>
      </c>
    </row>
    <row r="109">
      <c r="A109" s="19">
        <v>0.425</v>
      </c>
      <c r="B109" s="20" t="s">
        <v>227</v>
      </c>
      <c r="C109" s="35" t="s">
        <v>201</v>
      </c>
      <c r="D109" s="20" t="s">
        <v>228</v>
      </c>
      <c r="E109" s="11" t="s">
        <v>9</v>
      </c>
    </row>
    <row r="110">
      <c r="A110" s="19">
        <v>0.425</v>
      </c>
      <c r="B110" s="20" t="s">
        <v>230</v>
      </c>
      <c r="C110" s="35" t="s">
        <v>233</v>
      </c>
      <c r="D110" s="20" t="s">
        <v>91</v>
      </c>
      <c r="E110" s="11" t="s">
        <v>13</v>
      </c>
    </row>
    <row r="111">
      <c r="A111" s="1"/>
      <c r="B111" s="1" t="s">
        <v>90</v>
      </c>
      <c r="C111" s="2"/>
      <c r="D111" s="3"/>
      <c r="E111" s="4"/>
    </row>
    <row r="112">
      <c r="A112" s="18" t="s">
        <v>1</v>
      </c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A113" s="22">
        <v>0.3333333333333333</v>
      </c>
      <c r="B113" s="8" t="s">
        <v>234</v>
      </c>
      <c r="C113" s="35" t="s">
        <v>218</v>
      </c>
      <c r="D113" s="8" t="s">
        <v>235</v>
      </c>
      <c r="E113" s="11" t="s">
        <v>33</v>
      </c>
    </row>
    <row r="114">
      <c r="A114" s="23">
        <v>0.3333333333333333</v>
      </c>
      <c r="B114" s="8" t="s">
        <v>236</v>
      </c>
      <c r="C114" s="35" t="s">
        <v>43</v>
      </c>
      <c r="D114" s="8" t="s">
        <v>96</v>
      </c>
      <c r="E114" s="11" t="s">
        <v>37</v>
      </c>
    </row>
    <row r="115">
      <c r="A115" s="23">
        <v>0.34305555555555556</v>
      </c>
      <c r="B115" s="8" t="s">
        <v>236</v>
      </c>
      <c r="C115" s="35" t="s">
        <v>87</v>
      </c>
      <c r="D115" s="8" t="s">
        <v>235</v>
      </c>
      <c r="E115" s="11" t="s">
        <v>33</v>
      </c>
    </row>
    <row r="116">
      <c r="A116" s="23">
        <v>0.34305555555555556</v>
      </c>
      <c r="B116" s="8" t="s">
        <v>237</v>
      </c>
      <c r="C116" s="35" t="s">
        <v>238</v>
      </c>
      <c r="D116" s="8" t="s">
        <v>96</v>
      </c>
      <c r="E116" s="11" t="s">
        <v>37</v>
      </c>
    </row>
    <row r="117">
      <c r="A117" s="23">
        <v>0.35347222222222224</v>
      </c>
      <c r="B117" s="8" t="s">
        <v>237</v>
      </c>
      <c r="C117" s="35" t="s">
        <v>64</v>
      </c>
      <c r="D117" s="8" t="s">
        <v>236</v>
      </c>
      <c r="E117" s="11" t="s">
        <v>33</v>
      </c>
    </row>
    <row r="118">
      <c r="A118" s="23">
        <v>0.35347222222222224</v>
      </c>
      <c r="B118" s="8" t="s">
        <v>96</v>
      </c>
      <c r="C118" s="35" t="s">
        <v>201</v>
      </c>
      <c r="D118" s="8" t="s">
        <v>234</v>
      </c>
      <c r="E118" s="11" t="s">
        <v>37</v>
      </c>
      <c r="G118" s="36"/>
    </row>
    <row r="119">
      <c r="A119" s="23">
        <v>0.3638888888888889</v>
      </c>
      <c r="B119" s="8" t="s">
        <v>237</v>
      </c>
      <c r="C119" s="35" t="s">
        <v>81</v>
      </c>
      <c r="D119" s="8" t="s">
        <v>235</v>
      </c>
      <c r="E119" s="11" t="s">
        <v>33</v>
      </c>
    </row>
    <row r="120">
      <c r="A120" s="23">
        <v>0.3638888888888889</v>
      </c>
      <c r="B120" s="8" t="s">
        <v>234</v>
      </c>
      <c r="C120" s="35" t="s">
        <v>68</v>
      </c>
      <c r="D120" s="8" t="s">
        <v>236</v>
      </c>
      <c r="E120" s="11" t="s">
        <v>37</v>
      </c>
    </row>
    <row r="121">
      <c r="A121" s="23">
        <v>0.3736111111111111</v>
      </c>
      <c r="B121" s="8" t="s">
        <v>96</v>
      </c>
      <c r="C121" s="35" t="s">
        <v>81</v>
      </c>
      <c r="D121" s="8" t="s">
        <v>235</v>
      </c>
      <c r="E121" s="11" t="s">
        <v>33</v>
      </c>
    </row>
    <row r="122">
      <c r="A122" s="23">
        <v>0.3736111111111111</v>
      </c>
      <c r="B122" s="8" t="s">
        <v>234</v>
      </c>
      <c r="C122" s="35" t="s">
        <v>58</v>
      </c>
      <c r="D122" s="8" t="s">
        <v>237</v>
      </c>
      <c r="E122" s="11" t="s">
        <v>37</v>
      </c>
    </row>
    <row r="123">
      <c r="A123" s="23">
        <v>0.3840277777777778</v>
      </c>
      <c r="B123" s="8" t="s">
        <v>235</v>
      </c>
      <c r="C123" s="35" t="s">
        <v>239</v>
      </c>
      <c r="D123" s="8" t="s">
        <v>234</v>
      </c>
      <c r="E123" s="11" t="s">
        <v>33</v>
      </c>
    </row>
    <row r="124">
      <c r="A124" s="23">
        <v>0.3840277777777778</v>
      </c>
      <c r="B124" s="8" t="s">
        <v>96</v>
      </c>
      <c r="C124" s="35" t="s">
        <v>66</v>
      </c>
      <c r="D124" s="8" t="s">
        <v>236</v>
      </c>
      <c r="E124" s="11" t="s">
        <v>37</v>
      </c>
    </row>
    <row r="125">
      <c r="A125" s="23">
        <v>0.39444444444444443</v>
      </c>
      <c r="B125" s="8" t="s">
        <v>235</v>
      </c>
      <c r="C125" s="35" t="s">
        <v>81</v>
      </c>
      <c r="D125" s="8" t="s">
        <v>236</v>
      </c>
      <c r="E125" s="11" t="s">
        <v>33</v>
      </c>
    </row>
    <row r="126">
      <c r="A126" s="23">
        <v>0.39444444444444443</v>
      </c>
      <c r="B126" s="8" t="s">
        <v>96</v>
      </c>
      <c r="C126" s="35" t="s">
        <v>197</v>
      </c>
      <c r="D126" s="8" t="s">
        <v>237</v>
      </c>
      <c r="E126" s="11" t="s">
        <v>37</v>
      </c>
    </row>
    <row r="127">
      <c r="A127" s="23">
        <v>0.4041666666666667</v>
      </c>
      <c r="B127" s="8" t="s">
        <v>236</v>
      </c>
      <c r="C127" s="35" t="s">
        <v>240</v>
      </c>
      <c r="D127" s="8" t="s">
        <v>237</v>
      </c>
      <c r="E127" s="11" t="s">
        <v>33</v>
      </c>
    </row>
    <row r="128">
      <c r="A128" s="23">
        <v>0.4041666666666667</v>
      </c>
      <c r="B128" s="8" t="s">
        <v>234</v>
      </c>
      <c r="C128" s="35" t="s">
        <v>241</v>
      </c>
      <c r="D128" s="8" t="s">
        <v>96</v>
      </c>
      <c r="E128" s="11" t="s">
        <v>37</v>
      </c>
    </row>
    <row r="129">
      <c r="A129" s="23">
        <v>0.41458333333333336</v>
      </c>
      <c r="B129" s="8" t="s">
        <v>235</v>
      </c>
      <c r="C129" s="35" t="s">
        <v>62</v>
      </c>
      <c r="D129" s="8" t="s">
        <v>237</v>
      </c>
      <c r="E129" s="11" t="s">
        <v>33</v>
      </c>
      <c r="J129" s="36" t="s">
        <v>242</v>
      </c>
    </row>
    <row r="130">
      <c r="A130" s="23">
        <v>0.41458333333333336</v>
      </c>
      <c r="B130" s="8" t="s">
        <v>236</v>
      </c>
      <c r="C130" s="35" t="s">
        <v>201</v>
      </c>
      <c r="D130" s="8" t="s">
        <v>234</v>
      </c>
      <c r="E130" s="11" t="s">
        <v>37</v>
      </c>
    </row>
    <row r="131">
      <c r="A131" s="23">
        <v>0.425</v>
      </c>
      <c r="B131" s="8" t="s">
        <v>235</v>
      </c>
      <c r="C131" s="35" t="s">
        <v>243</v>
      </c>
      <c r="D131" s="8" t="s">
        <v>96</v>
      </c>
      <c r="E131" s="11" t="s">
        <v>33</v>
      </c>
    </row>
    <row r="132">
      <c r="A132" s="23">
        <v>0.425</v>
      </c>
      <c r="B132" s="8" t="s">
        <v>237</v>
      </c>
      <c r="C132" s="35" t="s">
        <v>244</v>
      </c>
      <c r="D132" s="8" t="s">
        <v>234</v>
      </c>
      <c r="E132" s="11" t="s">
        <v>37</v>
      </c>
    </row>
    <row r="133">
      <c r="A133" s="1"/>
      <c r="B133" s="1" t="s">
        <v>101</v>
      </c>
      <c r="C133" s="2"/>
      <c r="D133" s="3"/>
      <c r="E133" s="4"/>
    </row>
    <row r="134">
      <c r="A134" s="18" t="s">
        <v>1</v>
      </c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A135" s="19">
        <v>0.4375</v>
      </c>
      <c r="B135" s="8" t="s">
        <v>102</v>
      </c>
      <c r="C135" s="33" t="s">
        <v>245</v>
      </c>
      <c r="D135" s="8" t="s">
        <v>246</v>
      </c>
      <c r="E135" s="11" t="s">
        <v>9</v>
      </c>
    </row>
    <row r="136">
      <c r="A136" s="19">
        <v>0.4375</v>
      </c>
      <c r="B136" s="8" t="s">
        <v>104</v>
      </c>
      <c r="C136" s="33" t="s">
        <v>78</v>
      </c>
      <c r="D136" s="8" t="s">
        <v>247</v>
      </c>
      <c r="E136" s="11" t="s">
        <v>13</v>
      </c>
    </row>
    <row r="137">
      <c r="A137" s="19">
        <v>0.44722222222222224</v>
      </c>
      <c r="B137" s="8" t="s">
        <v>104</v>
      </c>
      <c r="C137" s="37" t="s">
        <v>11</v>
      </c>
      <c r="D137" s="8" t="s">
        <v>246</v>
      </c>
      <c r="E137" s="11" t="s">
        <v>9</v>
      </c>
    </row>
    <row r="138">
      <c r="A138" s="19">
        <v>0.44722222222222224</v>
      </c>
      <c r="B138" s="8" t="s">
        <v>248</v>
      </c>
      <c r="C138" s="33" t="s">
        <v>80</v>
      </c>
      <c r="D138" s="8" t="s">
        <v>247</v>
      </c>
      <c r="E138" s="11" t="s">
        <v>13</v>
      </c>
    </row>
    <row r="139">
      <c r="A139" s="19">
        <v>0.4576388888888889</v>
      </c>
      <c r="B139" s="8" t="s">
        <v>248</v>
      </c>
      <c r="C139" s="33" t="s">
        <v>249</v>
      </c>
      <c r="D139" s="8" t="s">
        <v>104</v>
      </c>
      <c r="E139" s="11" t="s">
        <v>9</v>
      </c>
    </row>
    <row r="140">
      <c r="A140" s="19">
        <v>0.4576388888888889</v>
      </c>
      <c r="B140" s="8" t="s">
        <v>247</v>
      </c>
      <c r="C140" s="33" t="s">
        <v>196</v>
      </c>
      <c r="D140" s="8" t="s">
        <v>102</v>
      </c>
      <c r="E140" s="11" t="s">
        <v>13</v>
      </c>
    </row>
    <row r="141">
      <c r="A141" s="19">
        <v>0.46805555555555556</v>
      </c>
      <c r="B141" s="8" t="s">
        <v>248</v>
      </c>
      <c r="C141" s="33" t="s">
        <v>195</v>
      </c>
      <c r="D141" s="8" t="s">
        <v>246</v>
      </c>
      <c r="E141" s="11" t="s">
        <v>9</v>
      </c>
    </row>
    <row r="142">
      <c r="A142" s="19">
        <v>0.46805555555555556</v>
      </c>
      <c r="B142" s="8" t="s">
        <v>102</v>
      </c>
      <c r="C142" s="33" t="s">
        <v>72</v>
      </c>
      <c r="D142" s="8" t="s">
        <v>104</v>
      </c>
      <c r="E142" s="11" t="s">
        <v>13</v>
      </c>
    </row>
    <row r="143">
      <c r="A143" s="19">
        <v>0.4777777777777778</v>
      </c>
      <c r="B143" s="8" t="s">
        <v>247</v>
      </c>
      <c r="C143" s="33" t="s">
        <v>87</v>
      </c>
      <c r="D143" s="8" t="s">
        <v>246</v>
      </c>
      <c r="E143" s="11" t="s">
        <v>9</v>
      </c>
    </row>
    <row r="144">
      <c r="A144" s="19">
        <v>0.4777777777777778</v>
      </c>
      <c r="B144" s="8" t="s">
        <v>102</v>
      </c>
      <c r="C144" s="33" t="s">
        <v>218</v>
      </c>
      <c r="D144" s="8" t="s">
        <v>248</v>
      </c>
      <c r="E144" s="11" t="s">
        <v>13</v>
      </c>
    </row>
    <row r="145">
      <c r="A145" s="19">
        <v>0.48819444444444443</v>
      </c>
      <c r="B145" s="8" t="s">
        <v>246</v>
      </c>
      <c r="C145" s="33" t="s">
        <v>87</v>
      </c>
      <c r="D145" s="8" t="s">
        <v>102</v>
      </c>
      <c r="E145" s="11" t="s">
        <v>9</v>
      </c>
      <c r="F145" s="38"/>
    </row>
    <row r="146">
      <c r="A146" s="19">
        <v>0.48819444444444443</v>
      </c>
      <c r="B146" s="8" t="s">
        <v>247</v>
      </c>
      <c r="C146" s="33" t="s">
        <v>250</v>
      </c>
      <c r="D146" s="8" t="s">
        <v>104</v>
      </c>
      <c r="E146" s="11" t="s">
        <v>13</v>
      </c>
    </row>
    <row r="147">
      <c r="A147" s="19">
        <v>0.4986111111111111</v>
      </c>
      <c r="B147" s="8" t="s">
        <v>246</v>
      </c>
      <c r="C147" s="35" t="s">
        <v>195</v>
      </c>
      <c r="D147" s="8" t="s">
        <v>104</v>
      </c>
      <c r="E147" s="11" t="s">
        <v>9</v>
      </c>
    </row>
    <row r="148">
      <c r="A148" s="19">
        <v>0.4986111111111111</v>
      </c>
      <c r="B148" s="8" t="s">
        <v>247</v>
      </c>
      <c r="C148" s="35" t="s">
        <v>67</v>
      </c>
      <c r="D148" s="8" t="s">
        <v>248</v>
      </c>
      <c r="E148" s="11" t="s">
        <v>13</v>
      </c>
    </row>
    <row r="149">
      <c r="A149" s="19">
        <v>0.5083333333333333</v>
      </c>
      <c r="B149" s="8" t="s">
        <v>104</v>
      </c>
      <c r="C149" s="35" t="s">
        <v>41</v>
      </c>
      <c r="D149" s="8" t="s">
        <v>248</v>
      </c>
      <c r="E149" s="11" t="s">
        <v>9</v>
      </c>
    </row>
    <row r="150">
      <c r="A150" s="19">
        <v>0.5083333333333333</v>
      </c>
      <c r="B150" s="8" t="s">
        <v>102</v>
      </c>
      <c r="C150" s="35" t="s">
        <v>19</v>
      </c>
      <c r="D150" s="8" t="s">
        <v>247</v>
      </c>
      <c r="E150" s="11" t="s">
        <v>13</v>
      </c>
    </row>
    <row r="151">
      <c r="A151" s="19">
        <v>0.51875</v>
      </c>
      <c r="B151" s="8" t="s">
        <v>246</v>
      </c>
      <c r="C151" s="35" t="s">
        <v>195</v>
      </c>
      <c r="D151" s="8" t="s">
        <v>248</v>
      </c>
      <c r="E151" s="11" t="s">
        <v>9</v>
      </c>
    </row>
    <row r="152">
      <c r="A152" s="19">
        <v>0.51875</v>
      </c>
      <c r="B152" s="8" t="s">
        <v>104</v>
      </c>
      <c r="C152" s="35" t="s">
        <v>190</v>
      </c>
      <c r="D152" s="8" t="s">
        <v>102</v>
      </c>
      <c r="E152" s="11" t="s">
        <v>13</v>
      </c>
    </row>
    <row r="153">
      <c r="A153" s="19">
        <v>0.5291666666666667</v>
      </c>
      <c r="B153" s="8" t="s">
        <v>246</v>
      </c>
      <c r="C153" s="35" t="s">
        <v>251</v>
      </c>
      <c r="D153" s="8" t="s">
        <v>247</v>
      </c>
      <c r="E153" s="11" t="s">
        <v>9</v>
      </c>
    </row>
    <row r="154">
      <c r="A154" s="19">
        <v>0.5291666666666667</v>
      </c>
      <c r="B154" s="8" t="s">
        <v>248</v>
      </c>
      <c r="C154" s="35" t="s">
        <v>71</v>
      </c>
      <c r="D154" s="8" t="s">
        <v>102</v>
      </c>
      <c r="E154" s="11" t="s">
        <v>13</v>
      </c>
    </row>
    <row r="155">
      <c r="A155" s="1"/>
      <c r="B155" s="1" t="s">
        <v>101</v>
      </c>
      <c r="C155" s="2"/>
      <c r="D155" s="3"/>
      <c r="E155" s="4"/>
    </row>
    <row r="156">
      <c r="A156" s="18" t="s">
        <v>1</v>
      </c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A157" s="19">
        <v>0.4375</v>
      </c>
      <c r="B157" s="8" t="s">
        <v>252</v>
      </c>
      <c r="C157" s="35" t="s">
        <v>11</v>
      </c>
      <c r="D157" s="8" t="s">
        <v>253</v>
      </c>
      <c r="E157" s="11" t="s">
        <v>33</v>
      </c>
    </row>
    <row r="158">
      <c r="A158" s="19">
        <v>0.4375</v>
      </c>
      <c r="B158" s="8" t="s">
        <v>254</v>
      </c>
      <c r="C158" s="35" t="s">
        <v>255</v>
      </c>
      <c r="D158" s="8" t="s">
        <v>256</v>
      </c>
      <c r="E158" s="11" t="s">
        <v>37</v>
      </c>
    </row>
    <row r="159">
      <c r="A159" s="19">
        <v>0.44722222222222224</v>
      </c>
      <c r="B159" s="8" t="s">
        <v>254</v>
      </c>
      <c r="C159" s="35" t="s">
        <v>193</v>
      </c>
      <c r="D159" s="8" t="s">
        <v>253</v>
      </c>
      <c r="E159" s="11" t="s">
        <v>33</v>
      </c>
    </row>
    <row r="160">
      <c r="A160" s="19">
        <v>0.44722222222222224</v>
      </c>
      <c r="B160" s="8" t="s">
        <v>257</v>
      </c>
      <c r="C160" s="35" t="s">
        <v>41</v>
      </c>
      <c r="D160" s="8" t="s">
        <v>256</v>
      </c>
      <c r="E160" s="11" t="s">
        <v>37</v>
      </c>
    </row>
    <row r="161">
      <c r="A161" s="19">
        <v>0.4576388888888889</v>
      </c>
      <c r="B161" s="8" t="s">
        <v>257</v>
      </c>
      <c r="C161" s="35" t="s">
        <v>258</v>
      </c>
      <c r="D161" s="8" t="s">
        <v>254</v>
      </c>
      <c r="E161" s="11" t="s">
        <v>33</v>
      </c>
    </row>
    <row r="162">
      <c r="A162" s="19">
        <v>0.4576388888888889</v>
      </c>
      <c r="B162" s="8" t="s">
        <v>256</v>
      </c>
      <c r="C162" s="35" t="s">
        <v>259</v>
      </c>
      <c r="D162" s="8" t="s">
        <v>252</v>
      </c>
      <c r="E162" s="11" t="s">
        <v>37</v>
      </c>
    </row>
    <row r="163">
      <c r="A163" s="19">
        <v>0.46805555555555556</v>
      </c>
      <c r="B163" s="8" t="s">
        <v>257</v>
      </c>
      <c r="C163" s="35" t="s">
        <v>260</v>
      </c>
      <c r="D163" s="8" t="s">
        <v>253</v>
      </c>
      <c r="E163" s="11" t="s">
        <v>33</v>
      </c>
    </row>
    <row r="164">
      <c r="A164" s="19">
        <v>0.46805555555555556</v>
      </c>
      <c r="B164" s="8" t="s">
        <v>252</v>
      </c>
      <c r="C164" s="35" t="s">
        <v>195</v>
      </c>
      <c r="D164" s="8" t="s">
        <v>254</v>
      </c>
      <c r="E164" s="11" t="s">
        <v>37</v>
      </c>
    </row>
    <row r="165">
      <c r="A165" s="19">
        <v>0.4777777777777778</v>
      </c>
      <c r="B165" s="8" t="s">
        <v>256</v>
      </c>
      <c r="C165" s="35" t="s">
        <v>81</v>
      </c>
      <c r="D165" s="8" t="s">
        <v>253</v>
      </c>
      <c r="E165" s="11" t="s">
        <v>33</v>
      </c>
    </row>
    <row r="166">
      <c r="A166" s="19">
        <v>0.4777777777777778</v>
      </c>
      <c r="B166" s="8" t="s">
        <v>252</v>
      </c>
      <c r="C166" s="35" t="s">
        <v>87</v>
      </c>
      <c r="D166" s="8" t="s">
        <v>257</v>
      </c>
      <c r="E166" s="11" t="s">
        <v>37</v>
      </c>
    </row>
    <row r="167">
      <c r="A167" s="19">
        <v>0.48819444444444443</v>
      </c>
      <c r="B167" s="8" t="s">
        <v>253</v>
      </c>
      <c r="C167" s="35" t="s">
        <v>261</v>
      </c>
      <c r="D167" s="8" t="s">
        <v>252</v>
      </c>
      <c r="E167" s="11" t="s">
        <v>33</v>
      </c>
    </row>
    <row r="168">
      <c r="A168" s="19">
        <v>0.48819444444444443</v>
      </c>
      <c r="B168" s="8" t="s">
        <v>256</v>
      </c>
      <c r="C168" s="35" t="s">
        <v>201</v>
      </c>
      <c r="D168" s="8" t="s">
        <v>254</v>
      </c>
      <c r="E168" s="11" t="s">
        <v>37</v>
      </c>
    </row>
    <row r="169">
      <c r="A169" s="19">
        <v>0.4986111111111111</v>
      </c>
      <c r="B169" s="8" t="s">
        <v>253</v>
      </c>
      <c r="C169" s="35" t="s">
        <v>87</v>
      </c>
      <c r="D169" s="8" t="s">
        <v>254</v>
      </c>
      <c r="E169" s="11" t="s">
        <v>33</v>
      </c>
      <c r="G169" s="36"/>
    </row>
    <row r="170">
      <c r="A170" s="19">
        <v>0.4986111111111111</v>
      </c>
      <c r="B170" s="8" t="s">
        <v>256</v>
      </c>
      <c r="C170" s="35" t="s">
        <v>19</v>
      </c>
      <c r="D170" s="8" t="s">
        <v>257</v>
      </c>
      <c r="E170" s="11" t="s">
        <v>37</v>
      </c>
    </row>
    <row r="171">
      <c r="A171" s="19">
        <v>0.5083333333333333</v>
      </c>
      <c r="B171" s="8" t="s">
        <v>254</v>
      </c>
      <c r="C171" s="35" t="s">
        <v>218</v>
      </c>
      <c r="D171" s="8" t="s">
        <v>257</v>
      </c>
      <c r="E171" s="11" t="s">
        <v>33</v>
      </c>
    </row>
    <row r="172">
      <c r="A172" s="19">
        <v>0.5083333333333333</v>
      </c>
      <c r="B172" s="8" t="s">
        <v>252</v>
      </c>
      <c r="C172" s="35" t="s">
        <v>87</v>
      </c>
      <c r="D172" s="8" t="s">
        <v>256</v>
      </c>
      <c r="E172" s="11" t="s">
        <v>37</v>
      </c>
    </row>
    <row r="173">
      <c r="A173" s="19">
        <v>0.51875</v>
      </c>
      <c r="B173" s="8" t="s">
        <v>253</v>
      </c>
      <c r="C173" s="35" t="s">
        <v>240</v>
      </c>
      <c r="D173" s="8" t="s">
        <v>257</v>
      </c>
      <c r="E173" s="11" t="s">
        <v>33</v>
      </c>
    </row>
    <row r="174">
      <c r="A174" s="19">
        <v>0.51875</v>
      </c>
      <c r="B174" s="8" t="s">
        <v>254</v>
      </c>
      <c r="C174" s="35" t="s">
        <v>67</v>
      </c>
      <c r="D174" s="8" t="s">
        <v>252</v>
      </c>
      <c r="E174" s="11" t="s">
        <v>37</v>
      </c>
    </row>
    <row r="175">
      <c r="A175" s="19">
        <v>0.5291666666666667</v>
      </c>
      <c r="B175" s="8" t="s">
        <v>253</v>
      </c>
      <c r="C175" s="35" t="s">
        <v>239</v>
      </c>
      <c r="D175" s="8" t="s">
        <v>256</v>
      </c>
      <c r="E175" s="11" t="s">
        <v>33</v>
      </c>
    </row>
    <row r="176">
      <c r="A176" s="19">
        <v>0.5291666666666667</v>
      </c>
      <c r="B176" s="8" t="s">
        <v>257</v>
      </c>
      <c r="C176" s="35" t="s">
        <v>17</v>
      </c>
      <c r="D176" s="8" t="s">
        <v>252</v>
      </c>
      <c r="E176" s="11" t="s">
        <v>37</v>
      </c>
    </row>
    <row r="177">
      <c r="A177" s="1"/>
      <c r="B177" s="1" t="s">
        <v>112</v>
      </c>
      <c r="C177" s="2"/>
      <c r="D177" s="3"/>
      <c r="E177" s="4"/>
    </row>
    <row r="178">
      <c r="A178" s="18" t="s">
        <v>1</v>
      </c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A179" s="19">
        <v>0.5416666666666666</v>
      </c>
      <c r="B179" s="8" t="s">
        <v>262</v>
      </c>
      <c r="C179" s="35" t="s">
        <v>25</v>
      </c>
      <c r="D179" s="8" t="s">
        <v>263</v>
      </c>
      <c r="E179" s="11" t="s">
        <v>9</v>
      </c>
    </row>
    <row r="180">
      <c r="A180" s="19">
        <v>0.5416666666666666</v>
      </c>
      <c r="B180" s="8" t="s">
        <v>264</v>
      </c>
      <c r="C180" s="35" t="s">
        <v>35</v>
      </c>
      <c r="D180" s="8" t="s">
        <v>265</v>
      </c>
      <c r="E180" s="11" t="s">
        <v>13</v>
      </c>
    </row>
    <row r="181">
      <c r="A181" s="19">
        <v>0.5513888888888889</v>
      </c>
      <c r="B181" s="8" t="s">
        <v>264</v>
      </c>
      <c r="C181" s="35" t="s">
        <v>82</v>
      </c>
      <c r="D181" s="8" t="s">
        <v>263</v>
      </c>
      <c r="E181" s="11" t="s">
        <v>9</v>
      </c>
    </row>
    <row r="182">
      <c r="A182" s="19">
        <v>0.5513888888888889</v>
      </c>
      <c r="B182" s="8" t="s">
        <v>266</v>
      </c>
      <c r="C182" s="35" t="s">
        <v>78</v>
      </c>
      <c r="D182" s="8" t="s">
        <v>265</v>
      </c>
      <c r="E182" s="24" t="s">
        <v>13</v>
      </c>
    </row>
    <row r="183">
      <c r="A183" s="19">
        <v>0.5618055555555556</v>
      </c>
      <c r="B183" s="8" t="s">
        <v>266</v>
      </c>
      <c r="C183" s="35" t="s">
        <v>190</v>
      </c>
      <c r="D183" s="8" t="s">
        <v>264</v>
      </c>
      <c r="E183" s="11" t="s">
        <v>9</v>
      </c>
    </row>
    <row r="184">
      <c r="A184" s="19">
        <v>0.5618055555555556</v>
      </c>
      <c r="B184" s="8" t="s">
        <v>265</v>
      </c>
      <c r="C184" s="35" t="s">
        <v>81</v>
      </c>
      <c r="D184" s="8" t="s">
        <v>262</v>
      </c>
      <c r="E184" s="24" t="s">
        <v>13</v>
      </c>
    </row>
    <row r="185">
      <c r="A185" s="19">
        <v>0.5722222222222222</v>
      </c>
      <c r="B185" s="8" t="s">
        <v>266</v>
      </c>
      <c r="C185" s="35" t="s">
        <v>25</v>
      </c>
      <c r="D185" s="8" t="s">
        <v>263</v>
      </c>
      <c r="E185" s="11" t="s">
        <v>9</v>
      </c>
    </row>
    <row r="186">
      <c r="A186" s="19">
        <v>0.5722222222222222</v>
      </c>
      <c r="B186" s="8" t="s">
        <v>262</v>
      </c>
      <c r="C186" s="35" t="s">
        <v>190</v>
      </c>
      <c r="D186" s="8" t="s">
        <v>264</v>
      </c>
      <c r="E186" s="24" t="s">
        <v>13</v>
      </c>
    </row>
    <row r="187">
      <c r="A187" s="19">
        <v>0.5819444444444445</v>
      </c>
      <c r="B187" s="8" t="s">
        <v>265</v>
      </c>
      <c r="C187" s="35" t="s">
        <v>25</v>
      </c>
      <c r="D187" s="8" t="s">
        <v>263</v>
      </c>
      <c r="E187" s="11" t="s">
        <v>9</v>
      </c>
    </row>
    <row r="188">
      <c r="A188" s="19">
        <v>0.5819444444444445</v>
      </c>
      <c r="B188" s="8" t="s">
        <v>262</v>
      </c>
      <c r="C188" s="35" t="s">
        <v>190</v>
      </c>
      <c r="D188" s="8" t="s">
        <v>266</v>
      </c>
      <c r="E188" s="24" t="s">
        <v>13</v>
      </c>
    </row>
    <row r="189">
      <c r="A189" s="19">
        <v>0.5923611111111111</v>
      </c>
      <c r="B189" s="8" t="s">
        <v>263</v>
      </c>
      <c r="C189" s="35" t="s">
        <v>267</v>
      </c>
      <c r="D189" s="8" t="s">
        <v>262</v>
      </c>
      <c r="E189" s="11" t="s">
        <v>9</v>
      </c>
    </row>
    <row r="190">
      <c r="A190" s="19">
        <v>0.5923611111111111</v>
      </c>
      <c r="B190" s="8" t="s">
        <v>265</v>
      </c>
      <c r="C190" s="35" t="s">
        <v>81</v>
      </c>
      <c r="D190" s="8" t="s">
        <v>264</v>
      </c>
      <c r="E190" s="24" t="s">
        <v>13</v>
      </c>
    </row>
    <row r="191">
      <c r="A191" s="19">
        <v>0.6027777777777777</v>
      </c>
      <c r="B191" s="8" t="s">
        <v>263</v>
      </c>
      <c r="C191" s="35" t="s">
        <v>268</v>
      </c>
      <c r="D191" s="8" t="s">
        <v>264</v>
      </c>
      <c r="E191" s="11" t="s">
        <v>9</v>
      </c>
    </row>
    <row r="192">
      <c r="A192" s="19">
        <v>0.6027777777777777</v>
      </c>
      <c r="B192" s="8" t="s">
        <v>265</v>
      </c>
      <c r="C192" s="35" t="s">
        <v>196</v>
      </c>
      <c r="D192" s="8" t="s">
        <v>266</v>
      </c>
      <c r="E192" s="24" t="s">
        <v>13</v>
      </c>
    </row>
    <row r="193">
      <c r="A193" s="19">
        <v>0.6125</v>
      </c>
      <c r="B193" s="8" t="s">
        <v>264</v>
      </c>
      <c r="C193" s="35" t="s">
        <v>269</v>
      </c>
      <c r="D193" s="8" t="s">
        <v>266</v>
      </c>
      <c r="E193" s="11" t="s">
        <v>9</v>
      </c>
    </row>
    <row r="194">
      <c r="A194" s="19">
        <v>0.6125</v>
      </c>
      <c r="B194" s="8" t="s">
        <v>262</v>
      </c>
      <c r="C194" s="35" t="s">
        <v>218</v>
      </c>
      <c r="D194" s="8" t="s">
        <v>265</v>
      </c>
      <c r="E194" s="24" t="s">
        <v>13</v>
      </c>
    </row>
    <row r="195">
      <c r="A195" s="19">
        <v>0.6229166666666667</v>
      </c>
      <c r="B195" s="8" t="s">
        <v>263</v>
      </c>
      <c r="C195" s="35" t="s">
        <v>270</v>
      </c>
      <c r="D195" s="8" t="s">
        <v>266</v>
      </c>
      <c r="E195" s="11" t="s">
        <v>9</v>
      </c>
    </row>
    <row r="196">
      <c r="A196" s="19">
        <v>0.6229166666666667</v>
      </c>
      <c r="B196" s="8" t="s">
        <v>264</v>
      </c>
      <c r="C196" s="35" t="s">
        <v>194</v>
      </c>
      <c r="D196" s="8" t="s">
        <v>262</v>
      </c>
      <c r="E196" s="24" t="s">
        <v>13</v>
      </c>
    </row>
    <row r="197">
      <c r="A197" s="19">
        <v>0.6333333333333333</v>
      </c>
      <c r="B197" s="8" t="s">
        <v>263</v>
      </c>
      <c r="C197" s="35" t="s">
        <v>78</v>
      </c>
      <c r="D197" s="8" t="s">
        <v>265</v>
      </c>
      <c r="E197" s="11" t="s">
        <v>9</v>
      </c>
    </row>
    <row r="198">
      <c r="A198" s="19">
        <v>0.6333333333333333</v>
      </c>
      <c r="B198" s="8" t="s">
        <v>266</v>
      </c>
      <c r="C198" s="35" t="s">
        <v>250</v>
      </c>
      <c r="D198" s="8" t="s">
        <v>262</v>
      </c>
      <c r="E198" s="24" t="s">
        <v>13</v>
      </c>
    </row>
    <row r="199">
      <c r="A199" s="1"/>
      <c r="B199" s="1" t="s">
        <v>112</v>
      </c>
      <c r="C199" s="2"/>
      <c r="D199" s="3"/>
      <c r="E199" s="4"/>
    </row>
    <row r="200">
      <c r="A200" s="18" t="s">
        <v>1</v>
      </c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A201" s="19">
        <v>0.5416666666666666</v>
      </c>
      <c r="B201" s="8" t="s">
        <v>271</v>
      </c>
      <c r="C201" s="35" t="s">
        <v>64</v>
      </c>
      <c r="D201" s="8" t="s">
        <v>100</v>
      </c>
      <c r="E201" s="11" t="s">
        <v>33</v>
      </c>
    </row>
    <row r="202">
      <c r="A202" s="19">
        <v>0.5416666666666666</v>
      </c>
      <c r="B202" s="8" t="s">
        <v>272</v>
      </c>
      <c r="C202" s="35" t="s">
        <v>273</v>
      </c>
      <c r="D202" s="8" t="s">
        <v>118</v>
      </c>
      <c r="E202" s="11" t="s">
        <v>37</v>
      </c>
    </row>
    <row r="203">
      <c r="A203" s="19">
        <v>0.5513888888888889</v>
      </c>
      <c r="B203" s="8" t="s">
        <v>272</v>
      </c>
      <c r="C203" s="35" t="s">
        <v>274</v>
      </c>
      <c r="D203" s="8" t="s">
        <v>100</v>
      </c>
      <c r="E203" s="11" t="s">
        <v>33</v>
      </c>
    </row>
    <row r="204">
      <c r="A204" s="19">
        <v>0.5513888888888889</v>
      </c>
      <c r="B204" s="8" t="s">
        <v>275</v>
      </c>
      <c r="C204" s="35" t="s">
        <v>28</v>
      </c>
      <c r="D204" s="8" t="s">
        <v>118</v>
      </c>
      <c r="E204" s="11" t="s">
        <v>37</v>
      </c>
    </row>
    <row r="205">
      <c r="A205" s="19">
        <v>0.5618055555555556</v>
      </c>
      <c r="B205" s="8" t="s">
        <v>275</v>
      </c>
      <c r="C205" s="35" t="s">
        <v>218</v>
      </c>
      <c r="D205" s="8" t="s">
        <v>272</v>
      </c>
      <c r="E205" s="11" t="s">
        <v>33</v>
      </c>
    </row>
    <row r="206">
      <c r="A206" s="19">
        <v>0.5618055555555556</v>
      </c>
      <c r="B206" s="8" t="s">
        <v>118</v>
      </c>
      <c r="C206" s="35" t="s">
        <v>20</v>
      </c>
      <c r="D206" s="8" t="s">
        <v>271</v>
      </c>
      <c r="E206" s="11" t="s">
        <v>37</v>
      </c>
    </row>
    <row r="207">
      <c r="A207" s="19">
        <v>0.5722222222222222</v>
      </c>
      <c r="B207" s="8" t="s">
        <v>275</v>
      </c>
      <c r="C207" s="35" t="s">
        <v>260</v>
      </c>
      <c r="D207" s="8" t="s">
        <v>100</v>
      </c>
      <c r="E207" s="11" t="s">
        <v>33</v>
      </c>
    </row>
    <row r="208">
      <c r="A208" s="19">
        <v>0.5722222222222222</v>
      </c>
      <c r="B208" s="8" t="s">
        <v>271</v>
      </c>
      <c r="C208" s="35" t="s">
        <v>276</v>
      </c>
      <c r="D208" s="8" t="s">
        <v>272</v>
      </c>
      <c r="E208" s="11" t="s">
        <v>37</v>
      </c>
    </row>
    <row r="209">
      <c r="A209" s="19">
        <v>0.5819444444444445</v>
      </c>
      <c r="B209" s="8" t="s">
        <v>118</v>
      </c>
      <c r="C209" s="35" t="s">
        <v>260</v>
      </c>
      <c r="D209" s="8" t="s">
        <v>100</v>
      </c>
      <c r="E209" s="11" t="s">
        <v>33</v>
      </c>
    </row>
    <row r="210">
      <c r="A210" s="19">
        <v>0.5819444444444445</v>
      </c>
      <c r="B210" s="8" t="s">
        <v>271</v>
      </c>
      <c r="C210" s="35" t="s">
        <v>18</v>
      </c>
      <c r="D210" s="8" t="s">
        <v>275</v>
      </c>
      <c r="E210" s="11" t="s">
        <v>37</v>
      </c>
    </row>
    <row r="211">
      <c r="A211" s="19">
        <v>0.5923611111111111</v>
      </c>
      <c r="B211" s="8" t="s">
        <v>100</v>
      </c>
      <c r="C211" s="35" t="s">
        <v>43</v>
      </c>
      <c r="D211" s="8" t="s">
        <v>271</v>
      </c>
      <c r="E211" s="11" t="s">
        <v>33</v>
      </c>
    </row>
    <row r="212">
      <c r="A212" s="19">
        <v>0.5923611111111111</v>
      </c>
      <c r="B212" s="8" t="s">
        <v>118</v>
      </c>
      <c r="C212" s="35" t="s">
        <v>277</v>
      </c>
      <c r="D212" s="8" t="s">
        <v>272</v>
      </c>
      <c r="E212" s="11" t="s">
        <v>37</v>
      </c>
    </row>
    <row r="213">
      <c r="A213" s="19">
        <v>0.6027777777777777</v>
      </c>
      <c r="B213" s="8" t="s">
        <v>100</v>
      </c>
      <c r="C213" s="35" t="s">
        <v>81</v>
      </c>
      <c r="D213" s="8" t="s">
        <v>272</v>
      </c>
      <c r="E213" s="11" t="s">
        <v>33</v>
      </c>
    </row>
    <row r="214">
      <c r="A214" s="19">
        <v>0.6027777777777777</v>
      </c>
      <c r="B214" s="8" t="s">
        <v>118</v>
      </c>
      <c r="C214" s="35" t="s">
        <v>212</v>
      </c>
      <c r="D214" s="8" t="s">
        <v>275</v>
      </c>
      <c r="E214" s="11" t="s">
        <v>37</v>
      </c>
    </row>
    <row r="215">
      <c r="A215" s="19">
        <v>0.6125</v>
      </c>
      <c r="B215" s="8" t="s">
        <v>272</v>
      </c>
      <c r="C215" s="35" t="s">
        <v>35</v>
      </c>
      <c r="D215" s="8" t="s">
        <v>275</v>
      </c>
      <c r="E215" s="11" t="s">
        <v>33</v>
      </c>
    </row>
    <row r="216">
      <c r="A216" s="19">
        <v>0.6125</v>
      </c>
      <c r="B216" s="8" t="s">
        <v>271</v>
      </c>
      <c r="C216" s="35" t="s">
        <v>218</v>
      </c>
      <c r="D216" s="8" t="s">
        <v>118</v>
      </c>
      <c r="E216" s="11" t="s">
        <v>37</v>
      </c>
    </row>
    <row r="217">
      <c r="A217" s="19">
        <v>0.6229166666666667</v>
      </c>
      <c r="B217" s="8" t="s">
        <v>100</v>
      </c>
      <c r="C217" s="35" t="s">
        <v>190</v>
      </c>
      <c r="D217" s="8" t="s">
        <v>275</v>
      </c>
      <c r="E217" s="11" t="s">
        <v>33</v>
      </c>
    </row>
    <row r="218">
      <c r="A218" s="19">
        <v>0.6229166666666667</v>
      </c>
      <c r="B218" s="8" t="s">
        <v>272</v>
      </c>
      <c r="C218" s="35" t="s">
        <v>201</v>
      </c>
      <c r="D218" s="8" t="s">
        <v>271</v>
      </c>
      <c r="E218" s="11" t="s">
        <v>37</v>
      </c>
    </row>
    <row r="219">
      <c r="A219" s="19">
        <v>0.6333333333333333</v>
      </c>
      <c r="B219" s="8" t="s">
        <v>100</v>
      </c>
      <c r="C219" s="35" t="s">
        <v>278</v>
      </c>
      <c r="D219" s="8" t="s">
        <v>118</v>
      </c>
      <c r="E219" s="11" t="s">
        <v>33</v>
      </c>
    </row>
    <row r="220">
      <c r="A220" s="19">
        <v>0.6333333333333333</v>
      </c>
      <c r="B220" s="8" t="s">
        <v>275</v>
      </c>
      <c r="C220" s="35" t="s">
        <v>197</v>
      </c>
      <c r="D220" s="8" t="s">
        <v>271</v>
      </c>
      <c r="E220" s="11" t="s">
        <v>37</v>
      </c>
    </row>
    <row r="221">
      <c r="A221" s="27"/>
      <c r="B221" s="28" t="s">
        <v>123</v>
      </c>
      <c r="C221" s="2"/>
      <c r="D221" s="3"/>
      <c r="E221" s="29"/>
    </row>
    <row r="222">
      <c r="A222" s="18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9">
        <v>0.6458333333333334</v>
      </c>
      <c r="B223" s="10" t="s">
        <v>128</v>
      </c>
      <c r="C223" s="35" t="s">
        <v>18</v>
      </c>
      <c r="D223" s="10" t="s">
        <v>125</v>
      </c>
      <c r="E223" s="11" t="s">
        <v>9</v>
      </c>
    </row>
    <row r="224">
      <c r="A224" s="19">
        <v>0.6458333333333334</v>
      </c>
      <c r="B224" s="10" t="s">
        <v>279</v>
      </c>
      <c r="C224" s="35" t="s">
        <v>23</v>
      </c>
      <c r="D224" s="10" t="s">
        <v>280</v>
      </c>
      <c r="E224" s="11" t="s">
        <v>13</v>
      </c>
    </row>
    <row r="225">
      <c r="A225" s="19">
        <v>0.6555555555555556</v>
      </c>
      <c r="B225" s="10" t="s">
        <v>279</v>
      </c>
      <c r="C225" s="35" t="s">
        <v>260</v>
      </c>
      <c r="D225" s="10" t="s">
        <v>125</v>
      </c>
      <c r="E225" s="11" t="s">
        <v>9</v>
      </c>
    </row>
    <row r="226">
      <c r="A226" s="19">
        <v>0.6555555555555556</v>
      </c>
      <c r="B226" s="10" t="s">
        <v>281</v>
      </c>
      <c r="C226" s="35" t="s">
        <v>19</v>
      </c>
      <c r="D226" s="10" t="s">
        <v>280</v>
      </c>
      <c r="E226" s="11" t="s">
        <v>13</v>
      </c>
    </row>
    <row r="227">
      <c r="A227" s="19">
        <v>0.6659722222222222</v>
      </c>
      <c r="B227" s="10" t="s">
        <v>281</v>
      </c>
      <c r="C227" s="35" t="s">
        <v>41</v>
      </c>
      <c r="D227" s="10" t="s">
        <v>279</v>
      </c>
      <c r="E227" s="11" t="s">
        <v>9</v>
      </c>
    </row>
    <row r="228">
      <c r="A228" s="19">
        <v>0.6659722222222222</v>
      </c>
      <c r="B228" s="10" t="s">
        <v>280</v>
      </c>
      <c r="C228" s="35" t="s">
        <v>14</v>
      </c>
      <c r="D228" s="10" t="s">
        <v>128</v>
      </c>
      <c r="E228" s="11" t="s">
        <v>13</v>
      </c>
    </row>
    <row r="229">
      <c r="A229" s="19">
        <v>0.6763888888888889</v>
      </c>
      <c r="B229" s="10" t="s">
        <v>281</v>
      </c>
      <c r="C229" s="35" t="s">
        <v>282</v>
      </c>
      <c r="D229" s="10" t="s">
        <v>125</v>
      </c>
      <c r="E229" s="11" t="s">
        <v>9</v>
      </c>
    </row>
    <row r="230">
      <c r="A230" s="19">
        <v>0.6763888888888889</v>
      </c>
      <c r="B230" s="10" t="s">
        <v>128</v>
      </c>
      <c r="C230" s="35" t="s">
        <v>87</v>
      </c>
      <c r="D230" s="10" t="s">
        <v>279</v>
      </c>
      <c r="E230" s="11" t="s">
        <v>13</v>
      </c>
    </row>
    <row r="231">
      <c r="A231" s="19">
        <v>0.6861111111111111</v>
      </c>
      <c r="B231" s="10" t="s">
        <v>280</v>
      </c>
      <c r="C231" s="35" t="s">
        <v>194</v>
      </c>
      <c r="D231" s="10" t="s">
        <v>125</v>
      </c>
      <c r="E231" s="11" t="s">
        <v>9</v>
      </c>
    </row>
    <row r="232">
      <c r="A232" s="19">
        <v>0.6861111111111111</v>
      </c>
      <c r="B232" s="10" t="s">
        <v>128</v>
      </c>
      <c r="C232" s="35" t="s">
        <v>82</v>
      </c>
      <c r="D232" s="10" t="s">
        <v>281</v>
      </c>
      <c r="E232" s="11" t="s">
        <v>13</v>
      </c>
    </row>
    <row r="233">
      <c r="A233" s="19">
        <v>0.6965277777777777</v>
      </c>
      <c r="B233" s="10" t="s">
        <v>125</v>
      </c>
      <c r="C233" s="35" t="s">
        <v>270</v>
      </c>
      <c r="D233" s="10" t="s">
        <v>128</v>
      </c>
      <c r="E233" s="11" t="s">
        <v>9</v>
      </c>
    </row>
    <row r="234">
      <c r="A234" s="19">
        <v>0.6965277777777777</v>
      </c>
      <c r="B234" s="10" t="s">
        <v>280</v>
      </c>
      <c r="C234" s="35" t="s">
        <v>283</v>
      </c>
      <c r="D234" s="10" t="s">
        <v>279</v>
      </c>
      <c r="E234" s="11" t="s">
        <v>13</v>
      </c>
    </row>
    <row r="235">
      <c r="A235" s="19">
        <v>0.7069444444444445</v>
      </c>
      <c r="B235" s="10" t="s">
        <v>125</v>
      </c>
      <c r="C235" s="35" t="s">
        <v>284</v>
      </c>
      <c r="D235" s="10" t="s">
        <v>279</v>
      </c>
      <c r="E235" s="11" t="s">
        <v>9</v>
      </c>
    </row>
    <row r="236">
      <c r="A236" s="19">
        <v>0.7069444444444445</v>
      </c>
      <c r="B236" s="10" t="s">
        <v>280</v>
      </c>
      <c r="C236" s="35" t="s">
        <v>285</v>
      </c>
      <c r="D236" s="10" t="s">
        <v>281</v>
      </c>
      <c r="E236" s="11" t="s">
        <v>13</v>
      </c>
    </row>
    <row r="237">
      <c r="A237" s="19">
        <v>0.7166666666666667</v>
      </c>
      <c r="B237" s="10" t="s">
        <v>279</v>
      </c>
      <c r="C237" s="35" t="s">
        <v>194</v>
      </c>
      <c r="D237" s="10" t="s">
        <v>281</v>
      </c>
      <c r="E237" s="11" t="s">
        <v>9</v>
      </c>
    </row>
    <row r="238">
      <c r="A238" s="19">
        <v>0.7166666666666667</v>
      </c>
      <c r="B238" s="10" t="s">
        <v>128</v>
      </c>
      <c r="C238" s="35" t="s">
        <v>212</v>
      </c>
      <c r="D238" s="10" t="s">
        <v>280</v>
      </c>
      <c r="E238" s="11" t="s">
        <v>13</v>
      </c>
    </row>
    <row r="239">
      <c r="A239" s="19">
        <v>0.7270833333333333</v>
      </c>
      <c r="B239" s="10" t="s">
        <v>125</v>
      </c>
      <c r="C239" s="35" t="s">
        <v>14</v>
      </c>
      <c r="D239" s="10" t="s">
        <v>281</v>
      </c>
      <c r="E239" s="11" t="s">
        <v>9</v>
      </c>
    </row>
    <row r="240">
      <c r="A240" s="19">
        <v>0.7270833333333333</v>
      </c>
      <c r="B240" s="10" t="s">
        <v>279</v>
      </c>
      <c r="C240" s="35" t="s">
        <v>286</v>
      </c>
      <c r="D240" s="10" t="s">
        <v>128</v>
      </c>
      <c r="E240" s="11" t="s">
        <v>13</v>
      </c>
    </row>
    <row r="241">
      <c r="A241" s="19">
        <v>0.7375</v>
      </c>
      <c r="B241" s="10" t="s">
        <v>125</v>
      </c>
      <c r="C241" s="35" t="s">
        <v>41</v>
      </c>
      <c r="D241" s="10" t="s">
        <v>280</v>
      </c>
      <c r="E241" s="11" t="s">
        <v>9</v>
      </c>
    </row>
    <row r="242">
      <c r="A242" s="19">
        <v>0.7375</v>
      </c>
      <c r="B242" s="10" t="s">
        <v>281</v>
      </c>
      <c r="C242" s="35" t="s">
        <v>21</v>
      </c>
      <c r="D242" s="10" t="s">
        <v>128</v>
      </c>
      <c r="E242" s="11" t="s">
        <v>13</v>
      </c>
    </row>
    <row r="243">
      <c r="A243" s="27"/>
      <c r="B243" s="28" t="s">
        <v>123</v>
      </c>
      <c r="C243" s="2"/>
      <c r="D243" s="3"/>
      <c r="E243" s="29"/>
    </row>
    <row r="244">
      <c r="A244" s="18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9">
        <v>0.6458333333333334</v>
      </c>
      <c r="B245" s="10" t="s">
        <v>287</v>
      </c>
      <c r="C245" s="35" t="s">
        <v>66</v>
      </c>
      <c r="D245" s="10" t="s">
        <v>132</v>
      </c>
      <c r="E245" s="11" t="s">
        <v>33</v>
      </c>
    </row>
    <row r="246">
      <c r="A246" s="19">
        <v>0.6458333333333334</v>
      </c>
      <c r="B246" s="10" t="s">
        <v>288</v>
      </c>
      <c r="C246" s="35" t="s">
        <v>289</v>
      </c>
      <c r="D246" s="10" t="s">
        <v>290</v>
      </c>
      <c r="E246" s="11" t="s">
        <v>37</v>
      </c>
    </row>
    <row r="247">
      <c r="A247" s="19">
        <v>0.6555555555555556</v>
      </c>
      <c r="B247" s="10" t="s">
        <v>288</v>
      </c>
      <c r="C247" s="35" t="s">
        <v>291</v>
      </c>
      <c r="D247" s="10" t="s">
        <v>132</v>
      </c>
      <c r="E247" s="11" t="s">
        <v>33</v>
      </c>
    </row>
    <row r="248">
      <c r="A248" s="19">
        <v>0.6555555555555556</v>
      </c>
      <c r="B248" s="10" t="s">
        <v>292</v>
      </c>
      <c r="C248" s="35" t="s">
        <v>285</v>
      </c>
      <c r="D248" s="10" t="s">
        <v>290</v>
      </c>
      <c r="E248" s="11" t="s">
        <v>37</v>
      </c>
    </row>
    <row r="249">
      <c r="A249" s="19">
        <v>0.6659722222222222</v>
      </c>
      <c r="B249" s="10" t="s">
        <v>292</v>
      </c>
      <c r="C249" s="35" t="s">
        <v>71</v>
      </c>
      <c r="D249" s="10" t="s">
        <v>288</v>
      </c>
      <c r="E249" s="11" t="s">
        <v>33</v>
      </c>
    </row>
    <row r="250">
      <c r="A250" s="19">
        <v>0.6659722222222222</v>
      </c>
      <c r="B250" s="10" t="s">
        <v>290</v>
      </c>
      <c r="C250" s="39" t="s">
        <v>21</v>
      </c>
      <c r="D250" s="10" t="s">
        <v>287</v>
      </c>
      <c r="E250" s="11" t="s">
        <v>37</v>
      </c>
    </row>
    <row r="251">
      <c r="A251" s="19">
        <v>0.6763888888888889</v>
      </c>
      <c r="B251" s="10" t="s">
        <v>292</v>
      </c>
      <c r="C251" s="35" t="s">
        <v>68</v>
      </c>
      <c r="D251" s="10" t="s">
        <v>132</v>
      </c>
      <c r="E251" s="11" t="s">
        <v>33</v>
      </c>
    </row>
    <row r="252">
      <c r="A252" s="19">
        <v>0.6763888888888889</v>
      </c>
      <c r="B252" s="10" t="s">
        <v>287</v>
      </c>
      <c r="C252" s="35" t="s">
        <v>293</v>
      </c>
      <c r="D252" s="10" t="s">
        <v>288</v>
      </c>
      <c r="E252" s="11" t="s">
        <v>37</v>
      </c>
    </row>
    <row r="253">
      <c r="A253" s="19">
        <v>0.6861111111111111</v>
      </c>
      <c r="B253" s="10" t="s">
        <v>290</v>
      </c>
      <c r="C253" s="35" t="s">
        <v>294</v>
      </c>
      <c r="D253" s="10" t="s">
        <v>132</v>
      </c>
      <c r="E253" s="11" t="s">
        <v>33</v>
      </c>
    </row>
    <row r="254">
      <c r="A254" s="19">
        <v>0.6861111111111111</v>
      </c>
      <c r="B254" s="10" t="s">
        <v>287</v>
      </c>
      <c r="C254" s="35" t="s">
        <v>22</v>
      </c>
      <c r="D254" s="10" t="s">
        <v>292</v>
      </c>
      <c r="E254" s="11" t="s">
        <v>37</v>
      </c>
    </row>
    <row r="255">
      <c r="A255" s="19">
        <v>0.6965277777777777</v>
      </c>
      <c r="B255" s="10" t="s">
        <v>132</v>
      </c>
      <c r="C255" s="35" t="s">
        <v>16</v>
      </c>
      <c r="D255" s="10" t="s">
        <v>287</v>
      </c>
      <c r="E255" s="11" t="s">
        <v>33</v>
      </c>
    </row>
    <row r="256">
      <c r="A256" s="19">
        <v>0.6965277777777777</v>
      </c>
      <c r="B256" s="10" t="s">
        <v>290</v>
      </c>
      <c r="C256" s="35" t="s">
        <v>26</v>
      </c>
      <c r="D256" s="10" t="s">
        <v>288</v>
      </c>
      <c r="E256" s="11" t="s">
        <v>37</v>
      </c>
    </row>
    <row r="257">
      <c r="A257" s="19">
        <v>0.7069444444444445</v>
      </c>
      <c r="B257" s="10" t="s">
        <v>132</v>
      </c>
      <c r="C257" s="35" t="s">
        <v>295</v>
      </c>
      <c r="D257" s="10" t="s">
        <v>288</v>
      </c>
      <c r="E257" s="11" t="s">
        <v>33</v>
      </c>
    </row>
    <row r="258">
      <c r="A258" s="19">
        <v>0.7069444444444445</v>
      </c>
      <c r="B258" s="10" t="s">
        <v>290</v>
      </c>
      <c r="C258" s="35" t="s">
        <v>18</v>
      </c>
      <c r="D258" s="10" t="s">
        <v>292</v>
      </c>
      <c r="E258" s="11" t="s">
        <v>37</v>
      </c>
    </row>
    <row r="259">
      <c r="A259" s="19">
        <v>0.7166666666666667</v>
      </c>
      <c r="B259" s="10" t="s">
        <v>288</v>
      </c>
      <c r="C259" s="35" t="s">
        <v>16</v>
      </c>
      <c r="D259" s="10" t="s">
        <v>292</v>
      </c>
      <c r="E259" s="11" t="s">
        <v>33</v>
      </c>
    </row>
    <row r="260">
      <c r="A260" s="19">
        <v>0.7166666666666667</v>
      </c>
      <c r="B260" s="10" t="s">
        <v>287</v>
      </c>
      <c r="C260" s="35" t="s">
        <v>18</v>
      </c>
      <c r="D260" s="10" t="s">
        <v>290</v>
      </c>
      <c r="E260" s="11" t="s">
        <v>37</v>
      </c>
    </row>
    <row r="261">
      <c r="A261" s="19">
        <v>0.7270833333333333</v>
      </c>
      <c r="B261" s="10" t="s">
        <v>132</v>
      </c>
      <c r="C261" s="35" t="s">
        <v>11</v>
      </c>
      <c r="D261" s="10" t="s">
        <v>292</v>
      </c>
      <c r="E261" s="11" t="s">
        <v>33</v>
      </c>
    </row>
    <row r="262">
      <c r="A262" s="19">
        <v>0.7270833333333333</v>
      </c>
      <c r="B262" s="10" t="s">
        <v>288</v>
      </c>
      <c r="C262" s="35" t="s">
        <v>38</v>
      </c>
      <c r="D262" s="10" t="s">
        <v>287</v>
      </c>
      <c r="E262" s="11" t="s">
        <v>37</v>
      </c>
    </row>
    <row r="263">
      <c r="A263" s="19">
        <v>0.7375</v>
      </c>
      <c r="B263" s="10" t="s">
        <v>132</v>
      </c>
      <c r="C263" s="35" t="s">
        <v>260</v>
      </c>
      <c r="D263" s="10" t="s">
        <v>290</v>
      </c>
      <c r="E263" s="11" t="s">
        <v>33</v>
      </c>
    </row>
    <row r="264">
      <c r="A264" s="19">
        <v>0.7375</v>
      </c>
      <c r="B264" s="10" t="s">
        <v>292</v>
      </c>
      <c r="C264" s="35" t="s">
        <v>67</v>
      </c>
      <c r="D264" s="10" t="s">
        <v>287</v>
      </c>
      <c r="E264" s="11" t="s">
        <v>37</v>
      </c>
    </row>
    <row r="265">
      <c r="A265" s="27"/>
      <c r="B265" s="28" t="s">
        <v>134</v>
      </c>
      <c r="C265" s="2"/>
      <c r="D265" s="3"/>
      <c r="E265" s="29"/>
    </row>
    <row r="266">
      <c r="A266" s="18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9">
        <v>0.75</v>
      </c>
      <c r="B267" s="10" t="s">
        <v>296</v>
      </c>
      <c r="C267" s="35" t="s">
        <v>297</v>
      </c>
      <c r="D267" s="10" t="s">
        <v>298</v>
      </c>
      <c r="E267" s="11" t="s">
        <v>9</v>
      </c>
    </row>
    <row r="268">
      <c r="A268" s="19">
        <v>0.75</v>
      </c>
      <c r="B268" s="10" t="s">
        <v>299</v>
      </c>
      <c r="C268" s="35" t="s">
        <v>48</v>
      </c>
      <c r="D268" s="10" t="s">
        <v>300</v>
      </c>
      <c r="E268" s="11" t="s">
        <v>13</v>
      </c>
    </row>
    <row r="269">
      <c r="A269" s="19">
        <v>0.7597222222222222</v>
      </c>
      <c r="B269" s="10" t="s">
        <v>299</v>
      </c>
      <c r="C269" s="35" t="s">
        <v>65</v>
      </c>
      <c r="D269" s="10" t="s">
        <v>298</v>
      </c>
      <c r="E269" s="11" t="s">
        <v>9</v>
      </c>
    </row>
    <row r="270">
      <c r="A270" s="19">
        <v>0.7597222222222222</v>
      </c>
      <c r="B270" s="10" t="s">
        <v>301</v>
      </c>
      <c r="C270" s="35" t="s">
        <v>291</v>
      </c>
      <c r="D270" s="10" t="s">
        <v>300</v>
      </c>
      <c r="E270" s="11" t="s">
        <v>13</v>
      </c>
    </row>
    <row r="271">
      <c r="A271" s="19">
        <v>0.7701388888888889</v>
      </c>
      <c r="B271" s="10" t="s">
        <v>301</v>
      </c>
      <c r="C271" s="35" t="s">
        <v>302</v>
      </c>
      <c r="D271" s="10" t="s">
        <v>299</v>
      </c>
      <c r="E271" s="11" t="s">
        <v>9</v>
      </c>
    </row>
    <row r="272">
      <c r="A272" s="19">
        <v>0.7701388888888889</v>
      </c>
      <c r="B272" s="10" t="s">
        <v>300</v>
      </c>
      <c r="C272" s="35" t="s">
        <v>303</v>
      </c>
      <c r="D272" s="10" t="s">
        <v>296</v>
      </c>
      <c r="E272" s="11" t="s">
        <v>13</v>
      </c>
    </row>
    <row r="273">
      <c r="A273" s="19">
        <v>0.7805555555555556</v>
      </c>
      <c r="B273" s="10" t="s">
        <v>301</v>
      </c>
      <c r="C273" s="35" t="s">
        <v>43</v>
      </c>
      <c r="D273" s="10" t="s">
        <v>298</v>
      </c>
      <c r="E273" s="11" t="s">
        <v>9</v>
      </c>
    </row>
    <row r="274">
      <c r="A274" s="19">
        <v>0.7805555555555556</v>
      </c>
      <c r="B274" s="10" t="s">
        <v>296</v>
      </c>
      <c r="C274" s="35" t="s">
        <v>25</v>
      </c>
      <c r="D274" s="10" t="s">
        <v>299</v>
      </c>
      <c r="E274" s="11" t="s">
        <v>13</v>
      </c>
    </row>
    <row r="275">
      <c r="A275" s="19">
        <v>0.7902777777777777</v>
      </c>
      <c r="B275" s="10" t="s">
        <v>300</v>
      </c>
      <c r="C275" s="35" t="s">
        <v>304</v>
      </c>
      <c r="D275" s="10" t="s">
        <v>298</v>
      </c>
      <c r="E275" s="11" t="s">
        <v>9</v>
      </c>
    </row>
    <row r="276">
      <c r="A276" s="19">
        <v>0.7902777777777777</v>
      </c>
      <c r="B276" s="10" t="s">
        <v>296</v>
      </c>
      <c r="C276" s="35" t="s">
        <v>251</v>
      </c>
      <c r="D276" s="10" t="s">
        <v>301</v>
      </c>
      <c r="E276" s="11" t="s">
        <v>13</v>
      </c>
    </row>
    <row r="277">
      <c r="A277" s="19">
        <v>0.8006944444444445</v>
      </c>
      <c r="B277" s="10" t="s">
        <v>298</v>
      </c>
      <c r="C277" s="35" t="s">
        <v>305</v>
      </c>
      <c r="D277" s="10" t="s">
        <v>296</v>
      </c>
      <c r="E277" s="11" t="s">
        <v>9</v>
      </c>
    </row>
    <row r="278">
      <c r="A278" s="19">
        <v>0.8006944444444445</v>
      </c>
      <c r="B278" s="10" t="s">
        <v>300</v>
      </c>
      <c r="C278" s="35" t="s">
        <v>306</v>
      </c>
      <c r="D278" s="10" t="s">
        <v>299</v>
      </c>
      <c r="E278" s="11" t="s">
        <v>13</v>
      </c>
    </row>
    <row r="279">
      <c r="A279" s="19">
        <v>0.8111111111111111</v>
      </c>
      <c r="B279" s="10" t="s">
        <v>298</v>
      </c>
      <c r="C279" s="35" t="s">
        <v>307</v>
      </c>
      <c r="D279" s="10" t="s">
        <v>299</v>
      </c>
      <c r="E279" s="11" t="s">
        <v>9</v>
      </c>
    </row>
    <row r="280">
      <c r="A280" s="19">
        <v>0.8111111111111111</v>
      </c>
      <c r="B280" s="10" t="s">
        <v>300</v>
      </c>
      <c r="C280" s="35" t="s">
        <v>194</v>
      </c>
      <c r="D280" s="10" t="s">
        <v>301</v>
      </c>
      <c r="E280" s="11" t="s">
        <v>13</v>
      </c>
    </row>
    <row r="281">
      <c r="A281" s="19">
        <v>0.8208333333333333</v>
      </c>
      <c r="B281" s="10" t="s">
        <v>299</v>
      </c>
      <c r="C281" s="35" t="s">
        <v>21</v>
      </c>
      <c r="D281" s="10" t="s">
        <v>301</v>
      </c>
      <c r="E281" s="11" t="s">
        <v>9</v>
      </c>
    </row>
    <row r="282">
      <c r="A282" s="19">
        <v>0.8208333333333333</v>
      </c>
      <c r="B282" s="10" t="s">
        <v>296</v>
      </c>
      <c r="C282" s="35" t="s">
        <v>11</v>
      </c>
      <c r="D282" s="10" t="s">
        <v>300</v>
      </c>
      <c r="E282" s="11" t="s">
        <v>13</v>
      </c>
    </row>
    <row r="283">
      <c r="A283" s="19">
        <v>0.83125</v>
      </c>
      <c r="B283" s="10" t="s">
        <v>298</v>
      </c>
      <c r="C283" s="35" t="s">
        <v>71</v>
      </c>
      <c r="D283" s="10" t="s">
        <v>301</v>
      </c>
      <c r="E283" s="11" t="s">
        <v>9</v>
      </c>
    </row>
    <row r="284">
      <c r="A284" s="19">
        <v>0.83125</v>
      </c>
      <c r="B284" s="10" t="s">
        <v>299</v>
      </c>
      <c r="C284" s="35" t="s">
        <v>45</v>
      </c>
      <c r="D284" s="10" t="s">
        <v>296</v>
      </c>
      <c r="E284" s="11" t="s">
        <v>13</v>
      </c>
    </row>
    <row r="285">
      <c r="A285" s="19">
        <v>0.8416666666666667</v>
      </c>
      <c r="B285" s="10" t="s">
        <v>298</v>
      </c>
      <c r="C285" s="35" t="s">
        <v>11</v>
      </c>
      <c r="D285" s="10" t="s">
        <v>300</v>
      </c>
      <c r="E285" s="11" t="s">
        <v>9</v>
      </c>
    </row>
    <row r="286">
      <c r="A286" s="19">
        <v>0.8416666666666667</v>
      </c>
      <c r="B286" s="10" t="s">
        <v>301</v>
      </c>
      <c r="C286" s="35" t="s">
        <v>308</v>
      </c>
      <c r="D286" s="10" t="s">
        <v>296</v>
      </c>
      <c r="E286" s="11" t="s">
        <v>13</v>
      </c>
    </row>
    <row r="287">
      <c r="A287" s="27"/>
      <c r="B287" s="28" t="s">
        <v>134</v>
      </c>
      <c r="C287" s="2"/>
      <c r="D287" s="3"/>
      <c r="E287" s="29"/>
    </row>
    <row r="288">
      <c r="A288" s="18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9">
        <v>0.75</v>
      </c>
      <c r="B289" s="10" t="s">
        <v>309</v>
      </c>
      <c r="C289" s="35" t="s">
        <v>18</v>
      </c>
      <c r="D289" s="10" t="s">
        <v>310</v>
      </c>
      <c r="E289" s="11" t="s">
        <v>33</v>
      </c>
    </row>
    <row r="290">
      <c r="A290" s="19">
        <v>0.75</v>
      </c>
      <c r="B290" s="10" t="s">
        <v>311</v>
      </c>
      <c r="C290" s="35" t="s">
        <v>312</v>
      </c>
      <c r="D290" s="10" t="s">
        <v>313</v>
      </c>
      <c r="E290" s="11" t="s">
        <v>37</v>
      </c>
    </row>
    <row r="291">
      <c r="A291" s="19">
        <v>0.7597222222222222</v>
      </c>
      <c r="B291" s="10" t="s">
        <v>311</v>
      </c>
      <c r="C291" s="35" t="s">
        <v>314</v>
      </c>
      <c r="D291" s="10" t="s">
        <v>310</v>
      </c>
      <c r="E291" s="11" t="s">
        <v>33</v>
      </c>
    </row>
    <row r="292">
      <c r="A292" s="19">
        <v>0.7597222222222222</v>
      </c>
      <c r="B292" s="10" t="s">
        <v>315</v>
      </c>
      <c r="C292" s="35" t="s">
        <v>239</v>
      </c>
      <c r="D292" s="10" t="s">
        <v>313</v>
      </c>
      <c r="E292" s="11" t="s">
        <v>37</v>
      </c>
    </row>
    <row r="293">
      <c r="A293" s="19">
        <v>0.7701388888888889</v>
      </c>
      <c r="B293" s="10" t="s">
        <v>315</v>
      </c>
      <c r="C293" s="35" t="s">
        <v>11</v>
      </c>
      <c r="D293" s="10" t="s">
        <v>311</v>
      </c>
      <c r="E293" s="11" t="s">
        <v>33</v>
      </c>
    </row>
    <row r="294">
      <c r="A294" s="19">
        <v>0.7701388888888889</v>
      </c>
      <c r="B294" s="10" t="s">
        <v>313</v>
      </c>
      <c r="C294" s="35" t="s">
        <v>316</v>
      </c>
      <c r="D294" s="10" t="s">
        <v>309</v>
      </c>
      <c r="E294" s="11" t="s">
        <v>37</v>
      </c>
    </row>
    <row r="295">
      <c r="A295" s="19">
        <v>0.7805555555555556</v>
      </c>
      <c r="B295" s="10" t="s">
        <v>315</v>
      </c>
      <c r="C295" s="35" t="s">
        <v>249</v>
      </c>
      <c r="D295" s="10" t="s">
        <v>310</v>
      </c>
      <c r="E295" s="11" t="s">
        <v>33</v>
      </c>
    </row>
    <row r="296">
      <c r="A296" s="19">
        <v>0.7805555555555556</v>
      </c>
      <c r="B296" s="10" t="s">
        <v>309</v>
      </c>
      <c r="C296" s="35" t="s">
        <v>217</v>
      </c>
      <c r="D296" s="10" t="s">
        <v>311</v>
      </c>
      <c r="E296" s="11" t="s">
        <v>37</v>
      </c>
    </row>
    <row r="297">
      <c r="A297" s="19">
        <v>0.7902777777777777</v>
      </c>
      <c r="B297" s="10" t="s">
        <v>313</v>
      </c>
      <c r="C297" s="35" t="s">
        <v>317</v>
      </c>
      <c r="D297" s="10" t="s">
        <v>310</v>
      </c>
      <c r="E297" s="11" t="s">
        <v>33</v>
      </c>
    </row>
    <row r="298">
      <c r="A298" s="19">
        <v>0.7902777777777777</v>
      </c>
      <c r="B298" s="10" t="s">
        <v>309</v>
      </c>
      <c r="C298" s="35" t="s">
        <v>196</v>
      </c>
      <c r="D298" s="10" t="s">
        <v>315</v>
      </c>
      <c r="E298" s="11" t="s">
        <v>37</v>
      </c>
    </row>
    <row r="299">
      <c r="A299" s="19">
        <v>0.8006944444444445</v>
      </c>
      <c r="B299" s="10" t="s">
        <v>310</v>
      </c>
      <c r="C299" s="35" t="s">
        <v>67</v>
      </c>
      <c r="D299" s="10" t="s">
        <v>309</v>
      </c>
      <c r="E299" s="11" t="s">
        <v>33</v>
      </c>
    </row>
    <row r="300">
      <c r="A300" s="19">
        <v>0.8006944444444445</v>
      </c>
      <c r="B300" s="10" t="s">
        <v>313</v>
      </c>
      <c r="C300" s="35" t="s">
        <v>250</v>
      </c>
      <c r="D300" s="10" t="s">
        <v>311</v>
      </c>
      <c r="E300" s="11" t="s">
        <v>37</v>
      </c>
    </row>
    <row r="301">
      <c r="A301" s="19">
        <v>0.8111111111111111</v>
      </c>
      <c r="B301" s="10" t="s">
        <v>310</v>
      </c>
      <c r="C301" s="35" t="s">
        <v>18</v>
      </c>
      <c r="D301" s="10" t="s">
        <v>311</v>
      </c>
      <c r="E301" s="11" t="s">
        <v>33</v>
      </c>
    </row>
    <row r="302">
      <c r="A302" s="19">
        <v>0.8111111111111111</v>
      </c>
      <c r="B302" s="10" t="s">
        <v>313</v>
      </c>
      <c r="C302" s="35" t="s">
        <v>318</v>
      </c>
      <c r="D302" s="10" t="s">
        <v>315</v>
      </c>
      <c r="E302" s="11" t="s">
        <v>37</v>
      </c>
    </row>
    <row r="303">
      <c r="A303" s="19">
        <v>0.8208333333333333</v>
      </c>
      <c r="B303" s="10" t="s">
        <v>311</v>
      </c>
      <c r="C303" s="35" t="s">
        <v>19</v>
      </c>
      <c r="D303" s="10" t="s">
        <v>315</v>
      </c>
      <c r="E303" s="11" t="s">
        <v>33</v>
      </c>
    </row>
    <row r="304">
      <c r="A304" s="19">
        <v>0.8208333333333333</v>
      </c>
      <c r="B304" s="10" t="s">
        <v>309</v>
      </c>
      <c r="C304" s="35" t="s">
        <v>319</v>
      </c>
      <c r="D304" s="10" t="s">
        <v>313</v>
      </c>
      <c r="E304" s="11" t="s">
        <v>37</v>
      </c>
    </row>
    <row r="305">
      <c r="A305" s="19">
        <v>0.83125</v>
      </c>
      <c r="B305" s="10" t="s">
        <v>310</v>
      </c>
      <c r="C305" s="35" t="s">
        <v>16</v>
      </c>
      <c r="D305" s="10" t="s">
        <v>315</v>
      </c>
      <c r="E305" s="11" t="s">
        <v>33</v>
      </c>
    </row>
    <row r="306">
      <c r="A306" s="19">
        <v>0.83125</v>
      </c>
      <c r="B306" s="10" t="s">
        <v>311</v>
      </c>
      <c r="C306" s="35" t="s">
        <v>320</v>
      </c>
      <c r="D306" s="10" t="s">
        <v>309</v>
      </c>
      <c r="E306" s="11" t="s">
        <v>37</v>
      </c>
    </row>
    <row r="307">
      <c r="A307" s="19">
        <v>0.8416666666666667</v>
      </c>
      <c r="B307" s="10" t="s">
        <v>310</v>
      </c>
      <c r="C307" s="35" t="s">
        <v>321</v>
      </c>
      <c r="D307" s="10" t="s">
        <v>313</v>
      </c>
      <c r="E307" s="11" t="s">
        <v>33</v>
      </c>
    </row>
    <row r="308">
      <c r="A308" s="19">
        <v>0.8416666666666667</v>
      </c>
      <c r="B308" s="10" t="s">
        <v>315</v>
      </c>
      <c r="C308" s="35" t="s">
        <v>68</v>
      </c>
      <c r="D308" s="10" t="s">
        <v>309</v>
      </c>
      <c r="E308" s="11" t="s">
        <v>37</v>
      </c>
    </row>
    <row r="309">
      <c r="A309" s="27"/>
      <c r="B309" s="28" t="s">
        <v>145</v>
      </c>
      <c r="C309" s="2"/>
      <c r="D309" s="3"/>
      <c r="E309" s="29"/>
    </row>
    <row r="310">
      <c r="A310" s="18" t="s">
        <v>1</v>
      </c>
      <c r="B310" s="6" t="s">
        <v>2</v>
      </c>
      <c r="C310" s="6" t="s">
        <v>3</v>
      </c>
      <c r="D310" s="6" t="s">
        <v>4</v>
      </c>
      <c r="E310" s="6" t="s">
        <v>5</v>
      </c>
      <c r="G310" s="36"/>
    </row>
    <row r="311">
      <c r="A311" s="19">
        <v>0.8541666666666666</v>
      </c>
      <c r="B311" s="10" t="s">
        <v>322</v>
      </c>
      <c r="C311" s="35" t="s">
        <v>220</v>
      </c>
      <c r="D311" s="10" t="s">
        <v>323</v>
      </c>
      <c r="E311" s="11" t="s">
        <v>9</v>
      </c>
    </row>
    <row r="312">
      <c r="A312" s="19">
        <v>0.8541666666666666</v>
      </c>
      <c r="B312" s="10" t="s">
        <v>324</v>
      </c>
      <c r="C312" s="35" t="s">
        <v>325</v>
      </c>
      <c r="D312" s="10" t="s">
        <v>326</v>
      </c>
      <c r="E312" s="11" t="s">
        <v>13</v>
      </c>
    </row>
    <row r="313">
      <c r="A313" s="19">
        <v>0.8638888888888889</v>
      </c>
      <c r="B313" s="10" t="s">
        <v>324</v>
      </c>
      <c r="C313" s="35" t="s">
        <v>260</v>
      </c>
      <c r="D313" s="10" t="s">
        <v>323</v>
      </c>
      <c r="E313" s="11" t="s">
        <v>9</v>
      </c>
    </row>
    <row r="314">
      <c r="A314" s="19">
        <v>0.8638888888888889</v>
      </c>
      <c r="B314" s="10" t="s">
        <v>327</v>
      </c>
      <c r="C314" s="35" t="s">
        <v>219</v>
      </c>
      <c r="D314" s="10" t="s">
        <v>326</v>
      </c>
      <c r="E314" s="11" t="s">
        <v>13</v>
      </c>
    </row>
    <row r="315">
      <c r="A315" s="19">
        <v>0.8743055555555556</v>
      </c>
      <c r="B315" s="10" t="s">
        <v>327</v>
      </c>
      <c r="C315" s="35" t="s">
        <v>328</v>
      </c>
      <c r="D315" s="10" t="s">
        <v>324</v>
      </c>
      <c r="E315" s="11" t="s">
        <v>9</v>
      </c>
    </row>
    <row r="316">
      <c r="A316" s="19">
        <v>0.8743055555555556</v>
      </c>
      <c r="B316" s="10" t="s">
        <v>326</v>
      </c>
      <c r="C316" s="35" t="s">
        <v>11</v>
      </c>
      <c r="D316" s="10" t="s">
        <v>322</v>
      </c>
      <c r="E316" s="11" t="s">
        <v>13</v>
      </c>
    </row>
    <row r="317">
      <c r="A317" s="19">
        <v>0.8847222222222222</v>
      </c>
      <c r="B317" s="10" t="s">
        <v>327</v>
      </c>
      <c r="C317" s="35" t="s">
        <v>285</v>
      </c>
      <c r="D317" s="10" t="s">
        <v>323</v>
      </c>
      <c r="E317" s="11" t="s">
        <v>9</v>
      </c>
    </row>
    <row r="318">
      <c r="A318" s="19">
        <v>0.8847222222222222</v>
      </c>
      <c r="B318" s="10" t="s">
        <v>322</v>
      </c>
      <c r="C318" s="35" t="s">
        <v>88</v>
      </c>
      <c r="D318" s="10" t="s">
        <v>324</v>
      </c>
      <c r="E318" s="11" t="s">
        <v>13</v>
      </c>
    </row>
    <row r="319">
      <c r="A319" s="19">
        <v>0.8944444444444445</v>
      </c>
      <c r="B319" s="10" t="s">
        <v>326</v>
      </c>
      <c r="C319" s="35" t="s">
        <v>194</v>
      </c>
      <c r="D319" s="10" t="s">
        <v>323</v>
      </c>
      <c r="E319" s="11" t="s">
        <v>9</v>
      </c>
    </row>
    <row r="320">
      <c r="A320" s="19">
        <v>0.8944444444444445</v>
      </c>
      <c r="B320" s="10" t="s">
        <v>322</v>
      </c>
      <c r="C320" s="35" t="s">
        <v>329</v>
      </c>
      <c r="D320" s="10" t="s">
        <v>327</v>
      </c>
      <c r="E320" s="11" t="s">
        <v>13</v>
      </c>
    </row>
    <row r="321">
      <c r="A321" s="19">
        <v>0.9048611111111111</v>
      </c>
      <c r="B321" s="10" t="s">
        <v>323</v>
      </c>
      <c r="C321" s="35" t="s">
        <v>330</v>
      </c>
      <c r="D321" s="10" t="s">
        <v>322</v>
      </c>
      <c r="E321" s="11" t="s">
        <v>9</v>
      </c>
    </row>
    <row r="322">
      <c r="A322" s="19">
        <v>0.9048611111111111</v>
      </c>
      <c r="B322" s="10" t="s">
        <v>326</v>
      </c>
      <c r="C322" s="35" t="s">
        <v>297</v>
      </c>
      <c r="D322" s="10" t="s">
        <v>324</v>
      </c>
      <c r="E322" s="11" t="s">
        <v>13</v>
      </c>
    </row>
    <row r="323">
      <c r="A323" s="19">
        <v>0.9152777777777777</v>
      </c>
      <c r="B323" s="10" t="s">
        <v>323</v>
      </c>
      <c r="C323" s="35" t="s">
        <v>331</v>
      </c>
      <c r="D323" s="10" t="s">
        <v>324</v>
      </c>
      <c r="E323" s="11" t="s">
        <v>9</v>
      </c>
    </row>
    <row r="324">
      <c r="A324" s="19">
        <v>0.9152777777777777</v>
      </c>
      <c r="B324" s="10" t="s">
        <v>326</v>
      </c>
      <c r="C324" s="35" t="s">
        <v>11</v>
      </c>
      <c r="D324" s="10" t="s">
        <v>327</v>
      </c>
      <c r="E324" s="11" t="s">
        <v>13</v>
      </c>
    </row>
    <row r="325">
      <c r="A325" s="19">
        <v>0.925</v>
      </c>
      <c r="B325" s="10" t="s">
        <v>324</v>
      </c>
      <c r="C325" s="35" t="s">
        <v>69</v>
      </c>
      <c r="D325" s="10" t="s">
        <v>327</v>
      </c>
      <c r="E325" s="11" t="s">
        <v>9</v>
      </c>
    </row>
    <row r="326">
      <c r="A326" s="19">
        <v>0.925</v>
      </c>
      <c r="B326" s="10" t="s">
        <v>322</v>
      </c>
      <c r="C326" s="35" t="s">
        <v>48</v>
      </c>
      <c r="D326" s="10" t="s">
        <v>326</v>
      </c>
      <c r="E326" s="11" t="s">
        <v>13</v>
      </c>
    </row>
    <row r="327">
      <c r="A327" s="19">
        <v>0.9354166666666667</v>
      </c>
      <c r="B327" s="10" t="s">
        <v>323</v>
      </c>
      <c r="C327" s="35" t="s">
        <v>195</v>
      </c>
      <c r="D327" s="10" t="s">
        <v>327</v>
      </c>
      <c r="E327" s="11" t="s">
        <v>9</v>
      </c>
    </row>
    <row r="328">
      <c r="A328" s="19">
        <v>0.9354166666666667</v>
      </c>
      <c r="B328" s="10" t="s">
        <v>324</v>
      </c>
      <c r="C328" s="35" t="s">
        <v>42</v>
      </c>
      <c r="D328" s="10" t="s">
        <v>322</v>
      </c>
      <c r="E328" s="11" t="s">
        <v>13</v>
      </c>
    </row>
    <row r="329">
      <c r="A329" s="19">
        <v>0.9458333333333333</v>
      </c>
      <c r="B329" s="10" t="s">
        <v>323</v>
      </c>
      <c r="C329" s="35" t="s">
        <v>270</v>
      </c>
      <c r="D329" s="10" t="s">
        <v>326</v>
      </c>
      <c r="E329" s="11" t="s">
        <v>9</v>
      </c>
    </row>
    <row r="330">
      <c r="A330" s="19">
        <v>0.9458333333333333</v>
      </c>
      <c r="B330" s="10" t="s">
        <v>327</v>
      </c>
      <c r="C330" s="35" t="s">
        <v>42</v>
      </c>
      <c r="D330" s="10" t="s">
        <v>322</v>
      </c>
      <c r="E330" s="11" t="s">
        <v>13</v>
      </c>
    </row>
    <row r="331">
      <c r="A331" s="27"/>
      <c r="B331" s="28" t="s">
        <v>145</v>
      </c>
      <c r="C331" s="2"/>
      <c r="D331" s="3"/>
      <c r="E331" s="29"/>
    </row>
    <row r="332">
      <c r="A332" s="18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9">
        <v>0.8541666666666666</v>
      </c>
      <c r="B333" s="10" t="s">
        <v>332</v>
      </c>
      <c r="C333" s="35" t="s">
        <v>19</v>
      </c>
      <c r="D333" s="10" t="s">
        <v>154</v>
      </c>
      <c r="E333" s="11" t="s">
        <v>33</v>
      </c>
    </row>
    <row r="334">
      <c r="A334" s="19">
        <v>0.8541666666666666</v>
      </c>
      <c r="B334" s="10" t="s">
        <v>333</v>
      </c>
      <c r="C334" s="35" t="s">
        <v>330</v>
      </c>
      <c r="D334" s="10" t="s">
        <v>334</v>
      </c>
      <c r="E334" s="11" t="s">
        <v>37</v>
      </c>
    </row>
    <row r="335">
      <c r="A335" s="19">
        <v>0.8638888888888889</v>
      </c>
      <c r="B335" s="10" t="s">
        <v>333</v>
      </c>
      <c r="C335" s="35" t="s">
        <v>80</v>
      </c>
      <c r="D335" s="10" t="s">
        <v>154</v>
      </c>
      <c r="E335" s="11" t="s">
        <v>33</v>
      </c>
      <c r="G335" s="36"/>
    </row>
    <row r="336">
      <c r="A336" s="19">
        <v>0.8638888888888889</v>
      </c>
      <c r="B336" s="10" t="s">
        <v>335</v>
      </c>
      <c r="C336" s="35" t="s">
        <v>55</v>
      </c>
      <c r="D336" s="10" t="s">
        <v>334</v>
      </c>
      <c r="E336" s="11" t="s">
        <v>37</v>
      </c>
    </row>
    <row r="337">
      <c r="A337" s="19">
        <v>0.8743055555555556</v>
      </c>
      <c r="B337" s="10" t="s">
        <v>335</v>
      </c>
      <c r="C337" s="35" t="s">
        <v>217</v>
      </c>
      <c r="D337" s="10" t="s">
        <v>333</v>
      </c>
      <c r="E337" s="11" t="s">
        <v>33</v>
      </c>
    </row>
    <row r="338">
      <c r="A338" s="19">
        <v>0.8743055555555556</v>
      </c>
      <c r="B338" s="10" t="s">
        <v>334</v>
      </c>
      <c r="C338" s="35" t="s">
        <v>336</v>
      </c>
      <c r="D338" s="10" t="s">
        <v>332</v>
      </c>
      <c r="E338" s="11" t="s">
        <v>37</v>
      </c>
    </row>
    <row r="339">
      <c r="A339" s="19">
        <v>0.8847222222222222</v>
      </c>
      <c r="B339" s="10" t="s">
        <v>335</v>
      </c>
      <c r="C339" s="35" t="s">
        <v>16</v>
      </c>
      <c r="D339" s="10" t="s">
        <v>154</v>
      </c>
      <c r="E339" s="11" t="s">
        <v>33</v>
      </c>
    </row>
    <row r="340">
      <c r="A340" s="19">
        <v>0.8847222222222222</v>
      </c>
      <c r="B340" s="10" t="s">
        <v>332</v>
      </c>
      <c r="C340" s="35" t="s">
        <v>337</v>
      </c>
      <c r="D340" s="10" t="s">
        <v>333</v>
      </c>
      <c r="E340" s="11" t="s">
        <v>37</v>
      </c>
    </row>
    <row r="341">
      <c r="A341" s="19">
        <v>0.8944444444444445</v>
      </c>
      <c r="B341" s="10" t="s">
        <v>334</v>
      </c>
      <c r="C341" s="35" t="s">
        <v>338</v>
      </c>
      <c r="D341" s="10" t="s">
        <v>154</v>
      </c>
      <c r="E341" s="11" t="s">
        <v>33</v>
      </c>
    </row>
    <row r="342">
      <c r="A342" s="19">
        <v>0.8944444444444445</v>
      </c>
      <c r="B342" s="10" t="s">
        <v>332</v>
      </c>
      <c r="C342" s="35" t="s">
        <v>220</v>
      </c>
      <c r="D342" s="10" t="s">
        <v>335</v>
      </c>
      <c r="E342" s="11" t="s">
        <v>37</v>
      </c>
    </row>
    <row r="343">
      <c r="A343" s="19">
        <v>0.9048611111111111</v>
      </c>
      <c r="B343" s="10" t="s">
        <v>154</v>
      </c>
      <c r="C343" s="35" t="s">
        <v>62</v>
      </c>
      <c r="D343" s="10" t="s">
        <v>332</v>
      </c>
      <c r="E343" s="11" t="s">
        <v>33</v>
      </c>
    </row>
    <row r="344">
      <c r="A344" s="19">
        <v>0.9048611111111111</v>
      </c>
      <c r="B344" s="10" t="s">
        <v>334</v>
      </c>
      <c r="C344" s="35" t="s">
        <v>302</v>
      </c>
      <c r="D344" s="10" t="s">
        <v>333</v>
      </c>
      <c r="E344" s="11" t="s">
        <v>37</v>
      </c>
    </row>
    <row r="345">
      <c r="A345" s="19">
        <v>0.9152777777777777</v>
      </c>
      <c r="B345" s="10" t="s">
        <v>154</v>
      </c>
      <c r="C345" s="35" t="s">
        <v>65</v>
      </c>
      <c r="D345" s="10" t="s">
        <v>333</v>
      </c>
      <c r="E345" s="11" t="s">
        <v>33</v>
      </c>
    </row>
    <row r="346">
      <c r="A346" s="19">
        <v>0.9152777777777777</v>
      </c>
      <c r="B346" s="10" t="s">
        <v>334</v>
      </c>
      <c r="C346" s="35" t="s">
        <v>190</v>
      </c>
      <c r="D346" s="10" t="s">
        <v>335</v>
      </c>
      <c r="E346" s="11" t="s">
        <v>37</v>
      </c>
    </row>
    <row r="347">
      <c r="A347" s="19">
        <v>0.925</v>
      </c>
      <c r="B347" s="10" t="s">
        <v>333</v>
      </c>
      <c r="C347" s="35" t="s">
        <v>249</v>
      </c>
      <c r="D347" s="10" t="s">
        <v>335</v>
      </c>
      <c r="E347" s="11" t="s">
        <v>33</v>
      </c>
    </row>
    <row r="348">
      <c r="A348" s="19">
        <v>0.925</v>
      </c>
      <c r="B348" s="10" t="s">
        <v>332</v>
      </c>
      <c r="C348" s="35" t="s">
        <v>339</v>
      </c>
      <c r="D348" s="10" t="s">
        <v>334</v>
      </c>
      <c r="E348" s="11" t="s">
        <v>37</v>
      </c>
    </row>
    <row r="349">
      <c r="A349" s="19">
        <v>0.9354166666666667</v>
      </c>
      <c r="B349" s="10" t="s">
        <v>154</v>
      </c>
      <c r="C349" s="35" t="s">
        <v>285</v>
      </c>
      <c r="D349" s="10" t="s">
        <v>335</v>
      </c>
      <c r="E349" s="11" t="s">
        <v>33</v>
      </c>
    </row>
    <row r="350">
      <c r="A350" s="19">
        <v>0.9354166666666667</v>
      </c>
      <c r="B350" s="10" t="s">
        <v>333</v>
      </c>
      <c r="C350" s="35" t="s">
        <v>42</v>
      </c>
      <c r="D350" s="10" t="s">
        <v>332</v>
      </c>
      <c r="E350" s="11" t="s">
        <v>37</v>
      </c>
    </row>
    <row r="351">
      <c r="A351" s="19">
        <v>0.9458333333333333</v>
      </c>
      <c r="B351" s="10" t="s">
        <v>154</v>
      </c>
      <c r="C351" s="35" t="s">
        <v>340</v>
      </c>
      <c r="D351" s="10" t="s">
        <v>334</v>
      </c>
      <c r="E351" s="11" t="s">
        <v>33</v>
      </c>
    </row>
    <row r="352">
      <c r="A352" s="19">
        <v>0.9458333333333333</v>
      </c>
      <c r="B352" s="10" t="s">
        <v>335</v>
      </c>
      <c r="C352" s="35" t="s">
        <v>19</v>
      </c>
      <c r="D352" s="10" t="s">
        <v>332</v>
      </c>
      <c r="E352" s="11" t="s">
        <v>37</v>
      </c>
    </row>
    <row r="353">
      <c r="A353" s="27"/>
      <c r="B353" s="28" t="s">
        <v>156</v>
      </c>
      <c r="C353" s="2"/>
      <c r="D353" s="3"/>
      <c r="E353" s="29"/>
    </row>
    <row r="354">
      <c r="A354" s="18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9">
        <v>0.9583333333333334</v>
      </c>
      <c r="B355" s="10" t="s">
        <v>341</v>
      </c>
      <c r="C355" s="13" t="s">
        <v>66</v>
      </c>
      <c r="D355" s="10" t="s">
        <v>342</v>
      </c>
      <c r="E355" s="11" t="s">
        <v>9</v>
      </c>
    </row>
    <row r="356">
      <c r="A356" s="19">
        <v>0.9583333333333334</v>
      </c>
      <c r="B356" s="10" t="s">
        <v>343</v>
      </c>
      <c r="C356" s="13" t="s">
        <v>201</v>
      </c>
      <c r="D356" s="10" t="s">
        <v>344</v>
      </c>
      <c r="E356" s="11" t="s">
        <v>13</v>
      </c>
    </row>
    <row r="357">
      <c r="A357" s="19">
        <v>0.9680555555555556</v>
      </c>
      <c r="B357" s="10" t="s">
        <v>343</v>
      </c>
      <c r="C357" s="13" t="s">
        <v>24</v>
      </c>
      <c r="D357" s="10" t="s">
        <v>342</v>
      </c>
      <c r="E357" s="11" t="s">
        <v>9</v>
      </c>
    </row>
    <row r="358">
      <c r="A358" s="19">
        <v>0.9680555555555556</v>
      </c>
      <c r="B358" s="10" t="s">
        <v>345</v>
      </c>
      <c r="C358" s="13" t="s">
        <v>286</v>
      </c>
      <c r="D358" s="10" t="s">
        <v>344</v>
      </c>
      <c r="E358" s="11" t="s">
        <v>13</v>
      </c>
    </row>
    <row r="359">
      <c r="A359" s="19">
        <v>0.9784722222222222</v>
      </c>
      <c r="B359" s="10" t="s">
        <v>345</v>
      </c>
      <c r="C359" s="13" t="s">
        <v>251</v>
      </c>
      <c r="D359" s="10" t="s">
        <v>343</v>
      </c>
      <c r="E359" s="11" t="s">
        <v>9</v>
      </c>
    </row>
    <row r="360">
      <c r="A360" s="19">
        <v>0.9784722222222222</v>
      </c>
      <c r="B360" s="10" t="s">
        <v>344</v>
      </c>
      <c r="C360" s="13" t="s">
        <v>193</v>
      </c>
      <c r="D360" s="10" t="s">
        <v>341</v>
      </c>
      <c r="E360" s="11" t="s">
        <v>13</v>
      </c>
    </row>
    <row r="361">
      <c r="A361" s="19">
        <v>0.9888888888888889</v>
      </c>
      <c r="B361" s="10" t="s">
        <v>345</v>
      </c>
      <c r="C361" s="13" t="s">
        <v>201</v>
      </c>
      <c r="D361" s="10" t="s">
        <v>342</v>
      </c>
      <c r="E361" s="11" t="s">
        <v>9</v>
      </c>
    </row>
    <row r="362">
      <c r="A362" s="19">
        <v>0.9888888888888889</v>
      </c>
      <c r="B362" s="10" t="s">
        <v>341</v>
      </c>
      <c r="C362" s="13" t="s">
        <v>22</v>
      </c>
      <c r="D362" s="10" t="s">
        <v>343</v>
      </c>
      <c r="E362" s="11" t="s">
        <v>13</v>
      </c>
    </row>
    <row r="363">
      <c r="A363" s="19">
        <v>0.9986111111111111</v>
      </c>
      <c r="B363" s="10" t="s">
        <v>344</v>
      </c>
      <c r="C363" s="13" t="s">
        <v>81</v>
      </c>
      <c r="D363" s="10" t="s">
        <v>342</v>
      </c>
      <c r="E363" s="11" t="s">
        <v>9</v>
      </c>
    </row>
    <row r="364">
      <c r="A364" s="19">
        <v>0.9986111111111111</v>
      </c>
      <c r="B364" s="10" t="s">
        <v>341</v>
      </c>
      <c r="C364" s="13" t="s">
        <v>346</v>
      </c>
      <c r="D364" s="10" t="s">
        <v>345</v>
      </c>
      <c r="E364" s="11" t="s">
        <v>13</v>
      </c>
    </row>
    <row r="365">
      <c r="A365" s="19">
        <v>0.009027777777777777</v>
      </c>
      <c r="B365" s="10" t="s">
        <v>342</v>
      </c>
      <c r="C365" s="13" t="s">
        <v>68</v>
      </c>
      <c r="D365" s="10" t="s">
        <v>341</v>
      </c>
      <c r="E365" s="11" t="s">
        <v>9</v>
      </c>
    </row>
    <row r="366">
      <c r="A366" s="19">
        <v>0.009027777777777777</v>
      </c>
      <c r="B366" s="10" t="s">
        <v>344</v>
      </c>
      <c r="C366" s="13" t="s">
        <v>196</v>
      </c>
      <c r="D366" s="10" t="s">
        <v>343</v>
      </c>
      <c r="E366" s="11" t="s">
        <v>13</v>
      </c>
    </row>
    <row r="367">
      <c r="A367" s="19">
        <v>0.019444444444444445</v>
      </c>
      <c r="B367" s="10" t="s">
        <v>342</v>
      </c>
      <c r="C367" s="13" t="s">
        <v>286</v>
      </c>
      <c r="D367" s="10" t="s">
        <v>343</v>
      </c>
      <c r="E367" s="11" t="s">
        <v>9</v>
      </c>
    </row>
    <row r="368">
      <c r="A368" s="19">
        <v>0.019444444444444445</v>
      </c>
      <c r="B368" s="10" t="s">
        <v>344</v>
      </c>
      <c r="C368" s="13" t="s">
        <v>22</v>
      </c>
      <c r="D368" s="10" t="s">
        <v>345</v>
      </c>
      <c r="E368" s="11" t="s">
        <v>13</v>
      </c>
    </row>
    <row r="369">
      <c r="A369" s="19">
        <v>0.029166666666666667</v>
      </c>
      <c r="B369" s="10" t="s">
        <v>343</v>
      </c>
      <c r="C369" s="13" t="s">
        <v>195</v>
      </c>
      <c r="D369" s="10" t="s">
        <v>345</v>
      </c>
      <c r="E369" s="11" t="s">
        <v>9</v>
      </c>
    </row>
    <row r="370">
      <c r="A370" s="19">
        <v>0.029166666666666667</v>
      </c>
      <c r="B370" s="10" t="s">
        <v>341</v>
      </c>
      <c r="C370" s="13" t="s">
        <v>43</v>
      </c>
      <c r="D370" s="10" t="s">
        <v>344</v>
      </c>
      <c r="E370" s="11" t="s">
        <v>13</v>
      </c>
    </row>
    <row r="371">
      <c r="A371" s="19">
        <v>0.03958333333333333</v>
      </c>
      <c r="B371" s="10" t="s">
        <v>342</v>
      </c>
      <c r="C371" s="13" t="s">
        <v>87</v>
      </c>
      <c r="D371" s="10" t="s">
        <v>345</v>
      </c>
      <c r="E371" s="11" t="s">
        <v>9</v>
      </c>
    </row>
    <row r="372">
      <c r="A372" s="19">
        <v>0.03958333333333333</v>
      </c>
      <c r="B372" s="10" t="s">
        <v>343</v>
      </c>
      <c r="C372" s="13" t="s">
        <v>28</v>
      </c>
      <c r="D372" s="10" t="s">
        <v>341</v>
      </c>
      <c r="E372" s="11" t="s">
        <v>13</v>
      </c>
    </row>
    <row r="373">
      <c r="A373" s="19">
        <v>0.05</v>
      </c>
      <c r="B373" s="10" t="s">
        <v>342</v>
      </c>
      <c r="C373" s="13" t="s">
        <v>249</v>
      </c>
      <c r="D373" s="10" t="s">
        <v>344</v>
      </c>
      <c r="E373" s="11" t="s">
        <v>9</v>
      </c>
    </row>
    <row r="374">
      <c r="A374" s="19">
        <v>0.05</v>
      </c>
      <c r="B374" s="10" t="s">
        <v>345</v>
      </c>
      <c r="C374" s="13" t="s">
        <v>16</v>
      </c>
      <c r="D374" s="10" t="s">
        <v>341</v>
      </c>
      <c r="E374" s="11" t="s">
        <v>13</v>
      </c>
    </row>
    <row r="375">
      <c r="B375" s="28" t="s">
        <v>156</v>
      </c>
      <c r="C375" s="2"/>
      <c r="D375" s="3"/>
      <c r="E375" s="29"/>
    </row>
    <row r="376">
      <c r="A376" s="18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9">
        <v>0.9583333333333334</v>
      </c>
      <c r="B377" s="10" t="s">
        <v>347</v>
      </c>
      <c r="C377" s="13" t="s">
        <v>22</v>
      </c>
      <c r="D377" s="10" t="s">
        <v>348</v>
      </c>
      <c r="E377" s="11" t="s">
        <v>33</v>
      </c>
    </row>
    <row r="378">
      <c r="A378" s="19">
        <v>0.9583333333333334</v>
      </c>
      <c r="B378" s="10" t="s">
        <v>34</v>
      </c>
      <c r="C378" s="13" t="s">
        <v>215</v>
      </c>
      <c r="D378" s="10" t="s">
        <v>349</v>
      </c>
      <c r="E378" s="11" t="s">
        <v>37</v>
      </c>
    </row>
    <row r="379">
      <c r="A379" s="19">
        <v>0.9680555555555556</v>
      </c>
      <c r="B379" s="10" t="s">
        <v>34</v>
      </c>
      <c r="C379" s="13" t="s">
        <v>196</v>
      </c>
      <c r="D379" s="10" t="s">
        <v>348</v>
      </c>
      <c r="E379" s="11" t="s">
        <v>33</v>
      </c>
    </row>
    <row r="380">
      <c r="A380" s="19">
        <v>0.9680555555555556</v>
      </c>
      <c r="B380" s="10" t="s">
        <v>350</v>
      </c>
      <c r="C380" s="13" t="s">
        <v>240</v>
      </c>
      <c r="D380" s="10" t="s">
        <v>349</v>
      </c>
      <c r="E380" s="11" t="s">
        <v>37</v>
      </c>
    </row>
    <row r="381">
      <c r="A381" s="19">
        <v>0.9784722222222222</v>
      </c>
      <c r="B381" s="10" t="s">
        <v>350</v>
      </c>
      <c r="C381" s="13" t="s">
        <v>52</v>
      </c>
      <c r="D381" s="10" t="s">
        <v>34</v>
      </c>
      <c r="E381" s="11" t="s">
        <v>33</v>
      </c>
    </row>
    <row r="382">
      <c r="A382" s="19">
        <v>0.9784722222222222</v>
      </c>
      <c r="B382" s="10" t="s">
        <v>349</v>
      </c>
      <c r="C382" s="13" t="s">
        <v>331</v>
      </c>
      <c r="D382" s="10" t="s">
        <v>347</v>
      </c>
      <c r="E382" s="11" t="s">
        <v>37</v>
      </c>
    </row>
    <row r="383">
      <c r="A383" s="19">
        <v>0.9888888888888889</v>
      </c>
      <c r="B383" s="10" t="s">
        <v>350</v>
      </c>
      <c r="C383" s="13" t="s">
        <v>351</v>
      </c>
      <c r="D383" s="10" t="s">
        <v>348</v>
      </c>
      <c r="E383" s="11" t="s">
        <v>33</v>
      </c>
    </row>
    <row r="384">
      <c r="A384" s="19">
        <v>0.9888888888888889</v>
      </c>
      <c r="B384" s="10" t="s">
        <v>347</v>
      </c>
      <c r="C384" s="13" t="s">
        <v>43</v>
      </c>
      <c r="D384" s="10" t="s">
        <v>34</v>
      </c>
      <c r="E384" s="11" t="s">
        <v>37</v>
      </c>
    </row>
    <row r="385">
      <c r="A385" s="19">
        <v>0.9986111111111111</v>
      </c>
      <c r="B385" s="10" t="s">
        <v>349</v>
      </c>
      <c r="C385" s="13" t="s">
        <v>45</v>
      </c>
      <c r="D385" s="10" t="s">
        <v>348</v>
      </c>
      <c r="E385" s="11" t="s">
        <v>33</v>
      </c>
    </row>
    <row r="386">
      <c r="A386" s="19">
        <v>0.9986111111111111</v>
      </c>
      <c r="B386" s="10" t="s">
        <v>347</v>
      </c>
      <c r="C386" s="13" t="s">
        <v>78</v>
      </c>
      <c r="D386" s="10" t="s">
        <v>350</v>
      </c>
      <c r="E386" s="11" t="s">
        <v>37</v>
      </c>
    </row>
    <row r="387">
      <c r="A387" s="19">
        <v>0.009027777777777777</v>
      </c>
      <c r="B387" s="10" t="s">
        <v>348</v>
      </c>
      <c r="C387" s="13" t="s">
        <v>16</v>
      </c>
      <c r="D387" s="10" t="s">
        <v>347</v>
      </c>
      <c r="E387" s="11" t="s">
        <v>33</v>
      </c>
    </row>
    <row r="388">
      <c r="A388" s="19">
        <v>0.009027777777777777</v>
      </c>
      <c r="B388" s="10" t="s">
        <v>349</v>
      </c>
      <c r="C388" s="13" t="s">
        <v>352</v>
      </c>
      <c r="D388" s="10" t="s">
        <v>34</v>
      </c>
      <c r="E388" s="11" t="s">
        <v>37</v>
      </c>
    </row>
    <row r="389">
      <c r="A389" s="19">
        <v>0.019444444444444445</v>
      </c>
      <c r="B389" s="10" t="s">
        <v>348</v>
      </c>
      <c r="C389" s="13" t="s">
        <v>353</v>
      </c>
      <c r="D389" s="10" t="s">
        <v>34</v>
      </c>
      <c r="E389" s="11" t="s">
        <v>33</v>
      </c>
    </row>
    <row r="390">
      <c r="A390" s="19">
        <v>0.019444444444444445</v>
      </c>
      <c r="B390" s="10" t="s">
        <v>349</v>
      </c>
      <c r="C390" s="13" t="s">
        <v>17</v>
      </c>
      <c r="D390" s="10" t="s">
        <v>350</v>
      </c>
      <c r="E390" s="11" t="s">
        <v>37</v>
      </c>
    </row>
    <row r="391">
      <c r="A391" s="19">
        <v>0.029166666666666667</v>
      </c>
      <c r="B391" s="10" t="s">
        <v>34</v>
      </c>
      <c r="C391" s="13" t="s">
        <v>19</v>
      </c>
      <c r="D391" s="10" t="s">
        <v>350</v>
      </c>
      <c r="E391" s="11" t="s">
        <v>33</v>
      </c>
    </row>
    <row r="392">
      <c r="A392" s="19">
        <v>0.029166666666666667</v>
      </c>
      <c r="B392" s="10" t="s">
        <v>347</v>
      </c>
      <c r="C392" s="13" t="s">
        <v>64</v>
      </c>
      <c r="D392" s="10" t="s">
        <v>349</v>
      </c>
      <c r="E392" s="11" t="s">
        <v>37</v>
      </c>
    </row>
    <row r="393">
      <c r="A393" s="19">
        <v>0.03958333333333333</v>
      </c>
      <c r="B393" s="10" t="s">
        <v>348</v>
      </c>
      <c r="C393" s="13" t="s">
        <v>354</v>
      </c>
      <c r="D393" s="10" t="s">
        <v>350</v>
      </c>
      <c r="E393" s="11" t="s">
        <v>33</v>
      </c>
    </row>
    <row r="394">
      <c r="A394" s="19">
        <v>0.03958333333333333</v>
      </c>
      <c r="B394" s="10" t="s">
        <v>34</v>
      </c>
      <c r="C394" s="13" t="s">
        <v>190</v>
      </c>
      <c r="D394" s="10" t="s">
        <v>347</v>
      </c>
      <c r="E394" s="11" t="s">
        <v>37</v>
      </c>
    </row>
    <row r="395">
      <c r="A395" s="19">
        <v>0.05</v>
      </c>
      <c r="B395" s="10" t="s">
        <v>348</v>
      </c>
      <c r="C395" s="13" t="s">
        <v>355</v>
      </c>
      <c r="D395" s="10" t="s">
        <v>349</v>
      </c>
      <c r="E395" s="11" t="s">
        <v>33</v>
      </c>
    </row>
    <row r="396">
      <c r="A396" s="19">
        <v>0.05</v>
      </c>
      <c r="B396" s="10" t="s">
        <v>350</v>
      </c>
      <c r="C396" s="13" t="s">
        <v>72</v>
      </c>
      <c r="D396" s="10" t="s">
        <v>347</v>
      </c>
      <c r="E396" s="11" t="s">
        <v>37</v>
      </c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3"/>
    <hyperlink r:id="rId165" ref="E185"/>
    <hyperlink r:id="rId166" ref="E187"/>
    <hyperlink r:id="rId167" ref="E189"/>
    <hyperlink r:id="rId168" ref="E191"/>
    <hyperlink r:id="rId169" ref="E193"/>
    <hyperlink r:id="rId170" ref="E195"/>
    <hyperlink r:id="rId171" ref="E197"/>
    <hyperlink r:id="rId172" ref="E201"/>
    <hyperlink r:id="rId173" ref="E202"/>
    <hyperlink r:id="rId174" ref="E203"/>
    <hyperlink r:id="rId175" ref="E204"/>
    <hyperlink r:id="rId176" ref="E205"/>
    <hyperlink r:id="rId177" ref="E206"/>
    <hyperlink r:id="rId178" ref="E207"/>
    <hyperlink r:id="rId179" ref="E208"/>
    <hyperlink r:id="rId180" ref="E209"/>
    <hyperlink r:id="rId181" ref="E210"/>
    <hyperlink r:id="rId182" ref="E211"/>
    <hyperlink r:id="rId183" ref="E212"/>
    <hyperlink r:id="rId184" ref="E213"/>
    <hyperlink r:id="rId185" ref="E214"/>
    <hyperlink r:id="rId186" ref="E215"/>
    <hyperlink r:id="rId187" ref="E216"/>
    <hyperlink r:id="rId188" ref="E217"/>
    <hyperlink r:id="rId189" ref="E218"/>
    <hyperlink r:id="rId190" ref="E219"/>
    <hyperlink r:id="rId191" ref="E220"/>
    <hyperlink r:id="rId192" ref="E223"/>
    <hyperlink r:id="rId193" ref="E224"/>
    <hyperlink r:id="rId194" ref="E225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6"/>
    <hyperlink r:id="rId214" ref="E247"/>
    <hyperlink r:id="rId215" ref="E248"/>
    <hyperlink r:id="rId216" ref="E249"/>
    <hyperlink r:id="rId217" ref="E250"/>
    <hyperlink r:id="rId218" ref="E251"/>
    <hyperlink r:id="rId219" ref="E252"/>
    <hyperlink r:id="rId220" ref="E253"/>
    <hyperlink r:id="rId221" ref="E254"/>
    <hyperlink r:id="rId222" ref="E255"/>
    <hyperlink r:id="rId223" ref="E256"/>
    <hyperlink r:id="rId224" ref="E257"/>
    <hyperlink r:id="rId225" ref="E258"/>
    <hyperlink r:id="rId226" ref="E259"/>
    <hyperlink r:id="rId227" ref="E260"/>
    <hyperlink r:id="rId228" ref="E261"/>
    <hyperlink r:id="rId229" ref="E262"/>
    <hyperlink r:id="rId230" ref="E263"/>
    <hyperlink r:id="rId231" ref="E264"/>
    <hyperlink r:id="rId232" ref="E267"/>
    <hyperlink r:id="rId233" ref="E268"/>
    <hyperlink r:id="rId234" ref="E269"/>
    <hyperlink r:id="rId235" ref="E270"/>
    <hyperlink r:id="rId236" ref="E271"/>
    <hyperlink r:id="rId237" ref="E272"/>
    <hyperlink r:id="rId238" ref="E273"/>
    <hyperlink r:id="rId239" ref="E274"/>
    <hyperlink r:id="rId240" ref="E275"/>
    <hyperlink r:id="rId241" ref="E276"/>
    <hyperlink r:id="rId242" ref="E277"/>
    <hyperlink r:id="rId243" ref="E278"/>
    <hyperlink r:id="rId244" ref="E279"/>
    <hyperlink r:id="rId245" ref="E280"/>
    <hyperlink r:id="rId246" ref="E281"/>
    <hyperlink r:id="rId247" ref="E282"/>
    <hyperlink r:id="rId248" ref="E283"/>
    <hyperlink r:id="rId249" ref="E284"/>
    <hyperlink r:id="rId250" ref="E285"/>
    <hyperlink r:id="rId251" ref="E286"/>
    <hyperlink r:id="rId252" ref="E289"/>
    <hyperlink r:id="rId253" ref="E290"/>
    <hyperlink r:id="rId254" ref="E291"/>
    <hyperlink r:id="rId255" ref="E292"/>
    <hyperlink r:id="rId256" ref="E293"/>
    <hyperlink r:id="rId257" ref="E294"/>
    <hyperlink r:id="rId258" ref="E295"/>
    <hyperlink r:id="rId259" ref="E296"/>
    <hyperlink r:id="rId260" ref="E297"/>
    <hyperlink r:id="rId261" ref="E298"/>
    <hyperlink r:id="rId262" ref="E299"/>
    <hyperlink r:id="rId263" ref="E300"/>
    <hyperlink r:id="rId264" ref="E301"/>
    <hyperlink r:id="rId265" ref="E302"/>
    <hyperlink r:id="rId266" ref="E303"/>
    <hyperlink r:id="rId267" ref="E304"/>
    <hyperlink r:id="rId268" ref="E305"/>
    <hyperlink r:id="rId269" ref="E306"/>
    <hyperlink r:id="rId270" ref="E307"/>
    <hyperlink r:id="rId271" ref="E308"/>
    <hyperlink r:id="rId272" ref="E311"/>
    <hyperlink r:id="rId273" ref="E312"/>
    <hyperlink r:id="rId274" ref="E313"/>
    <hyperlink r:id="rId275" ref="E314"/>
    <hyperlink r:id="rId276" ref="E315"/>
    <hyperlink r:id="rId277" ref="E316"/>
    <hyperlink r:id="rId278" ref="E317"/>
    <hyperlink r:id="rId279" ref="E318"/>
    <hyperlink r:id="rId280" ref="E319"/>
    <hyperlink r:id="rId281" ref="E320"/>
    <hyperlink r:id="rId282" ref="E321"/>
    <hyperlink r:id="rId283" ref="E322"/>
    <hyperlink r:id="rId284" ref="E323"/>
    <hyperlink r:id="rId285" ref="E324"/>
    <hyperlink r:id="rId286" ref="E325"/>
    <hyperlink r:id="rId287" ref="E326"/>
    <hyperlink r:id="rId288" ref="E327"/>
    <hyperlink r:id="rId289" ref="E328"/>
    <hyperlink r:id="rId290" ref="E329"/>
    <hyperlink r:id="rId291" ref="E330"/>
    <hyperlink r:id="rId292" ref="E333"/>
    <hyperlink r:id="rId293" ref="E334"/>
    <hyperlink r:id="rId294" ref="E335"/>
    <hyperlink r:id="rId295" ref="E336"/>
    <hyperlink r:id="rId296" ref="E337"/>
    <hyperlink r:id="rId297" ref="E338"/>
    <hyperlink r:id="rId298" ref="E339"/>
    <hyperlink r:id="rId299" ref="E340"/>
    <hyperlink r:id="rId300" ref="E341"/>
    <hyperlink r:id="rId301" ref="E342"/>
    <hyperlink r:id="rId302" ref="E343"/>
    <hyperlink r:id="rId303" ref="E344"/>
    <hyperlink r:id="rId304" ref="E345"/>
    <hyperlink r:id="rId305" ref="E346"/>
    <hyperlink r:id="rId306" ref="E347"/>
    <hyperlink r:id="rId307" ref="E348"/>
    <hyperlink r:id="rId308" ref="E349"/>
    <hyperlink r:id="rId309" ref="E350"/>
    <hyperlink r:id="rId310" ref="E351"/>
    <hyperlink r:id="rId311" ref="E352"/>
    <hyperlink r:id="rId312" ref="E355"/>
    <hyperlink r:id="rId313" ref="E356"/>
    <hyperlink r:id="rId314" ref="E357"/>
    <hyperlink r:id="rId315" ref="E358"/>
    <hyperlink r:id="rId316" ref="E359"/>
    <hyperlink r:id="rId317" ref="E360"/>
    <hyperlink r:id="rId318" ref="E361"/>
    <hyperlink r:id="rId319" ref="E362"/>
    <hyperlink r:id="rId320" ref="E363"/>
    <hyperlink r:id="rId321" ref="E364"/>
    <hyperlink r:id="rId322" ref="E365"/>
    <hyperlink r:id="rId323" ref="E366"/>
    <hyperlink r:id="rId324" ref="E367"/>
    <hyperlink r:id="rId325" ref="E368"/>
    <hyperlink r:id="rId326" ref="E369"/>
    <hyperlink r:id="rId327" ref="E370"/>
    <hyperlink r:id="rId328" ref="E371"/>
    <hyperlink r:id="rId329" ref="E372"/>
    <hyperlink r:id="rId330" ref="E373"/>
    <hyperlink r:id="rId331" ref="E374"/>
    <hyperlink r:id="rId332" ref="E377"/>
    <hyperlink r:id="rId333" ref="E378"/>
    <hyperlink r:id="rId334" ref="E379"/>
    <hyperlink r:id="rId335" ref="E380"/>
    <hyperlink r:id="rId336" ref="E381"/>
    <hyperlink r:id="rId337" ref="E382"/>
    <hyperlink r:id="rId338" ref="E383"/>
    <hyperlink r:id="rId339" ref="E384"/>
    <hyperlink r:id="rId340" ref="E385"/>
    <hyperlink r:id="rId341" ref="E386"/>
    <hyperlink r:id="rId342" ref="E387"/>
    <hyperlink r:id="rId343" ref="E388"/>
    <hyperlink r:id="rId344" ref="E389"/>
    <hyperlink r:id="rId345" ref="E390"/>
    <hyperlink r:id="rId346" ref="E391"/>
    <hyperlink r:id="rId347" ref="E392"/>
    <hyperlink r:id="rId348" ref="E393"/>
    <hyperlink r:id="rId349" ref="E394"/>
    <hyperlink r:id="rId350" ref="E395"/>
    <hyperlink r:id="rId351" ref="E396"/>
  </hyperlinks>
  <drawing r:id="rId35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8.0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32" t="s">
        <v>356</v>
      </c>
      <c r="C3" s="33" t="s">
        <v>357</v>
      </c>
      <c r="D3" s="34" t="s">
        <v>358</v>
      </c>
      <c r="E3" s="11" t="s">
        <v>9</v>
      </c>
    </row>
    <row r="4">
      <c r="A4" s="7">
        <v>0.0625</v>
      </c>
      <c r="B4" s="32" t="s">
        <v>359</v>
      </c>
      <c r="C4" s="33" t="s">
        <v>190</v>
      </c>
      <c r="D4" s="32" t="s">
        <v>360</v>
      </c>
      <c r="E4" s="11" t="s">
        <v>13</v>
      </c>
    </row>
    <row r="5">
      <c r="A5" s="7">
        <v>0.07222222222222222</v>
      </c>
      <c r="B5" s="34" t="s">
        <v>359</v>
      </c>
      <c r="C5" s="33" t="s">
        <v>14</v>
      </c>
      <c r="D5" s="32" t="s">
        <v>358</v>
      </c>
      <c r="E5" s="11" t="s">
        <v>9</v>
      </c>
    </row>
    <row r="6">
      <c r="A6" s="7">
        <v>0.07222222222222222</v>
      </c>
      <c r="B6" s="32" t="s">
        <v>361</v>
      </c>
      <c r="C6" s="33" t="s">
        <v>16</v>
      </c>
      <c r="D6" s="34" t="s">
        <v>360</v>
      </c>
      <c r="E6" s="11" t="s">
        <v>13</v>
      </c>
    </row>
    <row r="7">
      <c r="A7" s="7">
        <v>0.08263888888888889</v>
      </c>
      <c r="B7" s="34" t="s">
        <v>361</v>
      </c>
      <c r="C7" s="33" t="s">
        <v>16</v>
      </c>
      <c r="D7" s="32" t="s">
        <v>359</v>
      </c>
      <c r="E7" s="11" t="s">
        <v>9</v>
      </c>
    </row>
    <row r="8">
      <c r="A8" s="7">
        <v>0.08263888888888889</v>
      </c>
      <c r="B8" s="32" t="s">
        <v>360</v>
      </c>
      <c r="C8" s="33" t="s">
        <v>20</v>
      </c>
      <c r="D8" s="32" t="s">
        <v>356</v>
      </c>
      <c r="E8" s="11" t="s">
        <v>13</v>
      </c>
    </row>
    <row r="9">
      <c r="A9" s="7">
        <v>0.09305555555555556</v>
      </c>
      <c r="B9" s="34" t="s">
        <v>361</v>
      </c>
      <c r="C9" s="33" t="s">
        <v>239</v>
      </c>
      <c r="D9" s="34" t="s">
        <v>358</v>
      </c>
      <c r="E9" s="11" t="s">
        <v>9</v>
      </c>
    </row>
    <row r="10">
      <c r="A10" s="7">
        <v>0.09305555555555556</v>
      </c>
      <c r="B10" s="32" t="s">
        <v>356</v>
      </c>
      <c r="C10" s="33" t="s">
        <v>362</v>
      </c>
      <c r="D10" s="32" t="s">
        <v>359</v>
      </c>
      <c r="E10" s="11" t="s">
        <v>13</v>
      </c>
    </row>
    <row r="11">
      <c r="A11" s="7">
        <v>0.10277777777777777</v>
      </c>
      <c r="B11" s="34" t="s">
        <v>360</v>
      </c>
      <c r="C11" s="33" t="s">
        <v>217</v>
      </c>
      <c r="D11" s="32" t="s">
        <v>358</v>
      </c>
      <c r="E11" s="11" t="s">
        <v>9</v>
      </c>
    </row>
    <row r="12">
      <c r="A12" s="7">
        <v>0.10277777777777777</v>
      </c>
      <c r="B12" s="32" t="s">
        <v>356</v>
      </c>
      <c r="C12" s="33" t="s">
        <v>18</v>
      </c>
      <c r="D12" s="34" t="s">
        <v>361</v>
      </c>
      <c r="E12" s="11" t="s">
        <v>13</v>
      </c>
    </row>
    <row r="13">
      <c r="A13" s="7">
        <v>0.11319444444444444</v>
      </c>
      <c r="B13" s="34" t="s">
        <v>358</v>
      </c>
      <c r="C13" s="33" t="s">
        <v>218</v>
      </c>
      <c r="D13" s="32" t="s">
        <v>356</v>
      </c>
      <c r="E13" s="11" t="s">
        <v>9</v>
      </c>
    </row>
    <row r="14">
      <c r="A14" s="7">
        <v>0.11319444444444444</v>
      </c>
      <c r="B14" s="32" t="s">
        <v>360</v>
      </c>
      <c r="C14" s="33" t="s">
        <v>22</v>
      </c>
      <c r="D14" s="32" t="s">
        <v>359</v>
      </c>
      <c r="E14" s="11" t="s">
        <v>13</v>
      </c>
    </row>
    <row r="15">
      <c r="A15" s="7">
        <v>0.12361111111111112</v>
      </c>
      <c r="B15" s="32" t="s">
        <v>358</v>
      </c>
      <c r="C15" s="35" t="s">
        <v>38</v>
      </c>
      <c r="D15" s="34" t="s">
        <v>359</v>
      </c>
      <c r="E15" s="11" t="s">
        <v>9</v>
      </c>
    </row>
    <row r="16">
      <c r="A16" s="7">
        <v>0.12361111111111112</v>
      </c>
      <c r="B16" s="34" t="s">
        <v>360</v>
      </c>
      <c r="C16" s="35" t="s">
        <v>250</v>
      </c>
      <c r="D16" s="32" t="s">
        <v>361</v>
      </c>
      <c r="E16" s="11" t="s">
        <v>13</v>
      </c>
    </row>
    <row r="17">
      <c r="A17" s="7">
        <v>0.13333333333333333</v>
      </c>
      <c r="B17" s="32" t="s">
        <v>359</v>
      </c>
      <c r="C17" s="35" t="s">
        <v>48</v>
      </c>
      <c r="D17" s="34" t="s">
        <v>361</v>
      </c>
      <c r="E17" s="11" t="s">
        <v>9</v>
      </c>
    </row>
    <row r="18">
      <c r="A18" s="7">
        <v>0.13333333333333333</v>
      </c>
      <c r="B18" s="32" t="s">
        <v>356</v>
      </c>
      <c r="C18" s="35" t="s">
        <v>41</v>
      </c>
      <c r="D18" s="32" t="s">
        <v>360</v>
      </c>
      <c r="E18" s="11" t="s">
        <v>13</v>
      </c>
    </row>
    <row r="19">
      <c r="A19" s="7">
        <v>0.14375</v>
      </c>
      <c r="B19" s="34" t="s">
        <v>358</v>
      </c>
      <c r="C19" s="35" t="s">
        <v>363</v>
      </c>
      <c r="D19" s="34" t="s">
        <v>361</v>
      </c>
      <c r="E19" s="11" t="s">
        <v>9</v>
      </c>
    </row>
    <row r="20">
      <c r="A20" s="7">
        <v>0.14375</v>
      </c>
      <c r="B20" s="32" t="s">
        <v>359</v>
      </c>
      <c r="C20" s="35" t="s">
        <v>81</v>
      </c>
      <c r="D20" s="32" t="s">
        <v>356</v>
      </c>
      <c r="E20" s="11" t="s">
        <v>13</v>
      </c>
    </row>
    <row r="21">
      <c r="A21" s="7">
        <v>0.15416666666666667</v>
      </c>
      <c r="B21" s="32" t="s">
        <v>358</v>
      </c>
      <c r="C21" s="35" t="s">
        <v>218</v>
      </c>
      <c r="D21" s="34" t="s">
        <v>360</v>
      </c>
      <c r="E21" s="11" t="s">
        <v>9</v>
      </c>
    </row>
    <row r="22">
      <c r="A22" s="7">
        <v>0.15416666666666667</v>
      </c>
      <c r="B22" s="34" t="s">
        <v>361</v>
      </c>
      <c r="C22" s="35" t="s">
        <v>190</v>
      </c>
      <c r="D22" s="32" t="s">
        <v>356</v>
      </c>
      <c r="E22" s="11" t="s">
        <v>13</v>
      </c>
    </row>
    <row r="23">
      <c r="A23" s="1"/>
      <c r="B23" s="1" t="s">
        <v>29</v>
      </c>
      <c r="C23" s="2"/>
      <c r="D23" s="3"/>
      <c r="E23" s="14"/>
    </row>
    <row r="24">
      <c r="A24" s="15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32" t="s">
        <v>364</v>
      </c>
      <c r="C25" s="35" t="s">
        <v>365</v>
      </c>
      <c r="D25" s="32" t="s">
        <v>366</v>
      </c>
      <c r="E25" s="11" t="s">
        <v>33</v>
      </c>
    </row>
    <row r="26">
      <c r="A26" s="7">
        <v>0.0625</v>
      </c>
      <c r="B26" s="32" t="s">
        <v>200</v>
      </c>
      <c r="C26" s="35" t="s">
        <v>17</v>
      </c>
      <c r="D26" s="32" t="s">
        <v>367</v>
      </c>
      <c r="E26" s="11" t="s">
        <v>37</v>
      </c>
    </row>
    <row r="27">
      <c r="A27" s="7">
        <v>0.07222222222222222</v>
      </c>
      <c r="B27" s="34" t="s">
        <v>200</v>
      </c>
      <c r="C27" s="35" t="s">
        <v>87</v>
      </c>
      <c r="D27" s="34" t="s">
        <v>366</v>
      </c>
      <c r="E27" s="11" t="s">
        <v>33</v>
      </c>
    </row>
    <row r="28">
      <c r="A28" s="7">
        <v>0.07222222222222222</v>
      </c>
      <c r="B28" s="32" t="s">
        <v>368</v>
      </c>
      <c r="C28" s="35" t="s">
        <v>87</v>
      </c>
      <c r="D28" s="32" t="s">
        <v>367</v>
      </c>
      <c r="E28" s="11" t="s">
        <v>37</v>
      </c>
    </row>
    <row r="29">
      <c r="A29" s="7">
        <v>0.08263888888888889</v>
      </c>
      <c r="B29" s="34" t="s">
        <v>368</v>
      </c>
      <c r="C29" s="35" t="s">
        <v>70</v>
      </c>
      <c r="D29" s="32" t="s">
        <v>200</v>
      </c>
      <c r="E29" s="11" t="s">
        <v>33</v>
      </c>
    </row>
    <row r="30">
      <c r="A30" s="7">
        <v>0.08263888888888889</v>
      </c>
      <c r="B30" s="32" t="s">
        <v>367</v>
      </c>
      <c r="C30" s="35" t="s">
        <v>35</v>
      </c>
      <c r="D30" s="32" t="s">
        <v>364</v>
      </c>
      <c r="E30" s="11" t="s">
        <v>37</v>
      </c>
    </row>
    <row r="31">
      <c r="A31" s="7">
        <v>0.09305555555555556</v>
      </c>
      <c r="B31" s="34" t="s">
        <v>368</v>
      </c>
      <c r="C31" s="35" t="s">
        <v>87</v>
      </c>
      <c r="D31" s="32" t="s">
        <v>366</v>
      </c>
      <c r="E31" s="11" t="s">
        <v>33</v>
      </c>
    </row>
    <row r="32">
      <c r="A32" s="7">
        <v>0.09305555555555556</v>
      </c>
      <c r="B32" s="32" t="s">
        <v>364</v>
      </c>
      <c r="C32" s="35" t="s">
        <v>27</v>
      </c>
      <c r="D32" s="34" t="s">
        <v>200</v>
      </c>
      <c r="E32" s="11" t="s">
        <v>37</v>
      </c>
    </row>
    <row r="33">
      <c r="A33" s="7">
        <v>0.10277777777777777</v>
      </c>
      <c r="B33" s="32" t="s">
        <v>367</v>
      </c>
      <c r="C33" s="35" t="s">
        <v>369</v>
      </c>
      <c r="D33" s="32" t="s">
        <v>366</v>
      </c>
      <c r="E33" s="11" t="s">
        <v>33</v>
      </c>
    </row>
    <row r="34">
      <c r="A34" s="7">
        <v>0.10277777777777777</v>
      </c>
      <c r="B34" s="32" t="s">
        <v>364</v>
      </c>
      <c r="C34" s="35" t="s">
        <v>351</v>
      </c>
      <c r="D34" s="32" t="s">
        <v>368</v>
      </c>
      <c r="E34" s="11" t="s">
        <v>37</v>
      </c>
    </row>
    <row r="35">
      <c r="A35" s="7">
        <v>0.11319444444444444</v>
      </c>
      <c r="B35" s="32" t="s">
        <v>366</v>
      </c>
      <c r="C35" s="35" t="s">
        <v>197</v>
      </c>
      <c r="D35" s="32" t="s">
        <v>364</v>
      </c>
      <c r="E35" s="11" t="s">
        <v>33</v>
      </c>
    </row>
    <row r="36">
      <c r="A36" s="7">
        <v>0.11319444444444444</v>
      </c>
      <c r="B36" s="32" t="s">
        <v>367</v>
      </c>
      <c r="C36" s="35" t="s">
        <v>201</v>
      </c>
      <c r="D36" s="32" t="s">
        <v>200</v>
      </c>
      <c r="E36" s="11" t="s">
        <v>37</v>
      </c>
    </row>
    <row r="37">
      <c r="A37" s="7">
        <v>0.12361111111111112</v>
      </c>
      <c r="B37" s="34" t="s">
        <v>366</v>
      </c>
      <c r="C37" s="35" t="s">
        <v>68</v>
      </c>
      <c r="D37" s="34" t="s">
        <v>200</v>
      </c>
      <c r="E37" s="11" t="s">
        <v>33</v>
      </c>
    </row>
    <row r="38">
      <c r="A38" s="7">
        <v>0.12361111111111112</v>
      </c>
      <c r="B38" s="32" t="s">
        <v>367</v>
      </c>
      <c r="C38" s="35" t="s">
        <v>25</v>
      </c>
      <c r="D38" s="32" t="s">
        <v>368</v>
      </c>
      <c r="E38" s="11" t="s">
        <v>37</v>
      </c>
    </row>
    <row r="39">
      <c r="A39" s="7">
        <v>0.13333333333333333</v>
      </c>
      <c r="B39" s="32" t="s">
        <v>200</v>
      </c>
      <c r="C39" s="35" t="s">
        <v>370</v>
      </c>
      <c r="D39" s="34" t="s">
        <v>368</v>
      </c>
      <c r="E39" s="11" t="s">
        <v>33</v>
      </c>
    </row>
    <row r="40">
      <c r="A40" s="7">
        <v>0.13333333333333333</v>
      </c>
      <c r="B40" s="32" t="s">
        <v>364</v>
      </c>
      <c r="C40" s="35" t="s">
        <v>23</v>
      </c>
      <c r="D40" s="32" t="s">
        <v>367</v>
      </c>
      <c r="E40" s="11" t="s">
        <v>37</v>
      </c>
    </row>
    <row r="41">
      <c r="A41" s="7">
        <v>0.14375</v>
      </c>
      <c r="B41" s="32" t="s">
        <v>366</v>
      </c>
      <c r="C41" s="35" t="s">
        <v>218</v>
      </c>
      <c r="D41" s="34" t="s">
        <v>368</v>
      </c>
      <c r="E41" s="11" t="s">
        <v>33</v>
      </c>
    </row>
    <row r="42">
      <c r="A42" s="7">
        <v>0.14375</v>
      </c>
      <c r="B42" s="34" t="s">
        <v>200</v>
      </c>
      <c r="C42" s="35" t="s">
        <v>220</v>
      </c>
      <c r="D42" s="32" t="s">
        <v>364</v>
      </c>
      <c r="E42" s="11" t="s">
        <v>37</v>
      </c>
    </row>
    <row r="43">
      <c r="A43" s="7">
        <v>0.15416666666666667</v>
      </c>
      <c r="B43" s="32" t="s">
        <v>366</v>
      </c>
      <c r="C43" s="35" t="s">
        <v>35</v>
      </c>
      <c r="D43" s="32" t="s">
        <v>367</v>
      </c>
      <c r="E43" s="11" t="s">
        <v>33</v>
      </c>
    </row>
    <row r="44">
      <c r="A44" s="7">
        <v>0.15416666666666667</v>
      </c>
      <c r="B44" s="32" t="s">
        <v>368</v>
      </c>
      <c r="C44" s="35" t="s">
        <v>28</v>
      </c>
      <c r="D44" s="32" t="s">
        <v>364</v>
      </c>
      <c r="E44" s="11" t="s">
        <v>37</v>
      </c>
    </row>
    <row r="45">
      <c r="A45" s="1"/>
      <c r="B45" s="1" t="s">
        <v>53</v>
      </c>
      <c r="C45" s="2"/>
      <c r="D45" s="3"/>
      <c r="E45" s="14"/>
    </row>
    <row r="46">
      <c r="A46" s="15" t="s">
        <v>1</v>
      </c>
      <c r="B46" s="16" t="s">
        <v>2</v>
      </c>
      <c r="C46" s="16" t="s">
        <v>3</v>
      </c>
      <c r="D46" s="16" t="s">
        <v>4</v>
      </c>
      <c r="E46" s="16" t="s">
        <v>5</v>
      </c>
    </row>
    <row r="47">
      <c r="A47" s="7">
        <v>0.16666666666666666</v>
      </c>
      <c r="B47" s="32" t="s">
        <v>371</v>
      </c>
      <c r="C47" s="35" t="s">
        <v>251</v>
      </c>
      <c r="D47" s="32" t="s">
        <v>372</v>
      </c>
      <c r="E47" s="11" t="s">
        <v>9</v>
      </c>
    </row>
    <row r="48">
      <c r="A48" s="7">
        <v>0.16666666666666666</v>
      </c>
      <c r="B48" s="32" t="s">
        <v>373</v>
      </c>
      <c r="C48" s="35" t="s">
        <v>190</v>
      </c>
      <c r="D48" s="32" t="s">
        <v>374</v>
      </c>
      <c r="E48" s="11" t="s">
        <v>13</v>
      </c>
    </row>
    <row r="49">
      <c r="A49" s="7">
        <v>0.1763888888888889</v>
      </c>
      <c r="B49" s="32" t="s">
        <v>373</v>
      </c>
      <c r="C49" s="35" t="s">
        <v>52</v>
      </c>
      <c r="D49" s="32" t="s">
        <v>372</v>
      </c>
      <c r="E49" s="11" t="s">
        <v>9</v>
      </c>
    </row>
    <row r="50">
      <c r="A50" s="7">
        <v>0.1763888888888889</v>
      </c>
      <c r="B50" s="32" t="s">
        <v>375</v>
      </c>
      <c r="C50" s="35" t="s">
        <v>21</v>
      </c>
      <c r="D50" s="32" t="s">
        <v>374</v>
      </c>
      <c r="E50" s="11" t="s">
        <v>13</v>
      </c>
    </row>
    <row r="51">
      <c r="A51" s="7">
        <v>0.18680555555555556</v>
      </c>
      <c r="B51" s="32" t="s">
        <v>375</v>
      </c>
      <c r="C51" s="35" t="s">
        <v>267</v>
      </c>
      <c r="D51" s="32" t="s">
        <v>373</v>
      </c>
      <c r="E51" s="11" t="s">
        <v>9</v>
      </c>
    </row>
    <row r="52">
      <c r="A52" s="7">
        <v>0.18680555555555556</v>
      </c>
      <c r="B52" s="32" t="s">
        <v>374</v>
      </c>
      <c r="C52" s="35" t="s">
        <v>376</v>
      </c>
      <c r="D52" s="32" t="s">
        <v>371</v>
      </c>
      <c r="E52" s="11" t="s">
        <v>13</v>
      </c>
      <c r="G52" s="36" t="s">
        <v>229</v>
      </c>
    </row>
    <row r="53">
      <c r="A53" s="7">
        <v>0.19722222222222222</v>
      </c>
      <c r="B53" s="32" t="s">
        <v>375</v>
      </c>
      <c r="C53" s="35" t="s">
        <v>377</v>
      </c>
      <c r="D53" s="32" t="s">
        <v>372</v>
      </c>
      <c r="E53" s="11" t="s">
        <v>9</v>
      </c>
    </row>
    <row r="54">
      <c r="A54" s="7">
        <v>0.19722222222222222</v>
      </c>
      <c r="B54" s="32" t="s">
        <v>371</v>
      </c>
      <c r="C54" s="35" t="s">
        <v>21</v>
      </c>
      <c r="D54" s="32" t="s">
        <v>373</v>
      </c>
      <c r="E54" s="11" t="s">
        <v>13</v>
      </c>
    </row>
    <row r="55">
      <c r="A55" s="7">
        <v>0.20694444444444443</v>
      </c>
      <c r="B55" s="32" t="s">
        <v>374</v>
      </c>
      <c r="C55" s="35" t="s">
        <v>260</v>
      </c>
      <c r="D55" s="32" t="s">
        <v>372</v>
      </c>
      <c r="E55" s="11" t="s">
        <v>9</v>
      </c>
    </row>
    <row r="56">
      <c r="A56" s="7">
        <v>0.20694444444444443</v>
      </c>
      <c r="B56" s="32" t="s">
        <v>371</v>
      </c>
      <c r="C56" s="35" t="s">
        <v>18</v>
      </c>
      <c r="D56" s="32" t="s">
        <v>375</v>
      </c>
      <c r="E56" s="11" t="s">
        <v>13</v>
      </c>
    </row>
    <row r="57">
      <c r="A57" s="7">
        <v>0.21736111111111112</v>
      </c>
      <c r="B57" s="32" t="s">
        <v>372</v>
      </c>
      <c r="C57" s="35" t="s">
        <v>87</v>
      </c>
      <c r="D57" s="32" t="s">
        <v>371</v>
      </c>
      <c r="E57" s="11" t="s">
        <v>9</v>
      </c>
    </row>
    <row r="58">
      <c r="A58" s="7">
        <v>0.21736111111111112</v>
      </c>
      <c r="B58" s="32" t="s">
        <v>374</v>
      </c>
      <c r="C58" s="35" t="s">
        <v>55</v>
      </c>
      <c r="D58" s="32" t="s">
        <v>373</v>
      </c>
      <c r="E58" s="11" t="s">
        <v>13</v>
      </c>
    </row>
    <row r="59">
      <c r="A59" s="7">
        <v>0.22777777777777777</v>
      </c>
      <c r="B59" s="32" t="s">
        <v>372</v>
      </c>
      <c r="C59" s="35" t="s">
        <v>58</v>
      </c>
      <c r="D59" s="32" t="s">
        <v>373</v>
      </c>
      <c r="E59" s="11" t="s">
        <v>9</v>
      </c>
    </row>
    <row r="60">
      <c r="A60" s="7">
        <v>0.22777777777777777</v>
      </c>
      <c r="B60" s="32" t="s">
        <v>374</v>
      </c>
      <c r="C60" s="35" t="s">
        <v>260</v>
      </c>
      <c r="D60" s="32" t="s">
        <v>375</v>
      </c>
      <c r="E60" s="11" t="s">
        <v>13</v>
      </c>
    </row>
    <row r="61">
      <c r="A61" s="7">
        <v>0.2375</v>
      </c>
      <c r="B61" s="32" t="s">
        <v>373</v>
      </c>
      <c r="C61" s="35" t="s">
        <v>64</v>
      </c>
      <c r="D61" s="32" t="s">
        <v>375</v>
      </c>
      <c r="E61" s="11" t="s">
        <v>9</v>
      </c>
    </row>
    <row r="62">
      <c r="A62" s="7">
        <v>0.2375</v>
      </c>
      <c r="B62" s="32" t="s">
        <v>371</v>
      </c>
      <c r="C62" s="35" t="s">
        <v>42</v>
      </c>
      <c r="D62" s="32" t="s">
        <v>374</v>
      </c>
      <c r="E62" s="11" t="s">
        <v>13</v>
      </c>
    </row>
    <row r="63">
      <c r="A63" s="7">
        <v>0.24791666666666667</v>
      </c>
      <c r="B63" s="32" t="s">
        <v>372</v>
      </c>
      <c r="C63" s="35" t="s">
        <v>87</v>
      </c>
      <c r="D63" s="32" t="s">
        <v>375</v>
      </c>
      <c r="E63" s="11" t="s">
        <v>9</v>
      </c>
    </row>
    <row r="64">
      <c r="A64" s="7">
        <v>0.24791666666666667</v>
      </c>
      <c r="B64" s="32" t="s">
        <v>373</v>
      </c>
      <c r="C64" s="35" t="s">
        <v>378</v>
      </c>
      <c r="D64" s="32" t="s">
        <v>371</v>
      </c>
      <c r="E64" s="11" t="s">
        <v>13</v>
      </c>
    </row>
    <row r="65">
      <c r="A65" s="7">
        <v>0.25833333333333336</v>
      </c>
      <c r="B65" s="32" t="s">
        <v>372</v>
      </c>
      <c r="C65" s="35" t="s">
        <v>24</v>
      </c>
      <c r="D65" s="32" t="s">
        <v>374</v>
      </c>
      <c r="E65" s="11" t="s">
        <v>9</v>
      </c>
    </row>
    <row r="66">
      <c r="A66" s="7">
        <v>0.25833333333333336</v>
      </c>
      <c r="B66" s="32" t="s">
        <v>375</v>
      </c>
      <c r="C66" s="35" t="s">
        <v>28</v>
      </c>
      <c r="D66" s="32" t="s">
        <v>371</v>
      </c>
      <c r="E66" s="11" t="s">
        <v>13</v>
      </c>
    </row>
    <row r="67">
      <c r="A67" s="1"/>
      <c r="B67" s="1" t="s">
        <v>53</v>
      </c>
      <c r="C67" s="2"/>
      <c r="D67" s="3"/>
      <c r="E67" s="4"/>
    </row>
    <row r="68">
      <c r="A68" s="15" t="s">
        <v>1</v>
      </c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7">
        <v>0.16666666666666666</v>
      </c>
      <c r="B69" s="32" t="s">
        <v>379</v>
      </c>
      <c r="C69" s="35" t="s">
        <v>380</v>
      </c>
      <c r="D69" s="32" t="s">
        <v>222</v>
      </c>
      <c r="E69" s="11" t="s">
        <v>33</v>
      </c>
    </row>
    <row r="70">
      <c r="A70" s="7">
        <v>0.16666666666666666</v>
      </c>
      <c r="B70" s="32" t="s">
        <v>381</v>
      </c>
      <c r="C70" s="35" t="s">
        <v>81</v>
      </c>
      <c r="D70" s="32" t="s">
        <v>382</v>
      </c>
      <c r="E70" s="11" t="s">
        <v>37</v>
      </c>
    </row>
    <row r="71">
      <c r="A71" s="7">
        <v>0.1763888888888889</v>
      </c>
      <c r="B71" s="32" t="s">
        <v>381</v>
      </c>
      <c r="C71" s="35" t="s">
        <v>251</v>
      </c>
      <c r="D71" s="32" t="s">
        <v>222</v>
      </c>
      <c r="E71" s="11" t="s">
        <v>33</v>
      </c>
    </row>
    <row r="72">
      <c r="A72" s="7">
        <v>0.1763888888888889</v>
      </c>
      <c r="B72" s="32" t="s">
        <v>383</v>
      </c>
      <c r="C72" s="35" t="s">
        <v>11</v>
      </c>
      <c r="D72" s="32" t="s">
        <v>382</v>
      </c>
      <c r="E72" s="11" t="s">
        <v>37</v>
      </c>
    </row>
    <row r="73">
      <c r="A73" s="7">
        <v>0.18680555555555556</v>
      </c>
      <c r="B73" s="32" t="s">
        <v>383</v>
      </c>
      <c r="C73" s="35" t="s">
        <v>190</v>
      </c>
      <c r="D73" s="32" t="s">
        <v>381</v>
      </c>
      <c r="E73" s="11" t="s">
        <v>33</v>
      </c>
    </row>
    <row r="74">
      <c r="A74" s="7">
        <v>0.18680555555555556</v>
      </c>
      <c r="B74" s="32" t="s">
        <v>382</v>
      </c>
      <c r="C74" s="35" t="s">
        <v>282</v>
      </c>
      <c r="D74" s="32" t="s">
        <v>379</v>
      </c>
      <c r="E74" s="11" t="s">
        <v>37</v>
      </c>
    </row>
    <row r="75">
      <c r="A75" s="7">
        <v>0.19722222222222222</v>
      </c>
      <c r="B75" s="32" t="s">
        <v>383</v>
      </c>
      <c r="C75" s="35" t="s">
        <v>249</v>
      </c>
      <c r="D75" s="32" t="s">
        <v>222</v>
      </c>
      <c r="E75" s="11" t="s">
        <v>33</v>
      </c>
    </row>
    <row r="76">
      <c r="A76" s="7">
        <v>0.19722222222222222</v>
      </c>
      <c r="B76" s="32" t="s">
        <v>379</v>
      </c>
      <c r="C76" s="35" t="s">
        <v>270</v>
      </c>
      <c r="D76" s="32" t="s">
        <v>381</v>
      </c>
      <c r="E76" s="11" t="s">
        <v>37</v>
      </c>
    </row>
    <row r="77">
      <c r="A77" s="7">
        <v>0.20694444444444443</v>
      </c>
      <c r="B77" s="32" t="s">
        <v>382</v>
      </c>
      <c r="C77" s="35" t="s">
        <v>25</v>
      </c>
      <c r="D77" s="32" t="s">
        <v>222</v>
      </c>
      <c r="E77" s="11" t="s">
        <v>33</v>
      </c>
    </row>
    <row r="78">
      <c r="A78" s="7">
        <v>0.20694444444444443</v>
      </c>
      <c r="B78" s="32" t="s">
        <v>379</v>
      </c>
      <c r="C78" s="35" t="s">
        <v>7</v>
      </c>
      <c r="D78" s="32" t="s">
        <v>383</v>
      </c>
      <c r="E78" s="11" t="s">
        <v>37</v>
      </c>
    </row>
    <row r="79">
      <c r="A79" s="7">
        <v>0.21736111111111112</v>
      </c>
      <c r="B79" s="32" t="s">
        <v>222</v>
      </c>
      <c r="C79" s="35" t="s">
        <v>203</v>
      </c>
      <c r="D79" s="32" t="s">
        <v>379</v>
      </c>
      <c r="E79" s="11" t="s">
        <v>33</v>
      </c>
    </row>
    <row r="80">
      <c r="A80" s="7">
        <v>0.21736111111111112</v>
      </c>
      <c r="B80" s="32" t="s">
        <v>382</v>
      </c>
      <c r="C80" s="35" t="s">
        <v>196</v>
      </c>
      <c r="D80" s="32" t="s">
        <v>381</v>
      </c>
      <c r="E80" s="11" t="s">
        <v>37</v>
      </c>
    </row>
    <row r="81">
      <c r="A81" s="7">
        <v>0.22777777777777777</v>
      </c>
      <c r="B81" s="32" t="s">
        <v>222</v>
      </c>
      <c r="C81" s="35" t="s">
        <v>45</v>
      </c>
      <c r="D81" s="32" t="s">
        <v>381</v>
      </c>
      <c r="E81" s="11" t="s">
        <v>33</v>
      </c>
    </row>
    <row r="82">
      <c r="A82" s="7">
        <v>0.22777777777777777</v>
      </c>
      <c r="B82" s="32" t="s">
        <v>382</v>
      </c>
      <c r="C82" s="35" t="s">
        <v>218</v>
      </c>
      <c r="D82" s="32" t="s">
        <v>383</v>
      </c>
      <c r="E82" s="11" t="s">
        <v>37</v>
      </c>
    </row>
    <row r="83">
      <c r="A83" s="7">
        <v>0.2375</v>
      </c>
      <c r="B83" s="32" t="s">
        <v>381</v>
      </c>
      <c r="C83" s="35" t="s">
        <v>215</v>
      </c>
      <c r="D83" s="32" t="s">
        <v>383</v>
      </c>
      <c r="E83" s="11" t="s">
        <v>33</v>
      </c>
    </row>
    <row r="84">
      <c r="A84" s="7">
        <v>0.2375</v>
      </c>
      <c r="B84" s="32" t="s">
        <v>379</v>
      </c>
      <c r="C84" s="35" t="s">
        <v>89</v>
      </c>
      <c r="D84" s="32" t="s">
        <v>382</v>
      </c>
      <c r="E84" s="11" t="s">
        <v>37</v>
      </c>
    </row>
    <row r="85">
      <c r="A85" s="7">
        <v>0.24791666666666667</v>
      </c>
      <c r="B85" s="32" t="s">
        <v>222</v>
      </c>
      <c r="C85" s="35" t="s">
        <v>81</v>
      </c>
      <c r="D85" s="32" t="s">
        <v>383</v>
      </c>
      <c r="E85" s="11" t="s">
        <v>33</v>
      </c>
    </row>
    <row r="86">
      <c r="A86" s="7">
        <v>0.24791666666666667</v>
      </c>
      <c r="B86" s="32" t="s">
        <v>381</v>
      </c>
      <c r="C86" s="35" t="s">
        <v>195</v>
      </c>
      <c r="D86" s="32" t="s">
        <v>379</v>
      </c>
      <c r="E86" s="11" t="s">
        <v>37</v>
      </c>
    </row>
    <row r="87">
      <c r="A87" s="7">
        <v>0.25833333333333336</v>
      </c>
      <c r="B87" s="32" t="s">
        <v>222</v>
      </c>
      <c r="C87" s="35" t="s">
        <v>274</v>
      </c>
      <c r="D87" s="32" t="s">
        <v>382</v>
      </c>
      <c r="E87" s="11" t="s">
        <v>33</v>
      </c>
    </row>
    <row r="88">
      <c r="A88" s="7">
        <v>0.25833333333333336</v>
      </c>
      <c r="B88" s="32" t="s">
        <v>383</v>
      </c>
      <c r="C88" s="35" t="s">
        <v>83</v>
      </c>
      <c r="D88" s="32" t="s">
        <v>379</v>
      </c>
      <c r="E88" s="11" t="s">
        <v>37</v>
      </c>
    </row>
    <row r="89">
      <c r="B89" s="1" t="s">
        <v>90</v>
      </c>
      <c r="C89" s="2"/>
      <c r="D89" s="3"/>
      <c r="E89" s="4"/>
    </row>
    <row r="90">
      <c r="A90" s="18" t="s">
        <v>1</v>
      </c>
      <c r="B90" s="16" t="s">
        <v>2</v>
      </c>
      <c r="C90" s="16" t="s">
        <v>3</v>
      </c>
      <c r="D90" s="16" t="s">
        <v>4</v>
      </c>
      <c r="E90" s="16" t="s">
        <v>5</v>
      </c>
    </row>
    <row r="91">
      <c r="A91" s="19">
        <v>0.3333333333333333</v>
      </c>
      <c r="B91" s="40" t="s">
        <v>384</v>
      </c>
      <c r="C91" s="35" t="s">
        <v>260</v>
      </c>
      <c r="D91" s="40" t="s">
        <v>385</v>
      </c>
      <c r="E91" s="11" t="s">
        <v>9</v>
      </c>
    </row>
    <row r="92">
      <c r="A92" s="19">
        <v>0.3333333333333333</v>
      </c>
      <c r="B92" s="40" t="s">
        <v>386</v>
      </c>
      <c r="C92" s="35" t="s">
        <v>362</v>
      </c>
      <c r="D92" s="40" t="s">
        <v>387</v>
      </c>
      <c r="E92" s="11" t="s">
        <v>13</v>
      </c>
    </row>
    <row r="93">
      <c r="A93" s="19">
        <v>0.34305555555555556</v>
      </c>
      <c r="B93" s="40" t="s">
        <v>386</v>
      </c>
      <c r="C93" s="35" t="s">
        <v>88</v>
      </c>
      <c r="D93" s="40" t="s">
        <v>385</v>
      </c>
      <c r="E93" s="11" t="s">
        <v>9</v>
      </c>
    </row>
    <row r="94">
      <c r="A94" s="19">
        <v>0.34305555555555556</v>
      </c>
      <c r="B94" s="40" t="s">
        <v>388</v>
      </c>
      <c r="C94" s="35" t="s">
        <v>21</v>
      </c>
      <c r="D94" s="40" t="s">
        <v>387</v>
      </c>
      <c r="E94" s="11" t="s">
        <v>13</v>
      </c>
    </row>
    <row r="95">
      <c r="A95" s="19">
        <v>0.35347222222222224</v>
      </c>
      <c r="B95" s="40" t="s">
        <v>388</v>
      </c>
      <c r="C95" s="35" t="s">
        <v>218</v>
      </c>
      <c r="D95" s="40" t="s">
        <v>386</v>
      </c>
      <c r="E95" s="11" t="s">
        <v>9</v>
      </c>
    </row>
    <row r="96">
      <c r="A96" s="19">
        <v>0.35347222222222224</v>
      </c>
      <c r="B96" s="40" t="s">
        <v>387</v>
      </c>
      <c r="C96" s="35" t="s">
        <v>239</v>
      </c>
      <c r="D96" s="40" t="s">
        <v>384</v>
      </c>
      <c r="E96" s="11" t="s">
        <v>13</v>
      </c>
    </row>
    <row r="97">
      <c r="A97" s="19">
        <v>0.3638888888888889</v>
      </c>
      <c r="B97" s="40" t="s">
        <v>388</v>
      </c>
      <c r="C97" s="35" t="s">
        <v>88</v>
      </c>
      <c r="D97" s="40" t="s">
        <v>385</v>
      </c>
      <c r="E97" s="11" t="s">
        <v>9</v>
      </c>
    </row>
    <row r="98">
      <c r="A98" s="19">
        <v>0.3638888888888889</v>
      </c>
      <c r="B98" s="40" t="s">
        <v>384</v>
      </c>
      <c r="C98" s="35" t="s">
        <v>389</v>
      </c>
      <c r="D98" s="40" t="s">
        <v>386</v>
      </c>
      <c r="E98" s="11" t="s">
        <v>13</v>
      </c>
    </row>
    <row r="99">
      <c r="A99" s="19">
        <v>0.3736111111111111</v>
      </c>
      <c r="B99" s="40" t="s">
        <v>387</v>
      </c>
      <c r="C99" s="35" t="s">
        <v>195</v>
      </c>
      <c r="D99" s="40" t="s">
        <v>385</v>
      </c>
      <c r="E99" s="11" t="s">
        <v>9</v>
      </c>
    </row>
    <row r="100">
      <c r="A100" s="19">
        <v>0.3736111111111111</v>
      </c>
      <c r="B100" s="40" t="s">
        <v>384</v>
      </c>
      <c r="C100" s="35" t="s">
        <v>291</v>
      </c>
      <c r="D100" s="40" t="s">
        <v>388</v>
      </c>
      <c r="E100" s="11" t="s">
        <v>13</v>
      </c>
    </row>
    <row r="101">
      <c r="A101" s="19">
        <v>0.3840277777777778</v>
      </c>
      <c r="B101" s="40" t="s">
        <v>385</v>
      </c>
      <c r="C101" s="35" t="s">
        <v>190</v>
      </c>
      <c r="D101" s="40" t="s">
        <v>384</v>
      </c>
      <c r="E101" s="11" t="s">
        <v>9</v>
      </c>
    </row>
    <row r="102">
      <c r="A102" s="19">
        <v>0.3840277777777778</v>
      </c>
      <c r="B102" s="40" t="s">
        <v>387</v>
      </c>
      <c r="C102" s="35" t="s">
        <v>18</v>
      </c>
      <c r="D102" s="40" t="s">
        <v>386</v>
      </c>
      <c r="E102" s="11" t="s">
        <v>13</v>
      </c>
    </row>
    <row r="103">
      <c r="A103" s="19">
        <v>0.39444444444444443</v>
      </c>
      <c r="B103" s="40" t="s">
        <v>385</v>
      </c>
      <c r="C103" s="35" t="s">
        <v>81</v>
      </c>
      <c r="D103" s="40" t="s">
        <v>386</v>
      </c>
      <c r="E103" s="11" t="s">
        <v>9</v>
      </c>
    </row>
    <row r="104">
      <c r="A104" s="19">
        <v>0.39444444444444443</v>
      </c>
      <c r="B104" s="40" t="s">
        <v>387</v>
      </c>
      <c r="C104" s="35" t="s">
        <v>7</v>
      </c>
      <c r="D104" s="40" t="s">
        <v>388</v>
      </c>
      <c r="E104" s="11" t="s">
        <v>13</v>
      </c>
    </row>
    <row r="105">
      <c r="A105" s="19">
        <v>0.4041666666666667</v>
      </c>
      <c r="B105" s="40" t="s">
        <v>386</v>
      </c>
      <c r="C105" s="35" t="s">
        <v>18</v>
      </c>
      <c r="D105" s="40" t="s">
        <v>388</v>
      </c>
      <c r="E105" s="11" t="s">
        <v>9</v>
      </c>
    </row>
    <row r="106">
      <c r="A106" s="19">
        <v>0.4041666666666667</v>
      </c>
      <c r="B106" s="40" t="s">
        <v>384</v>
      </c>
      <c r="C106" s="35" t="s">
        <v>45</v>
      </c>
      <c r="D106" s="40" t="s">
        <v>387</v>
      </c>
      <c r="E106" s="11" t="s">
        <v>13</v>
      </c>
    </row>
    <row r="107">
      <c r="A107" s="19">
        <v>0.41458333333333336</v>
      </c>
      <c r="B107" s="40" t="s">
        <v>385</v>
      </c>
      <c r="C107" s="35" t="s">
        <v>81</v>
      </c>
      <c r="D107" s="40" t="s">
        <v>388</v>
      </c>
      <c r="E107" s="11" t="s">
        <v>9</v>
      </c>
    </row>
    <row r="108">
      <c r="A108" s="19">
        <v>0.41458333333333336</v>
      </c>
      <c r="B108" s="40" t="s">
        <v>386</v>
      </c>
      <c r="C108" s="35" t="s">
        <v>239</v>
      </c>
      <c r="D108" s="40" t="s">
        <v>384</v>
      </c>
      <c r="E108" s="11" t="s">
        <v>13</v>
      </c>
    </row>
    <row r="109">
      <c r="A109" s="19">
        <v>0.425</v>
      </c>
      <c r="B109" s="40" t="s">
        <v>385</v>
      </c>
      <c r="C109" s="35" t="s">
        <v>218</v>
      </c>
      <c r="D109" s="40" t="s">
        <v>387</v>
      </c>
      <c r="E109" s="11" t="s">
        <v>9</v>
      </c>
    </row>
    <row r="110">
      <c r="A110" s="19">
        <v>0.425</v>
      </c>
      <c r="B110" s="40" t="s">
        <v>388</v>
      </c>
      <c r="C110" s="35" t="s">
        <v>390</v>
      </c>
      <c r="D110" s="40" t="s">
        <v>384</v>
      </c>
      <c r="E110" s="11" t="s">
        <v>13</v>
      </c>
    </row>
    <row r="111">
      <c r="A111" s="1"/>
      <c r="B111" s="1" t="s">
        <v>90</v>
      </c>
      <c r="C111" s="2"/>
      <c r="D111" s="3"/>
      <c r="E111" s="4"/>
    </row>
    <row r="112">
      <c r="A112" s="18" t="s">
        <v>1</v>
      </c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A113" s="22">
        <v>0.3333333333333333</v>
      </c>
      <c r="B113" s="32" t="s">
        <v>391</v>
      </c>
      <c r="C113" s="35" t="s">
        <v>195</v>
      </c>
      <c r="D113" s="32" t="s">
        <v>392</v>
      </c>
      <c r="E113" s="11" t="s">
        <v>33</v>
      </c>
    </row>
    <row r="114">
      <c r="A114" s="23">
        <v>0.3333333333333333</v>
      </c>
      <c r="B114" s="32" t="s">
        <v>393</v>
      </c>
      <c r="C114" s="35" t="s">
        <v>370</v>
      </c>
      <c r="D114" s="32" t="s">
        <v>394</v>
      </c>
      <c r="E114" s="11" t="s">
        <v>37</v>
      </c>
    </row>
    <row r="115">
      <c r="A115" s="23">
        <v>0.34305555555555556</v>
      </c>
      <c r="B115" s="32" t="s">
        <v>393</v>
      </c>
      <c r="C115" s="35" t="s">
        <v>66</v>
      </c>
      <c r="D115" s="32" t="s">
        <v>392</v>
      </c>
      <c r="E115" s="11" t="s">
        <v>33</v>
      </c>
    </row>
    <row r="116">
      <c r="A116" s="23">
        <v>0.34305555555555556</v>
      </c>
      <c r="B116" s="32" t="s">
        <v>395</v>
      </c>
      <c r="C116" s="35" t="s">
        <v>196</v>
      </c>
      <c r="D116" s="32" t="s">
        <v>394</v>
      </c>
      <c r="E116" s="11" t="s">
        <v>37</v>
      </c>
    </row>
    <row r="117">
      <c r="A117" s="23">
        <v>0.35347222222222224</v>
      </c>
      <c r="B117" s="32" t="s">
        <v>395</v>
      </c>
      <c r="C117" s="35" t="s">
        <v>267</v>
      </c>
      <c r="D117" s="32" t="s">
        <v>393</v>
      </c>
      <c r="E117" s="11" t="s">
        <v>33</v>
      </c>
    </row>
    <row r="118">
      <c r="A118" s="23">
        <v>0.35347222222222224</v>
      </c>
      <c r="B118" s="32" t="s">
        <v>394</v>
      </c>
      <c r="C118" s="35" t="s">
        <v>43</v>
      </c>
      <c r="D118" s="32" t="s">
        <v>391</v>
      </c>
      <c r="E118" s="11" t="s">
        <v>37</v>
      </c>
    </row>
    <row r="119">
      <c r="A119" s="23">
        <v>0.3638888888888889</v>
      </c>
      <c r="B119" s="32" t="s">
        <v>395</v>
      </c>
      <c r="C119" s="35" t="s">
        <v>28</v>
      </c>
      <c r="D119" s="32" t="s">
        <v>392</v>
      </c>
      <c r="E119" s="11" t="s">
        <v>33</v>
      </c>
    </row>
    <row r="120">
      <c r="A120" s="23">
        <v>0.3638888888888889</v>
      </c>
      <c r="B120" s="32" t="s">
        <v>391</v>
      </c>
      <c r="C120" s="35" t="s">
        <v>291</v>
      </c>
      <c r="D120" s="32" t="s">
        <v>393</v>
      </c>
      <c r="E120" s="11" t="s">
        <v>37</v>
      </c>
    </row>
    <row r="121">
      <c r="A121" s="23">
        <v>0.3736111111111111</v>
      </c>
      <c r="B121" s="32" t="s">
        <v>394</v>
      </c>
      <c r="C121" s="35" t="s">
        <v>11</v>
      </c>
      <c r="D121" s="32" t="s">
        <v>392</v>
      </c>
      <c r="E121" s="11" t="s">
        <v>33</v>
      </c>
    </row>
    <row r="122">
      <c r="A122" s="23">
        <v>0.3736111111111111</v>
      </c>
      <c r="B122" s="32" t="s">
        <v>391</v>
      </c>
      <c r="C122" s="35" t="s">
        <v>282</v>
      </c>
      <c r="D122" s="32" t="s">
        <v>395</v>
      </c>
      <c r="E122" s="11" t="s">
        <v>37</v>
      </c>
    </row>
    <row r="123">
      <c r="A123" s="23">
        <v>0.3840277777777778</v>
      </c>
      <c r="B123" s="32" t="s">
        <v>392</v>
      </c>
      <c r="C123" s="35" t="s">
        <v>396</v>
      </c>
      <c r="D123" s="32" t="s">
        <v>391</v>
      </c>
      <c r="E123" s="11" t="s">
        <v>33</v>
      </c>
    </row>
    <row r="124">
      <c r="A124" s="23">
        <v>0.3840277777777778</v>
      </c>
      <c r="B124" s="32" t="s">
        <v>394</v>
      </c>
      <c r="C124" s="35" t="s">
        <v>68</v>
      </c>
      <c r="D124" s="32" t="s">
        <v>393</v>
      </c>
      <c r="E124" s="11" t="s">
        <v>37</v>
      </c>
    </row>
    <row r="125">
      <c r="A125" s="23">
        <v>0.39444444444444443</v>
      </c>
      <c r="B125" s="32" t="s">
        <v>392</v>
      </c>
      <c r="C125" s="35" t="s">
        <v>25</v>
      </c>
      <c r="D125" s="32" t="s">
        <v>393</v>
      </c>
      <c r="E125" s="11" t="s">
        <v>33</v>
      </c>
    </row>
    <row r="126">
      <c r="A126" s="23">
        <v>0.39444444444444443</v>
      </c>
      <c r="B126" s="32" t="s">
        <v>394</v>
      </c>
      <c r="C126" s="35" t="s">
        <v>218</v>
      </c>
      <c r="D126" s="32" t="s">
        <v>395</v>
      </c>
      <c r="E126" s="11" t="s">
        <v>37</v>
      </c>
    </row>
    <row r="127">
      <c r="A127" s="23">
        <v>0.4041666666666667</v>
      </c>
      <c r="B127" s="32" t="s">
        <v>393</v>
      </c>
      <c r="C127" s="35" t="s">
        <v>22</v>
      </c>
      <c r="D127" s="32" t="s">
        <v>395</v>
      </c>
      <c r="E127" s="11" t="s">
        <v>33</v>
      </c>
    </row>
    <row r="128">
      <c r="A128" s="23">
        <v>0.4041666666666667</v>
      </c>
      <c r="B128" s="32" t="s">
        <v>391</v>
      </c>
      <c r="C128" s="35" t="s">
        <v>86</v>
      </c>
      <c r="D128" s="32" t="s">
        <v>394</v>
      </c>
      <c r="E128" s="11" t="s">
        <v>37</v>
      </c>
    </row>
    <row r="129">
      <c r="A129" s="23">
        <v>0.41458333333333336</v>
      </c>
      <c r="B129" s="32" t="s">
        <v>392</v>
      </c>
      <c r="C129" s="35" t="s">
        <v>218</v>
      </c>
      <c r="D129" s="32" t="s">
        <v>395</v>
      </c>
      <c r="E129" s="11" t="s">
        <v>33</v>
      </c>
    </row>
    <row r="130">
      <c r="A130" s="23">
        <v>0.41458333333333336</v>
      </c>
      <c r="B130" s="32" t="s">
        <v>393</v>
      </c>
      <c r="C130" s="35" t="s">
        <v>64</v>
      </c>
      <c r="D130" s="32" t="s">
        <v>391</v>
      </c>
      <c r="E130" s="11" t="s">
        <v>37</v>
      </c>
    </row>
    <row r="131">
      <c r="A131" s="23">
        <v>0.425</v>
      </c>
      <c r="B131" s="32" t="s">
        <v>392</v>
      </c>
      <c r="C131" s="35" t="s">
        <v>69</v>
      </c>
      <c r="D131" s="32" t="s">
        <v>394</v>
      </c>
      <c r="E131" s="11" t="s">
        <v>33</v>
      </c>
    </row>
    <row r="132">
      <c r="A132" s="23">
        <v>0.425</v>
      </c>
      <c r="B132" s="32" t="s">
        <v>395</v>
      </c>
      <c r="C132" s="35" t="s">
        <v>28</v>
      </c>
      <c r="D132" s="32" t="s">
        <v>391</v>
      </c>
      <c r="E132" s="11" t="s">
        <v>37</v>
      </c>
    </row>
    <row r="133">
      <c r="A133" s="1"/>
      <c r="B133" s="1" t="s">
        <v>101</v>
      </c>
      <c r="C133" s="2"/>
      <c r="D133" s="3"/>
      <c r="E133" s="4"/>
    </row>
    <row r="134">
      <c r="A134" s="18" t="s">
        <v>1</v>
      </c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A135" s="19">
        <v>0.4375</v>
      </c>
      <c r="B135" s="32" t="s">
        <v>397</v>
      </c>
      <c r="C135" s="33" t="s">
        <v>50</v>
      </c>
      <c r="D135" s="32" t="s">
        <v>398</v>
      </c>
      <c r="E135" s="11" t="s">
        <v>9</v>
      </c>
    </row>
    <row r="136">
      <c r="A136" s="19">
        <v>0.4375</v>
      </c>
      <c r="B136" s="32" t="s">
        <v>399</v>
      </c>
      <c r="C136" s="33" t="s">
        <v>400</v>
      </c>
      <c r="D136" s="32" t="s">
        <v>401</v>
      </c>
      <c r="E136" s="11" t="s">
        <v>13</v>
      </c>
    </row>
    <row r="137">
      <c r="A137" s="19">
        <v>0.44722222222222224</v>
      </c>
      <c r="B137" s="32" t="s">
        <v>399</v>
      </c>
      <c r="C137" s="37" t="s">
        <v>87</v>
      </c>
      <c r="D137" s="32" t="s">
        <v>398</v>
      </c>
      <c r="E137" s="11" t="s">
        <v>9</v>
      </c>
    </row>
    <row r="138">
      <c r="A138" s="19">
        <v>0.44722222222222224</v>
      </c>
      <c r="B138" s="32" t="s">
        <v>402</v>
      </c>
      <c r="C138" s="33" t="s">
        <v>269</v>
      </c>
      <c r="D138" s="32" t="s">
        <v>401</v>
      </c>
      <c r="E138" s="11" t="s">
        <v>13</v>
      </c>
    </row>
    <row r="139">
      <c r="A139" s="19">
        <v>0.4576388888888889</v>
      </c>
      <c r="B139" s="32" t="s">
        <v>402</v>
      </c>
      <c r="C139" s="33" t="s">
        <v>83</v>
      </c>
      <c r="D139" s="32" t="s">
        <v>399</v>
      </c>
      <c r="E139" s="11" t="s">
        <v>9</v>
      </c>
    </row>
    <row r="140">
      <c r="A140" s="19">
        <v>0.4576388888888889</v>
      </c>
      <c r="B140" s="32" t="s">
        <v>401</v>
      </c>
      <c r="C140" s="33" t="s">
        <v>243</v>
      </c>
      <c r="D140" s="32" t="s">
        <v>397</v>
      </c>
      <c r="E140" s="11" t="s">
        <v>13</v>
      </c>
    </row>
    <row r="141">
      <c r="A141" s="19">
        <v>0.46805555555555556</v>
      </c>
      <c r="B141" s="32" t="s">
        <v>402</v>
      </c>
      <c r="C141" s="33" t="s">
        <v>212</v>
      </c>
      <c r="D141" s="32" t="s">
        <v>398</v>
      </c>
      <c r="E141" s="11" t="s">
        <v>9</v>
      </c>
    </row>
    <row r="142">
      <c r="A142" s="19">
        <v>0.46805555555555556</v>
      </c>
      <c r="B142" s="32" t="s">
        <v>397</v>
      </c>
      <c r="C142" s="33" t="s">
        <v>14</v>
      </c>
      <c r="D142" s="32" t="s">
        <v>399</v>
      </c>
      <c r="E142" s="11" t="s">
        <v>13</v>
      </c>
    </row>
    <row r="143">
      <c r="A143" s="19">
        <v>0.4777777777777778</v>
      </c>
      <c r="B143" s="32" t="s">
        <v>401</v>
      </c>
      <c r="C143" s="33" t="s">
        <v>403</v>
      </c>
      <c r="D143" s="32" t="s">
        <v>398</v>
      </c>
      <c r="E143" s="11" t="s">
        <v>9</v>
      </c>
    </row>
    <row r="144">
      <c r="A144" s="19">
        <v>0.4777777777777778</v>
      </c>
      <c r="B144" s="32" t="s">
        <v>397</v>
      </c>
      <c r="C144" s="33" t="s">
        <v>363</v>
      </c>
      <c r="D144" s="32" t="s">
        <v>402</v>
      </c>
      <c r="E144" s="11" t="s">
        <v>13</v>
      </c>
    </row>
    <row r="145">
      <c r="A145" s="19">
        <v>0.48819444444444443</v>
      </c>
      <c r="B145" s="32" t="s">
        <v>398</v>
      </c>
      <c r="C145" s="33" t="s">
        <v>67</v>
      </c>
      <c r="D145" s="32" t="s">
        <v>397</v>
      </c>
      <c r="E145" s="11" t="s">
        <v>9</v>
      </c>
    </row>
    <row r="146">
      <c r="A146" s="19">
        <v>0.48819444444444443</v>
      </c>
      <c r="B146" s="32" t="s">
        <v>401</v>
      </c>
      <c r="C146" s="33" t="s">
        <v>261</v>
      </c>
      <c r="D146" s="32" t="s">
        <v>399</v>
      </c>
      <c r="E146" s="11" t="s">
        <v>13</v>
      </c>
    </row>
    <row r="147">
      <c r="A147" s="19">
        <v>0.4986111111111111</v>
      </c>
      <c r="B147" s="32" t="s">
        <v>398</v>
      </c>
      <c r="C147" s="35" t="s">
        <v>331</v>
      </c>
      <c r="D147" s="32" t="s">
        <v>399</v>
      </c>
      <c r="E147" s="11" t="s">
        <v>9</v>
      </c>
    </row>
    <row r="148">
      <c r="A148" s="19">
        <v>0.4986111111111111</v>
      </c>
      <c r="B148" s="32" t="s">
        <v>401</v>
      </c>
      <c r="C148" s="35" t="s">
        <v>68</v>
      </c>
      <c r="D148" s="32" t="s">
        <v>402</v>
      </c>
      <c r="E148" s="11" t="s">
        <v>13</v>
      </c>
    </row>
    <row r="149">
      <c r="A149" s="19">
        <v>0.5083333333333333</v>
      </c>
      <c r="B149" s="32" t="s">
        <v>399</v>
      </c>
      <c r="C149" s="35" t="s">
        <v>404</v>
      </c>
      <c r="D149" s="32" t="s">
        <v>402</v>
      </c>
      <c r="E149" s="11" t="s">
        <v>9</v>
      </c>
    </row>
    <row r="150">
      <c r="A150" s="19">
        <v>0.5083333333333333</v>
      </c>
      <c r="B150" s="32" t="s">
        <v>397</v>
      </c>
      <c r="C150" s="35" t="s">
        <v>19</v>
      </c>
      <c r="D150" s="32" t="s">
        <v>401</v>
      </c>
      <c r="E150" s="11" t="s">
        <v>13</v>
      </c>
    </row>
    <row r="151">
      <c r="A151" s="19">
        <v>0.51875</v>
      </c>
      <c r="B151" s="32" t="s">
        <v>398</v>
      </c>
      <c r="C151" s="35" t="s">
        <v>405</v>
      </c>
      <c r="D151" s="32" t="s">
        <v>402</v>
      </c>
      <c r="E151" s="11" t="s">
        <v>9</v>
      </c>
    </row>
    <row r="152">
      <c r="A152" s="19">
        <v>0.51875</v>
      </c>
      <c r="B152" s="32" t="s">
        <v>399</v>
      </c>
      <c r="C152" s="35" t="s">
        <v>362</v>
      </c>
      <c r="D152" s="32" t="s">
        <v>397</v>
      </c>
      <c r="E152" s="11" t="s">
        <v>13</v>
      </c>
    </row>
    <row r="153">
      <c r="A153" s="19">
        <v>0.5291666666666667</v>
      </c>
      <c r="B153" s="32" t="s">
        <v>398</v>
      </c>
      <c r="C153" s="35" t="s">
        <v>28</v>
      </c>
      <c r="D153" s="32" t="s">
        <v>401</v>
      </c>
      <c r="E153" s="11" t="s">
        <v>9</v>
      </c>
    </row>
    <row r="154">
      <c r="A154" s="19">
        <v>0.5291666666666667</v>
      </c>
      <c r="B154" s="32" t="s">
        <v>402</v>
      </c>
      <c r="C154" s="35" t="s">
        <v>21</v>
      </c>
      <c r="D154" s="32" t="s">
        <v>397</v>
      </c>
      <c r="E154" s="11" t="s">
        <v>13</v>
      </c>
    </row>
    <row r="155">
      <c r="A155" s="1"/>
      <c r="B155" s="1" t="s">
        <v>101</v>
      </c>
      <c r="C155" s="2"/>
      <c r="D155" s="3"/>
      <c r="E155" s="4"/>
    </row>
    <row r="156">
      <c r="A156" s="18" t="s">
        <v>1</v>
      </c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A157" s="19">
        <v>0.4375</v>
      </c>
      <c r="B157" s="32" t="s">
        <v>406</v>
      </c>
      <c r="C157" s="35" t="s">
        <v>285</v>
      </c>
      <c r="D157" s="32" t="s">
        <v>407</v>
      </c>
      <c r="E157" s="11" t="s">
        <v>33</v>
      </c>
    </row>
    <row r="158">
      <c r="A158" s="19">
        <v>0.4375</v>
      </c>
      <c r="B158" s="32" t="s">
        <v>408</v>
      </c>
      <c r="C158" s="35" t="s">
        <v>378</v>
      </c>
      <c r="D158" s="32" t="s">
        <v>409</v>
      </c>
      <c r="E158" s="11" t="s">
        <v>37</v>
      </c>
    </row>
    <row r="159">
      <c r="A159" s="19">
        <v>0.44722222222222224</v>
      </c>
      <c r="B159" s="32" t="s">
        <v>408</v>
      </c>
      <c r="C159" s="35" t="s">
        <v>197</v>
      </c>
      <c r="D159" s="32" t="s">
        <v>407</v>
      </c>
      <c r="E159" s="11" t="s">
        <v>33</v>
      </c>
    </row>
    <row r="160">
      <c r="A160" s="19">
        <v>0.44722222222222224</v>
      </c>
      <c r="B160" s="32" t="s">
        <v>410</v>
      </c>
      <c r="C160" s="35" t="s">
        <v>71</v>
      </c>
      <c r="D160" s="32" t="s">
        <v>409</v>
      </c>
      <c r="E160" s="11" t="s">
        <v>37</v>
      </c>
    </row>
    <row r="161">
      <c r="A161" s="19">
        <v>0.4576388888888889</v>
      </c>
      <c r="B161" s="32" t="s">
        <v>410</v>
      </c>
      <c r="C161" s="35" t="s">
        <v>21</v>
      </c>
      <c r="D161" s="32" t="s">
        <v>408</v>
      </c>
      <c r="E161" s="11" t="s">
        <v>33</v>
      </c>
    </row>
    <row r="162">
      <c r="A162" s="19">
        <v>0.4576388888888889</v>
      </c>
      <c r="B162" s="32" t="s">
        <v>409</v>
      </c>
      <c r="C162" s="35" t="s">
        <v>411</v>
      </c>
      <c r="D162" s="32" t="s">
        <v>406</v>
      </c>
      <c r="E162" s="11" t="s">
        <v>37</v>
      </c>
    </row>
    <row r="163">
      <c r="A163" s="19">
        <v>0.46805555555555556</v>
      </c>
      <c r="B163" s="32" t="s">
        <v>410</v>
      </c>
      <c r="C163" s="35" t="s">
        <v>251</v>
      </c>
      <c r="D163" s="32" t="s">
        <v>407</v>
      </c>
      <c r="E163" s="11" t="s">
        <v>33</v>
      </c>
    </row>
    <row r="164">
      <c r="A164" s="19">
        <v>0.46805555555555556</v>
      </c>
      <c r="B164" s="32" t="s">
        <v>406</v>
      </c>
      <c r="C164" s="35" t="s">
        <v>42</v>
      </c>
      <c r="D164" s="32" t="s">
        <v>408</v>
      </c>
      <c r="E164" s="11" t="s">
        <v>37</v>
      </c>
    </row>
    <row r="165">
      <c r="A165" s="19">
        <v>0.4777777777777778</v>
      </c>
      <c r="B165" s="32" t="s">
        <v>409</v>
      </c>
      <c r="C165" s="35" t="s">
        <v>201</v>
      </c>
      <c r="D165" s="32" t="s">
        <v>407</v>
      </c>
      <c r="E165" s="11" t="s">
        <v>33</v>
      </c>
    </row>
    <row r="166">
      <c r="A166" s="19">
        <v>0.4777777777777778</v>
      </c>
      <c r="B166" s="32" t="s">
        <v>406</v>
      </c>
      <c r="C166" s="35" t="s">
        <v>404</v>
      </c>
      <c r="D166" s="32" t="s">
        <v>410</v>
      </c>
      <c r="E166" s="11" t="s">
        <v>37</v>
      </c>
    </row>
    <row r="167">
      <c r="A167" s="19">
        <v>0.48819444444444443</v>
      </c>
      <c r="B167" s="32" t="s">
        <v>407</v>
      </c>
      <c r="C167" s="35" t="s">
        <v>201</v>
      </c>
      <c r="D167" s="32" t="s">
        <v>406</v>
      </c>
      <c r="E167" s="11" t="s">
        <v>33</v>
      </c>
    </row>
    <row r="168">
      <c r="A168" s="19">
        <v>0.48819444444444443</v>
      </c>
      <c r="B168" s="32" t="s">
        <v>409</v>
      </c>
      <c r="C168" s="35" t="s">
        <v>68</v>
      </c>
      <c r="D168" s="32" t="s">
        <v>408</v>
      </c>
      <c r="E168" s="11" t="s">
        <v>37</v>
      </c>
    </row>
    <row r="169">
      <c r="A169" s="19">
        <v>0.4986111111111111</v>
      </c>
      <c r="B169" s="32" t="s">
        <v>407</v>
      </c>
      <c r="C169" s="35" t="s">
        <v>250</v>
      </c>
      <c r="D169" s="32" t="s">
        <v>408</v>
      </c>
      <c r="E169" s="11" t="s">
        <v>33</v>
      </c>
    </row>
    <row r="170">
      <c r="A170" s="19">
        <v>0.4986111111111111</v>
      </c>
      <c r="B170" s="32" t="s">
        <v>409</v>
      </c>
      <c r="C170" s="35" t="s">
        <v>362</v>
      </c>
      <c r="D170" s="32" t="s">
        <v>410</v>
      </c>
      <c r="E170" s="11" t="s">
        <v>37</v>
      </c>
    </row>
    <row r="171">
      <c r="A171" s="19">
        <v>0.5083333333333333</v>
      </c>
      <c r="B171" s="32" t="s">
        <v>408</v>
      </c>
      <c r="C171" s="35" t="s">
        <v>319</v>
      </c>
      <c r="D171" s="32" t="s">
        <v>410</v>
      </c>
      <c r="E171" s="11" t="s">
        <v>33</v>
      </c>
    </row>
    <row r="172">
      <c r="A172" s="19">
        <v>0.5083333333333333</v>
      </c>
      <c r="B172" s="32" t="s">
        <v>406</v>
      </c>
      <c r="C172" s="35" t="s">
        <v>218</v>
      </c>
      <c r="D172" s="32" t="s">
        <v>409</v>
      </c>
      <c r="E172" s="11" t="s">
        <v>37</v>
      </c>
    </row>
    <row r="173">
      <c r="A173" s="19">
        <v>0.51875</v>
      </c>
      <c r="B173" s="32" t="s">
        <v>407</v>
      </c>
      <c r="C173" s="35" t="s">
        <v>412</v>
      </c>
      <c r="D173" s="32" t="s">
        <v>410</v>
      </c>
      <c r="E173" s="11" t="s">
        <v>33</v>
      </c>
    </row>
    <row r="174">
      <c r="A174" s="19">
        <v>0.51875</v>
      </c>
      <c r="B174" s="32" t="s">
        <v>408</v>
      </c>
      <c r="C174" s="35" t="s">
        <v>413</v>
      </c>
      <c r="D174" s="32" t="s">
        <v>406</v>
      </c>
      <c r="E174" s="11" t="s">
        <v>37</v>
      </c>
    </row>
    <row r="175">
      <c r="A175" s="19">
        <v>0.5291666666666667</v>
      </c>
      <c r="B175" s="32" t="s">
        <v>407</v>
      </c>
      <c r="C175" s="35" t="s">
        <v>414</v>
      </c>
      <c r="D175" s="32" t="s">
        <v>409</v>
      </c>
      <c r="E175" s="11" t="s">
        <v>33</v>
      </c>
    </row>
    <row r="176">
      <c r="A176" s="19">
        <v>0.5291666666666667</v>
      </c>
      <c r="B176" s="32" t="s">
        <v>410</v>
      </c>
      <c r="C176" s="35" t="s">
        <v>261</v>
      </c>
      <c r="D176" s="32" t="s">
        <v>406</v>
      </c>
      <c r="E176" s="11" t="s">
        <v>37</v>
      </c>
    </row>
    <row r="177">
      <c r="A177" s="1"/>
      <c r="B177" s="1" t="s">
        <v>112</v>
      </c>
      <c r="C177" s="2"/>
      <c r="D177" s="3"/>
      <c r="E177" s="4"/>
    </row>
    <row r="178">
      <c r="A178" s="18" t="s">
        <v>1</v>
      </c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A179" s="19">
        <v>0.5416666666666666</v>
      </c>
      <c r="B179" s="32" t="s">
        <v>415</v>
      </c>
      <c r="C179" s="35" t="s">
        <v>416</v>
      </c>
      <c r="D179" s="32" t="s">
        <v>417</v>
      </c>
      <c r="E179" s="11" t="s">
        <v>9</v>
      </c>
    </row>
    <row r="180">
      <c r="A180" s="19">
        <v>0.5416666666666666</v>
      </c>
      <c r="B180" s="32" t="s">
        <v>418</v>
      </c>
      <c r="C180" s="35" t="s">
        <v>212</v>
      </c>
      <c r="D180" s="32" t="s">
        <v>419</v>
      </c>
      <c r="E180" s="11" t="s">
        <v>13</v>
      </c>
    </row>
    <row r="181">
      <c r="A181" s="19">
        <v>0.5513888888888889</v>
      </c>
      <c r="B181" s="32" t="s">
        <v>418</v>
      </c>
      <c r="C181" s="35" t="s">
        <v>19</v>
      </c>
      <c r="D181" s="32" t="s">
        <v>417</v>
      </c>
      <c r="E181" s="11" t="s">
        <v>9</v>
      </c>
    </row>
    <row r="182">
      <c r="A182" s="19">
        <v>0.5513888888888889</v>
      </c>
      <c r="B182" s="32" t="s">
        <v>388</v>
      </c>
      <c r="C182" s="35" t="s">
        <v>19</v>
      </c>
      <c r="D182" s="32" t="s">
        <v>419</v>
      </c>
      <c r="E182" s="11" t="s">
        <v>13</v>
      </c>
    </row>
    <row r="183">
      <c r="A183" s="19">
        <v>0.5618055555555556</v>
      </c>
      <c r="B183" s="32" t="s">
        <v>388</v>
      </c>
      <c r="C183" s="35" t="s">
        <v>286</v>
      </c>
      <c r="D183" s="32" t="s">
        <v>418</v>
      </c>
      <c r="E183" s="11" t="s">
        <v>9</v>
      </c>
    </row>
    <row r="184">
      <c r="A184" s="19">
        <v>0.5618055555555556</v>
      </c>
      <c r="B184" s="32" t="s">
        <v>419</v>
      </c>
      <c r="C184" s="35" t="s">
        <v>28</v>
      </c>
      <c r="D184" s="32" t="s">
        <v>415</v>
      </c>
      <c r="E184" s="11" t="s">
        <v>13</v>
      </c>
    </row>
    <row r="185">
      <c r="A185" s="19">
        <v>0.5722222222222222</v>
      </c>
      <c r="B185" s="32" t="s">
        <v>388</v>
      </c>
      <c r="C185" s="35" t="s">
        <v>25</v>
      </c>
      <c r="D185" s="32" t="s">
        <v>417</v>
      </c>
      <c r="E185" s="11" t="s">
        <v>9</v>
      </c>
    </row>
    <row r="186">
      <c r="A186" s="19">
        <v>0.5722222222222222</v>
      </c>
      <c r="B186" s="32" t="s">
        <v>415</v>
      </c>
      <c r="C186" s="35" t="s">
        <v>239</v>
      </c>
      <c r="D186" s="32" t="s">
        <v>418</v>
      </c>
      <c r="E186" s="11" t="s">
        <v>13</v>
      </c>
    </row>
    <row r="187">
      <c r="A187" s="19">
        <v>0.5819444444444445</v>
      </c>
      <c r="B187" s="32" t="s">
        <v>419</v>
      </c>
      <c r="C187" s="35" t="s">
        <v>7</v>
      </c>
      <c r="D187" s="32" t="s">
        <v>417</v>
      </c>
      <c r="E187" s="11" t="s">
        <v>9</v>
      </c>
    </row>
    <row r="188">
      <c r="A188" s="19">
        <v>0.5819444444444445</v>
      </c>
      <c r="B188" s="32" t="s">
        <v>415</v>
      </c>
      <c r="C188" s="35" t="s">
        <v>82</v>
      </c>
      <c r="D188" s="32" t="s">
        <v>388</v>
      </c>
      <c r="E188" s="11" t="s">
        <v>13</v>
      </c>
    </row>
    <row r="189">
      <c r="A189" s="19">
        <v>0.5923611111111111</v>
      </c>
      <c r="B189" s="32" t="s">
        <v>417</v>
      </c>
      <c r="C189" s="35" t="s">
        <v>42</v>
      </c>
      <c r="D189" s="32" t="s">
        <v>415</v>
      </c>
      <c r="E189" s="11" t="s">
        <v>9</v>
      </c>
    </row>
    <row r="190">
      <c r="A190" s="19">
        <v>0.5923611111111111</v>
      </c>
      <c r="B190" s="32" t="s">
        <v>419</v>
      </c>
      <c r="C190" s="35" t="s">
        <v>81</v>
      </c>
      <c r="D190" s="32" t="s">
        <v>418</v>
      </c>
      <c r="E190" s="11" t="s">
        <v>13</v>
      </c>
    </row>
    <row r="191">
      <c r="A191" s="19">
        <v>0.6027777777777777</v>
      </c>
      <c r="B191" s="32" t="s">
        <v>417</v>
      </c>
      <c r="C191" s="35" t="s">
        <v>38</v>
      </c>
      <c r="D191" s="32" t="s">
        <v>418</v>
      </c>
      <c r="E191" s="11" t="s">
        <v>9</v>
      </c>
    </row>
    <row r="192">
      <c r="A192" s="19">
        <v>0.6027777777777777</v>
      </c>
      <c r="B192" s="32" t="s">
        <v>419</v>
      </c>
      <c r="C192" s="35" t="s">
        <v>31</v>
      </c>
      <c r="D192" s="32" t="s">
        <v>388</v>
      </c>
      <c r="E192" s="11" t="s">
        <v>13</v>
      </c>
    </row>
    <row r="193">
      <c r="A193" s="19">
        <v>0.6125</v>
      </c>
      <c r="B193" s="32" t="s">
        <v>418</v>
      </c>
      <c r="C193" s="35" t="s">
        <v>87</v>
      </c>
      <c r="D193" s="32" t="s">
        <v>388</v>
      </c>
      <c r="E193" s="11" t="s">
        <v>9</v>
      </c>
    </row>
    <row r="194">
      <c r="A194" s="19">
        <v>0.6125</v>
      </c>
      <c r="B194" s="32" t="s">
        <v>415</v>
      </c>
      <c r="C194" s="35" t="s">
        <v>14</v>
      </c>
      <c r="D194" s="32" t="s">
        <v>419</v>
      </c>
      <c r="E194" s="11" t="s">
        <v>13</v>
      </c>
    </row>
    <row r="195">
      <c r="A195" s="19">
        <v>0.6229166666666667</v>
      </c>
      <c r="B195" s="32" t="s">
        <v>417</v>
      </c>
      <c r="C195" s="35" t="s">
        <v>31</v>
      </c>
      <c r="D195" s="32" t="s">
        <v>388</v>
      </c>
      <c r="E195" s="11" t="s">
        <v>9</v>
      </c>
    </row>
    <row r="196">
      <c r="A196" s="19">
        <v>0.6229166666666667</v>
      </c>
      <c r="B196" s="32" t="s">
        <v>418</v>
      </c>
      <c r="C196" s="35" t="s">
        <v>239</v>
      </c>
      <c r="D196" s="32" t="s">
        <v>415</v>
      </c>
      <c r="E196" s="11" t="s">
        <v>13</v>
      </c>
    </row>
    <row r="197">
      <c r="A197" s="19">
        <v>0.6333333333333333</v>
      </c>
      <c r="B197" s="32" t="s">
        <v>417</v>
      </c>
      <c r="C197" s="35" t="s">
        <v>286</v>
      </c>
      <c r="D197" s="32" t="s">
        <v>419</v>
      </c>
      <c r="E197" s="11" t="s">
        <v>9</v>
      </c>
    </row>
    <row r="198">
      <c r="A198" s="19">
        <v>0.6333333333333333</v>
      </c>
      <c r="B198" s="32" t="s">
        <v>388</v>
      </c>
      <c r="C198" s="35" t="s">
        <v>251</v>
      </c>
      <c r="D198" s="32" t="s">
        <v>415</v>
      </c>
      <c r="E198" s="11" t="s">
        <v>13</v>
      </c>
    </row>
    <row r="199">
      <c r="A199" s="1"/>
      <c r="B199" s="1" t="s">
        <v>112</v>
      </c>
      <c r="C199" s="2"/>
      <c r="D199" s="3"/>
      <c r="E199" s="4"/>
    </row>
    <row r="200">
      <c r="A200" s="18" t="s">
        <v>1</v>
      </c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A201" s="19">
        <v>0.5416666666666666</v>
      </c>
      <c r="B201" s="32" t="s">
        <v>420</v>
      </c>
      <c r="C201" s="35" t="s">
        <v>249</v>
      </c>
      <c r="D201" s="32" t="s">
        <v>421</v>
      </c>
      <c r="E201" s="11" t="s">
        <v>33</v>
      </c>
    </row>
    <row r="202">
      <c r="A202" s="19">
        <v>0.5416666666666666</v>
      </c>
      <c r="B202" s="32" t="s">
        <v>422</v>
      </c>
      <c r="C202" s="35" t="s">
        <v>232</v>
      </c>
      <c r="D202" s="32" t="s">
        <v>423</v>
      </c>
      <c r="E202" s="11" t="s">
        <v>37</v>
      </c>
    </row>
    <row r="203">
      <c r="A203" s="19">
        <v>0.5513888888888889</v>
      </c>
      <c r="B203" s="32" t="s">
        <v>422</v>
      </c>
      <c r="C203" s="35" t="s">
        <v>412</v>
      </c>
      <c r="D203" s="32" t="s">
        <v>421</v>
      </c>
      <c r="E203" s="11" t="s">
        <v>33</v>
      </c>
    </row>
    <row r="204">
      <c r="A204" s="19">
        <v>0.5513888888888889</v>
      </c>
      <c r="B204" s="32" t="s">
        <v>424</v>
      </c>
      <c r="C204" s="35" t="s">
        <v>24</v>
      </c>
      <c r="D204" s="32" t="s">
        <v>423</v>
      </c>
      <c r="E204" s="11" t="s">
        <v>37</v>
      </c>
    </row>
    <row r="205">
      <c r="A205" s="19">
        <v>0.5618055555555556</v>
      </c>
      <c r="B205" s="32" t="s">
        <v>424</v>
      </c>
      <c r="C205" s="35" t="s">
        <v>425</v>
      </c>
      <c r="D205" s="32" t="s">
        <v>422</v>
      </c>
      <c r="E205" s="11" t="s">
        <v>33</v>
      </c>
    </row>
    <row r="206">
      <c r="A206" s="19">
        <v>0.5618055555555556</v>
      </c>
      <c r="B206" s="32" t="s">
        <v>423</v>
      </c>
      <c r="C206" s="35" t="s">
        <v>244</v>
      </c>
      <c r="D206" s="32" t="s">
        <v>420</v>
      </c>
      <c r="E206" s="11" t="s">
        <v>37</v>
      </c>
    </row>
    <row r="207">
      <c r="A207" s="19">
        <v>0.5722222222222222</v>
      </c>
      <c r="B207" s="32" t="s">
        <v>424</v>
      </c>
      <c r="C207" s="35" t="s">
        <v>195</v>
      </c>
      <c r="D207" s="32" t="s">
        <v>421</v>
      </c>
      <c r="E207" s="11" t="s">
        <v>33</v>
      </c>
    </row>
    <row r="208">
      <c r="A208" s="19">
        <v>0.5722222222222222</v>
      </c>
      <c r="B208" s="32" t="s">
        <v>420</v>
      </c>
      <c r="C208" s="35" t="s">
        <v>285</v>
      </c>
      <c r="D208" s="32" t="s">
        <v>422</v>
      </c>
      <c r="E208" s="11" t="s">
        <v>37</v>
      </c>
    </row>
    <row r="209">
      <c r="A209" s="19">
        <v>0.5819444444444445</v>
      </c>
      <c r="B209" s="32" t="s">
        <v>423</v>
      </c>
      <c r="C209" s="35" t="s">
        <v>7</v>
      </c>
      <c r="D209" s="32" t="s">
        <v>421</v>
      </c>
      <c r="E209" s="11" t="s">
        <v>33</v>
      </c>
    </row>
    <row r="210">
      <c r="A210" s="19">
        <v>0.5819444444444445</v>
      </c>
      <c r="B210" s="32" t="s">
        <v>420</v>
      </c>
      <c r="C210" s="35" t="s">
        <v>71</v>
      </c>
      <c r="D210" s="32" t="s">
        <v>424</v>
      </c>
      <c r="E210" s="11" t="s">
        <v>37</v>
      </c>
      <c r="G210" s="36"/>
    </row>
    <row r="211">
      <c r="A211" s="19">
        <v>0.5923611111111111</v>
      </c>
      <c r="B211" s="32" t="s">
        <v>421</v>
      </c>
      <c r="C211" s="35" t="s">
        <v>28</v>
      </c>
      <c r="D211" s="32" t="s">
        <v>420</v>
      </c>
      <c r="E211" s="11" t="s">
        <v>33</v>
      </c>
    </row>
    <row r="212">
      <c r="A212" s="19">
        <v>0.5923611111111111</v>
      </c>
      <c r="B212" s="32" t="s">
        <v>423</v>
      </c>
      <c r="C212" s="35" t="s">
        <v>426</v>
      </c>
      <c r="D212" s="32" t="s">
        <v>422</v>
      </c>
      <c r="E212" s="11" t="s">
        <v>37</v>
      </c>
    </row>
    <row r="213">
      <c r="A213" s="19">
        <v>0.6027777777777777</v>
      </c>
      <c r="B213" s="32" t="s">
        <v>421</v>
      </c>
      <c r="C213" s="35" t="s">
        <v>218</v>
      </c>
      <c r="D213" s="32" t="s">
        <v>422</v>
      </c>
      <c r="E213" s="11" t="s">
        <v>33</v>
      </c>
    </row>
    <row r="214">
      <c r="A214" s="19">
        <v>0.6027777777777777</v>
      </c>
      <c r="B214" s="32" t="s">
        <v>423</v>
      </c>
      <c r="C214" s="35" t="s">
        <v>427</v>
      </c>
      <c r="D214" s="32" t="s">
        <v>424</v>
      </c>
      <c r="E214" s="11" t="s">
        <v>37</v>
      </c>
    </row>
    <row r="215">
      <c r="A215" s="19">
        <v>0.6125</v>
      </c>
      <c r="B215" s="32" t="s">
        <v>422</v>
      </c>
      <c r="C215" s="35" t="s">
        <v>416</v>
      </c>
      <c r="D215" s="32" t="s">
        <v>424</v>
      </c>
      <c r="E215" s="11" t="s">
        <v>33</v>
      </c>
    </row>
    <row r="216">
      <c r="A216" s="19">
        <v>0.6125</v>
      </c>
      <c r="B216" s="32" t="s">
        <v>420</v>
      </c>
      <c r="C216" s="35" t="s">
        <v>26</v>
      </c>
      <c r="D216" s="32" t="s">
        <v>423</v>
      </c>
      <c r="E216" s="11" t="s">
        <v>37</v>
      </c>
    </row>
    <row r="217">
      <c r="A217" s="19">
        <v>0.6229166666666667</v>
      </c>
      <c r="B217" s="32" t="s">
        <v>421</v>
      </c>
      <c r="C217" s="35" t="s">
        <v>412</v>
      </c>
      <c r="D217" s="32" t="s">
        <v>424</v>
      </c>
      <c r="E217" s="11" t="s">
        <v>33</v>
      </c>
    </row>
    <row r="218">
      <c r="A218" s="19">
        <v>0.6229166666666667</v>
      </c>
      <c r="B218" s="32" t="s">
        <v>422</v>
      </c>
      <c r="C218" s="35" t="s">
        <v>194</v>
      </c>
      <c r="D218" s="32" t="s">
        <v>420</v>
      </c>
      <c r="E218" s="11" t="s">
        <v>37</v>
      </c>
    </row>
    <row r="219">
      <c r="A219" s="19">
        <v>0.6333333333333333</v>
      </c>
      <c r="B219" s="32" t="s">
        <v>421</v>
      </c>
      <c r="C219" s="35" t="s">
        <v>428</v>
      </c>
      <c r="D219" s="32" t="s">
        <v>423</v>
      </c>
      <c r="E219" s="11" t="s">
        <v>33</v>
      </c>
    </row>
    <row r="220">
      <c r="A220" s="19">
        <v>0.6333333333333333</v>
      </c>
      <c r="B220" s="32" t="s">
        <v>424</v>
      </c>
      <c r="C220" s="35" t="s">
        <v>283</v>
      </c>
      <c r="D220" s="32" t="s">
        <v>420</v>
      </c>
      <c r="E220" s="11" t="s">
        <v>37</v>
      </c>
    </row>
    <row r="221">
      <c r="A221" s="27"/>
      <c r="B221" s="28" t="s">
        <v>123</v>
      </c>
      <c r="C221" s="2"/>
      <c r="D221" s="3"/>
      <c r="E221" s="29"/>
    </row>
    <row r="222">
      <c r="A222" s="18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9">
        <v>0.6458333333333334</v>
      </c>
      <c r="B223" s="34" t="s">
        <v>429</v>
      </c>
      <c r="C223" s="33" t="s">
        <v>305</v>
      </c>
      <c r="D223" s="34" t="s">
        <v>430</v>
      </c>
      <c r="E223" s="11" t="s">
        <v>9</v>
      </c>
    </row>
    <row r="224">
      <c r="A224" s="19">
        <v>0.6458333333333334</v>
      </c>
      <c r="B224" s="34" t="s">
        <v>431</v>
      </c>
      <c r="C224" s="33" t="s">
        <v>66</v>
      </c>
      <c r="D224" s="34" t="s">
        <v>432</v>
      </c>
      <c r="E224" s="11" t="s">
        <v>13</v>
      </c>
    </row>
    <row r="225">
      <c r="A225" s="19">
        <v>0.6555555555555556</v>
      </c>
      <c r="B225" s="34" t="s">
        <v>431</v>
      </c>
      <c r="C225" s="33" t="s">
        <v>64</v>
      </c>
      <c r="D225" s="34" t="s">
        <v>430</v>
      </c>
      <c r="E225" s="11" t="s">
        <v>9</v>
      </c>
    </row>
    <row r="226">
      <c r="A226" s="19">
        <v>0.6555555555555556</v>
      </c>
      <c r="B226" s="34" t="s">
        <v>433</v>
      </c>
      <c r="C226" s="33" t="s">
        <v>67</v>
      </c>
      <c r="D226" s="34" t="s">
        <v>432</v>
      </c>
      <c r="E226" s="11" t="s">
        <v>13</v>
      </c>
    </row>
    <row r="227">
      <c r="A227" s="19">
        <v>0.6659722222222222</v>
      </c>
      <c r="B227" s="34" t="s">
        <v>433</v>
      </c>
      <c r="C227" s="33" t="s">
        <v>306</v>
      </c>
      <c r="D227" s="34" t="s">
        <v>431</v>
      </c>
      <c r="E227" s="11" t="s">
        <v>9</v>
      </c>
    </row>
    <row r="228">
      <c r="A228" s="19">
        <v>0.6659722222222222</v>
      </c>
      <c r="B228" s="34" t="s">
        <v>432</v>
      </c>
      <c r="C228" s="33" t="s">
        <v>283</v>
      </c>
      <c r="D228" s="34" t="s">
        <v>429</v>
      </c>
      <c r="E228" s="11" t="s">
        <v>13</v>
      </c>
    </row>
    <row r="229">
      <c r="A229" s="19">
        <v>0.6763888888888889</v>
      </c>
      <c r="B229" s="34" t="s">
        <v>433</v>
      </c>
      <c r="C229" s="33" t="s">
        <v>88</v>
      </c>
      <c r="D229" s="34" t="s">
        <v>430</v>
      </c>
      <c r="E229" s="11" t="s">
        <v>9</v>
      </c>
    </row>
    <row r="230">
      <c r="A230" s="19">
        <v>0.6763888888888889</v>
      </c>
      <c r="B230" s="34" t="s">
        <v>429</v>
      </c>
      <c r="C230" s="33" t="s">
        <v>17</v>
      </c>
      <c r="D230" s="34" t="s">
        <v>431</v>
      </c>
      <c r="E230" s="11" t="s">
        <v>13</v>
      </c>
    </row>
    <row r="231">
      <c r="A231" s="19">
        <v>0.6861111111111111</v>
      </c>
      <c r="B231" s="34" t="s">
        <v>432</v>
      </c>
      <c r="C231" s="33" t="s">
        <v>434</v>
      </c>
      <c r="D231" s="34" t="s">
        <v>430</v>
      </c>
      <c r="E231" s="11" t="s">
        <v>9</v>
      </c>
    </row>
    <row r="232">
      <c r="A232" s="19">
        <v>0.6861111111111111</v>
      </c>
      <c r="B232" s="34" t="s">
        <v>429</v>
      </c>
      <c r="C232" s="33" t="s">
        <v>328</v>
      </c>
      <c r="D232" s="34" t="s">
        <v>433</v>
      </c>
      <c r="E232" s="11" t="s">
        <v>13</v>
      </c>
    </row>
    <row r="233">
      <c r="A233" s="19">
        <v>0.6965277777777777</v>
      </c>
      <c r="B233" s="34" t="s">
        <v>430</v>
      </c>
      <c r="C233" s="33" t="s">
        <v>19</v>
      </c>
      <c r="D233" s="34" t="s">
        <v>429</v>
      </c>
      <c r="E233" s="11" t="s">
        <v>9</v>
      </c>
    </row>
    <row r="234">
      <c r="A234" s="19">
        <v>0.6965277777777777</v>
      </c>
      <c r="B234" s="34" t="s">
        <v>432</v>
      </c>
      <c r="C234" s="33" t="s">
        <v>42</v>
      </c>
      <c r="D234" s="34" t="s">
        <v>431</v>
      </c>
      <c r="E234" s="11" t="s">
        <v>13</v>
      </c>
    </row>
    <row r="235">
      <c r="A235" s="19">
        <v>0.7069444444444445</v>
      </c>
      <c r="B235" s="34" t="s">
        <v>430</v>
      </c>
      <c r="C235" s="35" t="s">
        <v>17</v>
      </c>
      <c r="D235" s="34" t="s">
        <v>431</v>
      </c>
      <c r="E235" s="11" t="s">
        <v>9</v>
      </c>
    </row>
    <row r="236">
      <c r="A236" s="19">
        <v>0.7069444444444445</v>
      </c>
      <c r="B236" s="34" t="s">
        <v>432</v>
      </c>
      <c r="C236" s="35" t="s">
        <v>435</v>
      </c>
      <c r="D236" s="34" t="s">
        <v>433</v>
      </c>
      <c r="E236" s="11" t="s">
        <v>13</v>
      </c>
    </row>
    <row r="237">
      <c r="A237" s="19">
        <v>0.7166666666666667</v>
      </c>
      <c r="B237" s="34" t="s">
        <v>431</v>
      </c>
      <c r="C237" s="35" t="s">
        <v>207</v>
      </c>
      <c r="D237" s="34" t="s">
        <v>433</v>
      </c>
      <c r="E237" s="11" t="s">
        <v>9</v>
      </c>
    </row>
    <row r="238">
      <c r="A238" s="19">
        <v>0.7166666666666667</v>
      </c>
      <c r="B238" s="34" t="s">
        <v>429</v>
      </c>
      <c r="C238" s="35" t="s">
        <v>25</v>
      </c>
      <c r="D238" s="34" t="s">
        <v>432</v>
      </c>
      <c r="E238" s="11" t="s">
        <v>13</v>
      </c>
    </row>
    <row r="239">
      <c r="A239" s="19">
        <v>0.7270833333333333</v>
      </c>
      <c r="B239" s="34" t="s">
        <v>430</v>
      </c>
      <c r="C239" s="35" t="s">
        <v>11</v>
      </c>
      <c r="D239" s="34" t="s">
        <v>433</v>
      </c>
      <c r="E239" s="11" t="s">
        <v>9</v>
      </c>
    </row>
    <row r="240">
      <c r="A240" s="19">
        <v>0.7270833333333333</v>
      </c>
      <c r="B240" s="34" t="s">
        <v>431</v>
      </c>
      <c r="C240" s="35" t="s">
        <v>55</v>
      </c>
      <c r="D240" s="34" t="s">
        <v>429</v>
      </c>
      <c r="E240" s="11" t="s">
        <v>13</v>
      </c>
    </row>
    <row r="241">
      <c r="A241" s="19">
        <v>0.7375</v>
      </c>
      <c r="B241" s="34" t="s">
        <v>430</v>
      </c>
      <c r="C241" s="35" t="s">
        <v>66</v>
      </c>
      <c r="D241" s="34" t="s">
        <v>432</v>
      </c>
      <c r="E241" s="11" t="s">
        <v>9</v>
      </c>
    </row>
    <row r="242">
      <c r="A242" s="19">
        <v>0.7375</v>
      </c>
      <c r="B242" s="34" t="s">
        <v>433</v>
      </c>
      <c r="C242" s="35" t="s">
        <v>68</v>
      </c>
      <c r="D242" s="34" t="s">
        <v>429</v>
      </c>
      <c r="E242" s="11" t="s">
        <v>13</v>
      </c>
    </row>
    <row r="243">
      <c r="A243" s="27"/>
      <c r="B243" s="28" t="s">
        <v>123</v>
      </c>
      <c r="C243" s="2"/>
      <c r="D243" s="3"/>
      <c r="E243" s="29"/>
    </row>
    <row r="244">
      <c r="A244" s="18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9">
        <v>0.6458333333333334</v>
      </c>
      <c r="B245" s="34" t="s">
        <v>436</v>
      </c>
      <c r="C245" s="35" t="s">
        <v>67</v>
      </c>
      <c r="D245" s="34" t="s">
        <v>437</v>
      </c>
      <c r="E245" s="11" t="s">
        <v>33</v>
      </c>
    </row>
    <row r="246">
      <c r="A246" s="19">
        <v>0.6458333333333334</v>
      </c>
      <c r="B246" s="34" t="s">
        <v>438</v>
      </c>
      <c r="C246" s="35" t="s">
        <v>45</v>
      </c>
      <c r="D246" s="34" t="s">
        <v>439</v>
      </c>
      <c r="E246" s="11" t="s">
        <v>37</v>
      </c>
    </row>
    <row r="247">
      <c r="A247" s="19">
        <v>0.6555555555555556</v>
      </c>
      <c r="B247" s="34" t="s">
        <v>438</v>
      </c>
      <c r="C247" s="35" t="s">
        <v>440</v>
      </c>
      <c r="D247" s="34" t="s">
        <v>437</v>
      </c>
      <c r="E247" s="11" t="s">
        <v>33</v>
      </c>
    </row>
    <row r="248">
      <c r="A248" s="19">
        <v>0.6555555555555556</v>
      </c>
      <c r="B248" s="34" t="s">
        <v>441</v>
      </c>
      <c r="C248" s="35" t="s">
        <v>293</v>
      </c>
      <c r="D248" s="34" t="s">
        <v>439</v>
      </c>
      <c r="E248" s="11" t="s">
        <v>37</v>
      </c>
    </row>
    <row r="249">
      <c r="A249" s="19">
        <v>0.6659722222222222</v>
      </c>
      <c r="B249" s="34" t="s">
        <v>441</v>
      </c>
      <c r="C249" s="35" t="s">
        <v>289</v>
      </c>
      <c r="D249" s="34" t="s">
        <v>438</v>
      </c>
      <c r="E249" s="11" t="s">
        <v>33</v>
      </c>
    </row>
    <row r="250">
      <c r="A250" s="19">
        <v>0.6659722222222222</v>
      </c>
      <c r="B250" s="34" t="s">
        <v>439</v>
      </c>
      <c r="C250" s="35" t="s">
        <v>353</v>
      </c>
      <c r="D250" s="34" t="s">
        <v>436</v>
      </c>
      <c r="E250" s="11" t="s">
        <v>37</v>
      </c>
    </row>
    <row r="251">
      <c r="A251" s="19">
        <v>0.6763888888888889</v>
      </c>
      <c r="B251" s="34" t="s">
        <v>441</v>
      </c>
      <c r="C251" s="35" t="s">
        <v>195</v>
      </c>
      <c r="D251" s="34" t="s">
        <v>437</v>
      </c>
      <c r="E251" s="11" t="s">
        <v>33</v>
      </c>
    </row>
    <row r="252">
      <c r="A252" s="19">
        <v>0.6763888888888889</v>
      </c>
      <c r="B252" s="34" t="s">
        <v>436</v>
      </c>
      <c r="C252" s="35" t="s">
        <v>239</v>
      </c>
      <c r="D252" s="34" t="s">
        <v>438</v>
      </c>
      <c r="E252" s="11" t="s">
        <v>37</v>
      </c>
    </row>
    <row r="253">
      <c r="A253" s="19">
        <v>0.6861111111111111</v>
      </c>
      <c r="B253" s="34" t="s">
        <v>439</v>
      </c>
      <c r="C253" s="35" t="s">
        <v>442</v>
      </c>
      <c r="D253" s="34" t="s">
        <v>437</v>
      </c>
      <c r="E253" s="11" t="s">
        <v>33</v>
      </c>
    </row>
    <row r="254">
      <c r="A254" s="19">
        <v>0.6861111111111111</v>
      </c>
      <c r="B254" s="34" t="s">
        <v>436</v>
      </c>
      <c r="C254" s="35" t="s">
        <v>87</v>
      </c>
      <c r="D254" s="34" t="s">
        <v>441</v>
      </c>
      <c r="E254" s="11" t="s">
        <v>37</v>
      </c>
    </row>
    <row r="255">
      <c r="A255" s="19">
        <v>0.6965277777777777</v>
      </c>
      <c r="B255" s="34" t="s">
        <v>437</v>
      </c>
      <c r="C255" s="35" t="s">
        <v>443</v>
      </c>
      <c r="D255" s="34" t="s">
        <v>436</v>
      </c>
      <c r="E255" s="11" t="s">
        <v>33</v>
      </c>
    </row>
    <row r="256">
      <c r="A256" s="19">
        <v>0.6965277777777777</v>
      </c>
      <c r="B256" s="34" t="s">
        <v>439</v>
      </c>
      <c r="C256" s="35" t="s">
        <v>444</v>
      </c>
      <c r="D256" s="34" t="s">
        <v>438</v>
      </c>
      <c r="E256" s="11" t="s">
        <v>37</v>
      </c>
    </row>
    <row r="257">
      <c r="A257" s="19">
        <v>0.7069444444444445</v>
      </c>
      <c r="B257" s="34" t="s">
        <v>437</v>
      </c>
      <c r="C257" s="35" t="s">
        <v>445</v>
      </c>
      <c r="D257" s="34" t="s">
        <v>438</v>
      </c>
      <c r="E257" s="11" t="s">
        <v>33</v>
      </c>
    </row>
    <row r="258">
      <c r="A258" s="19">
        <v>0.7069444444444445</v>
      </c>
      <c r="B258" s="34" t="s">
        <v>439</v>
      </c>
      <c r="C258" s="35" t="s">
        <v>16</v>
      </c>
      <c r="D258" s="34" t="s">
        <v>441</v>
      </c>
      <c r="E258" s="11" t="s">
        <v>37</v>
      </c>
    </row>
    <row r="259">
      <c r="A259" s="19">
        <v>0.7166666666666667</v>
      </c>
      <c r="B259" s="34" t="s">
        <v>438</v>
      </c>
      <c r="C259" s="35" t="s">
        <v>70</v>
      </c>
      <c r="D259" s="34" t="s">
        <v>441</v>
      </c>
      <c r="E259" s="11" t="s">
        <v>33</v>
      </c>
    </row>
    <row r="260">
      <c r="A260" s="19">
        <v>0.7166666666666667</v>
      </c>
      <c r="B260" s="34" t="s">
        <v>436</v>
      </c>
      <c r="C260" s="35" t="s">
        <v>62</v>
      </c>
      <c r="D260" s="41" t="s">
        <v>439</v>
      </c>
      <c r="E260" s="11" t="s">
        <v>37</v>
      </c>
    </row>
    <row r="261">
      <c r="A261" s="19">
        <v>0.7270833333333333</v>
      </c>
      <c r="B261" s="34" t="s">
        <v>437</v>
      </c>
      <c r="C261" s="35" t="s">
        <v>446</v>
      </c>
      <c r="D261" s="34" t="s">
        <v>441</v>
      </c>
      <c r="E261" s="11" t="s">
        <v>33</v>
      </c>
    </row>
    <row r="262">
      <c r="A262" s="19">
        <v>0.7270833333333333</v>
      </c>
      <c r="B262" s="34" t="s">
        <v>438</v>
      </c>
      <c r="C262" s="35" t="s">
        <v>447</v>
      </c>
      <c r="D262" s="34" t="s">
        <v>436</v>
      </c>
      <c r="E262" s="11" t="s">
        <v>37</v>
      </c>
    </row>
    <row r="263">
      <c r="A263" s="19">
        <v>0.7375</v>
      </c>
      <c r="B263" s="34" t="s">
        <v>437</v>
      </c>
      <c r="C263" s="35" t="s">
        <v>217</v>
      </c>
      <c r="D263" s="34" t="s">
        <v>439</v>
      </c>
      <c r="E263" s="11" t="s">
        <v>33</v>
      </c>
    </row>
    <row r="264">
      <c r="A264" s="19">
        <v>0.7375</v>
      </c>
      <c r="B264" s="34" t="s">
        <v>441</v>
      </c>
      <c r="C264" s="35" t="s">
        <v>285</v>
      </c>
      <c r="D264" s="34" t="s">
        <v>436</v>
      </c>
      <c r="E264" s="11" t="s">
        <v>37</v>
      </c>
    </row>
    <row r="265">
      <c r="A265" s="27"/>
      <c r="B265" s="28" t="s">
        <v>134</v>
      </c>
      <c r="C265" s="2"/>
      <c r="D265" s="3"/>
      <c r="E265" s="29"/>
    </row>
    <row r="266">
      <c r="A266" s="18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9">
        <v>0.75</v>
      </c>
      <c r="B267" s="34" t="s">
        <v>448</v>
      </c>
      <c r="C267" s="42" t="s">
        <v>449</v>
      </c>
      <c r="D267" s="34" t="s">
        <v>450</v>
      </c>
      <c r="E267" s="43" t="s">
        <v>9</v>
      </c>
    </row>
    <row r="268">
      <c r="A268" s="19">
        <v>0.75</v>
      </c>
      <c r="B268" s="34" t="s">
        <v>451</v>
      </c>
      <c r="C268" s="35" t="s">
        <v>197</v>
      </c>
      <c r="D268" s="34" t="s">
        <v>452</v>
      </c>
      <c r="E268" s="11" t="s">
        <v>13</v>
      </c>
    </row>
    <row r="269">
      <c r="A269" s="19">
        <v>0.7597222222222222</v>
      </c>
      <c r="B269" s="34" t="s">
        <v>451</v>
      </c>
      <c r="C269" s="35" t="s">
        <v>453</v>
      </c>
      <c r="D269" s="34" t="s">
        <v>450</v>
      </c>
      <c r="E269" s="11" t="s">
        <v>9</v>
      </c>
    </row>
    <row r="270">
      <c r="A270" s="19">
        <v>0.7597222222222222</v>
      </c>
      <c r="B270" s="34" t="s">
        <v>454</v>
      </c>
      <c r="C270" s="35" t="s">
        <v>19</v>
      </c>
      <c r="D270" s="34" t="s">
        <v>452</v>
      </c>
      <c r="E270" s="11" t="s">
        <v>13</v>
      </c>
    </row>
    <row r="271">
      <c r="A271" s="19">
        <v>0.7701388888888889</v>
      </c>
      <c r="B271" s="34" t="s">
        <v>454</v>
      </c>
      <c r="C271" s="35" t="s">
        <v>455</v>
      </c>
      <c r="D271" s="34" t="s">
        <v>451</v>
      </c>
      <c r="E271" s="11" t="s">
        <v>9</v>
      </c>
    </row>
    <row r="272">
      <c r="A272" s="19">
        <v>0.7701388888888889</v>
      </c>
      <c r="B272" s="34" t="s">
        <v>452</v>
      </c>
      <c r="C272" s="35" t="s">
        <v>25</v>
      </c>
      <c r="D272" s="34" t="s">
        <v>448</v>
      </c>
      <c r="E272" s="11" t="s">
        <v>13</v>
      </c>
    </row>
    <row r="273">
      <c r="A273" s="19">
        <v>0.7805555555555556</v>
      </c>
      <c r="B273" s="34" t="s">
        <v>454</v>
      </c>
      <c r="C273" s="35" t="s">
        <v>456</v>
      </c>
      <c r="D273" s="34" t="s">
        <v>450</v>
      </c>
      <c r="E273" s="11" t="s">
        <v>9</v>
      </c>
    </row>
    <row r="274">
      <c r="A274" s="19">
        <v>0.7805555555555556</v>
      </c>
      <c r="B274" s="34" t="s">
        <v>448</v>
      </c>
      <c r="C274" s="35" t="s">
        <v>195</v>
      </c>
      <c r="D274" s="34" t="s">
        <v>451</v>
      </c>
      <c r="E274" s="11" t="s">
        <v>13</v>
      </c>
    </row>
    <row r="275">
      <c r="A275" s="19">
        <v>0.7902777777777777</v>
      </c>
      <c r="B275" s="34" t="s">
        <v>452</v>
      </c>
      <c r="C275" s="35" t="s">
        <v>47</v>
      </c>
      <c r="D275" s="34" t="s">
        <v>450</v>
      </c>
      <c r="E275" s="11" t="s">
        <v>9</v>
      </c>
    </row>
    <row r="276">
      <c r="A276" s="19">
        <v>0.7902777777777777</v>
      </c>
      <c r="B276" s="34" t="s">
        <v>448</v>
      </c>
      <c r="C276" s="35" t="s">
        <v>17</v>
      </c>
      <c r="D276" s="34" t="s">
        <v>454</v>
      </c>
      <c r="E276" s="11" t="s">
        <v>13</v>
      </c>
    </row>
    <row r="277">
      <c r="A277" s="19">
        <v>0.8006944444444445</v>
      </c>
      <c r="B277" s="34" t="s">
        <v>450</v>
      </c>
      <c r="C277" s="35" t="s">
        <v>55</v>
      </c>
      <c r="D277" s="34" t="s">
        <v>448</v>
      </c>
      <c r="E277" s="11" t="s">
        <v>9</v>
      </c>
    </row>
    <row r="278">
      <c r="A278" s="19">
        <v>0.8006944444444445</v>
      </c>
      <c r="B278" s="34" t="s">
        <v>452</v>
      </c>
      <c r="C278" s="35" t="s">
        <v>304</v>
      </c>
      <c r="D278" s="34" t="s">
        <v>451</v>
      </c>
      <c r="E278" s="11" t="s">
        <v>13</v>
      </c>
    </row>
    <row r="279">
      <c r="A279" s="19">
        <v>0.8111111111111111</v>
      </c>
      <c r="B279" s="34" t="s">
        <v>450</v>
      </c>
      <c r="C279" s="35" t="s">
        <v>400</v>
      </c>
      <c r="D279" s="34" t="s">
        <v>451</v>
      </c>
      <c r="E279" s="11" t="s">
        <v>9</v>
      </c>
    </row>
    <row r="280">
      <c r="A280" s="19">
        <v>0.8111111111111111</v>
      </c>
      <c r="B280" s="34" t="s">
        <v>452</v>
      </c>
      <c r="C280" s="35" t="s">
        <v>193</v>
      </c>
      <c r="D280" s="34" t="s">
        <v>454</v>
      </c>
      <c r="E280" s="11" t="s">
        <v>13</v>
      </c>
    </row>
    <row r="281">
      <c r="A281" s="19">
        <v>0.8208333333333333</v>
      </c>
      <c r="B281" s="34" t="s">
        <v>451</v>
      </c>
      <c r="C281" s="35" t="s">
        <v>69</v>
      </c>
      <c r="D281" s="34" t="s">
        <v>454</v>
      </c>
      <c r="E281" s="11" t="s">
        <v>9</v>
      </c>
    </row>
    <row r="282">
      <c r="A282" s="19">
        <v>0.8208333333333333</v>
      </c>
      <c r="B282" s="34" t="s">
        <v>448</v>
      </c>
      <c r="C282" s="35" t="s">
        <v>19</v>
      </c>
      <c r="D282" s="34" t="s">
        <v>452</v>
      </c>
      <c r="E282" s="11" t="s">
        <v>13</v>
      </c>
    </row>
    <row r="283">
      <c r="A283" s="19">
        <v>0.83125</v>
      </c>
      <c r="B283" s="34" t="s">
        <v>450</v>
      </c>
      <c r="C283" s="35" t="s">
        <v>297</v>
      </c>
      <c r="D283" s="34" t="s">
        <v>454</v>
      </c>
      <c r="E283" s="11" t="s">
        <v>9</v>
      </c>
    </row>
    <row r="284">
      <c r="A284" s="19">
        <v>0.83125</v>
      </c>
      <c r="B284" s="34" t="s">
        <v>451</v>
      </c>
      <c r="C284" s="35" t="s">
        <v>260</v>
      </c>
      <c r="D284" s="34" t="s">
        <v>448</v>
      </c>
      <c r="E284" s="11" t="s">
        <v>13</v>
      </c>
    </row>
    <row r="285">
      <c r="A285" s="19">
        <v>0.8416666666666667</v>
      </c>
      <c r="B285" s="34" t="s">
        <v>450</v>
      </c>
      <c r="C285" s="35" t="s">
        <v>64</v>
      </c>
      <c r="D285" s="34" t="s">
        <v>452</v>
      </c>
      <c r="E285" s="11" t="s">
        <v>9</v>
      </c>
    </row>
    <row r="286">
      <c r="A286" s="19">
        <v>0.8416666666666667</v>
      </c>
      <c r="B286" s="34" t="s">
        <v>454</v>
      </c>
      <c r="C286" s="35" t="s">
        <v>193</v>
      </c>
      <c r="D286" s="34" t="s">
        <v>448</v>
      </c>
      <c r="E286" s="11" t="s">
        <v>13</v>
      </c>
    </row>
    <row r="287">
      <c r="A287" s="27"/>
      <c r="B287" s="28" t="s">
        <v>134</v>
      </c>
      <c r="C287" s="2"/>
      <c r="D287" s="3"/>
      <c r="E287" s="29"/>
    </row>
    <row r="288">
      <c r="A288" s="18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9">
        <v>0.75</v>
      </c>
      <c r="B289" s="34" t="s">
        <v>457</v>
      </c>
      <c r="C289" s="35" t="s">
        <v>31</v>
      </c>
      <c r="D289" s="34" t="s">
        <v>458</v>
      </c>
      <c r="E289" s="11" t="s">
        <v>33</v>
      </c>
    </row>
    <row r="290">
      <c r="A290" s="19">
        <v>0.75</v>
      </c>
      <c r="B290" s="34" t="s">
        <v>459</v>
      </c>
      <c r="C290" s="35" t="s">
        <v>460</v>
      </c>
      <c r="D290" s="34" t="s">
        <v>461</v>
      </c>
      <c r="E290" s="11" t="s">
        <v>37</v>
      </c>
    </row>
    <row r="291">
      <c r="A291" s="19">
        <v>0.7597222222222222</v>
      </c>
      <c r="B291" s="34" t="s">
        <v>459</v>
      </c>
      <c r="C291" s="35" t="s">
        <v>72</v>
      </c>
      <c r="D291" s="34" t="s">
        <v>458</v>
      </c>
      <c r="E291" s="11" t="s">
        <v>33</v>
      </c>
    </row>
    <row r="292">
      <c r="A292" s="19">
        <v>0.7597222222222222</v>
      </c>
      <c r="B292" s="34" t="s">
        <v>462</v>
      </c>
      <c r="C292" s="35" t="s">
        <v>463</v>
      </c>
      <c r="D292" s="34" t="s">
        <v>461</v>
      </c>
      <c r="E292" s="11" t="s">
        <v>37</v>
      </c>
    </row>
    <row r="293">
      <c r="A293" s="19">
        <v>0.7701388888888889</v>
      </c>
      <c r="B293" s="34" t="s">
        <v>462</v>
      </c>
      <c r="C293" s="35" t="s">
        <v>217</v>
      </c>
      <c r="D293" s="34" t="s">
        <v>459</v>
      </c>
      <c r="E293" s="11" t="s">
        <v>33</v>
      </c>
    </row>
    <row r="294">
      <c r="A294" s="19">
        <v>0.7701388888888889</v>
      </c>
      <c r="B294" s="34" t="s">
        <v>461</v>
      </c>
      <c r="C294" s="35" t="s">
        <v>48</v>
      </c>
      <c r="D294" s="34" t="s">
        <v>457</v>
      </c>
      <c r="E294" s="11" t="s">
        <v>37</v>
      </c>
    </row>
    <row r="295">
      <c r="A295" s="19">
        <v>0.7805555555555556</v>
      </c>
      <c r="B295" s="34" t="s">
        <v>462</v>
      </c>
      <c r="C295" s="35" t="s">
        <v>17</v>
      </c>
      <c r="D295" s="34" t="s">
        <v>458</v>
      </c>
      <c r="E295" s="11" t="s">
        <v>33</v>
      </c>
    </row>
    <row r="296">
      <c r="A296" s="19">
        <v>0.7805555555555556</v>
      </c>
      <c r="B296" s="34" t="s">
        <v>457</v>
      </c>
      <c r="C296" s="35" t="s">
        <v>239</v>
      </c>
      <c r="D296" s="34" t="s">
        <v>459</v>
      </c>
      <c r="E296" s="11" t="s">
        <v>37</v>
      </c>
    </row>
    <row r="297">
      <c r="A297" s="19">
        <v>0.7902777777777777</v>
      </c>
      <c r="B297" s="34" t="s">
        <v>461</v>
      </c>
      <c r="C297" s="35" t="s">
        <v>27</v>
      </c>
      <c r="D297" s="34" t="s">
        <v>458</v>
      </c>
      <c r="E297" s="11" t="s">
        <v>33</v>
      </c>
    </row>
    <row r="298">
      <c r="A298" s="19">
        <v>0.7902777777777777</v>
      </c>
      <c r="B298" s="34" t="s">
        <v>457</v>
      </c>
      <c r="C298" s="35" t="s">
        <v>17</v>
      </c>
      <c r="D298" s="34" t="s">
        <v>462</v>
      </c>
      <c r="E298" s="11" t="s">
        <v>37</v>
      </c>
    </row>
    <row r="299">
      <c r="A299" s="19">
        <v>0.8006944444444445</v>
      </c>
      <c r="B299" s="34" t="s">
        <v>458</v>
      </c>
      <c r="C299" s="35" t="s">
        <v>19</v>
      </c>
      <c r="D299" s="34" t="s">
        <v>457</v>
      </c>
      <c r="E299" s="11" t="s">
        <v>33</v>
      </c>
    </row>
    <row r="300">
      <c r="A300" s="19">
        <v>0.8006944444444445</v>
      </c>
      <c r="B300" s="34" t="s">
        <v>461</v>
      </c>
      <c r="C300" s="35" t="s">
        <v>464</v>
      </c>
      <c r="D300" s="34" t="s">
        <v>459</v>
      </c>
      <c r="E300" s="11" t="s">
        <v>37</v>
      </c>
    </row>
    <row r="301">
      <c r="A301" s="19">
        <v>0.8111111111111111</v>
      </c>
      <c r="B301" s="34" t="s">
        <v>458</v>
      </c>
      <c r="C301" s="35" t="s">
        <v>465</v>
      </c>
      <c r="D301" s="34" t="s">
        <v>459</v>
      </c>
      <c r="E301" s="11" t="s">
        <v>33</v>
      </c>
    </row>
    <row r="302">
      <c r="A302" s="19">
        <v>0.8111111111111111</v>
      </c>
      <c r="B302" s="34" t="s">
        <v>461</v>
      </c>
      <c r="C302" s="35" t="s">
        <v>249</v>
      </c>
      <c r="D302" s="34" t="s">
        <v>462</v>
      </c>
      <c r="E302" s="11" t="s">
        <v>37</v>
      </c>
      <c r="F302" s="36"/>
    </row>
    <row r="303">
      <c r="A303" s="19">
        <v>0.8208333333333333</v>
      </c>
      <c r="B303" s="34" t="s">
        <v>459</v>
      </c>
      <c r="C303" s="35" t="s">
        <v>466</v>
      </c>
      <c r="D303" s="34" t="s">
        <v>462</v>
      </c>
      <c r="E303" s="11" t="s">
        <v>33</v>
      </c>
    </row>
    <row r="304">
      <c r="A304" s="19">
        <v>0.8208333333333333</v>
      </c>
      <c r="B304" s="34" t="s">
        <v>457</v>
      </c>
      <c r="C304" s="35" t="s">
        <v>48</v>
      </c>
      <c r="D304" s="34" t="s">
        <v>461</v>
      </c>
      <c r="E304" s="11" t="s">
        <v>37</v>
      </c>
    </row>
    <row r="305">
      <c r="A305" s="19">
        <v>0.83125</v>
      </c>
      <c r="B305" s="34" t="s">
        <v>458</v>
      </c>
      <c r="C305" s="35" t="s">
        <v>22</v>
      </c>
      <c r="D305" s="34" t="s">
        <v>462</v>
      </c>
      <c r="E305" s="11" t="s">
        <v>33</v>
      </c>
    </row>
    <row r="306">
      <c r="A306" s="19">
        <v>0.83125</v>
      </c>
      <c r="B306" s="34" t="s">
        <v>459</v>
      </c>
      <c r="C306" s="35" t="s">
        <v>390</v>
      </c>
      <c r="D306" s="34" t="s">
        <v>457</v>
      </c>
      <c r="E306" s="11" t="s">
        <v>37</v>
      </c>
    </row>
    <row r="307">
      <c r="A307" s="19">
        <v>0.8416666666666667</v>
      </c>
      <c r="B307" s="34" t="s">
        <v>458</v>
      </c>
      <c r="C307" s="35" t="s">
        <v>260</v>
      </c>
      <c r="D307" s="34" t="s">
        <v>461</v>
      </c>
      <c r="E307" s="11" t="s">
        <v>33</v>
      </c>
    </row>
    <row r="308">
      <c r="A308" s="19">
        <v>0.8416666666666667</v>
      </c>
      <c r="B308" s="34" t="s">
        <v>462</v>
      </c>
      <c r="C308" s="35" t="s">
        <v>19</v>
      </c>
      <c r="D308" s="34" t="s">
        <v>457</v>
      </c>
      <c r="E308" s="11" t="s">
        <v>37</v>
      </c>
    </row>
    <row r="309">
      <c r="A309" s="27"/>
      <c r="B309" s="28" t="s">
        <v>145</v>
      </c>
      <c r="C309" s="2"/>
      <c r="D309" s="3"/>
      <c r="E309" s="29"/>
    </row>
    <row r="310">
      <c r="A310" s="18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9">
        <v>0.8541666666666666</v>
      </c>
      <c r="B311" s="34" t="s">
        <v>467</v>
      </c>
      <c r="C311" s="33" t="s">
        <v>250</v>
      </c>
      <c r="D311" s="34" t="s">
        <v>468</v>
      </c>
      <c r="E311" s="11" t="s">
        <v>9</v>
      </c>
    </row>
    <row r="312">
      <c r="A312" s="19">
        <v>0.8541666666666666</v>
      </c>
      <c r="B312" s="34" t="s">
        <v>469</v>
      </c>
      <c r="C312" s="33" t="s">
        <v>19</v>
      </c>
      <c r="D312" s="34" t="s">
        <v>470</v>
      </c>
      <c r="E312" s="11" t="s">
        <v>13</v>
      </c>
    </row>
    <row r="313">
      <c r="A313" s="19">
        <v>0.8638888888888889</v>
      </c>
      <c r="B313" s="34" t="s">
        <v>469</v>
      </c>
      <c r="C313" s="33" t="s">
        <v>83</v>
      </c>
      <c r="D313" s="34" t="s">
        <v>468</v>
      </c>
      <c r="E313" s="11" t="s">
        <v>9</v>
      </c>
    </row>
    <row r="314">
      <c r="A314" s="19">
        <v>0.8638888888888889</v>
      </c>
      <c r="B314" s="34" t="s">
        <v>471</v>
      </c>
      <c r="C314" s="33" t="s">
        <v>68</v>
      </c>
      <c r="D314" s="34" t="s">
        <v>470</v>
      </c>
      <c r="E314" s="11" t="s">
        <v>13</v>
      </c>
    </row>
    <row r="315">
      <c r="A315" s="19">
        <v>0.8743055555555556</v>
      </c>
      <c r="B315" s="34" t="s">
        <v>471</v>
      </c>
      <c r="C315" s="33" t="s">
        <v>22</v>
      </c>
      <c r="D315" s="34" t="s">
        <v>469</v>
      </c>
      <c r="E315" s="11" t="s">
        <v>9</v>
      </c>
    </row>
    <row r="316">
      <c r="A316" s="19">
        <v>0.8743055555555556</v>
      </c>
      <c r="B316" s="34" t="s">
        <v>470</v>
      </c>
      <c r="C316" s="33" t="s">
        <v>293</v>
      </c>
      <c r="D316" s="34" t="s">
        <v>467</v>
      </c>
      <c r="E316" s="11" t="s">
        <v>13</v>
      </c>
    </row>
    <row r="317">
      <c r="A317" s="19">
        <v>0.8847222222222222</v>
      </c>
      <c r="B317" s="34" t="s">
        <v>471</v>
      </c>
      <c r="C317" s="33" t="s">
        <v>472</v>
      </c>
      <c r="D317" s="34" t="s">
        <v>468</v>
      </c>
      <c r="E317" s="11" t="s">
        <v>9</v>
      </c>
    </row>
    <row r="318">
      <c r="A318" s="19">
        <v>0.8847222222222222</v>
      </c>
      <c r="B318" s="34" t="s">
        <v>467</v>
      </c>
      <c r="C318" s="33" t="s">
        <v>43</v>
      </c>
      <c r="D318" s="34" t="s">
        <v>469</v>
      </c>
      <c r="E318" s="11" t="s">
        <v>13</v>
      </c>
    </row>
    <row r="319">
      <c r="A319" s="19">
        <v>0.8944444444444445</v>
      </c>
      <c r="B319" s="34" t="s">
        <v>470</v>
      </c>
      <c r="C319" s="33" t="s">
        <v>190</v>
      </c>
      <c r="D319" s="34" t="s">
        <v>468</v>
      </c>
      <c r="E319" s="11" t="s">
        <v>9</v>
      </c>
    </row>
    <row r="320">
      <c r="A320" s="19">
        <v>0.8944444444444445</v>
      </c>
      <c r="B320" s="34" t="s">
        <v>467</v>
      </c>
      <c r="C320" s="33" t="s">
        <v>16</v>
      </c>
      <c r="D320" s="34" t="s">
        <v>471</v>
      </c>
      <c r="E320" s="11" t="s">
        <v>13</v>
      </c>
    </row>
    <row r="321">
      <c r="A321" s="19">
        <v>0.9048611111111111</v>
      </c>
      <c r="B321" s="34" t="s">
        <v>468</v>
      </c>
      <c r="C321" s="33" t="s">
        <v>212</v>
      </c>
      <c r="D321" s="34" t="s">
        <v>467</v>
      </c>
      <c r="E321" s="11" t="s">
        <v>9</v>
      </c>
    </row>
    <row r="322">
      <c r="A322" s="19">
        <v>0.9048611111111111</v>
      </c>
      <c r="B322" s="34" t="s">
        <v>470</v>
      </c>
      <c r="C322" s="33" t="s">
        <v>195</v>
      </c>
      <c r="D322" s="34" t="s">
        <v>469</v>
      </c>
      <c r="E322" s="11" t="s">
        <v>13</v>
      </c>
    </row>
    <row r="323">
      <c r="A323" s="19">
        <v>0.9152777777777777</v>
      </c>
      <c r="B323" s="34" t="s">
        <v>468</v>
      </c>
      <c r="C323" s="35" t="s">
        <v>473</v>
      </c>
      <c r="D323" s="34" t="s">
        <v>469</v>
      </c>
      <c r="E323" s="11" t="s">
        <v>9</v>
      </c>
    </row>
    <row r="324">
      <c r="A324" s="19">
        <v>0.9152777777777777</v>
      </c>
      <c r="B324" s="34" t="s">
        <v>470</v>
      </c>
      <c r="C324" s="35" t="s">
        <v>50</v>
      </c>
      <c r="D324" s="34" t="s">
        <v>471</v>
      </c>
      <c r="E324" s="11" t="s">
        <v>13</v>
      </c>
    </row>
    <row r="325">
      <c r="A325" s="19">
        <v>0.925</v>
      </c>
      <c r="B325" s="34" t="s">
        <v>469</v>
      </c>
      <c r="C325" s="35" t="s">
        <v>87</v>
      </c>
      <c r="D325" s="34" t="s">
        <v>471</v>
      </c>
      <c r="E325" s="11" t="s">
        <v>9</v>
      </c>
    </row>
    <row r="326">
      <c r="A326" s="19">
        <v>0.925</v>
      </c>
      <c r="B326" s="34" t="s">
        <v>467</v>
      </c>
      <c r="C326" s="35" t="s">
        <v>16</v>
      </c>
      <c r="D326" s="34" t="s">
        <v>470</v>
      </c>
      <c r="E326" s="11" t="s">
        <v>13</v>
      </c>
    </row>
    <row r="327">
      <c r="A327" s="19">
        <v>0.9354166666666667</v>
      </c>
      <c r="B327" s="34" t="s">
        <v>468</v>
      </c>
      <c r="C327" s="35" t="s">
        <v>283</v>
      </c>
      <c r="D327" s="34" t="s">
        <v>471</v>
      </c>
      <c r="E327" s="11" t="s">
        <v>9</v>
      </c>
    </row>
    <row r="328">
      <c r="A328" s="19">
        <v>0.9354166666666667</v>
      </c>
      <c r="B328" s="34" t="s">
        <v>469</v>
      </c>
      <c r="C328" s="35" t="s">
        <v>201</v>
      </c>
      <c r="D328" s="34" t="s">
        <v>467</v>
      </c>
      <c r="E328" s="11" t="s">
        <v>13</v>
      </c>
    </row>
    <row r="329">
      <c r="A329" s="19">
        <v>0.9458333333333333</v>
      </c>
      <c r="B329" s="34" t="s">
        <v>468</v>
      </c>
      <c r="C329" s="35" t="s">
        <v>22</v>
      </c>
      <c r="D329" s="34" t="s">
        <v>470</v>
      </c>
      <c r="E329" s="11" t="s">
        <v>9</v>
      </c>
    </row>
    <row r="330">
      <c r="A330" s="19">
        <v>0.9458333333333333</v>
      </c>
      <c r="B330" s="34" t="s">
        <v>471</v>
      </c>
      <c r="C330" s="35" t="s">
        <v>23</v>
      </c>
      <c r="D330" s="34" t="s">
        <v>467</v>
      </c>
      <c r="E330" s="11" t="s">
        <v>13</v>
      </c>
    </row>
    <row r="331">
      <c r="A331" s="27"/>
      <c r="B331" s="28" t="s">
        <v>145</v>
      </c>
      <c r="C331" s="2"/>
      <c r="D331" s="3"/>
      <c r="E331" s="29"/>
    </row>
    <row r="332">
      <c r="A332" s="18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9">
        <v>0.8541666666666666</v>
      </c>
      <c r="B333" s="34" t="s">
        <v>474</v>
      </c>
      <c r="C333" s="35" t="s">
        <v>67</v>
      </c>
      <c r="D333" s="34" t="s">
        <v>475</v>
      </c>
      <c r="E333" s="11" t="s">
        <v>33</v>
      </c>
    </row>
    <row r="334">
      <c r="A334" s="19">
        <v>0.8541666666666666</v>
      </c>
      <c r="B334" s="34" t="s">
        <v>476</v>
      </c>
      <c r="C334" s="35" t="s">
        <v>477</v>
      </c>
      <c r="D334" s="34" t="s">
        <v>478</v>
      </c>
      <c r="E334" s="11" t="s">
        <v>37</v>
      </c>
    </row>
    <row r="335">
      <c r="A335" s="19">
        <v>0.8638888888888889</v>
      </c>
      <c r="B335" s="34" t="s">
        <v>476</v>
      </c>
      <c r="C335" s="35" t="s">
        <v>479</v>
      </c>
      <c r="D335" s="34" t="s">
        <v>475</v>
      </c>
      <c r="E335" s="11" t="s">
        <v>33</v>
      </c>
    </row>
    <row r="336">
      <c r="A336" s="19">
        <v>0.8638888888888889</v>
      </c>
      <c r="B336" s="34" t="s">
        <v>480</v>
      </c>
      <c r="C336" s="35" t="s">
        <v>11</v>
      </c>
      <c r="D336" s="34" t="s">
        <v>478</v>
      </c>
      <c r="E336" s="11" t="s">
        <v>37</v>
      </c>
    </row>
    <row r="337">
      <c r="A337" s="19">
        <v>0.8743055555555556</v>
      </c>
      <c r="B337" s="34" t="s">
        <v>480</v>
      </c>
      <c r="C337" s="35" t="s">
        <v>212</v>
      </c>
      <c r="D337" s="34" t="s">
        <v>476</v>
      </c>
      <c r="E337" s="11" t="s">
        <v>33</v>
      </c>
    </row>
    <row r="338">
      <c r="A338" s="19">
        <v>0.8743055555555556</v>
      </c>
      <c r="B338" s="34" t="s">
        <v>478</v>
      </c>
      <c r="C338" s="35" t="s">
        <v>481</v>
      </c>
      <c r="D338" s="34" t="s">
        <v>474</v>
      </c>
      <c r="E338" s="11" t="s">
        <v>37</v>
      </c>
    </row>
    <row r="339">
      <c r="A339" s="19">
        <v>0.8847222222222222</v>
      </c>
      <c r="B339" s="34" t="s">
        <v>480</v>
      </c>
      <c r="C339" s="35" t="s">
        <v>68</v>
      </c>
      <c r="D339" s="34" t="s">
        <v>475</v>
      </c>
      <c r="E339" s="11" t="s">
        <v>33</v>
      </c>
    </row>
    <row r="340">
      <c r="A340" s="19">
        <v>0.8847222222222222</v>
      </c>
      <c r="B340" s="34" t="s">
        <v>474</v>
      </c>
      <c r="C340" s="35" t="s">
        <v>389</v>
      </c>
      <c r="D340" s="34" t="s">
        <v>476</v>
      </c>
      <c r="E340" s="11" t="s">
        <v>37</v>
      </c>
    </row>
    <row r="341">
      <c r="A341" s="19">
        <v>0.8944444444444445</v>
      </c>
      <c r="B341" s="34" t="s">
        <v>478</v>
      </c>
      <c r="C341" s="35" t="s">
        <v>273</v>
      </c>
      <c r="D341" s="34" t="s">
        <v>475</v>
      </c>
      <c r="E341" s="11" t="s">
        <v>33</v>
      </c>
    </row>
    <row r="342">
      <c r="A342" s="19">
        <v>0.8944444444444445</v>
      </c>
      <c r="B342" s="34" t="s">
        <v>474</v>
      </c>
      <c r="C342" s="35" t="s">
        <v>43</v>
      </c>
      <c r="D342" s="34" t="s">
        <v>480</v>
      </c>
      <c r="E342" s="11" t="s">
        <v>37</v>
      </c>
    </row>
    <row r="343">
      <c r="A343" s="19">
        <v>0.9048611111111111</v>
      </c>
      <c r="B343" s="34" t="s">
        <v>475</v>
      </c>
      <c r="C343" s="35" t="s">
        <v>413</v>
      </c>
      <c r="D343" s="34" t="s">
        <v>474</v>
      </c>
      <c r="E343" s="11" t="s">
        <v>33</v>
      </c>
    </row>
    <row r="344">
      <c r="A344" s="19">
        <v>0.9048611111111111</v>
      </c>
      <c r="B344" s="34" t="s">
        <v>478</v>
      </c>
      <c r="C344" s="35" t="s">
        <v>83</v>
      </c>
      <c r="D344" s="34" t="s">
        <v>476</v>
      </c>
      <c r="E344" s="11" t="s">
        <v>37</v>
      </c>
    </row>
    <row r="345">
      <c r="A345" s="19">
        <v>0.9152777777777777</v>
      </c>
      <c r="B345" s="34" t="s">
        <v>475</v>
      </c>
      <c r="C345" s="35" t="s">
        <v>482</v>
      </c>
      <c r="D345" s="34" t="s">
        <v>476</v>
      </c>
      <c r="E345" s="11" t="s">
        <v>33</v>
      </c>
    </row>
    <row r="346">
      <c r="A346" s="19">
        <v>0.9152777777777777</v>
      </c>
      <c r="B346" s="34" t="s">
        <v>478</v>
      </c>
      <c r="C346" s="35" t="s">
        <v>58</v>
      </c>
      <c r="D346" s="34" t="s">
        <v>480</v>
      </c>
      <c r="E346" s="11" t="s">
        <v>37</v>
      </c>
    </row>
    <row r="347">
      <c r="A347" s="19">
        <v>0.925</v>
      </c>
      <c r="B347" s="34" t="s">
        <v>476</v>
      </c>
      <c r="C347" s="35" t="s">
        <v>41</v>
      </c>
      <c r="D347" s="34" t="s">
        <v>480</v>
      </c>
      <c r="E347" s="11" t="s">
        <v>33</v>
      </c>
    </row>
    <row r="348">
      <c r="A348" s="19">
        <v>0.925</v>
      </c>
      <c r="B348" s="34" t="s">
        <v>474</v>
      </c>
      <c r="C348" s="35" t="s">
        <v>25</v>
      </c>
      <c r="D348" s="34" t="s">
        <v>478</v>
      </c>
      <c r="E348" s="11" t="s">
        <v>37</v>
      </c>
    </row>
    <row r="349">
      <c r="A349" s="19">
        <v>0.9354166666666667</v>
      </c>
      <c r="B349" s="34" t="s">
        <v>475</v>
      </c>
      <c r="C349" s="35" t="s">
        <v>217</v>
      </c>
      <c r="D349" s="34" t="s">
        <v>480</v>
      </c>
      <c r="E349" s="11" t="s">
        <v>33</v>
      </c>
    </row>
    <row r="350">
      <c r="A350" s="19">
        <v>0.9354166666666667</v>
      </c>
      <c r="B350" s="34" t="s">
        <v>476</v>
      </c>
      <c r="C350" s="35" t="s">
        <v>7</v>
      </c>
      <c r="D350" s="34" t="s">
        <v>474</v>
      </c>
      <c r="E350" s="11" t="s">
        <v>37</v>
      </c>
    </row>
    <row r="351">
      <c r="A351" s="19">
        <v>0.9458333333333333</v>
      </c>
      <c r="B351" s="34" t="s">
        <v>475</v>
      </c>
      <c r="C351" s="35" t="s">
        <v>76</v>
      </c>
      <c r="D351" s="34" t="s">
        <v>478</v>
      </c>
      <c r="E351" s="11" t="s">
        <v>33</v>
      </c>
    </row>
    <row r="352">
      <c r="A352" s="19">
        <v>0.9458333333333333</v>
      </c>
      <c r="B352" s="34" t="s">
        <v>480</v>
      </c>
      <c r="C352" s="35" t="s">
        <v>66</v>
      </c>
      <c r="D352" s="34" t="s">
        <v>474</v>
      </c>
      <c r="E352" s="11" t="s">
        <v>37</v>
      </c>
    </row>
    <row r="353">
      <c r="A353" s="27"/>
      <c r="B353" s="28" t="s">
        <v>156</v>
      </c>
      <c r="C353" s="2"/>
      <c r="D353" s="3"/>
      <c r="E353" s="29"/>
    </row>
    <row r="354">
      <c r="A354" s="18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9">
        <v>0.9583333333333334</v>
      </c>
      <c r="B355" s="34" t="s">
        <v>483</v>
      </c>
      <c r="C355" s="35" t="s">
        <v>201</v>
      </c>
      <c r="D355" s="34" t="s">
        <v>484</v>
      </c>
      <c r="E355" s="11" t="s">
        <v>9</v>
      </c>
    </row>
    <row r="356">
      <c r="A356" s="19">
        <v>0.9583333333333334</v>
      </c>
      <c r="B356" s="34" t="s">
        <v>485</v>
      </c>
      <c r="C356" s="35" t="s">
        <v>17</v>
      </c>
      <c r="D356" s="34" t="s">
        <v>486</v>
      </c>
      <c r="E356" s="11" t="s">
        <v>13</v>
      </c>
    </row>
    <row r="357">
      <c r="A357" s="19">
        <v>0.9680555555555556</v>
      </c>
      <c r="B357" s="34" t="s">
        <v>485</v>
      </c>
      <c r="C357" s="35" t="s">
        <v>81</v>
      </c>
      <c r="D357" s="34" t="s">
        <v>484</v>
      </c>
      <c r="E357" s="11" t="s">
        <v>9</v>
      </c>
    </row>
    <row r="358">
      <c r="A358" s="19">
        <v>0.9680555555555556</v>
      </c>
      <c r="B358" s="34" t="s">
        <v>487</v>
      </c>
      <c r="C358" s="35" t="s">
        <v>35</v>
      </c>
      <c r="D358" s="34" t="s">
        <v>486</v>
      </c>
      <c r="E358" s="11" t="s">
        <v>13</v>
      </c>
    </row>
    <row r="359">
      <c r="A359" s="19">
        <v>0.9784722222222222</v>
      </c>
      <c r="B359" s="34" t="s">
        <v>487</v>
      </c>
      <c r="C359" s="35" t="s">
        <v>64</v>
      </c>
      <c r="D359" s="34" t="s">
        <v>485</v>
      </c>
      <c r="E359" s="11" t="s">
        <v>9</v>
      </c>
    </row>
    <row r="360">
      <c r="A360" s="19">
        <v>0.9784722222222222</v>
      </c>
      <c r="B360" s="34" t="s">
        <v>486</v>
      </c>
      <c r="C360" s="35" t="s">
        <v>240</v>
      </c>
      <c r="D360" s="34" t="s">
        <v>483</v>
      </c>
      <c r="E360" s="11" t="s">
        <v>13</v>
      </c>
    </row>
    <row r="361">
      <c r="A361" s="19">
        <v>0.9888888888888889</v>
      </c>
      <c r="B361" s="34" t="s">
        <v>487</v>
      </c>
      <c r="C361" s="35" t="s">
        <v>207</v>
      </c>
      <c r="D361" s="34" t="s">
        <v>484</v>
      </c>
      <c r="E361" s="11" t="s">
        <v>9</v>
      </c>
    </row>
    <row r="362">
      <c r="A362" s="19">
        <v>0.9888888888888889</v>
      </c>
      <c r="B362" s="34" t="s">
        <v>483</v>
      </c>
      <c r="C362" s="35" t="s">
        <v>195</v>
      </c>
      <c r="D362" s="34" t="s">
        <v>485</v>
      </c>
      <c r="E362" s="11" t="s">
        <v>13</v>
      </c>
    </row>
    <row r="363">
      <c r="A363" s="19">
        <v>0.9986111111111111</v>
      </c>
      <c r="B363" s="34" t="s">
        <v>486</v>
      </c>
      <c r="C363" s="35" t="s">
        <v>488</v>
      </c>
      <c r="D363" s="34" t="s">
        <v>484</v>
      </c>
      <c r="E363" s="11" t="s">
        <v>9</v>
      </c>
    </row>
    <row r="364">
      <c r="A364" s="19">
        <v>0.9986111111111111</v>
      </c>
      <c r="B364" s="34" t="s">
        <v>483</v>
      </c>
      <c r="C364" s="35" t="s">
        <v>68</v>
      </c>
      <c r="D364" s="34" t="s">
        <v>487</v>
      </c>
      <c r="E364" s="11" t="s">
        <v>13</v>
      </c>
    </row>
    <row r="365">
      <c r="A365" s="19">
        <v>0.009027777777777777</v>
      </c>
      <c r="B365" s="34" t="s">
        <v>484</v>
      </c>
      <c r="C365" s="35" t="s">
        <v>83</v>
      </c>
      <c r="D365" s="34" t="s">
        <v>483</v>
      </c>
      <c r="E365" s="11" t="s">
        <v>9</v>
      </c>
    </row>
    <row r="366">
      <c r="A366" s="19">
        <v>0.009027777777777777</v>
      </c>
      <c r="B366" s="34" t="s">
        <v>486</v>
      </c>
      <c r="C366" s="35" t="s">
        <v>66</v>
      </c>
      <c r="D366" s="34" t="s">
        <v>485</v>
      </c>
      <c r="E366" s="11" t="s">
        <v>13</v>
      </c>
    </row>
    <row r="367">
      <c r="A367" s="19">
        <v>0.019444444444444445</v>
      </c>
      <c r="B367" s="34" t="s">
        <v>484</v>
      </c>
      <c r="C367" s="35" t="s">
        <v>218</v>
      </c>
      <c r="D367" s="34" t="s">
        <v>485</v>
      </c>
      <c r="E367" s="11" t="s">
        <v>9</v>
      </c>
    </row>
    <row r="368">
      <c r="A368" s="19">
        <v>0.019444444444444445</v>
      </c>
      <c r="B368" s="34" t="s">
        <v>486</v>
      </c>
      <c r="C368" s="35" t="s">
        <v>270</v>
      </c>
      <c r="D368" s="34" t="s">
        <v>487</v>
      </c>
      <c r="E368" s="11" t="s">
        <v>13</v>
      </c>
    </row>
    <row r="369">
      <c r="A369" s="19">
        <v>0.029166666666666667</v>
      </c>
      <c r="B369" s="34" t="s">
        <v>485</v>
      </c>
      <c r="C369" s="35" t="s">
        <v>21</v>
      </c>
      <c r="D369" s="34" t="s">
        <v>487</v>
      </c>
      <c r="E369" s="11" t="s">
        <v>9</v>
      </c>
    </row>
    <row r="370">
      <c r="A370" s="19">
        <v>0.029166666666666667</v>
      </c>
      <c r="B370" s="34" t="s">
        <v>483</v>
      </c>
      <c r="C370" s="35" t="s">
        <v>68</v>
      </c>
      <c r="D370" s="34" t="s">
        <v>486</v>
      </c>
      <c r="E370" s="11" t="s">
        <v>13</v>
      </c>
    </row>
    <row r="371">
      <c r="A371" s="19">
        <v>0.03958333333333333</v>
      </c>
      <c r="B371" s="34" t="s">
        <v>484</v>
      </c>
      <c r="C371" s="35" t="s">
        <v>21</v>
      </c>
      <c r="D371" s="34" t="s">
        <v>487</v>
      </c>
      <c r="E371" s="11" t="s">
        <v>9</v>
      </c>
    </row>
    <row r="372">
      <c r="A372" s="19">
        <v>0.03958333333333333</v>
      </c>
      <c r="B372" s="34" t="s">
        <v>485</v>
      </c>
      <c r="C372" s="35" t="s">
        <v>218</v>
      </c>
      <c r="D372" s="34" t="s">
        <v>483</v>
      </c>
      <c r="E372" s="11" t="s">
        <v>13</v>
      </c>
    </row>
    <row r="373">
      <c r="A373" s="19">
        <v>0.05</v>
      </c>
      <c r="B373" s="34" t="s">
        <v>484</v>
      </c>
      <c r="C373" s="35" t="s">
        <v>62</v>
      </c>
      <c r="D373" s="34" t="s">
        <v>486</v>
      </c>
      <c r="E373" s="11" t="s">
        <v>9</v>
      </c>
    </row>
    <row r="374">
      <c r="A374" s="19">
        <v>0.05</v>
      </c>
      <c r="B374" s="34" t="s">
        <v>487</v>
      </c>
      <c r="C374" s="35" t="s">
        <v>66</v>
      </c>
      <c r="D374" s="34" t="s">
        <v>483</v>
      </c>
      <c r="E374" s="11" t="s">
        <v>13</v>
      </c>
    </row>
    <row r="375">
      <c r="B375" s="28" t="s">
        <v>156</v>
      </c>
      <c r="C375" s="2"/>
      <c r="D375" s="3"/>
      <c r="E375" s="29"/>
    </row>
    <row r="376">
      <c r="A376" s="18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9">
        <v>0.9583333333333334</v>
      </c>
      <c r="B377" s="34" t="s">
        <v>489</v>
      </c>
      <c r="C377" s="35" t="s">
        <v>11</v>
      </c>
      <c r="D377" s="34" t="s">
        <v>490</v>
      </c>
      <c r="E377" s="11" t="s">
        <v>33</v>
      </c>
    </row>
    <row r="378">
      <c r="A378" s="19">
        <v>0.9583333333333334</v>
      </c>
      <c r="B378" s="34" t="s">
        <v>491</v>
      </c>
      <c r="C378" s="35" t="s">
        <v>87</v>
      </c>
      <c r="D378" s="34" t="s">
        <v>492</v>
      </c>
      <c r="E378" s="11" t="s">
        <v>37</v>
      </c>
    </row>
    <row r="379">
      <c r="A379" s="19">
        <v>0.9680555555555556</v>
      </c>
      <c r="B379" s="34" t="s">
        <v>491</v>
      </c>
      <c r="C379" s="35" t="s">
        <v>488</v>
      </c>
      <c r="D379" s="34" t="s">
        <v>490</v>
      </c>
      <c r="E379" s="11" t="s">
        <v>33</v>
      </c>
    </row>
    <row r="380">
      <c r="A380" s="19">
        <v>0.9680555555555556</v>
      </c>
      <c r="B380" s="34" t="s">
        <v>493</v>
      </c>
      <c r="C380" s="35" t="s">
        <v>48</v>
      </c>
      <c r="D380" s="34" t="s">
        <v>492</v>
      </c>
      <c r="E380" s="11" t="s">
        <v>37</v>
      </c>
    </row>
    <row r="381">
      <c r="A381" s="19">
        <v>0.9784722222222222</v>
      </c>
      <c r="B381" s="34" t="s">
        <v>493</v>
      </c>
      <c r="C381" s="35" t="s">
        <v>354</v>
      </c>
      <c r="D381" s="34" t="s">
        <v>491</v>
      </c>
      <c r="E381" s="11" t="s">
        <v>33</v>
      </c>
    </row>
    <row r="382">
      <c r="A382" s="19">
        <v>0.9784722222222222</v>
      </c>
      <c r="B382" s="34" t="s">
        <v>492</v>
      </c>
      <c r="C382" s="35" t="s">
        <v>22</v>
      </c>
      <c r="D382" s="34" t="s">
        <v>489</v>
      </c>
      <c r="E382" s="11" t="s">
        <v>37</v>
      </c>
    </row>
    <row r="383">
      <c r="A383" s="19">
        <v>0.9888888888888889</v>
      </c>
      <c r="B383" s="34" t="s">
        <v>493</v>
      </c>
      <c r="C383" s="35" t="s">
        <v>43</v>
      </c>
      <c r="D383" s="34" t="s">
        <v>490</v>
      </c>
      <c r="E383" s="11" t="s">
        <v>33</v>
      </c>
    </row>
    <row r="384">
      <c r="A384" s="19">
        <v>0.9888888888888889</v>
      </c>
      <c r="B384" s="34" t="s">
        <v>489</v>
      </c>
      <c r="C384" s="35" t="s">
        <v>38</v>
      </c>
      <c r="D384" s="34" t="s">
        <v>491</v>
      </c>
      <c r="E384" s="11" t="s">
        <v>37</v>
      </c>
    </row>
    <row r="385">
      <c r="A385" s="19">
        <v>0.9986111111111111</v>
      </c>
      <c r="B385" s="34" t="s">
        <v>492</v>
      </c>
      <c r="C385" s="35" t="s">
        <v>76</v>
      </c>
      <c r="D385" s="34" t="s">
        <v>490</v>
      </c>
      <c r="E385" s="11" t="s">
        <v>33</v>
      </c>
    </row>
    <row r="386">
      <c r="A386" s="19">
        <v>0.9986111111111111</v>
      </c>
      <c r="B386" s="34" t="s">
        <v>489</v>
      </c>
      <c r="C386" s="35" t="s">
        <v>218</v>
      </c>
      <c r="D386" s="34" t="s">
        <v>493</v>
      </c>
      <c r="E386" s="11" t="s">
        <v>37</v>
      </c>
    </row>
    <row r="387">
      <c r="A387" s="19">
        <v>0.009027777777777777</v>
      </c>
      <c r="B387" s="34" t="s">
        <v>490</v>
      </c>
      <c r="C387" s="35" t="s">
        <v>81</v>
      </c>
      <c r="D387" s="34" t="s">
        <v>489</v>
      </c>
      <c r="E387" s="11" t="s">
        <v>33</v>
      </c>
    </row>
    <row r="388">
      <c r="A388" s="19">
        <v>0.009027777777777777</v>
      </c>
      <c r="B388" s="34" t="s">
        <v>492</v>
      </c>
      <c r="C388" s="35" t="s">
        <v>193</v>
      </c>
      <c r="D388" s="34" t="s">
        <v>491</v>
      </c>
      <c r="E388" s="11" t="s">
        <v>37</v>
      </c>
    </row>
    <row r="389">
      <c r="A389" s="19">
        <v>0.019444444444444445</v>
      </c>
      <c r="B389" s="34" t="s">
        <v>490</v>
      </c>
      <c r="C389" s="35" t="s">
        <v>28</v>
      </c>
      <c r="D389" s="34" t="s">
        <v>491</v>
      </c>
      <c r="E389" s="11" t="s">
        <v>33</v>
      </c>
    </row>
    <row r="390">
      <c r="A390" s="19">
        <v>0.019444444444444445</v>
      </c>
      <c r="B390" s="34" t="s">
        <v>492</v>
      </c>
      <c r="C390" s="35" t="s">
        <v>494</v>
      </c>
      <c r="D390" s="34" t="s">
        <v>493</v>
      </c>
      <c r="E390" s="11" t="s">
        <v>37</v>
      </c>
    </row>
    <row r="391">
      <c r="A391" s="19">
        <v>0.029166666666666667</v>
      </c>
      <c r="B391" s="34" t="s">
        <v>491</v>
      </c>
      <c r="C391" s="35" t="s">
        <v>87</v>
      </c>
      <c r="D391" s="34" t="s">
        <v>493</v>
      </c>
      <c r="E391" s="11" t="s">
        <v>33</v>
      </c>
    </row>
    <row r="392">
      <c r="A392" s="19">
        <v>0.029166666666666667</v>
      </c>
      <c r="B392" s="34" t="s">
        <v>489</v>
      </c>
      <c r="C392" s="35" t="s">
        <v>19</v>
      </c>
      <c r="D392" s="34" t="s">
        <v>492</v>
      </c>
      <c r="E392" s="11" t="s">
        <v>37</v>
      </c>
    </row>
    <row r="393">
      <c r="A393" s="19">
        <v>0.03958333333333333</v>
      </c>
      <c r="B393" s="34" t="s">
        <v>490</v>
      </c>
      <c r="C393" s="35" t="s">
        <v>25</v>
      </c>
      <c r="D393" s="34" t="s">
        <v>493</v>
      </c>
      <c r="E393" s="11" t="s">
        <v>33</v>
      </c>
    </row>
    <row r="394">
      <c r="A394" s="19">
        <v>0.03958333333333333</v>
      </c>
      <c r="B394" s="34" t="s">
        <v>491</v>
      </c>
      <c r="C394" s="35" t="s">
        <v>282</v>
      </c>
      <c r="D394" s="34" t="s">
        <v>489</v>
      </c>
      <c r="E394" s="11" t="s">
        <v>37</v>
      </c>
    </row>
    <row r="395">
      <c r="A395" s="19">
        <v>0.05</v>
      </c>
      <c r="B395" s="34" t="s">
        <v>490</v>
      </c>
      <c r="C395" s="35" t="s">
        <v>45</v>
      </c>
      <c r="D395" s="34" t="s">
        <v>492</v>
      </c>
      <c r="E395" s="11" t="s">
        <v>33</v>
      </c>
    </row>
    <row r="396">
      <c r="A396" s="19">
        <v>0.05</v>
      </c>
      <c r="B396" s="34" t="s">
        <v>493</v>
      </c>
      <c r="C396" s="35" t="s">
        <v>196</v>
      </c>
      <c r="D396" s="34" t="s">
        <v>489</v>
      </c>
      <c r="E396" s="11" t="s">
        <v>37</v>
      </c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32" t="s">
        <v>361</v>
      </c>
      <c r="C3" s="35" t="s">
        <v>87</v>
      </c>
      <c r="D3" s="34" t="s">
        <v>188</v>
      </c>
      <c r="E3" s="11" t="s">
        <v>9</v>
      </c>
    </row>
    <row r="4">
      <c r="A4" s="7">
        <v>0.0625</v>
      </c>
      <c r="B4" s="32" t="s">
        <v>186</v>
      </c>
      <c r="C4" s="35" t="s">
        <v>27</v>
      </c>
      <c r="D4" s="32" t="s">
        <v>360</v>
      </c>
      <c r="E4" s="11" t="s">
        <v>13</v>
      </c>
    </row>
    <row r="5">
      <c r="A5" s="7">
        <v>0.07222222222222222</v>
      </c>
      <c r="B5" s="34" t="s">
        <v>186</v>
      </c>
      <c r="C5" s="35" t="s">
        <v>390</v>
      </c>
      <c r="D5" s="32" t="s">
        <v>188</v>
      </c>
      <c r="E5" s="11" t="s">
        <v>9</v>
      </c>
    </row>
    <row r="6">
      <c r="A6" s="7">
        <v>0.07222222222222222</v>
      </c>
      <c r="B6" s="32" t="s">
        <v>36</v>
      </c>
      <c r="C6" s="35" t="s">
        <v>201</v>
      </c>
      <c r="D6" s="34" t="s">
        <v>360</v>
      </c>
      <c r="E6" s="11" t="s">
        <v>13</v>
      </c>
    </row>
    <row r="7">
      <c r="A7" s="7">
        <v>0.08263888888888889</v>
      </c>
      <c r="B7" s="34" t="s">
        <v>36</v>
      </c>
      <c r="C7" s="35" t="s">
        <v>495</v>
      </c>
      <c r="D7" s="32" t="s">
        <v>186</v>
      </c>
      <c r="E7" s="11" t="s">
        <v>9</v>
      </c>
    </row>
    <row r="8">
      <c r="A8" s="7">
        <v>0.08263888888888889</v>
      </c>
      <c r="B8" s="32" t="s">
        <v>360</v>
      </c>
      <c r="C8" s="35" t="s">
        <v>260</v>
      </c>
      <c r="D8" s="32" t="s">
        <v>361</v>
      </c>
      <c r="E8" s="11" t="s">
        <v>13</v>
      </c>
    </row>
    <row r="9">
      <c r="A9" s="7">
        <v>0.09305555555555556</v>
      </c>
      <c r="B9" s="34" t="s">
        <v>36</v>
      </c>
      <c r="C9" s="35" t="s">
        <v>232</v>
      </c>
      <c r="D9" s="34" t="s">
        <v>188</v>
      </c>
      <c r="E9" s="11" t="s">
        <v>9</v>
      </c>
    </row>
    <row r="10">
      <c r="A10" s="7">
        <v>0.09305555555555556</v>
      </c>
      <c r="B10" s="32" t="s">
        <v>361</v>
      </c>
      <c r="C10" s="35" t="s">
        <v>68</v>
      </c>
      <c r="D10" s="32" t="s">
        <v>186</v>
      </c>
      <c r="E10" s="11" t="s">
        <v>13</v>
      </c>
    </row>
    <row r="11">
      <c r="A11" s="7">
        <v>0.10277777777777777</v>
      </c>
      <c r="B11" s="34" t="s">
        <v>360</v>
      </c>
      <c r="C11" s="35" t="s">
        <v>18</v>
      </c>
      <c r="D11" s="32" t="s">
        <v>188</v>
      </c>
      <c r="E11" s="11" t="s">
        <v>9</v>
      </c>
    </row>
    <row r="12">
      <c r="A12" s="7">
        <v>0.10277777777777777</v>
      </c>
      <c r="B12" s="32" t="s">
        <v>361</v>
      </c>
      <c r="C12" s="35" t="s">
        <v>496</v>
      </c>
      <c r="D12" s="34" t="s">
        <v>36</v>
      </c>
      <c r="E12" s="11" t="s">
        <v>13</v>
      </c>
    </row>
    <row r="13">
      <c r="A13" s="7">
        <v>0.11319444444444444</v>
      </c>
      <c r="B13" s="34" t="s">
        <v>188</v>
      </c>
      <c r="C13" s="35" t="s">
        <v>239</v>
      </c>
      <c r="D13" s="32" t="s">
        <v>361</v>
      </c>
      <c r="E13" s="11" t="s">
        <v>9</v>
      </c>
    </row>
    <row r="14">
      <c r="A14" s="7">
        <v>0.11319444444444444</v>
      </c>
      <c r="B14" s="32" t="s">
        <v>360</v>
      </c>
      <c r="C14" s="35" t="s">
        <v>55</v>
      </c>
      <c r="D14" s="32" t="s">
        <v>186</v>
      </c>
      <c r="E14" s="11" t="s">
        <v>13</v>
      </c>
    </row>
    <row r="15">
      <c r="A15" s="7">
        <v>0.12361111111111112</v>
      </c>
      <c r="B15" s="32" t="s">
        <v>188</v>
      </c>
      <c r="C15" s="35" t="s">
        <v>497</v>
      </c>
      <c r="D15" s="34" t="s">
        <v>186</v>
      </c>
      <c r="E15" s="11" t="s">
        <v>9</v>
      </c>
    </row>
    <row r="16">
      <c r="A16" s="7">
        <v>0.12361111111111112</v>
      </c>
      <c r="B16" s="34" t="s">
        <v>360</v>
      </c>
      <c r="C16" s="35" t="s">
        <v>62</v>
      </c>
      <c r="D16" s="32" t="s">
        <v>36</v>
      </c>
      <c r="E16" s="11" t="s">
        <v>13</v>
      </c>
    </row>
    <row r="17">
      <c r="A17" s="7">
        <v>0.13333333333333333</v>
      </c>
      <c r="B17" s="32" t="s">
        <v>186</v>
      </c>
      <c r="C17" s="35" t="s">
        <v>62</v>
      </c>
      <c r="D17" s="34" t="s">
        <v>36</v>
      </c>
      <c r="E17" s="11" t="s">
        <v>9</v>
      </c>
    </row>
    <row r="18">
      <c r="A18" s="7">
        <v>0.13333333333333333</v>
      </c>
      <c r="B18" s="32" t="s">
        <v>361</v>
      </c>
      <c r="C18" s="35" t="s">
        <v>267</v>
      </c>
      <c r="D18" s="32" t="s">
        <v>360</v>
      </c>
      <c r="E18" s="11" t="s">
        <v>13</v>
      </c>
    </row>
    <row r="19">
      <c r="A19" s="7">
        <v>0.14375</v>
      </c>
      <c r="B19" s="34" t="s">
        <v>188</v>
      </c>
      <c r="C19" s="35" t="s">
        <v>68</v>
      </c>
      <c r="D19" s="34" t="s">
        <v>36</v>
      </c>
      <c r="E19" s="11" t="s">
        <v>9</v>
      </c>
    </row>
    <row r="20">
      <c r="A20" s="7">
        <v>0.14375</v>
      </c>
      <c r="B20" s="32" t="s">
        <v>186</v>
      </c>
      <c r="C20" s="35" t="s">
        <v>412</v>
      </c>
      <c r="D20" s="32" t="s">
        <v>361</v>
      </c>
      <c r="E20" s="11" t="s">
        <v>13</v>
      </c>
    </row>
    <row r="21">
      <c r="A21" s="7">
        <v>0.15416666666666667</v>
      </c>
      <c r="B21" s="32" t="s">
        <v>188</v>
      </c>
      <c r="C21" s="35" t="s">
        <v>28</v>
      </c>
      <c r="D21" s="34" t="s">
        <v>360</v>
      </c>
      <c r="E21" s="11" t="s">
        <v>9</v>
      </c>
    </row>
    <row r="22">
      <c r="A22" s="7">
        <v>0.15416666666666667</v>
      </c>
      <c r="B22" s="34" t="s">
        <v>36</v>
      </c>
      <c r="C22" s="35" t="s">
        <v>217</v>
      </c>
      <c r="D22" s="32" t="s">
        <v>361</v>
      </c>
      <c r="E22" s="11" t="s">
        <v>13</v>
      </c>
    </row>
    <row r="23">
      <c r="A23" s="1"/>
      <c r="B23" s="1" t="s">
        <v>29</v>
      </c>
      <c r="C23" s="2"/>
      <c r="D23" s="3"/>
      <c r="E23" s="14"/>
    </row>
    <row r="24">
      <c r="A24" s="15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32" t="s">
        <v>364</v>
      </c>
      <c r="C25" s="35" t="s">
        <v>72</v>
      </c>
      <c r="D25" s="32" t="s">
        <v>498</v>
      </c>
      <c r="E25" s="11" t="s">
        <v>33</v>
      </c>
    </row>
    <row r="26">
      <c r="A26" s="7">
        <v>0.0625</v>
      </c>
      <c r="B26" s="32" t="s">
        <v>200</v>
      </c>
      <c r="C26" s="35" t="s">
        <v>16</v>
      </c>
      <c r="D26" s="32" t="s">
        <v>154</v>
      </c>
      <c r="E26" s="11" t="s">
        <v>37</v>
      </c>
    </row>
    <row r="27">
      <c r="A27" s="7">
        <v>0.07222222222222222</v>
      </c>
      <c r="B27" s="34" t="s">
        <v>200</v>
      </c>
      <c r="C27" s="35" t="s">
        <v>389</v>
      </c>
      <c r="D27" s="34" t="s">
        <v>498</v>
      </c>
      <c r="E27" s="11" t="s">
        <v>33</v>
      </c>
    </row>
    <row r="28">
      <c r="A28" s="7">
        <v>0.07222222222222222</v>
      </c>
      <c r="B28" s="32" t="s">
        <v>499</v>
      </c>
      <c r="C28" s="35" t="s">
        <v>325</v>
      </c>
      <c r="D28" s="32" t="s">
        <v>154</v>
      </c>
      <c r="E28" s="24" t="s">
        <v>37</v>
      </c>
    </row>
    <row r="29">
      <c r="A29" s="7">
        <v>0.08263888888888889</v>
      </c>
      <c r="B29" s="34" t="s">
        <v>499</v>
      </c>
      <c r="C29" s="35" t="s">
        <v>500</v>
      </c>
      <c r="D29" s="32" t="s">
        <v>200</v>
      </c>
      <c r="E29" s="11" t="s">
        <v>33</v>
      </c>
    </row>
    <row r="30">
      <c r="A30" s="7">
        <v>0.08263888888888889</v>
      </c>
      <c r="B30" s="32" t="s">
        <v>154</v>
      </c>
      <c r="C30" s="35" t="s">
        <v>318</v>
      </c>
      <c r="D30" s="32" t="s">
        <v>364</v>
      </c>
      <c r="E30" s="24" t="s">
        <v>37</v>
      </c>
    </row>
    <row r="31">
      <c r="A31" s="7">
        <v>0.09305555555555556</v>
      </c>
      <c r="B31" s="34" t="s">
        <v>499</v>
      </c>
      <c r="C31" s="35" t="s">
        <v>19</v>
      </c>
      <c r="D31" s="32" t="s">
        <v>498</v>
      </c>
      <c r="E31" s="11" t="s">
        <v>33</v>
      </c>
    </row>
    <row r="32">
      <c r="A32" s="7">
        <v>0.09305555555555556</v>
      </c>
      <c r="B32" s="32" t="s">
        <v>364</v>
      </c>
      <c r="C32" s="35" t="s">
        <v>316</v>
      </c>
      <c r="D32" s="34" t="s">
        <v>200</v>
      </c>
      <c r="E32" s="24" t="s">
        <v>37</v>
      </c>
    </row>
    <row r="33">
      <c r="A33" s="7">
        <v>0.10277777777777777</v>
      </c>
      <c r="B33" s="32" t="s">
        <v>154</v>
      </c>
      <c r="C33" s="35" t="s">
        <v>26</v>
      </c>
      <c r="D33" s="32" t="s">
        <v>498</v>
      </c>
      <c r="E33" s="11" t="s">
        <v>33</v>
      </c>
    </row>
    <row r="34">
      <c r="A34" s="7">
        <v>0.10277777777777777</v>
      </c>
      <c r="B34" s="32" t="s">
        <v>364</v>
      </c>
      <c r="C34" s="35" t="s">
        <v>501</v>
      </c>
      <c r="D34" s="32" t="s">
        <v>499</v>
      </c>
      <c r="E34" s="24" t="s">
        <v>37</v>
      </c>
    </row>
    <row r="35">
      <c r="A35" s="7">
        <v>0.11319444444444444</v>
      </c>
      <c r="B35" s="32" t="s">
        <v>498</v>
      </c>
      <c r="C35" s="35" t="s">
        <v>306</v>
      </c>
      <c r="D35" s="32" t="s">
        <v>364</v>
      </c>
      <c r="E35" s="11" t="s">
        <v>33</v>
      </c>
    </row>
    <row r="36">
      <c r="A36" s="7">
        <v>0.11319444444444444</v>
      </c>
      <c r="B36" s="32" t="s">
        <v>154</v>
      </c>
      <c r="C36" s="35" t="s">
        <v>43</v>
      </c>
      <c r="D36" s="32" t="s">
        <v>200</v>
      </c>
      <c r="E36" s="24" t="s">
        <v>37</v>
      </c>
    </row>
    <row r="37">
      <c r="A37" s="7">
        <v>0.12361111111111112</v>
      </c>
      <c r="B37" s="34" t="s">
        <v>498</v>
      </c>
      <c r="C37" s="35" t="s">
        <v>190</v>
      </c>
      <c r="D37" s="34" t="s">
        <v>200</v>
      </c>
      <c r="E37" s="11" t="s">
        <v>33</v>
      </c>
    </row>
    <row r="38">
      <c r="A38" s="7">
        <v>0.12361111111111112</v>
      </c>
      <c r="B38" s="32" t="s">
        <v>154</v>
      </c>
      <c r="C38" s="35" t="s">
        <v>49</v>
      </c>
      <c r="D38" s="32" t="s">
        <v>499</v>
      </c>
      <c r="E38" s="24" t="s">
        <v>37</v>
      </c>
    </row>
    <row r="39">
      <c r="A39" s="7">
        <v>0.13333333333333333</v>
      </c>
      <c r="B39" s="32" t="s">
        <v>200</v>
      </c>
      <c r="C39" s="35" t="s">
        <v>17</v>
      </c>
      <c r="D39" s="34" t="s">
        <v>499</v>
      </c>
      <c r="E39" s="11" t="s">
        <v>33</v>
      </c>
    </row>
    <row r="40">
      <c r="A40" s="7">
        <v>0.13333333333333333</v>
      </c>
      <c r="B40" s="32" t="s">
        <v>364</v>
      </c>
      <c r="C40" s="35" t="s">
        <v>62</v>
      </c>
      <c r="D40" s="32" t="s">
        <v>154</v>
      </c>
      <c r="E40" s="24" t="s">
        <v>37</v>
      </c>
    </row>
    <row r="41">
      <c r="A41" s="7">
        <v>0.14375</v>
      </c>
      <c r="B41" s="32" t="s">
        <v>498</v>
      </c>
      <c r="C41" s="35" t="s">
        <v>24</v>
      </c>
      <c r="D41" s="34" t="s">
        <v>499</v>
      </c>
      <c r="E41" s="11" t="s">
        <v>33</v>
      </c>
    </row>
    <row r="42">
      <c r="A42" s="7">
        <v>0.14375</v>
      </c>
      <c r="B42" s="34" t="s">
        <v>200</v>
      </c>
      <c r="C42" s="35" t="s">
        <v>267</v>
      </c>
      <c r="D42" s="32" t="s">
        <v>364</v>
      </c>
      <c r="E42" s="24" t="s">
        <v>37</v>
      </c>
    </row>
    <row r="43">
      <c r="A43" s="7">
        <v>0.15416666666666667</v>
      </c>
      <c r="B43" s="32" t="s">
        <v>498</v>
      </c>
      <c r="C43" s="35" t="s">
        <v>68</v>
      </c>
      <c r="D43" s="32" t="s">
        <v>154</v>
      </c>
      <c r="E43" s="11" t="s">
        <v>33</v>
      </c>
    </row>
    <row r="44">
      <c r="A44" s="7">
        <v>0.15416666666666667</v>
      </c>
      <c r="B44" s="32" t="s">
        <v>499</v>
      </c>
      <c r="C44" s="35" t="s">
        <v>319</v>
      </c>
      <c r="D44" s="32" t="s">
        <v>364</v>
      </c>
      <c r="E44" s="24" t="s">
        <v>37</v>
      </c>
    </row>
    <row r="45">
      <c r="A45" s="1"/>
      <c r="B45" s="1" t="s">
        <v>53</v>
      </c>
      <c r="C45" s="2"/>
      <c r="D45" s="3"/>
      <c r="E45" s="14"/>
    </row>
    <row r="46">
      <c r="A46" s="15" t="s">
        <v>1</v>
      </c>
      <c r="B46" s="16" t="s">
        <v>2</v>
      </c>
      <c r="C46" s="16" t="s">
        <v>3</v>
      </c>
      <c r="D46" s="16" t="s">
        <v>4</v>
      </c>
      <c r="E46" s="16" t="s">
        <v>5</v>
      </c>
    </row>
    <row r="47">
      <c r="A47" s="7">
        <v>0.16666666666666666</v>
      </c>
      <c r="B47" s="32" t="s">
        <v>502</v>
      </c>
      <c r="C47" s="35" t="s">
        <v>22</v>
      </c>
      <c r="D47" s="32" t="s">
        <v>503</v>
      </c>
      <c r="E47" s="11" t="s">
        <v>9</v>
      </c>
    </row>
    <row r="48">
      <c r="A48" s="7">
        <v>0.16666666666666666</v>
      </c>
      <c r="B48" s="32" t="s">
        <v>209</v>
      </c>
      <c r="C48" s="35" t="s">
        <v>218</v>
      </c>
      <c r="D48" s="32" t="s">
        <v>504</v>
      </c>
      <c r="E48" s="11" t="s">
        <v>13</v>
      </c>
    </row>
    <row r="49">
      <c r="A49" s="7">
        <v>0.1763888888888889</v>
      </c>
      <c r="B49" s="32" t="s">
        <v>209</v>
      </c>
      <c r="C49" s="35" t="s">
        <v>25</v>
      </c>
      <c r="D49" s="32" t="s">
        <v>503</v>
      </c>
      <c r="E49" s="11" t="s">
        <v>9</v>
      </c>
    </row>
    <row r="50">
      <c r="A50" s="7">
        <v>0.1763888888888889</v>
      </c>
      <c r="B50" s="32" t="s">
        <v>505</v>
      </c>
      <c r="C50" s="35" t="s">
        <v>87</v>
      </c>
      <c r="D50" s="32" t="s">
        <v>504</v>
      </c>
      <c r="E50" s="11" t="s">
        <v>13</v>
      </c>
    </row>
    <row r="51">
      <c r="A51" s="7">
        <v>0.18680555555555556</v>
      </c>
      <c r="B51" s="32" t="s">
        <v>505</v>
      </c>
      <c r="C51" s="35" t="s">
        <v>414</v>
      </c>
      <c r="D51" s="32" t="s">
        <v>209</v>
      </c>
      <c r="E51" s="11" t="s">
        <v>9</v>
      </c>
    </row>
    <row r="52">
      <c r="A52" s="7">
        <v>0.18680555555555556</v>
      </c>
      <c r="B52" s="32" t="s">
        <v>504</v>
      </c>
      <c r="C52" s="35" t="s">
        <v>195</v>
      </c>
      <c r="D52" s="32" t="s">
        <v>502</v>
      </c>
      <c r="E52" s="11" t="s">
        <v>13</v>
      </c>
    </row>
    <row r="53">
      <c r="A53" s="7">
        <v>0.19722222222222222</v>
      </c>
      <c r="B53" s="32" t="s">
        <v>505</v>
      </c>
      <c r="C53" s="35" t="s">
        <v>16</v>
      </c>
      <c r="D53" s="32" t="s">
        <v>503</v>
      </c>
      <c r="E53" s="11" t="s">
        <v>9</v>
      </c>
    </row>
    <row r="54">
      <c r="A54" s="7">
        <v>0.19722222222222222</v>
      </c>
      <c r="B54" s="32" t="s">
        <v>502</v>
      </c>
      <c r="C54" s="35" t="s">
        <v>201</v>
      </c>
      <c r="D54" s="32" t="s">
        <v>209</v>
      </c>
      <c r="E54" s="11" t="s">
        <v>13</v>
      </c>
    </row>
    <row r="55">
      <c r="A55" s="7">
        <v>0.20694444444444443</v>
      </c>
      <c r="B55" s="32" t="s">
        <v>504</v>
      </c>
      <c r="C55" s="35" t="s">
        <v>232</v>
      </c>
      <c r="D55" s="32" t="s">
        <v>503</v>
      </c>
      <c r="E55" s="11" t="s">
        <v>9</v>
      </c>
    </row>
    <row r="56">
      <c r="A56" s="7">
        <v>0.20694444444444443</v>
      </c>
      <c r="B56" s="32" t="s">
        <v>502</v>
      </c>
      <c r="C56" s="35" t="s">
        <v>45</v>
      </c>
      <c r="D56" s="32" t="s">
        <v>505</v>
      </c>
      <c r="E56" s="11" t="s">
        <v>13</v>
      </c>
    </row>
    <row r="57">
      <c r="A57" s="7">
        <v>0.21736111111111112</v>
      </c>
      <c r="B57" s="32" t="s">
        <v>503</v>
      </c>
      <c r="C57" s="35" t="s">
        <v>412</v>
      </c>
      <c r="D57" s="32" t="s">
        <v>502</v>
      </c>
      <c r="E57" s="11" t="s">
        <v>9</v>
      </c>
    </row>
    <row r="58">
      <c r="A58" s="7">
        <v>0.21736111111111112</v>
      </c>
      <c r="B58" s="32" t="s">
        <v>504</v>
      </c>
      <c r="C58" s="35" t="s">
        <v>506</v>
      </c>
      <c r="D58" s="32" t="s">
        <v>209</v>
      </c>
      <c r="E58" s="11" t="s">
        <v>13</v>
      </c>
    </row>
    <row r="59">
      <c r="A59" s="7">
        <v>0.22777777777777777</v>
      </c>
      <c r="B59" s="32" t="s">
        <v>503</v>
      </c>
      <c r="C59" s="35" t="s">
        <v>197</v>
      </c>
      <c r="D59" s="32" t="s">
        <v>209</v>
      </c>
      <c r="E59" s="11" t="s">
        <v>9</v>
      </c>
    </row>
    <row r="60">
      <c r="A60" s="7">
        <v>0.22777777777777777</v>
      </c>
      <c r="B60" s="32" t="s">
        <v>504</v>
      </c>
      <c r="C60" s="35" t="s">
        <v>187</v>
      </c>
      <c r="D60" s="32" t="s">
        <v>505</v>
      </c>
      <c r="E60" s="11" t="s">
        <v>13</v>
      </c>
    </row>
    <row r="61">
      <c r="A61" s="7">
        <v>0.2375</v>
      </c>
      <c r="B61" s="32" t="s">
        <v>209</v>
      </c>
      <c r="C61" s="35" t="s">
        <v>45</v>
      </c>
      <c r="D61" s="32" t="s">
        <v>505</v>
      </c>
      <c r="E61" s="11" t="s">
        <v>9</v>
      </c>
    </row>
    <row r="62">
      <c r="A62" s="7">
        <v>0.2375</v>
      </c>
      <c r="B62" s="32" t="s">
        <v>502</v>
      </c>
      <c r="C62" s="35" t="s">
        <v>11</v>
      </c>
      <c r="D62" s="32" t="s">
        <v>504</v>
      </c>
      <c r="E62" s="11" t="s">
        <v>13</v>
      </c>
    </row>
    <row r="63">
      <c r="A63" s="7">
        <v>0.24791666666666667</v>
      </c>
      <c r="B63" s="32" t="s">
        <v>503</v>
      </c>
      <c r="C63" s="35" t="s">
        <v>507</v>
      </c>
      <c r="D63" s="32" t="s">
        <v>505</v>
      </c>
      <c r="E63" s="11" t="s">
        <v>9</v>
      </c>
    </row>
    <row r="64">
      <c r="A64" s="7">
        <v>0.24791666666666667</v>
      </c>
      <c r="B64" s="32" t="s">
        <v>209</v>
      </c>
      <c r="C64" s="35" t="s">
        <v>289</v>
      </c>
      <c r="D64" s="32" t="s">
        <v>502</v>
      </c>
      <c r="E64" s="11" t="s">
        <v>13</v>
      </c>
    </row>
    <row r="65">
      <c r="A65" s="7">
        <v>0.25833333333333336</v>
      </c>
      <c r="B65" s="32" t="s">
        <v>503</v>
      </c>
      <c r="C65" s="35" t="s">
        <v>43</v>
      </c>
      <c r="D65" s="32" t="s">
        <v>504</v>
      </c>
      <c r="E65" s="11" t="s">
        <v>9</v>
      </c>
    </row>
    <row r="66">
      <c r="A66" s="7">
        <v>0.25833333333333336</v>
      </c>
      <c r="B66" s="32" t="s">
        <v>505</v>
      </c>
      <c r="C66" s="35" t="s">
        <v>215</v>
      </c>
      <c r="D66" s="32" t="s">
        <v>502</v>
      </c>
      <c r="E66" s="11" t="s">
        <v>13</v>
      </c>
    </row>
    <row r="67">
      <c r="A67" s="1"/>
      <c r="B67" s="1" t="s">
        <v>53</v>
      </c>
      <c r="C67" s="2"/>
      <c r="D67" s="3"/>
      <c r="E67" s="4"/>
    </row>
    <row r="68">
      <c r="A68" s="15" t="s">
        <v>1</v>
      </c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7">
        <v>0.16666666666666666</v>
      </c>
      <c r="B69" s="32" t="s">
        <v>508</v>
      </c>
      <c r="C69" s="35" t="s">
        <v>509</v>
      </c>
      <c r="D69" s="32" t="s">
        <v>510</v>
      </c>
      <c r="E69" s="11" t="s">
        <v>33</v>
      </c>
    </row>
    <row r="70">
      <c r="A70" s="7">
        <v>0.16666666666666666</v>
      </c>
      <c r="B70" s="32" t="s">
        <v>223</v>
      </c>
      <c r="C70" s="35" t="s">
        <v>76</v>
      </c>
      <c r="D70" s="32" t="s">
        <v>511</v>
      </c>
      <c r="E70" s="11" t="s">
        <v>37</v>
      </c>
    </row>
    <row r="71">
      <c r="A71" s="7">
        <v>0.1763888888888889</v>
      </c>
      <c r="B71" s="32" t="s">
        <v>223</v>
      </c>
      <c r="C71" s="35" t="s">
        <v>69</v>
      </c>
      <c r="D71" s="32" t="s">
        <v>510</v>
      </c>
      <c r="E71" s="11" t="s">
        <v>33</v>
      </c>
    </row>
    <row r="72">
      <c r="A72" s="7">
        <v>0.1763888888888889</v>
      </c>
      <c r="B72" s="32" t="s">
        <v>512</v>
      </c>
      <c r="C72" s="35" t="s">
        <v>217</v>
      </c>
      <c r="D72" s="32" t="s">
        <v>511</v>
      </c>
      <c r="E72" s="24" t="s">
        <v>37</v>
      </c>
    </row>
    <row r="73">
      <c r="A73" s="7">
        <v>0.18680555555555556</v>
      </c>
      <c r="B73" s="32" t="s">
        <v>512</v>
      </c>
      <c r="C73" s="35" t="s">
        <v>317</v>
      </c>
      <c r="D73" s="32" t="s">
        <v>223</v>
      </c>
      <c r="E73" s="11" t="s">
        <v>33</v>
      </c>
    </row>
    <row r="74">
      <c r="A74" s="7">
        <v>0.18680555555555556</v>
      </c>
      <c r="B74" s="32" t="s">
        <v>511</v>
      </c>
      <c r="C74" s="35" t="s">
        <v>428</v>
      </c>
      <c r="D74" s="32" t="s">
        <v>508</v>
      </c>
      <c r="E74" s="24" t="s">
        <v>37</v>
      </c>
    </row>
    <row r="75">
      <c r="A75" s="7">
        <v>0.19722222222222222</v>
      </c>
      <c r="B75" s="32" t="s">
        <v>512</v>
      </c>
      <c r="C75" s="35" t="s">
        <v>50</v>
      </c>
      <c r="D75" s="32" t="s">
        <v>510</v>
      </c>
      <c r="E75" s="11" t="s">
        <v>33</v>
      </c>
    </row>
    <row r="76">
      <c r="A76" s="7">
        <v>0.19722222222222222</v>
      </c>
      <c r="B76" s="32" t="s">
        <v>508</v>
      </c>
      <c r="C76" s="35" t="s">
        <v>52</v>
      </c>
      <c r="D76" s="32" t="s">
        <v>223</v>
      </c>
      <c r="E76" s="24" t="s">
        <v>37</v>
      </c>
    </row>
    <row r="77">
      <c r="A77" s="7">
        <v>0.20694444444444443</v>
      </c>
      <c r="B77" s="32" t="s">
        <v>511</v>
      </c>
      <c r="C77" s="35" t="s">
        <v>297</v>
      </c>
      <c r="D77" s="32" t="s">
        <v>510</v>
      </c>
      <c r="E77" s="11" t="s">
        <v>33</v>
      </c>
    </row>
    <row r="78">
      <c r="A78" s="7">
        <v>0.20694444444444443</v>
      </c>
      <c r="B78" s="32" t="s">
        <v>508</v>
      </c>
      <c r="C78" s="35" t="s">
        <v>380</v>
      </c>
      <c r="D78" s="32" t="s">
        <v>512</v>
      </c>
      <c r="E78" s="24" t="s">
        <v>37</v>
      </c>
    </row>
    <row r="79">
      <c r="A79" s="7">
        <v>0.21736111111111112</v>
      </c>
      <c r="B79" s="32" t="s">
        <v>510</v>
      </c>
      <c r="C79" s="35" t="s">
        <v>304</v>
      </c>
      <c r="D79" s="32" t="s">
        <v>508</v>
      </c>
      <c r="E79" s="11" t="s">
        <v>33</v>
      </c>
    </row>
    <row r="80">
      <c r="A80" s="7">
        <v>0.21736111111111112</v>
      </c>
      <c r="B80" s="32" t="s">
        <v>511</v>
      </c>
      <c r="C80" s="35" t="s">
        <v>11</v>
      </c>
      <c r="D80" s="32" t="s">
        <v>223</v>
      </c>
      <c r="E80" s="24" t="s">
        <v>37</v>
      </c>
    </row>
    <row r="81">
      <c r="A81" s="7">
        <v>0.22777777777777777</v>
      </c>
      <c r="B81" s="32" t="s">
        <v>510</v>
      </c>
      <c r="C81" s="35" t="s">
        <v>42</v>
      </c>
      <c r="D81" s="32" t="s">
        <v>223</v>
      </c>
      <c r="E81" s="11" t="s">
        <v>33</v>
      </c>
    </row>
    <row r="82">
      <c r="A82" s="7">
        <v>0.22777777777777777</v>
      </c>
      <c r="B82" s="32" t="s">
        <v>511</v>
      </c>
      <c r="C82" s="35" t="s">
        <v>21</v>
      </c>
      <c r="D82" s="32" t="s">
        <v>512</v>
      </c>
      <c r="E82" s="24" t="s">
        <v>37</v>
      </c>
    </row>
    <row r="83">
      <c r="A83" s="7">
        <v>0.2375</v>
      </c>
      <c r="B83" s="32" t="s">
        <v>223</v>
      </c>
      <c r="C83" s="35" t="s">
        <v>17</v>
      </c>
      <c r="D83" s="32" t="s">
        <v>512</v>
      </c>
      <c r="E83" s="11" t="s">
        <v>33</v>
      </c>
    </row>
    <row r="84">
      <c r="A84" s="7">
        <v>0.2375</v>
      </c>
      <c r="B84" s="32" t="s">
        <v>508</v>
      </c>
      <c r="C84" s="35" t="s">
        <v>11</v>
      </c>
      <c r="D84" s="32" t="s">
        <v>511</v>
      </c>
      <c r="E84" s="24" t="s">
        <v>37</v>
      </c>
    </row>
    <row r="85">
      <c r="A85" s="7">
        <v>0.24791666666666667</v>
      </c>
      <c r="B85" s="32" t="s">
        <v>510</v>
      </c>
      <c r="C85" s="35" t="s">
        <v>513</v>
      </c>
      <c r="D85" s="32" t="s">
        <v>512</v>
      </c>
      <c r="E85" s="11" t="s">
        <v>33</v>
      </c>
    </row>
    <row r="86">
      <c r="A86" s="7">
        <v>0.24791666666666667</v>
      </c>
      <c r="B86" s="32" t="s">
        <v>223</v>
      </c>
      <c r="C86" s="35" t="s">
        <v>195</v>
      </c>
      <c r="D86" s="32" t="s">
        <v>508</v>
      </c>
      <c r="E86" s="24" t="s">
        <v>37</v>
      </c>
    </row>
    <row r="87">
      <c r="A87" s="7">
        <v>0.25833333333333336</v>
      </c>
      <c r="B87" s="32" t="s">
        <v>510</v>
      </c>
      <c r="C87" s="35" t="s">
        <v>239</v>
      </c>
      <c r="D87" s="32" t="s">
        <v>511</v>
      </c>
      <c r="E87" s="11" t="s">
        <v>33</v>
      </c>
    </row>
    <row r="88">
      <c r="A88" s="7">
        <v>0.25833333333333336</v>
      </c>
      <c r="B88" s="32" t="s">
        <v>512</v>
      </c>
      <c r="C88" s="35" t="s">
        <v>514</v>
      </c>
      <c r="D88" s="32" t="s">
        <v>508</v>
      </c>
      <c r="E88" s="24" t="s">
        <v>37</v>
      </c>
    </row>
    <row r="89">
      <c r="B89" s="1" t="s">
        <v>90</v>
      </c>
      <c r="C89" s="2"/>
      <c r="D89" s="3"/>
      <c r="E89" s="4"/>
    </row>
    <row r="90">
      <c r="A90" s="18" t="s">
        <v>1</v>
      </c>
      <c r="B90" s="16" t="s">
        <v>2</v>
      </c>
      <c r="C90" s="16" t="s">
        <v>3</v>
      </c>
      <c r="D90" s="16" t="s">
        <v>4</v>
      </c>
      <c r="E90" s="16" t="s">
        <v>5</v>
      </c>
    </row>
    <row r="91">
      <c r="A91" s="19">
        <v>0.3333333333333333</v>
      </c>
      <c r="B91" s="32" t="s">
        <v>515</v>
      </c>
      <c r="C91" s="35" t="s">
        <v>48</v>
      </c>
      <c r="D91" s="32" t="s">
        <v>516</v>
      </c>
      <c r="E91" s="11" t="s">
        <v>9</v>
      </c>
    </row>
    <row r="92">
      <c r="A92" s="19">
        <v>0.3333333333333333</v>
      </c>
      <c r="B92" s="32" t="s">
        <v>517</v>
      </c>
      <c r="C92" s="35" t="s">
        <v>201</v>
      </c>
      <c r="D92" s="32" t="s">
        <v>518</v>
      </c>
      <c r="E92" s="11" t="s">
        <v>13</v>
      </c>
    </row>
    <row r="93">
      <c r="A93" s="19">
        <v>0.34305555555555556</v>
      </c>
      <c r="B93" s="32" t="s">
        <v>517</v>
      </c>
      <c r="C93" s="35" t="s">
        <v>66</v>
      </c>
      <c r="D93" s="32" t="s">
        <v>516</v>
      </c>
      <c r="E93" s="11" t="s">
        <v>9</v>
      </c>
    </row>
    <row r="94">
      <c r="A94" s="19">
        <v>0.34305555555555556</v>
      </c>
      <c r="B94" s="32" t="s">
        <v>519</v>
      </c>
      <c r="C94" s="35" t="s">
        <v>520</v>
      </c>
      <c r="D94" s="32" t="s">
        <v>518</v>
      </c>
      <c r="E94" s="11" t="s">
        <v>13</v>
      </c>
    </row>
    <row r="95">
      <c r="A95" s="19">
        <v>0.35347222222222224</v>
      </c>
      <c r="B95" s="32" t="s">
        <v>519</v>
      </c>
      <c r="C95" s="35" t="s">
        <v>193</v>
      </c>
      <c r="D95" s="32" t="s">
        <v>517</v>
      </c>
      <c r="E95" s="11" t="s">
        <v>9</v>
      </c>
    </row>
    <row r="96">
      <c r="A96" s="19">
        <v>0.35347222222222224</v>
      </c>
      <c r="B96" s="32" t="s">
        <v>518</v>
      </c>
      <c r="C96" s="35" t="s">
        <v>472</v>
      </c>
      <c r="D96" s="32" t="s">
        <v>515</v>
      </c>
      <c r="E96" s="11" t="s">
        <v>13</v>
      </c>
    </row>
    <row r="97">
      <c r="A97" s="19">
        <v>0.3638888888888889</v>
      </c>
      <c r="B97" s="32" t="s">
        <v>519</v>
      </c>
      <c r="C97" s="35" t="s">
        <v>232</v>
      </c>
      <c r="D97" s="32" t="s">
        <v>516</v>
      </c>
      <c r="E97" s="11" t="s">
        <v>9</v>
      </c>
    </row>
    <row r="98">
      <c r="A98" s="19">
        <v>0.3638888888888889</v>
      </c>
      <c r="B98" s="32" t="s">
        <v>515</v>
      </c>
      <c r="C98" s="35" t="s">
        <v>43</v>
      </c>
      <c r="D98" s="32" t="s">
        <v>517</v>
      </c>
      <c r="E98" s="11" t="s">
        <v>13</v>
      </c>
    </row>
    <row r="99">
      <c r="A99" s="19">
        <v>0.3736111111111111</v>
      </c>
      <c r="B99" s="32" t="s">
        <v>518</v>
      </c>
      <c r="C99" s="35" t="s">
        <v>212</v>
      </c>
      <c r="D99" s="32" t="s">
        <v>516</v>
      </c>
      <c r="E99" s="11" t="s">
        <v>9</v>
      </c>
    </row>
    <row r="100">
      <c r="A100" s="19">
        <v>0.3736111111111111</v>
      </c>
      <c r="B100" s="32" t="s">
        <v>515</v>
      </c>
      <c r="C100" s="35" t="s">
        <v>190</v>
      </c>
      <c r="D100" s="32" t="s">
        <v>519</v>
      </c>
      <c r="E100" s="11" t="s">
        <v>13</v>
      </c>
    </row>
    <row r="101">
      <c r="A101" s="19">
        <v>0.3840277777777778</v>
      </c>
      <c r="B101" s="32" t="s">
        <v>516</v>
      </c>
      <c r="C101" s="35" t="s">
        <v>87</v>
      </c>
      <c r="D101" s="32" t="s">
        <v>515</v>
      </c>
      <c r="E101" s="11" t="s">
        <v>9</v>
      </c>
    </row>
    <row r="102">
      <c r="A102" s="19">
        <v>0.3840277777777778</v>
      </c>
      <c r="B102" s="32" t="s">
        <v>518</v>
      </c>
      <c r="C102" s="35" t="s">
        <v>68</v>
      </c>
      <c r="D102" s="32" t="s">
        <v>517</v>
      </c>
      <c r="E102" s="11" t="s">
        <v>13</v>
      </c>
    </row>
    <row r="103">
      <c r="A103" s="19">
        <v>0.39444444444444443</v>
      </c>
      <c r="B103" s="32" t="s">
        <v>516</v>
      </c>
      <c r="C103" s="35" t="s">
        <v>251</v>
      </c>
      <c r="D103" s="32" t="s">
        <v>517</v>
      </c>
      <c r="E103" s="11" t="s">
        <v>9</v>
      </c>
    </row>
    <row r="104">
      <c r="A104" s="19">
        <v>0.39444444444444443</v>
      </c>
      <c r="B104" s="32" t="s">
        <v>518</v>
      </c>
      <c r="C104" s="35" t="s">
        <v>68</v>
      </c>
      <c r="D104" s="32" t="s">
        <v>519</v>
      </c>
      <c r="E104" s="11" t="s">
        <v>13</v>
      </c>
    </row>
    <row r="105">
      <c r="A105" s="19">
        <v>0.4041666666666667</v>
      </c>
      <c r="B105" s="32" t="s">
        <v>517</v>
      </c>
      <c r="C105" s="35" t="s">
        <v>218</v>
      </c>
      <c r="D105" s="32" t="s">
        <v>519</v>
      </c>
      <c r="E105" s="11" t="s">
        <v>9</v>
      </c>
    </row>
    <row r="106">
      <c r="A106" s="19">
        <v>0.4041666666666667</v>
      </c>
      <c r="B106" s="32" t="s">
        <v>515</v>
      </c>
      <c r="C106" s="35" t="s">
        <v>82</v>
      </c>
      <c r="D106" s="32" t="s">
        <v>518</v>
      </c>
      <c r="E106" s="11" t="s">
        <v>13</v>
      </c>
    </row>
    <row r="107">
      <c r="A107" s="19">
        <v>0.41458333333333336</v>
      </c>
      <c r="B107" s="32" t="s">
        <v>516</v>
      </c>
      <c r="C107" s="35" t="s">
        <v>273</v>
      </c>
      <c r="D107" s="32" t="s">
        <v>519</v>
      </c>
      <c r="E107" s="11" t="s">
        <v>9</v>
      </c>
    </row>
    <row r="108">
      <c r="A108" s="19">
        <v>0.41458333333333336</v>
      </c>
      <c r="B108" s="32" t="s">
        <v>517</v>
      </c>
      <c r="C108" s="35" t="s">
        <v>195</v>
      </c>
      <c r="D108" s="32" t="s">
        <v>515</v>
      </c>
      <c r="E108" s="11" t="s">
        <v>13</v>
      </c>
    </row>
    <row r="109">
      <c r="A109" s="19">
        <v>0.425</v>
      </c>
      <c r="B109" s="32" t="s">
        <v>516</v>
      </c>
      <c r="C109" s="35" t="s">
        <v>190</v>
      </c>
      <c r="D109" s="32" t="s">
        <v>518</v>
      </c>
      <c r="E109" s="11" t="s">
        <v>9</v>
      </c>
    </row>
    <row r="110">
      <c r="A110" s="19">
        <v>0.425</v>
      </c>
      <c r="B110" s="32" t="s">
        <v>519</v>
      </c>
      <c r="C110" s="35" t="s">
        <v>20</v>
      </c>
      <c r="D110" s="32" t="s">
        <v>515</v>
      </c>
      <c r="E110" s="11" t="s">
        <v>13</v>
      </c>
    </row>
    <row r="111">
      <c r="A111" s="1"/>
      <c r="B111" s="1" t="s">
        <v>90</v>
      </c>
      <c r="C111" s="2"/>
      <c r="D111" s="3"/>
      <c r="E111" s="4"/>
    </row>
    <row r="112">
      <c r="A112" s="18" t="s">
        <v>1</v>
      </c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A113" s="22">
        <v>0.3333333333333333</v>
      </c>
      <c r="B113" s="32" t="s">
        <v>521</v>
      </c>
      <c r="C113" s="35" t="s">
        <v>522</v>
      </c>
      <c r="D113" s="32" t="s">
        <v>523</v>
      </c>
      <c r="E113" s="11" t="s">
        <v>33</v>
      </c>
    </row>
    <row r="114">
      <c r="A114" s="23">
        <v>0.3333333333333333</v>
      </c>
      <c r="B114" s="32" t="s">
        <v>524</v>
      </c>
      <c r="C114" s="35" t="s">
        <v>22</v>
      </c>
      <c r="D114" s="32" t="s">
        <v>525</v>
      </c>
      <c r="E114" s="11" t="s">
        <v>37</v>
      </c>
    </row>
    <row r="115">
      <c r="A115" s="23">
        <v>0.34305555555555556</v>
      </c>
      <c r="B115" s="32" t="s">
        <v>524</v>
      </c>
      <c r="C115" s="35" t="s">
        <v>71</v>
      </c>
      <c r="D115" s="32" t="s">
        <v>523</v>
      </c>
      <c r="E115" s="11" t="s">
        <v>33</v>
      </c>
    </row>
    <row r="116">
      <c r="A116" s="23">
        <v>0.34305555555555556</v>
      </c>
      <c r="B116" s="32" t="s">
        <v>391</v>
      </c>
      <c r="C116" s="35" t="s">
        <v>27</v>
      </c>
      <c r="D116" s="32" t="s">
        <v>525</v>
      </c>
      <c r="E116" s="11" t="s">
        <v>37</v>
      </c>
    </row>
    <row r="117">
      <c r="A117" s="23">
        <v>0.35347222222222224</v>
      </c>
      <c r="B117" s="32" t="s">
        <v>391</v>
      </c>
      <c r="C117" s="35" t="s">
        <v>62</v>
      </c>
      <c r="D117" s="32" t="s">
        <v>524</v>
      </c>
      <c r="E117" s="11" t="s">
        <v>33</v>
      </c>
    </row>
    <row r="118">
      <c r="A118" s="23">
        <v>0.35347222222222224</v>
      </c>
      <c r="B118" s="32" t="s">
        <v>525</v>
      </c>
      <c r="C118" s="35" t="s">
        <v>16</v>
      </c>
      <c r="D118" s="32" t="s">
        <v>521</v>
      </c>
      <c r="E118" s="11" t="s">
        <v>37</v>
      </c>
    </row>
    <row r="119">
      <c r="A119" s="23">
        <v>0.3638888888888889</v>
      </c>
      <c r="B119" s="32" t="s">
        <v>391</v>
      </c>
      <c r="C119" s="35" t="s">
        <v>526</v>
      </c>
      <c r="D119" s="32" t="s">
        <v>523</v>
      </c>
      <c r="E119" s="11" t="s">
        <v>33</v>
      </c>
    </row>
    <row r="120">
      <c r="A120" s="23">
        <v>0.3638888888888889</v>
      </c>
      <c r="B120" s="32" t="s">
        <v>521</v>
      </c>
      <c r="C120" s="35" t="s">
        <v>291</v>
      </c>
      <c r="D120" s="32" t="s">
        <v>524</v>
      </c>
      <c r="E120" s="11" t="s">
        <v>37</v>
      </c>
    </row>
    <row r="121">
      <c r="A121" s="23">
        <v>0.3736111111111111</v>
      </c>
      <c r="B121" s="32" t="s">
        <v>525</v>
      </c>
      <c r="C121" s="35" t="s">
        <v>19</v>
      </c>
      <c r="D121" s="32" t="s">
        <v>523</v>
      </c>
      <c r="E121" s="11" t="s">
        <v>33</v>
      </c>
    </row>
    <row r="122">
      <c r="A122" s="23">
        <v>0.3736111111111111</v>
      </c>
      <c r="B122" s="32" t="s">
        <v>521</v>
      </c>
      <c r="C122" s="35" t="s">
        <v>18</v>
      </c>
      <c r="D122" s="32" t="s">
        <v>391</v>
      </c>
      <c r="E122" s="11" t="s">
        <v>37</v>
      </c>
    </row>
    <row r="123">
      <c r="A123" s="23">
        <v>0.3840277777777778</v>
      </c>
      <c r="B123" s="32" t="s">
        <v>523</v>
      </c>
      <c r="C123" s="35" t="s">
        <v>19</v>
      </c>
      <c r="D123" s="32" t="s">
        <v>521</v>
      </c>
      <c r="E123" s="11" t="s">
        <v>33</v>
      </c>
    </row>
    <row r="124">
      <c r="A124" s="23">
        <v>0.3840277777777778</v>
      </c>
      <c r="B124" s="32" t="s">
        <v>525</v>
      </c>
      <c r="C124" s="35" t="s">
        <v>291</v>
      </c>
      <c r="D124" s="32" t="s">
        <v>524</v>
      </c>
      <c r="E124" s="11" t="s">
        <v>37</v>
      </c>
    </row>
    <row r="125">
      <c r="A125" s="23">
        <v>0.39444444444444443</v>
      </c>
      <c r="B125" s="32" t="s">
        <v>523</v>
      </c>
      <c r="C125" s="35" t="s">
        <v>62</v>
      </c>
      <c r="D125" s="32" t="s">
        <v>524</v>
      </c>
      <c r="E125" s="11" t="s">
        <v>33</v>
      </c>
    </row>
    <row r="126">
      <c r="A126" s="23">
        <v>0.39444444444444443</v>
      </c>
      <c r="B126" s="32" t="s">
        <v>525</v>
      </c>
      <c r="C126" s="35" t="s">
        <v>22</v>
      </c>
      <c r="D126" s="32" t="s">
        <v>391</v>
      </c>
      <c r="E126" s="11" t="s">
        <v>37</v>
      </c>
    </row>
    <row r="127">
      <c r="A127" s="23">
        <v>0.4041666666666667</v>
      </c>
      <c r="B127" s="32" t="s">
        <v>524</v>
      </c>
      <c r="C127" s="35" t="s">
        <v>319</v>
      </c>
      <c r="D127" s="32" t="s">
        <v>391</v>
      </c>
      <c r="E127" s="11" t="s">
        <v>33</v>
      </c>
    </row>
    <row r="128">
      <c r="A128" s="23">
        <v>0.4041666666666667</v>
      </c>
      <c r="B128" s="32" t="s">
        <v>521</v>
      </c>
      <c r="C128" s="35" t="s">
        <v>527</v>
      </c>
      <c r="D128" s="32" t="s">
        <v>525</v>
      </c>
      <c r="E128" s="11" t="s">
        <v>37</v>
      </c>
    </row>
    <row r="129">
      <c r="A129" s="23">
        <v>0.41458333333333336</v>
      </c>
      <c r="B129" s="32" t="s">
        <v>523</v>
      </c>
      <c r="C129" s="35" t="s">
        <v>276</v>
      </c>
      <c r="D129" s="32" t="s">
        <v>391</v>
      </c>
      <c r="E129" s="11" t="s">
        <v>33</v>
      </c>
    </row>
    <row r="130">
      <c r="A130" s="23">
        <v>0.41458333333333336</v>
      </c>
      <c r="B130" s="32" t="s">
        <v>524</v>
      </c>
      <c r="C130" s="35" t="s">
        <v>370</v>
      </c>
      <c r="D130" s="32" t="s">
        <v>521</v>
      </c>
      <c r="E130" s="11" t="s">
        <v>37</v>
      </c>
    </row>
    <row r="131">
      <c r="A131" s="23">
        <v>0.425</v>
      </c>
      <c r="B131" s="32" t="s">
        <v>523</v>
      </c>
      <c r="C131" s="35" t="s">
        <v>18</v>
      </c>
      <c r="D131" s="32" t="s">
        <v>525</v>
      </c>
      <c r="E131" s="11" t="s">
        <v>33</v>
      </c>
    </row>
    <row r="132">
      <c r="A132" s="23">
        <v>0.425</v>
      </c>
      <c r="B132" s="32" t="s">
        <v>391</v>
      </c>
      <c r="C132" s="35" t="s">
        <v>43</v>
      </c>
      <c r="D132" s="32" t="s">
        <v>521</v>
      </c>
      <c r="E132" s="11" t="s">
        <v>37</v>
      </c>
    </row>
    <row r="133">
      <c r="A133" s="1"/>
      <c r="B133" s="1" t="s">
        <v>101</v>
      </c>
      <c r="C133" s="2"/>
      <c r="D133" s="3"/>
      <c r="E133" s="4"/>
    </row>
    <row r="134">
      <c r="A134" s="18" t="s">
        <v>1</v>
      </c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A135" s="19">
        <v>0.4375</v>
      </c>
      <c r="B135" s="32" t="s">
        <v>528</v>
      </c>
      <c r="C135" s="33" t="s">
        <v>196</v>
      </c>
      <c r="D135" s="32" t="s">
        <v>529</v>
      </c>
      <c r="E135" s="11" t="s">
        <v>9</v>
      </c>
    </row>
    <row r="136">
      <c r="A136" s="19">
        <v>0.4375</v>
      </c>
      <c r="B136" s="32" t="s">
        <v>530</v>
      </c>
      <c r="C136" s="33" t="s">
        <v>68</v>
      </c>
      <c r="D136" s="32" t="s">
        <v>531</v>
      </c>
      <c r="E136" s="11" t="s">
        <v>13</v>
      </c>
    </row>
    <row r="137">
      <c r="A137" s="19">
        <v>0.44722222222222224</v>
      </c>
      <c r="B137" s="32" t="s">
        <v>530</v>
      </c>
      <c r="C137" s="33" t="s">
        <v>81</v>
      </c>
      <c r="D137" s="32" t="s">
        <v>529</v>
      </c>
      <c r="E137" s="11" t="s">
        <v>9</v>
      </c>
    </row>
    <row r="138">
      <c r="A138" s="19">
        <v>0.44722222222222224</v>
      </c>
      <c r="B138" s="32" t="s">
        <v>532</v>
      </c>
      <c r="C138" s="33" t="s">
        <v>11</v>
      </c>
      <c r="D138" s="32" t="s">
        <v>531</v>
      </c>
      <c r="E138" s="11" t="s">
        <v>13</v>
      </c>
    </row>
    <row r="139">
      <c r="A139" s="19">
        <v>0.4576388888888889</v>
      </c>
      <c r="B139" s="32" t="s">
        <v>532</v>
      </c>
      <c r="C139" s="33" t="s">
        <v>193</v>
      </c>
      <c r="D139" s="32" t="s">
        <v>530</v>
      </c>
      <c r="E139" s="11" t="s">
        <v>9</v>
      </c>
    </row>
    <row r="140">
      <c r="A140" s="19">
        <v>0.4576388888888889</v>
      </c>
      <c r="B140" s="32" t="s">
        <v>531</v>
      </c>
      <c r="C140" s="33" t="s">
        <v>533</v>
      </c>
      <c r="D140" s="32" t="s">
        <v>528</v>
      </c>
      <c r="E140" s="11" t="s">
        <v>13</v>
      </c>
    </row>
    <row r="141">
      <c r="A141" s="19">
        <v>0.46805555555555556</v>
      </c>
      <c r="B141" s="32" t="s">
        <v>532</v>
      </c>
      <c r="C141" s="33" t="s">
        <v>190</v>
      </c>
      <c r="D141" s="32" t="s">
        <v>529</v>
      </c>
      <c r="E141" s="11" t="s">
        <v>9</v>
      </c>
    </row>
    <row r="142">
      <c r="A142" s="19">
        <v>0.46805555555555556</v>
      </c>
      <c r="B142" s="32" t="s">
        <v>528</v>
      </c>
      <c r="C142" s="33" t="s">
        <v>534</v>
      </c>
      <c r="D142" s="32" t="s">
        <v>530</v>
      </c>
      <c r="E142" s="11" t="s">
        <v>13</v>
      </c>
    </row>
    <row r="143">
      <c r="A143" s="19">
        <v>0.4777777777777778</v>
      </c>
      <c r="B143" s="32" t="s">
        <v>531</v>
      </c>
      <c r="C143" s="33" t="s">
        <v>535</v>
      </c>
      <c r="D143" s="32" t="s">
        <v>529</v>
      </c>
      <c r="E143" s="11" t="s">
        <v>9</v>
      </c>
    </row>
    <row r="144">
      <c r="A144" s="19">
        <v>0.4777777777777778</v>
      </c>
      <c r="B144" s="32" t="s">
        <v>528</v>
      </c>
      <c r="C144" s="33" t="s">
        <v>16</v>
      </c>
      <c r="D144" s="32" t="s">
        <v>532</v>
      </c>
      <c r="E144" s="11" t="s">
        <v>13</v>
      </c>
    </row>
    <row r="145">
      <c r="A145" s="19">
        <v>0.48819444444444443</v>
      </c>
      <c r="B145" s="32" t="s">
        <v>529</v>
      </c>
      <c r="C145" s="33" t="s">
        <v>69</v>
      </c>
      <c r="D145" s="32" t="s">
        <v>528</v>
      </c>
      <c r="E145" s="11" t="s">
        <v>9</v>
      </c>
    </row>
    <row r="146">
      <c r="A146" s="19">
        <v>0.48819444444444443</v>
      </c>
      <c r="B146" s="32" t="s">
        <v>531</v>
      </c>
      <c r="C146" s="33" t="s">
        <v>28</v>
      </c>
      <c r="D146" s="32" t="s">
        <v>530</v>
      </c>
      <c r="E146" s="11" t="s">
        <v>13</v>
      </c>
    </row>
    <row r="147">
      <c r="A147" s="19">
        <v>0.4986111111111111</v>
      </c>
      <c r="B147" s="32" t="s">
        <v>529</v>
      </c>
      <c r="C147" s="35" t="s">
        <v>251</v>
      </c>
      <c r="D147" s="32" t="s">
        <v>530</v>
      </c>
      <c r="E147" s="11" t="s">
        <v>9</v>
      </c>
    </row>
    <row r="148">
      <c r="A148" s="19">
        <v>0.4986111111111111</v>
      </c>
      <c r="B148" s="32" t="s">
        <v>531</v>
      </c>
      <c r="C148" s="35" t="s">
        <v>285</v>
      </c>
      <c r="D148" s="32" t="s">
        <v>532</v>
      </c>
      <c r="E148" s="11" t="s">
        <v>13</v>
      </c>
    </row>
    <row r="149">
      <c r="A149" s="19">
        <v>0.5083333333333333</v>
      </c>
      <c r="B149" s="32" t="s">
        <v>530</v>
      </c>
      <c r="C149" s="35" t="s">
        <v>41</v>
      </c>
      <c r="D149" s="32" t="s">
        <v>532</v>
      </c>
      <c r="E149" s="11" t="s">
        <v>9</v>
      </c>
    </row>
    <row r="150">
      <c r="A150" s="19">
        <v>0.5083333333333333</v>
      </c>
      <c r="B150" s="32" t="s">
        <v>528</v>
      </c>
      <c r="C150" s="35" t="s">
        <v>536</v>
      </c>
      <c r="D150" s="32" t="s">
        <v>531</v>
      </c>
      <c r="E150" s="11" t="s">
        <v>13</v>
      </c>
    </row>
    <row r="151">
      <c r="A151" s="19">
        <v>0.51875</v>
      </c>
      <c r="B151" s="32" t="s">
        <v>529</v>
      </c>
      <c r="C151" s="35" t="s">
        <v>190</v>
      </c>
      <c r="D151" s="32" t="s">
        <v>532</v>
      </c>
      <c r="E151" s="11" t="s">
        <v>9</v>
      </c>
    </row>
    <row r="152">
      <c r="A152" s="19">
        <v>0.51875</v>
      </c>
      <c r="B152" s="32" t="s">
        <v>530</v>
      </c>
      <c r="C152" s="35" t="s">
        <v>197</v>
      </c>
      <c r="D152" s="32" t="s">
        <v>528</v>
      </c>
      <c r="E152" s="11" t="s">
        <v>13</v>
      </c>
    </row>
    <row r="153">
      <c r="A153" s="19">
        <v>0.5291666666666667</v>
      </c>
      <c r="B153" s="32" t="s">
        <v>529</v>
      </c>
      <c r="C153" s="35" t="s">
        <v>193</v>
      </c>
      <c r="D153" s="32" t="s">
        <v>531</v>
      </c>
      <c r="E153" s="11" t="s">
        <v>9</v>
      </c>
    </row>
    <row r="154">
      <c r="A154" s="19">
        <v>0.5291666666666667</v>
      </c>
      <c r="B154" s="32" t="s">
        <v>532</v>
      </c>
      <c r="C154" s="35" t="s">
        <v>297</v>
      </c>
      <c r="D154" s="32" t="s">
        <v>528</v>
      </c>
      <c r="E154" s="11" t="s">
        <v>13</v>
      </c>
    </row>
    <row r="155">
      <c r="A155" s="1"/>
      <c r="B155" s="1" t="s">
        <v>101</v>
      </c>
      <c r="C155" s="2"/>
      <c r="D155" s="3"/>
      <c r="E155" s="4"/>
    </row>
    <row r="156">
      <c r="A156" s="18" t="s">
        <v>1</v>
      </c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A157" s="19">
        <v>0.4375</v>
      </c>
      <c r="B157" s="32" t="s">
        <v>537</v>
      </c>
      <c r="C157" s="35" t="s">
        <v>69</v>
      </c>
      <c r="D157" s="32" t="s">
        <v>538</v>
      </c>
      <c r="E157" s="11" t="s">
        <v>33</v>
      </c>
    </row>
    <row r="158">
      <c r="A158" s="19">
        <v>0.4375</v>
      </c>
      <c r="B158" s="32" t="s">
        <v>539</v>
      </c>
      <c r="C158" s="35" t="s">
        <v>71</v>
      </c>
      <c r="D158" s="32" t="s">
        <v>540</v>
      </c>
      <c r="E158" s="11" t="s">
        <v>37</v>
      </c>
    </row>
    <row r="159">
      <c r="A159" s="19">
        <v>0.44722222222222224</v>
      </c>
      <c r="B159" s="32" t="s">
        <v>539</v>
      </c>
      <c r="C159" s="35" t="s">
        <v>71</v>
      </c>
      <c r="D159" s="32" t="s">
        <v>538</v>
      </c>
      <c r="E159" s="11" t="s">
        <v>33</v>
      </c>
    </row>
    <row r="160">
      <c r="A160" s="19">
        <v>0.44722222222222224</v>
      </c>
      <c r="B160" s="32" t="s">
        <v>541</v>
      </c>
      <c r="C160" s="35" t="s">
        <v>416</v>
      </c>
      <c r="D160" s="32" t="s">
        <v>540</v>
      </c>
      <c r="E160" s="11" t="s">
        <v>37</v>
      </c>
    </row>
    <row r="161">
      <c r="A161" s="19">
        <v>0.4576388888888889</v>
      </c>
      <c r="B161" s="32" t="s">
        <v>541</v>
      </c>
      <c r="C161" s="35" t="s">
        <v>542</v>
      </c>
      <c r="D161" s="32" t="s">
        <v>539</v>
      </c>
      <c r="E161" s="11" t="s">
        <v>33</v>
      </c>
    </row>
    <row r="162">
      <c r="A162" s="19">
        <v>0.4576388888888889</v>
      </c>
      <c r="B162" s="32" t="s">
        <v>540</v>
      </c>
      <c r="C162" s="35" t="s">
        <v>543</v>
      </c>
      <c r="D162" s="32" t="s">
        <v>537</v>
      </c>
      <c r="E162" s="11" t="s">
        <v>37</v>
      </c>
    </row>
    <row r="163">
      <c r="A163" s="19">
        <v>0.46805555555555556</v>
      </c>
      <c r="B163" s="32" t="s">
        <v>541</v>
      </c>
      <c r="C163" s="35" t="s">
        <v>47</v>
      </c>
      <c r="D163" s="32" t="s">
        <v>538</v>
      </c>
      <c r="E163" s="11" t="s">
        <v>33</v>
      </c>
    </row>
    <row r="164">
      <c r="A164" s="19">
        <v>0.46805555555555556</v>
      </c>
      <c r="B164" s="32" t="s">
        <v>537</v>
      </c>
      <c r="C164" s="35" t="s">
        <v>270</v>
      </c>
      <c r="D164" s="32" t="s">
        <v>539</v>
      </c>
      <c r="E164" s="11" t="s">
        <v>37</v>
      </c>
      <c r="I164" s="36" t="s">
        <v>242</v>
      </c>
    </row>
    <row r="165">
      <c r="A165" s="19">
        <v>0.4777777777777778</v>
      </c>
      <c r="B165" s="32" t="s">
        <v>540</v>
      </c>
      <c r="C165" s="35" t="s">
        <v>243</v>
      </c>
      <c r="D165" s="32" t="s">
        <v>538</v>
      </c>
      <c r="E165" s="11" t="s">
        <v>33</v>
      </c>
    </row>
    <row r="166">
      <c r="A166" s="19">
        <v>0.4777777777777778</v>
      </c>
      <c r="B166" s="32" t="s">
        <v>537</v>
      </c>
      <c r="C166" s="35" t="s">
        <v>260</v>
      </c>
      <c r="D166" s="32" t="s">
        <v>541</v>
      </c>
      <c r="E166" s="11" t="s">
        <v>37</v>
      </c>
    </row>
    <row r="167">
      <c r="A167" s="19">
        <v>0.48819444444444443</v>
      </c>
      <c r="B167" s="32" t="s">
        <v>538</v>
      </c>
      <c r="C167" s="35" t="s">
        <v>45</v>
      </c>
      <c r="D167" s="32" t="s">
        <v>537</v>
      </c>
      <c r="E167" s="11" t="s">
        <v>33</v>
      </c>
      <c r="G167" s="36"/>
      <c r="I167" s="36"/>
    </row>
    <row r="168">
      <c r="A168" s="19">
        <v>0.48819444444444443</v>
      </c>
      <c r="B168" s="32" t="s">
        <v>540</v>
      </c>
      <c r="C168" s="35" t="s">
        <v>544</v>
      </c>
      <c r="D168" s="32" t="s">
        <v>539</v>
      </c>
      <c r="E168" s="11" t="s">
        <v>37</v>
      </c>
    </row>
    <row r="169">
      <c r="A169" s="19">
        <v>0.4986111111111111</v>
      </c>
      <c r="B169" s="32" t="s">
        <v>538</v>
      </c>
      <c r="C169" s="35" t="s">
        <v>219</v>
      </c>
      <c r="D169" s="32" t="s">
        <v>539</v>
      </c>
      <c r="E169" s="11" t="s">
        <v>33</v>
      </c>
    </row>
    <row r="170">
      <c r="A170" s="19">
        <v>0.4986111111111111</v>
      </c>
      <c r="B170" s="32" t="s">
        <v>540</v>
      </c>
      <c r="C170" s="35" t="s">
        <v>243</v>
      </c>
      <c r="D170" s="32" t="s">
        <v>541</v>
      </c>
      <c r="E170" s="11" t="s">
        <v>37</v>
      </c>
    </row>
    <row r="171">
      <c r="A171" s="19">
        <v>0.5083333333333333</v>
      </c>
      <c r="B171" s="32" t="s">
        <v>539</v>
      </c>
      <c r="C171" s="35" t="s">
        <v>25</v>
      </c>
      <c r="D171" s="32" t="s">
        <v>541</v>
      </c>
      <c r="E171" s="11" t="s">
        <v>33</v>
      </c>
    </row>
    <row r="172">
      <c r="A172" s="19">
        <v>0.5083333333333333</v>
      </c>
      <c r="B172" s="32" t="s">
        <v>537</v>
      </c>
      <c r="C172" s="35" t="s">
        <v>312</v>
      </c>
      <c r="D172" s="32" t="s">
        <v>540</v>
      </c>
      <c r="E172" s="11" t="s">
        <v>37</v>
      </c>
    </row>
    <row r="173">
      <c r="A173" s="19">
        <v>0.51875</v>
      </c>
      <c r="B173" s="32" t="s">
        <v>538</v>
      </c>
      <c r="C173" s="35" t="s">
        <v>24</v>
      </c>
      <c r="D173" s="32" t="s">
        <v>541</v>
      </c>
      <c r="E173" s="11" t="s">
        <v>33</v>
      </c>
    </row>
    <row r="174">
      <c r="A174" s="19">
        <v>0.51875</v>
      </c>
      <c r="B174" s="32" t="s">
        <v>539</v>
      </c>
      <c r="C174" s="35" t="s">
        <v>378</v>
      </c>
      <c r="D174" s="32" t="s">
        <v>537</v>
      </c>
      <c r="E174" s="11" t="s">
        <v>37</v>
      </c>
    </row>
    <row r="175">
      <c r="A175" s="19">
        <v>0.5291666666666667</v>
      </c>
      <c r="B175" s="32" t="s">
        <v>538</v>
      </c>
      <c r="C175" s="35" t="s">
        <v>545</v>
      </c>
      <c r="D175" s="32" t="s">
        <v>540</v>
      </c>
      <c r="E175" s="11" t="s">
        <v>33</v>
      </c>
    </row>
    <row r="176">
      <c r="A176" s="19">
        <v>0.5291666666666667</v>
      </c>
      <c r="B176" s="32" t="s">
        <v>541</v>
      </c>
      <c r="C176" s="35" t="s">
        <v>193</v>
      </c>
      <c r="D176" s="32" t="s">
        <v>537</v>
      </c>
      <c r="E176" s="11" t="s">
        <v>37</v>
      </c>
    </row>
    <row r="177">
      <c r="A177" s="1"/>
      <c r="B177" s="1" t="s">
        <v>112</v>
      </c>
      <c r="C177" s="2"/>
      <c r="D177" s="3"/>
      <c r="E177" s="4"/>
    </row>
    <row r="178">
      <c r="A178" s="18" t="s">
        <v>1</v>
      </c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A179" s="19">
        <v>0.5416666666666666</v>
      </c>
      <c r="B179" s="32" t="s">
        <v>546</v>
      </c>
      <c r="C179" s="35" t="s">
        <v>16</v>
      </c>
      <c r="D179" s="32" t="s">
        <v>417</v>
      </c>
      <c r="E179" s="11" t="s">
        <v>9</v>
      </c>
    </row>
    <row r="180">
      <c r="A180" s="19">
        <v>0.5416666666666666</v>
      </c>
      <c r="B180" s="32" t="s">
        <v>547</v>
      </c>
      <c r="C180" s="35" t="s">
        <v>212</v>
      </c>
      <c r="D180" s="32" t="s">
        <v>548</v>
      </c>
      <c r="E180" s="11" t="s">
        <v>13</v>
      </c>
    </row>
    <row r="181">
      <c r="A181" s="19">
        <v>0.5513888888888889</v>
      </c>
      <c r="B181" s="32" t="s">
        <v>547</v>
      </c>
      <c r="C181" s="35" t="s">
        <v>25</v>
      </c>
      <c r="D181" s="32" t="s">
        <v>417</v>
      </c>
      <c r="E181" s="11" t="s">
        <v>9</v>
      </c>
    </row>
    <row r="182">
      <c r="A182" s="19">
        <v>0.5513888888888889</v>
      </c>
      <c r="B182" s="32" t="s">
        <v>549</v>
      </c>
      <c r="C182" s="35" t="s">
        <v>19</v>
      </c>
      <c r="D182" s="32" t="s">
        <v>548</v>
      </c>
      <c r="E182" s="11" t="s">
        <v>13</v>
      </c>
    </row>
    <row r="183">
      <c r="A183" s="19">
        <v>0.5618055555555556</v>
      </c>
      <c r="B183" s="32" t="s">
        <v>549</v>
      </c>
      <c r="C183" s="35" t="s">
        <v>19</v>
      </c>
      <c r="D183" s="32" t="s">
        <v>547</v>
      </c>
      <c r="E183" s="11" t="s">
        <v>9</v>
      </c>
    </row>
    <row r="184">
      <c r="A184" s="19">
        <v>0.5618055555555556</v>
      </c>
      <c r="B184" s="32" t="s">
        <v>548</v>
      </c>
      <c r="C184" s="35" t="s">
        <v>14</v>
      </c>
      <c r="D184" s="32" t="s">
        <v>546</v>
      </c>
      <c r="E184" s="11" t="s">
        <v>13</v>
      </c>
    </row>
    <row r="185">
      <c r="A185" s="19">
        <v>0.5722222222222222</v>
      </c>
      <c r="B185" s="32" t="s">
        <v>549</v>
      </c>
      <c r="C185" s="35" t="s">
        <v>11</v>
      </c>
      <c r="D185" s="32" t="s">
        <v>417</v>
      </c>
      <c r="E185" s="11" t="s">
        <v>9</v>
      </c>
    </row>
    <row r="186">
      <c r="A186" s="19">
        <v>0.5722222222222222</v>
      </c>
      <c r="B186" s="32" t="s">
        <v>546</v>
      </c>
      <c r="C186" s="35" t="s">
        <v>45</v>
      </c>
      <c r="D186" s="32" t="s">
        <v>547</v>
      </c>
      <c r="E186" s="11" t="s">
        <v>13</v>
      </c>
    </row>
    <row r="187">
      <c r="A187" s="19">
        <v>0.5819444444444445</v>
      </c>
      <c r="B187" s="32" t="s">
        <v>548</v>
      </c>
      <c r="C187" s="35" t="s">
        <v>88</v>
      </c>
      <c r="D187" s="32" t="s">
        <v>417</v>
      </c>
      <c r="E187" s="11" t="s">
        <v>9</v>
      </c>
    </row>
    <row r="188">
      <c r="A188" s="19">
        <v>0.5819444444444445</v>
      </c>
      <c r="B188" s="32" t="s">
        <v>546</v>
      </c>
      <c r="C188" s="35" t="s">
        <v>72</v>
      </c>
      <c r="D188" s="32" t="s">
        <v>549</v>
      </c>
      <c r="E188" s="11" t="s">
        <v>13</v>
      </c>
    </row>
    <row r="189">
      <c r="A189" s="19">
        <v>0.5923611111111111</v>
      </c>
      <c r="B189" s="32" t="s">
        <v>417</v>
      </c>
      <c r="C189" s="35" t="s">
        <v>65</v>
      </c>
      <c r="D189" s="32" t="s">
        <v>546</v>
      </c>
      <c r="E189" s="11" t="s">
        <v>9</v>
      </c>
    </row>
    <row r="190">
      <c r="A190" s="19">
        <v>0.5923611111111111</v>
      </c>
      <c r="B190" s="32" t="s">
        <v>548</v>
      </c>
      <c r="C190" s="35" t="s">
        <v>218</v>
      </c>
      <c r="D190" s="32" t="s">
        <v>547</v>
      </c>
      <c r="E190" s="11" t="s">
        <v>13</v>
      </c>
    </row>
    <row r="191">
      <c r="A191" s="19">
        <v>0.6027777777777777</v>
      </c>
      <c r="B191" s="32" t="s">
        <v>417</v>
      </c>
      <c r="C191" s="35" t="s">
        <v>550</v>
      </c>
      <c r="D191" s="32" t="s">
        <v>547</v>
      </c>
      <c r="E191" s="11" t="s">
        <v>9</v>
      </c>
    </row>
    <row r="192">
      <c r="A192" s="19">
        <v>0.6027777777777777</v>
      </c>
      <c r="B192" s="32" t="s">
        <v>548</v>
      </c>
      <c r="C192" s="35" t="s">
        <v>506</v>
      </c>
      <c r="D192" s="32" t="s">
        <v>549</v>
      </c>
      <c r="E192" s="11" t="s">
        <v>13</v>
      </c>
    </row>
    <row r="193">
      <c r="A193" s="19">
        <v>0.6125</v>
      </c>
      <c r="B193" s="32" t="s">
        <v>547</v>
      </c>
      <c r="C193" s="35" t="s">
        <v>11</v>
      </c>
      <c r="D193" s="32" t="s">
        <v>549</v>
      </c>
      <c r="E193" s="11" t="s">
        <v>9</v>
      </c>
    </row>
    <row r="194">
      <c r="A194" s="19">
        <v>0.6125</v>
      </c>
      <c r="B194" s="32" t="s">
        <v>546</v>
      </c>
      <c r="C194" s="35" t="s">
        <v>267</v>
      </c>
      <c r="D194" s="32" t="s">
        <v>548</v>
      </c>
      <c r="E194" s="11" t="s">
        <v>13</v>
      </c>
    </row>
    <row r="195">
      <c r="A195" s="19">
        <v>0.6229166666666667</v>
      </c>
      <c r="B195" s="32" t="s">
        <v>417</v>
      </c>
      <c r="C195" s="35" t="s">
        <v>64</v>
      </c>
      <c r="D195" s="32" t="s">
        <v>549</v>
      </c>
      <c r="E195" s="11" t="s">
        <v>9</v>
      </c>
    </row>
    <row r="196">
      <c r="A196" s="19">
        <v>0.6229166666666667</v>
      </c>
      <c r="B196" s="32" t="s">
        <v>547</v>
      </c>
      <c r="C196" s="35" t="s">
        <v>88</v>
      </c>
      <c r="D196" s="32" t="s">
        <v>546</v>
      </c>
      <c r="E196" s="11" t="s">
        <v>13</v>
      </c>
    </row>
    <row r="197">
      <c r="A197" s="19">
        <v>0.6333333333333333</v>
      </c>
      <c r="B197" s="32" t="s">
        <v>417</v>
      </c>
      <c r="C197" s="35" t="s">
        <v>551</v>
      </c>
      <c r="D197" s="32" t="s">
        <v>548</v>
      </c>
      <c r="E197" s="11" t="s">
        <v>9</v>
      </c>
    </row>
    <row r="198">
      <c r="A198" s="19">
        <v>0.6333333333333333</v>
      </c>
      <c r="B198" s="32" t="s">
        <v>549</v>
      </c>
      <c r="C198" s="35" t="s">
        <v>25</v>
      </c>
      <c r="D198" s="32" t="s">
        <v>546</v>
      </c>
      <c r="E198" s="11" t="s">
        <v>13</v>
      </c>
      <c r="G198" s="36"/>
    </row>
    <row r="199">
      <c r="A199" s="1"/>
      <c r="B199" s="1" t="s">
        <v>112</v>
      </c>
      <c r="C199" s="2"/>
      <c r="D199" s="3"/>
      <c r="E199" s="4"/>
    </row>
    <row r="200">
      <c r="A200" s="18" t="s">
        <v>1</v>
      </c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A201" s="19">
        <v>0.5416666666666666</v>
      </c>
      <c r="B201" s="32" t="s">
        <v>552</v>
      </c>
      <c r="C201" s="33" t="s">
        <v>251</v>
      </c>
      <c r="D201" s="32" t="s">
        <v>553</v>
      </c>
      <c r="E201" s="11" t="s">
        <v>33</v>
      </c>
    </row>
    <row r="202">
      <c r="A202" s="19">
        <v>0.5416666666666666</v>
      </c>
      <c r="B202" s="32" t="s">
        <v>554</v>
      </c>
      <c r="C202" s="33" t="s">
        <v>378</v>
      </c>
      <c r="D202" s="32" t="s">
        <v>421</v>
      </c>
      <c r="E202" s="11" t="s">
        <v>37</v>
      </c>
    </row>
    <row r="203">
      <c r="A203" s="19">
        <v>0.5513888888888889</v>
      </c>
      <c r="B203" s="32" t="s">
        <v>554</v>
      </c>
      <c r="C203" s="33" t="s">
        <v>22</v>
      </c>
      <c r="D203" s="32" t="s">
        <v>553</v>
      </c>
      <c r="E203" s="11" t="s">
        <v>33</v>
      </c>
    </row>
    <row r="204">
      <c r="A204" s="19">
        <v>0.5513888888888889</v>
      </c>
      <c r="B204" s="32" t="s">
        <v>420</v>
      </c>
      <c r="C204" s="33" t="s">
        <v>196</v>
      </c>
      <c r="D204" s="32" t="s">
        <v>421</v>
      </c>
      <c r="E204" s="11" t="s">
        <v>37</v>
      </c>
    </row>
    <row r="205">
      <c r="A205" s="19">
        <v>0.5618055555555556</v>
      </c>
      <c r="B205" s="32" t="s">
        <v>420</v>
      </c>
      <c r="C205" s="33" t="s">
        <v>555</v>
      </c>
      <c r="D205" s="32" t="s">
        <v>554</v>
      </c>
      <c r="E205" s="11" t="s">
        <v>33</v>
      </c>
    </row>
    <row r="206">
      <c r="A206" s="19">
        <v>0.5618055555555556</v>
      </c>
      <c r="B206" s="32" t="s">
        <v>421</v>
      </c>
      <c r="C206" s="33" t="s">
        <v>24</v>
      </c>
      <c r="D206" s="32" t="s">
        <v>552</v>
      </c>
      <c r="E206" s="11" t="s">
        <v>37</v>
      </c>
    </row>
    <row r="207">
      <c r="A207" s="19">
        <v>0.5722222222222222</v>
      </c>
      <c r="B207" s="32" t="s">
        <v>420</v>
      </c>
      <c r="C207" s="33" t="s">
        <v>556</v>
      </c>
      <c r="D207" s="32" t="s">
        <v>553</v>
      </c>
      <c r="E207" s="11" t="s">
        <v>33</v>
      </c>
    </row>
    <row r="208">
      <c r="A208" s="19">
        <v>0.5722222222222222</v>
      </c>
      <c r="B208" s="32" t="s">
        <v>552</v>
      </c>
      <c r="C208" s="33" t="s">
        <v>249</v>
      </c>
      <c r="D208" s="32" t="s">
        <v>554</v>
      </c>
      <c r="E208" s="11" t="s">
        <v>37</v>
      </c>
    </row>
    <row r="209">
      <c r="A209" s="19">
        <v>0.5819444444444445</v>
      </c>
      <c r="B209" s="32" t="s">
        <v>421</v>
      </c>
      <c r="C209" s="33" t="s">
        <v>250</v>
      </c>
      <c r="D209" s="32" t="s">
        <v>553</v>
      </c>
      <c r="E209" s="11" t="s">
        <v>33</v>
      </c>
    </row>
    <row r="210">
      <c r="A210" s="19">
        <v>0.5819444444444445</v>
      </c>
      <c r="B210" s="32" t="s">
        <v>552</v>
      </c>
      <c r="C210" s="33" t="s">
        <v>557</v>
      </c>
      <c r="D210" s="32" t="s">
        <v>420</v>
      </c>
      <c r="E210" s="11" t="s">
        <v>37</v>
      </c>
    </row>
    <row r="211">
      <c r="A211" s="19">
        <v>0.5923611111111111</v>
      </c>
      <c r="B211" s="32" t="s">
        <v>553</v>
      </c>
      <c r="C211" s="33" t="s">
        <v>212</v>
      </c>
      <c r="D211" s="32" t="s">
        <v>552</v>
      </c>
      <c r="E211" s="11" t="s">
        <v>33</v>
      </c>
    </row>
    <row r="212">
      <c r="A212" s="19">
        <v>0.5923611111111111</v>
      </c>
      <c r="B212" s="32" t="s">
        <v>421</v>
      </c>
      <c r="C212" s="33" t="s">
        <v>27</v>
      </c>
      <c r="D212" s="32" t="s">
        <v>554</v>
      </c>
      <c r="E212" s="11" t="s">
        <v>37</v>
      </c>
    </row>
    <row r="213">
      <c r="A213" s="19">
        <v>0.6027777777777777</v>
      </c>
      <c r="B213" s="32" t="s">
        <v>553</v>
      </c>
      <c r="C213" s="35" t="s">
        <v>193</v>
      </c>
      <c r="D213" s="32" t="s">
        <v>554</v>
      </c>
      <c r="E213" s="11" t="s">
        <v>33</v>
      </c>
    </row>
    <row r="214">
      <c r="A214" s="19">
        <v>0.6027777777777777</v>
      </c>
      <c r="B214" s="32" t="s">
        <v>421</v>
      </c>
      <c r="C214" s="35" t="s">
        <v>16</v>
      </c>
      <c r="D214" s="32" t="s">
        <v>420</v>
      </c>
      <c r="E214" s="11" t="s">
        <v>37</v>
      </c>
    </row>
    <row r="215">
      <c r="A215" s="19">
        <v>0.6125</v>
      </c>
      <c r="B215" s="32" t="s">
        <v>554</v>
      </c>
      <c r="C215" s="35" t="s">
        <v>558</v>
      </c>
      <c r="D215" s="32" t="s">
        <v>420</v>
      </c>
      <c r="E215" s="11" t="s">
        <v>33</v>
      </c>
    </row>
    <row r="216">
      <c r="A216" s="19">
        <v>0.6125</v>
      </c>
      <c r="B216" s="32" t="s">
        <v>552</v>
      </c>
      <c r="C216" s="35" t="s">
        <v>81</v>
      </c>
      <c r="D216" s="32" t="s">
        <v>421</v>
      </c>
      <c r="E216" s="11" t="s">
        <v>37</v>
      </c>
    </row>
    <row r="217">
      <c r="A217" s="19">
        <v>0.6229166666666667</v>
      </c>
      <c r="B217" s="32" t="s">
        <v>553</v>
      </c>
      <c r="C217" s="35" t="s">
        <v>559</v>
      </c>
      <c r="D217" s="32" t="s">
        <v>420</v>
      </c>
      <c r="E217" s="11" t="s">
        <v>33</v>
      </c>
    </row>
    <row r="218">
      <c r="A218" s="19">
        <v>0.6229166666666667</v>
      </c>
      <c r="B218" s="32" t="s">
        <v>554</v>
      </c>
      <c r="C218" s="35" t="s">
        <v>55</v>
      </c>
      <c r="D218" s="32" t="s">
        <v>552</v>
      </c>
      <c r="E218" s="11" t="s">
        <v>37</v>
      </c>
    </row>
    <row r="219">
      <c r="A219" s="19">
        <v>0.6333333333333333</v>
      </c>
      <c r="B219" s="32" t="s">
        <v>553</v>
      </c>
      <c r="C219" s="35" t="s">
        <v>18</v>
      </c>
      <c r="D219" s="32" t="s">
        <v>421</v>
      </c>
      <c r="E219" s="11" t="s">
        <v>33</v>
      </c>
    </row>
    <row r="220">
      <c r="A220" s="19">
        <v>0.6333333333333333</v>
      </c>
      <c r="B220" s="32" t="s">
        <v>420</v>
      </c>
      <c r="C220" s="35" t="s">
        <v>21</v>
      </c>
      <c r="D220" s="32" t="s">
        <v>552</v>
      </c>
      <c r="E220" s="11" t="s">
        <v>37</v>
      </c>
    </row>
    <row r="221">
      <c r="A221" s="27"/>
      <c r="B221" s="28" t="s">
        <v>123</v>
      </c>
      <c r="C221" s="2"/>
      <c r="D221" s="3"/>
      <c r="E221" s="29"/>
    </row>
    <row r="222">
      <c r="A222" s="18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9">
        <v>0.6458333333333334</v>
      </c>
      <c r="B223" s="34" t="s">
        <v>560</v>
      </c>
      <c r="C223" s="33" t="s">
        <v>561</v>
      </c>
      <c r="D223" s="34" t="s">
        <v>562</v>
      </c>
      <c r="E223" s="11" t="s">
        <v>9</v>
      </c>
    </row>
    <row r="224">
      <c r="A224" s="19">
        <v>0.6458333333333334</v>
      </c>
      <c r="B224" s="34" t="s">
        <v>563</v>
      </c>
      <c r="C224" s="35" t="s">
        <v>87</v>
      </c>
      <c r="D224" s="34" t="s">
        <v>564</v>
      </c>
      <c r="E224" s="11" t="s">
        <v>13</v>
      </c>
    </row>
    <row r="225">
      <c r="A225" s="19">
        <v>0.6555555555555556</v>
      </c>
      <c r="B225" s="34" t="s">
        <v>563</v>
      </c>
      <c r="C225" s="33" t="s">
        <v>55</v>
      </c>
      <c r="D225" s="34" t="s">
        <v>562</v>
      </c>
      <c r="E225" s="11" t="s">
        <v>9</v>
      </c>
    </row>
    <row r="226">
      <c r="A226" s="19">
        <v>0.6555555555555556</v>
      </c>
      <c r="B226" s="34" t="s">
        <v>565</v>
      </c>
      <c r="C226" s="33" t="s">
        <v>11</v>
      </c>
      <c r="D226" s="34" t="s">
        <v>564</v>
      </c>
      <c r="E226" s="11" t="s">
        <v>13</v>
      </c>
    </row>
    <row r="227">
      <c r="A227" s="19">
        <v>0.6659722222222222</v>
      </c>
      <c r="B227" s="34" t="s">
        <v>565</v>
      </c>
      <c r="C227" s="33" t="s">
        <v>21</v>
      </c>
      <c r="D227" s="34" t="s">
        <v>563</v>
      </c>
      <c r="E227" s="11" t="s">
        <v>9</v>
      </c>
    </row>
    <row r="228">
      <c r="A228" s="19">
        <v>0.6659722222222222</v>
      </c>
      <c r="B228" s="34" t="s">
        <v>564</v>
      </c>
      <c r="C228" s="33" t="s">
        <v>363</v>
      </c>
      <c r="D228" s="34" t="s">
        <v>560</v>
      </c>
      <c r="E228" s="11" t="s">
        <v>13</v>
      </c>
    </row>
    <row r="229">
      <c r="A229" s="19">
        <v>0.6763888888888889</v>
      </c>
      <c r="B229" s="34" t="s">
        <v>565</v>
      </c>
      <c r="C229" s="33" t="s">
        <v>566</v>
      </c>
      <c r="D229" s="34" t="s">
        <v>562</v>
      </c>
      <c r="E229" s="11" t="s">
        <v>9</v>
      </c>
    </row>
    <row r="230">
      <c r="A230" s="19">
        <v>0.6763888888888889</v>
      </c>
      <c r="B230" s="34" t="s">
        <v>560</v>
      </c>
      <c r="C230" s="33" t="s">
        <v>21</v>
      </c>
      <c r="D230" s="34" t="s">
        <v>563</v>
      </c>
      <c r="E230" s="11" t="s">
        <v>13</v>
      </c>
    </row>
    <row r="231">
      <c r="A231" s="19">
        <v>0.6861111111111111</v>
      </c>
      <c r="B231" s="34" t="s">
        <v>564</v>
      </c>
      <c r="C231" s="33" t="s">
        <v>35</v>
      </c>
      <c r="D231" s="34" t="s">
        <v>562</v>
      </c>
      <c r="E231" s="11" t="s">
        <v>9</v>
      </c>
    </row>
    <row r="232">
      <c r="A232" s="19">
        <v>0.6861111111111111</v>
      </c>
      <c r="B232" s="34" t="s">
        <v>560</v>
      </c>
      <c r="C232" s="33" t="s">
        <v>25</v>
      </c>
      <c r="D232" s="34" t="s">
        <v>565</v>
      </c>
      <c r="E232" s="11" t="s">
        <v>13</v>
      </c>
    </row>
    <row r="233">
      <c r="A233" s="19">
        <v>0.6965277777777777</v>
      </c>
      <c r="B233" s="34" t="s">
        <v>562</v>
      </c>
      <c r="C233" s="33" t="s">
        <v>16</v>
      </c>
      <c r="D233" s="34" t="s">
        <v>560</v>
      </c>
      <c r="E233" s="11" t="s">
        <v>9</v>
      </c>
    </row>
    <row r="234">
      <c r="A234" s="19">
        <v>0.6965277777777777</v>
      </c>
      <c r="B234" s="34" t="s">
        <v>564</v>
      </c>
      <c r="C234" s="33" t="s">
        <v>64</v>
      </c>
      <c r="D234" s="34" t="s">
        <v>563</v>
      </c>
      <c r="E234" s="11" t="s">
        <v>13</v>
      </c>
    </row>
    <row r="235">
      <c r="A235" s="19">
        <v>0.7069444444444445</v>
      </c>
      <c r="B235" s="34" t="s">
        <v>562</v>
      </c>
      <c r="C235" s="35" t="s">
        <v>249</v>
      </c>
      <c r="D235" s="34" t="s">
        <v>563</v>
      </c>
      <c r="E235" s="11" t="s">
        <v>9</v>
      </c>
    </row>
    <row r="236">
      <c r="A236" s="19">
        <v>0.7069444444444445</v>
      </c>
      <c r="B236" s="34" t="s">
        <v>564</v>
      </c>
      <c r="C236" s="35" t="s">
        <v>58</v>
      </c>
      <c r="D236" s="34" t="s">
        <v>565</v>
      </c>
      <c r="E236" s="11" t="s">
        <v>13</v>
      </c>
    </row>
    <row r="237">
      <c r="A237" s="19">
        <v>0.7166666666666667</v>
      </c>
      <c r="B237" s="34" t="s">
        <v>563</v>
      </c>
      <c r="C237" s="35" t="s">
        <v>11</v>
      </c>
      <c r="D237" s="34" t="s">
        <v>565</v>
      </c>
      <c r="E237" s="11" t="s">
        <v>9</v>
      </c>
    </row>
    <row r="238">
      <c r="A238" s="19">
        <v>0.7166666666666667</v>
      </c>
      <c r="B238" s="34" t="s">
        <v>560</v>
      </c>
      <c r="C238" s="35" t="s">
        <v>481</v>
      </c>
      <c r="D238" s="34" t="s">
        <v>564</v>
      </c>
      <c r="E238" s="11" t="s">
        <v>13</v>
      </c>
    </row>
    <row r="239">
      <c r="A239" s="19">
        <v>0.7270833333333333</v>
      </c>
      <c r="B239" s="34" t="s">
        <v>562</v>
      </c>
      <c r="C239" s="35" t="s">
        <v>18</v>
      </c>
      <c r="D239" s="34" t="s">
        <v>565</v>
      </c>
      <c r="E239" s="11" t="s">
        <v>9</v>
      </c>
    </row>
    <row r="240">
      <c r="A240" s="19">
        <v>0.7270833333333333</v>
      </c>
      <c r="B240" s="34" t="s">
        <v>563</v>
      </c>
      <c r="C240" s="35" t="s">
        <v>25</v>
      </c>
      <c r="D240" s="34" t="s">
        <v>560</v>
      </c>
      <c r="E240" s="11" t="s">
        <v>13</v>
      </c>
    </row>
    <row r="241">
      <c r="A241" s="19">
        <v>0.7375</v>
      </c>
      <c r="B241" s="34" t="s">
        <v>562</v>
      </c>
      <c r="C241" s="35" t="s">
        <v>81</v>
      </c>
      <c r="D241" s="34" t="s">
        <v>564</v>
      </c>
      <c r="E241" s="11" t="s">
        <v>9</v>
      </c>
    </row>
    <row r="242">
      <c r="A242" s="19">
        <v>0.7375</v>
      </c>
      <c r="B242" s="34" t="s">
        <v>565</v>
      </c>
      <c r="C242" s="35" t="s">
        <v>20</v>
      </c>
      <c r="D242" s="34" t="s">
        <v>560</v>
      </c>
      <c r="E242" s="11" t="s">
        <v>13</v>
      </c>
    </row>
    <row r="243">
      <c r="A243" s="27"/>
      <c r="B243" s="28" t="s">
        <v>123</v>
      </c>
      <c r="C243" s="2"/>
      <c r="D243" s="3"/>
      <c r="E243" s="29"/>
    </row>
    <row r="244">
      <c r="A244" s="18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9">
        <v>0.6458333333333334</v>
      </c>
      <c r="B245" s="34" t="s">
        <v>439</v>
      </c>
      <c r="C245" s="35" t="s">
        <v>28</v>
      </c>
      <c r="D245" s="34" t="s">
        <v>567</v>
      </c>
      <c r="E245" s="11" t="s">
        <v>33</v>
      </c>
    </row>
    <row r="246">
      <c r="A246" s="19">
        <v>0.6458333333333334</v>
      </c>
      <c r="B246" s="34" t="s">
        <v>279</v>
      </c>
      <c r="C246" s="35" t="s">
        <v>64</v>
      </c>
      <c r="D246" s="34" t="s">
        <v>568</v>
      </c>
      <c r="E246" s="11" t="s">
        <v>37</v>
      </c>
    </row>
    <row r="247">
      <c r="A247" s="19">
        <v>0.6555555555555556</v>
      </c>
      <c r="B247" s="34" t="s">
        <v>279</v>
      </c>
      <c r="C247" s="35" t="s">
        <v>543</v>
      </c>
      <c r="D247" s="34" t="s">
        <v>567</v>
      </c>
      <c r="E247" s="11" t="s">
        <v>33</v>
      </c>
    </row>
    <row r="248">
      <c r="A248" s="19">
        <v>0.6555555555555556</v>
      </c>
      <c r="B248" s="34" t="s">
        <v>569</v>
      </c>
      <c r="C248" s="35" t="s">
        <v>232</v>
      </c>
      <c r="D248" s="34" t="s">
        <v>568</v>
      </c>
      <c r="E248" s="11" t="s">
        <v>37</v>
      </c>
    </row>
    <row r="249">
      <c r="A249" s="19">
        <v>0.6659722222222222</v>
      </c>
      <c r="B249" s="34" t="s">
        <v>569</v>
      </c>
      <c r="C249" s="35" t="s">
        <v>414</v>
      </c>
      <c r="D249" s="34" t="s">
        <v>279</v>
      </c>
      <c r="E249" s="11" t="s">
        <v>33</v>
      </c>
    </row>
    <row r="250">
      <c r="A250" s="19">
        <v>0.6659722222222222</v>
      </c>
      <c r="B250" s="34" t="s">
        <v>568</v>
      </c>
      <c r="C250" s="35" t="s">
        <v>190</v>
      </c>
      <c r="D250" s="34" t="s">
        <v>439</v>
      </c>
      <c r="E250" s="11" t="s">
        <v>37</v>
      </c>
    </row>
    <row r="251">
      <c r="A251" s="19">
        <v>0.6763888888888889</v>
      </c>
      <c r="B251" s="34" t="s">
        <v>569</v>
      </c>
      <c r="C251" s="35" t="s">
        <v>11</v>
      </c>
      <c r="D251" s="34" t="s">
        <v>567</v>
      </c>
      <c r="E251" s="11" t="s">
        <v>33</v>
      </c>
    </row>
    <row r="252">
      <c r="A252" s="19">
        <v>0.6763888888888889</v>
      </c>
      <c r="B252" s="34" t="s">
        <v>439</v>
      </c>
      <c r="C252" s="35" t="s">
        <v>570</v>
      </c>
      <c r="D252" s="34" t="s">
        <v>279</v>
      </c>
      <c r="E252" s="11" t="s">
        <v>37</v>
      </c>
    </row>
    <row r="253">
      <c r="A253" s="19">
        <v>0.6861111111111111</v>
      </c>
      <c r="B253" s="34" t="s">
        <v>568</v>
      </c>
      <c r="C253" s="35" t="s">
        <v>18</v>
      </c>
      <c r="D253" s="34" t="s">
        <v>567</v>
      </c>
      <c r="E253" s="11" t="s">
        <v>33</v>
      </c>
    </row>
    <row r="254">
      <c r="A254" s="19">
        <v>0.6861111111111111</v>
      </c>
      <c r="B254" s="34" t="s">
        <v>439</v>
      </c>
      <c r="C254" s="35" t="s">
        <v>273</v>
      </c>
      <c r="D254" s="34" t="s">
        <v>569</v>
      </c>
      <c r="E254" s="11" t="s">
        <v>37</v>
      </c>
    </row>
    <row r="255">
      <c r="A255" s="19">
        <v>0.6965277777777777</v>
      </c>
      <c r="B255" s="34" t="s">
        <v>567</v>
      </c>
      <c r="C255" s="35" t="s">
        <v>571</v>
      </c>
      <c r="D255" s="34" t="s">
        <v>439</v>
      </c>
      <c r="E255" s="11" t="s">
        <v>33</v>
      </c>
    </row>
    <row r="256">
      <c r="A256" s="19">
        <v>0.6965277777777777</v>
      </c>
      <c r="B256" s="34" t="s">
        <v>568</v>
      </c>
      <c r="C256" s="35" t="s">
        <v>19</v>
      </c>
      <c r="D256" s="34" t="s">
        <v>279</v>
      </c>
      <c r="E256" s="11" t="s">
        <v>37</v>
      </c>
    </row>
    <row r="257">
      <c r="A257" s="19">
        <v>0.7069444444444445</v>
      </c>
      <c r="B257" s="34" t="s">
        <v>567</v>
      </c>
      <c r="C257" s="35" t="s">
        <v>19</v>
      </c>
      <c r="D257" s="34" t="s">
        <v>279</v>
      </c>
      <c r="E257" s="11" t="s">
        <v>33</v>
      </c>
    </row>
    <row r="258">
      <c r="A258" s="19">
        <v>0.7069444444444445</v>
      </c>
      <c r="B258" s="34" t="s">
        <v>568</v>
      </c>
      <c r="C258" s="35" t="s">
        <v>58</v>
      </c>
      <c r="D258" s="34" t="s">
        <v>569</v>
      </c>
      <c r="E258" s="11" t="s">
        <v>37</v>
      </c>
    </row>
    <row r="259">
      <c r="A259" s="19">
        <v>0.7166666666666667</v>
      </c>
      <c r="B259" s="34" t="s">
        <v>279</v>
      </c>
      <c r="C259" s="35" t="s">
        <v>68</v>
      </c>
      <c r="D259" s="34" t="s">
        <v>569</v>
      </c>
      <c r="E259" s="11" t="s">
        <v>33</v>
      </c>
    </row>
    <row r="260">
      <c r="A260" s="19">
        <v>0.7166666666666667</v>
      </c>
      <c r="B260" s="34" t="s">
        <v>439</v>
      </c>
      <c r="C260" s="35" t="s">
        <v>67</v>
      </c>
      <c r="D260" s="34" t="s">
        <v>568</v>
      </c>
      <c r="E260" s="11" t="s">
        <v>37</v>
      </c>
    </row>
    <row r="261">
      <c r="A261" s="19">
        <v>0.7270833333333333</v>
      </c>
      <c r="B261" s="34" t="s">
        <v>567</v>
      </c>
      <c r="C261" s="35" t="s">
        <v>572</v>
      </c>
      <c r="D261" s="34" t="s">
        <v>569</v>
      </c>
      <c r="E261" s="11" t="s">
        <v>33</v>
      </c>
    </row>
    <row r="262">
      <c r="A262" s="19">
        <v>0.7270833333333333</v>
      </c>
      <c r="B262" s="34" t="s">
        <v>279</v>
      </c>
      <c r="C262" s="35" t="s">
        <v>201</v>
      </c>
      <c r="D262" s="34" t="s">
        <v>439</v>
      </c>
      <c r="E262" s="11" t="s">
        <v>37</v>
      </c>
    </row>
    <row r="263">
      <c r="A263" s="19">
        <v>0.7375</v>
      </c>
      <c r="B263" s="34" t="s">
        <v>567</v>
      </c>
      <c r="C263" s="35" t="s">
        <v>17</v>
      </c>
      <c r="D263" s="34" t="s">
        <v>568</v>
      </c>
      <c r="E263" s="11" t="s">
        <v>33</v>
      </c>
    </row>
    <row r="264">
      <c r="A264" s="19">
        <v>0.7375</v>
      </c>
      <c r="B264" s="34" t="s">
        <v>569</v>
      </c>
      <c r="C264" s="35" t="s">
        <v>494</v>
      </c>
      <c r="D264" s="34" t="s">
        <v>439</v>
      </c>
      <c r="E264" s="11" t="s">
        <v>37</v>
      </c>
    </row>
    <row r="265">
      <c r="A265" s="27"/>
      <c r="B265" s="28" t="s">
        <v>134</v>
      </c>
      <c r="C265" s="2"/>
      <c r="D265" s="3"/>
      <c r="E265" s="29"/>
    </row>
    <row r="266">
      <c r="A266" s="18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9">
        <v>0.75</v>
      </c>
      <c r="B267" s="34" t="s">
        <v>573</v>
      </c>
      <c r="C267" s="35" t="s">
        <v>190</v>
      </c>
      <c r="D267" s="34" t="s">
        <v>574</v>
      </c>
      <c r="E267" s="11" t="s">
        <v>9</v>
      </c>
    </row>
    <row r="268">
      <c r="A268" s="19">
        <v>0.75</v>
      </c>
      <c r="B268" s="34" t="s">
        <v>575</v>
      </c>
      <c r="C268" s="35" t="s">
        <v>19</v>
      </c>
      <c r="D268" s="34" t="s">
        <v>576</v>
      </c>
      <c r="E268" s="11" t="s">
        <v>13</v>
      </c>
    </row>
    <row r="269">
      <c r="A269" s="19">
        <v>0.7597222222222222</v>
      </c>
      <c r="B269" s="34" t="s">
        <v>575</v>
      </c>
      <c r="C269" s="35" t="s">
        <v>28</v>
      </c>
      <c r="D269" s="34" t="s">
        <v>574</v>
      </c>
      <c r="E269" s="11" t="s">
        <v>9</v>
      </c>
    </row>
    <row r="270">
      <c r="A270" s="19">
        <v>0.7597222222222222</v>
      </c>
      <c r="B270" s="34" t="s">
        <v>577</v>
      </c>
      <c r="C270" s="35" t="s">
        <v>31</v>
      </c>
      <c r="D270" s="34" t="s">
        <v>576</v>
      </c>
      <c r="E270" s="11" t="s">
        <v>13</v>
      </c>
    </row>
    <row r="271">
      <c r="A271" s="19">
        <v>0.7701388888888889</v>
      </c>
      <c r="B271" s="34" t="s">
        <v>577</v>
      </c>
      <c r="C271" s="35" t="s">
        <v>81</v>
      </c>
      <c r="D271" s="34" t="s">
        <v>575</v>
      </c>
      <c r="E271" s="11" t="s">
        <v>9</v>
      </c>
    </row>
    <row r="272">
      <c r="A272" s="19">
        <v>0.7701388888888889</v>
      </c>
      <c r="B272" s="34" t="s">
        <v>576</v>
      </c>
      <c r="C272" s="35" t="s">
        <v>11</v>
      </c>
      <c r="D272" s="34" t="s">
        <v>573</v>
      </c>
      <c r="E272" s="11" t="s">
        <v>13</v>
      </c>
    </row>
    <row r="273">
      <c r="A273" s="19">
        <v>0.7805555555555556</v>
      </c>
      <c r="B273" s="34" t="s">
        <v>577</v>
      </c>
      <c r="C273" s="35" t="s">
        <v>64</v>
      </c>
      <c r="D273" s="34" t="s">
        <v>574</v>
      </c>
      <c r="E273" s="11" t="s">
        <v>9</v>
      </c>
    </row>
    <row r="274">
      <c r="A274" s="19">
        <v>0.7805555555555556</v>
      </c>
      <c r="B274" s="34" t="s">
        <v>573</v>
      </c>
      <c r="C274" s="35" t="s">
        <v>68</v>
      </c>
      <c r="D274" s="34" t="s">
        <v>575</v>
      </c>
      <c r="E274" s="11" t="s">
        <v>13</v>
      </c>
    </row>
    <row r="275">
      <c r="A275" s="19">
        <v>0.7902777777777777</v>
      </c>
      <c r="B275" s="34" t="s">
        <v>576</v>
      </c>
      <c r="C275" s="35" t="s">
        <v>404</v>
      </c>
      <c r="D275" s="34" t="s">
        <v>574</v>
      </c>
      <c r="E275" s="11" t="s">
        <v>9</v>
      </c>
    </row>
    <row r="276">
      <c r="A276" s="19">
        <v>0.7902777777777777</v>
      </c>
      <c r="B276" s="34" t="s">
        <v>573</v>
      </c>
      <c r="C276" s="35" t="s">
        <v>11</v>
      </c>
      <c r="D276" s="34" t="s">
        <v>577</v>
      </c>
      <c r="E276" s="11" t="s">
        <v>13</v>
      </c>
    </row>
    <row r="277">
      <c r="A277" s="19">
        <v>0.8006944444444445</v>
      </c>
      <c r="B277" s="34" t="s">
        <v>574</v>
      </c>
      <c r="C277" s="35" t="s">
        <v>239</v>
      </c>
      <c r="D277" s="34" t="s">
        <v>573</v>
      </c>
      <c r="E277" s="11" t="s">
        <v>9</v>
      </c>
    </row>
    <row r="278">
      <c r="A278" s="19">
        <v>0.8006944444444445</v>
      </c>
      <c r="B278" s="34" t="s">
        <v>576</v>
      </c>
      <c r="C278" s="35" t="s">
        <v>196</v>
      </c>
      <c r="D278" s="34" t="s">
        <v>575</v>
      </c>
      <c r="E278" s="11" t="s">
        <v>13</v>
      </c>
    </row>
    <row r="279">
      <c r="A279" s="19">
        <v>0.8111111111111111</v>
      </c>
      <c r="B279" s="34" t="s">
        <v>574</v>
      </c>
      <c r="C279" s="35" t="s">
        <v>578</v>
      </c>
      <c r="D279" s="34" t="s">
        <v>575</v>
      </c>
      <c r="E279" s="11" t="s">
        <v>9</v>
      </c>
    </row>
    <row r="280">
      <c r="A280" s="19">
        <v>0.8111111111111111</v>
      </c>
      <c r="B280" s="34" t="s">
        <v>576</v>
      </c>
      <c r="C280" s="35" t="s">
        <v>289</v>
      </c>
      <c r="D280" s="34" t="s">
        <v>577</v>
      </c>
      <c r="E280" s="11" t="s">
        <v>13</v>
      </c>
    </row>
    <row r="281">
      <c r="A281" s="19">
        <v>0.8208333333333333</v>
      </c>
      <c r="B281" s="34" t="s">
        <v>575</v>
      </c>
      <c r="C281" s="35" t="s">
        <v>212</v>
      </c>
      <c r="D281" s="34" t="s">
        <v>577</v>
      </c>
      <c r="E281" s="11" t="s">
        <v>9</v>
      </c>
    </row>
    <row r="282">
      <c r="A282" s="19">
        <v>0.8208333333333333</v>
      </c>
      <c r="B282" s="34" t="s">
        <v>573</v>
      </c>
      <c r="C282" s="35" t="s">
        <v>267</v>
      </c>
      <c r="D282" s="34" t="s">
        <v>576</v>
      </c>
      <c r="E282" s="11" t="s">
        <v>13</v>
      </c>
    </row>
    <row r="283">
      <c r="A283" s="19">
        <v>0.83125</v>
      </c>
      <c r="B283" s="34" t="s">
        <v>574</v>
      </c>
      <c r="C283" s="35" t="s">
        <v>579</v>
      </c>
      <c r="D283" s="34" t="s">
        <v>577</v>
      </c>
      <c r="E283" s="11" t="s">
        <v>9</v>
      </c>
    </row>
    <row r="284">
      <c r="A284" s="19">
        <v>0.83125</v>
      </c>
      <c r="B284" s="34" t="s">
        <v>575</v>
      </c>
      <c r="C284" s="35" t="s">
        <v>19</v>
      </c>
      <c r="D284" s="34" t="s">
        <v>573</v>
      </c>
      <c r="E284" s="11" t="s">
        <v>13</v>
      </c>
    </row>
    <row r="285">
      <c r="A285" s="19">
        <v>0.8416666666666667</v>
      </c>
      <c r="B285" s="34" t="s">
        <v>574</v>
      </c>
      <c r="C285" s="35" t="s">
        <v>261</v>
      </c>
      <c r="D285" s="34" t="s">
        <v>576</v>
      </c>
      <c r="E285" s="11" t="s">
        <v>9</v>
      </c>
    </row>
    <row r="286">
      <c r="A286" s="19">
        <v>0.8416666666666667</v>
      </c>
      <c r="B286" s="34" t="s">
        <v>577</v>
      </c>
      <c r="C286" s="35" t="s">
        <v>66</v>
      </c>
      <c r="D286" s="34" t="s">
        <v>573</v>
      </c>
      <c r="E286" s="11" t="s">
        <v>13</v>
      </c>
    </row>
    <row r="287">
      <c r="A287" s="27"/>
      <c r="B287" s="28" t="s">
        <v>134</v>
      </c>
      <c r="C287" s="2"/>
      <c r="D287" s="3"/>
      <c r="E287" s="29"/>
    </row>
    <row r="288">
      <c r="A288" s="18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9">
        <v>0.75</v>
      </c>
      <c r="B289" s="34" t="s">
        <v>580</v>
      </c>
      <c r="C289" s="35" t="s">
        <v>581</v>
      </c>
      <c r="D289" s="34" t="s">
        <v>582</v>
      </c>
      <c r="E289" s="11" t="s">
        <v>33</v>
      </c>
    </row>
    <row r="290">
      <c r="A290" s="19">
        <v>0.75</v>
      </c>
      <c r="B290" s="34" t="s">
        <v>583</v>
      </c>
      <c r="C290" s="35" t="s">
        <v>584</v>
      </c>
      <c r="D290" s="34" t="s">
        <v>585</v>
      </c>
      <c r="E290" s="11" t="s">
        <v>37</v>
      </c>
    </row>
    <row r="291">
      <c r="A291" s="19">
        <v>0.7597222222222222</v>
      </c>
      <c r="B291" s="34" t="s">
        <v>583</v>
      </c>
      <c r="C291" s="35" t="s">
        <v>48</v>
      </c>
      <c r="D291" s="34" t="s">
        <v>582</v>
      </c>
      <c r="E291" s="11" t="s">
        <v>33</v>
      </c>
    </row>
    <row r="292">
      <c r="A292" s="19">
        <v>0.7597222222222222</v>
      </c>
      <c r="B292" s="34" t="s">
        <v>586</v>
      </c>
      <c r="C292" s="35" t="s">
        <v>83</v>
      </c>
      <c r="D292" s="34" t="s">
        <v>585</v>
      </c>
      <c r="E292" s="11" t="s">
        <v>37</v>
      </c>
    </row>
    <row r="293">
      <c r="A293" s="19">
        <v>0.7701388888888889</v>
      </c>
      <c r="B293" s="34" t="s">
        <v>586</v>
      </c>
      <c r="C293" s="35" t="s">
        <v>506</v>
      </c>
      <c r="D293" s="34" t="s">
        <v>583</v>
      </c>
      <c r="E293" s="11" t="s">
        <v>33</v>
      </c>
    </row>
    <row r="294">
      <c r="A294" s="19">
        <v>0.7701388888888889</v>
      </c>
      <c r="B294" s="34" t="s">
        <v>585</v>
      </c>
      <c r="C294" s="35" t="s">
        <v>337</v>
      </c>
      <c r="D294" s="34" t="s">
        <v>580</v>
      </c>
      <c r="E294" s="11" t="s">
        <v>37</v>
      </c>
    </row>
    <row r="295">
      <c r="A295" s="19">
        <v>0.7805555555555556</v>
      </c>
      <c r="B295" s="34" t="s">
        <v>586</v>
      </c>
      <c r="C295" s="35" t="s">
        <v>295</v>
      </c>
      <c r="D295" s="34" t="s">
        <v>582</v>
      </c>
      <c r="E295" s="11" t="s">
        <v>33</v>
      </c>
    </row>
    <row r="296">
      <c r="A296" s="19">
        <v>0.7805555555555556</v>
      </c>
      <c r="B296" s="34" t="s">
        <v>580</v>
      </c>
      <c r="C296" s="35" t="s">
        <v>303</v>
      </c>
      <c r="D296" s="34" t="s">
        <v>583</v>
      </c>
      <c r="E296" s="11" t="s">
        <v>37</v>
      </c>
    </row>
    <row r="297">
      <c r="A297" s="19">
        <v>0.7902777777777777</v>
      </c>
      <c r="B297" s="34" t="s">
        <v>585</v>
      </c>
      <c r="C297" s="35" t="s">
        <v>81</v>
      </c>
      <c r="D297" s="34" t="s">
        <v>582</v>
      </c>
      <c r="E297" s="11" t="s">
        <v>33</v>
      </c>
    </row>
    <row r="298">
      <c r="A298" s="19">
        <v>0.7902777777777777</v>
      </c>
      <c r="B298" s="34" t="s">
        <v>580</v>
      </c>
      <c r="C298" s="35" t="s">
        <v>587</v>
      </c>
      <c r="D298" s="34" t="s">
        <v>586</v>
      </c>
      <c r="E298" s="11" t="s">
        <v>37</v>
      </c>
    </row>
    <row r="299">
      <c r="A299" s="19">
        <v>0.8006944444444445</v>
      </c>
      <c r="B299" s="34" t="s">
        <v>582</v>
      </c>
      <c r="C299" s="35" t="s">
        <v>588</v>
      </c>
      <c r="D299" s="34" t="s">
        <v>580</v>
      </c>
      <c r="E299" s="11" t="s">
        <v>33</v>
      </c>
    </row>
    <row r="300">
      <c r="A300" s="19">
        <v>0.8006944444444445</v>
      </c>
      <c r="B300" s="34" t="s">
        <v>585</v>
      </c>
      <c r="C300" s="35" t="s">
        <v>220</v>
      </c>
      <c r="D300" s="34" t="s">
        <v>583</v>
      </c>
      <c r="E300" s="11" t="s">
        <v>37</v>
      </c>
    </row>
    <row r="301">
      <c r="A301" s="19">
        <v>0.8111111111111111</v>
      </c>
      <c r="B301" s="34" t="s">
        <v>582</v>
      </c>
      <c r="C301" s="35" t="s">
        <v>319</v>
      </c>
      <c r="D301" s="34" t="s">
        <v>583</v>
      </c>
      <c r="E301" s="11" t="s">
        <v>33</v>
      </c>
    </row>
    <row r="302">
      <c r="A302" s="19">
        <v>0.8111111111111111</v>
      </c>
      <c r="B302" s="34" t="s">
        <v>585</v>
      </c>
      <c r="C302" s="35" t="s">
        <v>16</v>
      </c>
      <c r="D302" s="34" t="s">
        <v>586</v>
      </c>
      <c r="E302" s="11" t="s">
        <v>37</v>
      </c>
    </row>
    <row r="303">
      <c r="A303" s="19">
        <v>0.8208333333333333</v>
      </c>
      <c r="B303" s="34" t="s">
        <v>583</v>
      </c>
      <c r="C303" s="35" t="s">
        <v>328</v>
      </c>
      <c r="D303" s="34" t="s">
        <v>586</v>
      </c>
      <c r="E303" s="11" t="s">
        <v>33</v>
      </c>
    </row>
    <row r="304">
      <c r="A304" s="19">
        <v>0.8208333333333333</v>
      </c>
      <c r="B304" s="34" t="s">
        <v>580</v>
      </c>
      <c r="C304" s="35" t="s">
        <v>589</v>
      </c>
      <c r="D304" s="34" t="s">
        <v>585</v>
      </c>
      <c r="E304" s="11" t="s">
        <v>37</v>
      </c>
    </row>
    <row r="305">
      <c r="A305" s="19">
        <v>0.83125</v>
      </c>
      <c r="B305" s="34" t="s">
        <v>582</v>
      </c>
      <c r="C305" s="35" t="s">
        <v>87</v>
      </c>
      <c r="D305" s="34" t="s">
        <v>586</v>
      </c>
      <c r="E305" s="11" t="s">
        <v>33</v>
      </c>
    </row>
    <row r="306">
      <c r="A306" s="19">
        <v>0.83125</v>
      </c>
      <c r="B306" s="34" t="s">
        <v>583</v>
      </c>
      <c r="C306" s="35" t="s">
        <v>455</v>
      </c>
      <c r="D306" s="34" t="s">
        <v>580</v>
      </c>
      <c r="E306" s="11" t="s">
        <v>37</v>
      </c>
    </row>
    <row r="307">
      <c r="A307" s="19">
        <v>0.8416666666666667</v>
      </c>
      <c r="B307" s="34" t="s">
        <v>582</v>
      </c>
      <c r="C307" s="35" t="s">
        <v>282</v>
      </c>
      <c r="D307" s="34" t="s">
        <v>585</v>
      </c>
      <c r="E307" s="11" t="s">
        <v>33</v>
      </c>
    </row>
    <row r="308">
      <c r="A308" s="19">
        <v>0.8416666666666667</v>
      </c>
      <c r="B308" s="34" t="s">
        <v>586</v>
      </c>
      <c r="C308" s="35" t="s">
        <v>590</v>
      </c>
      <c r="D308" s="34" t="s">
        <v>580</v>
      </c>
      <c r="E308" s="11" t="s">
        <v>37</v>
      </c>
    </row>
    <row r="309">
      <c r="A309" s="27"/>
      <c r="B309" s="28" t="s">
        <v>145</v>
      </c>
      <c r="C309" s="2"/>
      <c r="D309" s="3"/>
      <c r="E309" s="29"/>
    </row>
    <row r="310">
      <c r="A310" s="18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9">
        <v>0.8541666666666666</v>
      </c>
      <c r="B311" s="34" t="s">
        <v>591</v>
      </c>
      <c r="C311" s="33" t="s">
        <v>31</v>
      </c>
      <c r="D311" s="34" t="s">
        <v>592</v>
      </c>
      <c r="E311" s="11" t="s">
        <v>9</v>
      </c>
    </row>
    <row r="312">
      <c r="A312" s="19">
        <v>0.8541666666666666</v>
      </c>
      <c r="B312" s="34" t="s">
        <v>593</v>
      </c>
      <c r="C312" s="33" t="s">
        <v>64</v>
      </c>
      <c r="D312" s="34" t="s">
        <v>594</v>
      </c>
      <c r="E312" s="11" t="s">
        <v>13</v>
      </c>
    </row>
    <row r="313">
      <c r="A313" s="19">
        <v>0.8638888888888889</v>
      </c>
      <c r="B313" s="34" t="s">
        <v>593</v>
      </c>
      <c r="C313" s="33" t="s">
        <v>369</v>
      </c>
      <c r="D313" s="34" t="s">
        <v>592</v>
      </c>
      <c r="E313" s="11" t="s">
        <v>9</v>
      </c>
    </row>
    <row r="314">
      <c r="A314" s="19">
        <v>0.8638888888888889</v>
      </c>
      <c r="B314" s="34" t="s">
        <v>595</v>
      </c>
      <c r="C314" s="33" t="s">
        <v>11</v>
      </c>
      <c r="D314" s="34" t="s">
        <v>594</v>
      </c>
      <c r="E314" s="11" t="s">
        <v>13</v>
      </c>
    </row>
    <row r="315">
      <c r="A315" s="19">
        <v>0.8743055555555556</v>
      </c>
      <c r="B315" s="34" t="s">
        <v>595</v>
      </c>
      <c r="C315" s="33" t="s">
        <v>270</v>
      </c>
      <c r="D315" s="34" t="s">
        <v>593</v>
      </c>
      <c r="E315" s="11" t="s">
        <v>9</v>
      </c>
    </row>
    <row r="316">
      <c r="A316" s="19">
        <v>0.8743055555555556</v>
      </c>
      <c r="B316" s="34" t="s">
        <v>594</v>
      </c>
      <c r="C316" s="33" t="s">
        <v>81</v>
      </c>
      <c r="D316" s="34" t="s">
        <v>591</v>
      </c>
      <c r="E316" s="11" t="s">
        <v>13</v>
      </c>
    </row>
    <row r="317">
      <c r="A317" s="19">
        <v>0.8847222222222222</v>
      </c>
      <c r="B317" s="34" t="s">
        <v>595</v>
      </c>
      <c r="C317" s="33" t="s">
        <v>286</v>
      </c>
      <c r="D317" s="34" t="s">
        <v>592</v>
      </c>
      <c r="E317" s="11" t="s">
        <v>9</v>
      </c>
    </row>
    <row r="318">
      <c r="A318" s="19">
        <v>0.8847222222222222</v>
      </c>
      <c r="B318" s="34" t="s">
        <v>591</v>
      </c>
      <c r="C318" s="33" t="s">
        <v>390</v>
      </c>
      <c r="D318" s="34" t="s">
        <v>593</v>
      </c>
      <c r="E318" s="11" t="s">
        <v>13</v>
      </c>
    </row>
    <row r="319">
      <c r="A319" s="19">
        <v>0.8944444444444445</v>
      </c>
      <c r="B319" s="34" t="s">
        <v>594</v>
      </c>
      <c r="C319" s="33" t="s">
        <v>47</v>
      </c>
      <c r="D319" s="34" t="s">
        <v>592</v>
      </c>
      <c r="E319" s="11" t="s">
        <v>9</v>
      </c>
    </row>
    <row r="320">
      <c r="A320" s="19">
        <v>0.8944444444444445</v>
      </c>
      <c r="B320" s="34" t="s">
        <v>591</v>
      </c>
      <c r="C320" s="33" t="s">
        <v>286</v>
      </c>
      <c r="D320" s="34" t="s">
        <v>595</v>
      </c>
      <c r="E320" s="11" t="s">
        <v>13</v>
      </c>
    </row>
    <row r="321">
      <c r="A321" s="19">
        <v>0.9048611111111111</v>
      </c>
      <c r="B321" s="34" t="s">
        <v>592</v>
      </c>
      <c r="C321" s="33" t="s">
        <v>14</v>
      </c>
      <c r="D321" s="34" t="s">
        <v>591</v>
      </c>
      <c r="E321" s="11" t="s">
        <v>9</v>
      </c>
    </row>
    <row r="322">
      <c r="A322" s="19">
        <v>0.9048611111111111</v>
      </c>
      <c r="B322" s="34" t="s">
        <v>594</v>
      </c>
      <c r="C322" s="33" t="s">
        <v>87</v>
      </c>
      <c r="D322" s="34" t="s">
        <v>593</v>
      </c>
      <c r="E322" s="11" t="s">
        <v>13</v>
      </c>
    </row>
    <row r="323">
      <c r="A323" s="19">
        <v>0.9152777777777777</v>
      </c>
      <c r="B323" s="34" t="s">
        <v>592</v>
      </c>
      <c r="C323" s="35" t="s">
        <v>84</v>
      </c>
      <c r="D323" s="34" t="s">
        <v>593</v>
      </c>
      <c r="E323" s="11" t="s">
        <v>9</v>
      </c>
    </row>
    <row r="324">
      <c r="A324" s="19">
        <v>0.9152777777777777</v>
      </c>
      <c r="B324" s="34" t="s">
        <v>594</v>
      </c>
      <c r="C324" s="35" t="s">
        <v>218</v>
      </c>
      <c r="D324" s="34" t="s">
        <v>595</v>
      </c>
      <c r="E324" s="11" t="s">
        <v>13</v>
      </c>
    </row>
    <row r="325">
      <c r="A325" s="19">
        <v>0.925</v>
      </c>
      <c r="B325" s="34" t="s">
        <v>593</v>
      </c>
      <c r="C325" s="35" t="s">
        <v>196</v>
      </c>
      <c r="D325" s="34" t="s">
        <v>595</v>
      </c>
      <c r="E325" s="11" t="s">
        <v>9</v>
      </c>
    </row>
    <row r="326">
      <c r="A326" s="19">
        <v>0.925</v>
      </c>
      <c r="B326" s="34" t="s">
        <v>591</v>
      </c>
      <c r="C326" s="35" t="s">
        <v>19</v>
      </c>
      <c r="D326" s="34" t="s">
        <v>594</v>
      </c>
      <c r="E326" s="11" t="s">
        <v>13</v>
      </c>
    </row>
    <row r="327">
      <c r="A327" s="19">
        <v>0.9354166666666667</v>
      </c>
      <c r="B327" s="34" t="s">
        <v>592</v>
      </c>
      <c r="C327" s="35" t="s">
        <v>87</v>
      </c>
      <c r="D327" s="34" t="s">
        <v>595</v>
      </c>
      <c r="E327" s="11" t="s">
        <v>9</v>
      </c>
    </row>
    <row r="328">
      <c r="A328" s="19">
        <v>0.9354166666666667</v>
      </c>
      <c r="B328" s="34" t="s">
        <v>593</v>
      </c>
      <c r="C328" s="35" t="s">
        <v>282</v>
      </c>
      <c r="D328" s="34" t="s">
        <v>591</v>
      </c>
      <c r="E328" s="11" t="s">
        <v>13</v>
      </c>
    </row>
    <row r="329">
      <c r="A329" s="19">
        <v>0.9458333333333333</v>
      </c>
      <c r="B329" s="34" t="s">
        <v>592</v>
      </c>
      <c r="C329" s="35" t="s">
        <v>239</v>
      </c>
      <c r="D329" s="34" t="s">
        <v>594</v>
      </c>
      <c r="E329" s="11" t="s">
        <v>9</v>
      </c>
    </row>
    <row r="330">
      <c r="A330" s="19">
        <v>0.9458333333333333</v>
      </c>
      <c r="B330" s="34" t="s">
        <v>595</v>
      </c>
      <c r="C330" s="35" t="s">
        <v>20</v>
      </c>
      <c r="D330" s="34" t="s">
        <v>591</v>
      </c>
      <c r="E330" s="11" t="s">
        <v>13</v>
      </c>
    </row>
    <row r="331">
      <c r="A331" s="27"/>
      <c r="B331" s="28" t="s">
        <v>145</v>
      </c>
      <c r="C331" s="2"/>
      <c r="D331" s="3"/>
      <c r="E331" s="29"/>
    </row>
    <row r="332">
      <c r="A332" s="18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9">
        <v>0.8541666666666666</v>
      </c>
      <c r="B333" s="34" t="s">
        <v>596</v>
      </c>
      <c r="C333" s="35" t="s">
        <v>26</v>
      </c>
      <c r="D333" s="34" t="s">
        <v>597</v>
      </c>
      <c r="E333" s="11" t="s">
        <v>33</v>
      </c>
    </row>
    <row r="334">
      <c r="A334" s="19">
        <v>0.8541666666666666</v>
      </c>
      <c r="B334" s="34" t="s">
        <v>598</v>
      </c>
      <c r="C334" s="35" t="s">
        <v>72</v>
      </c>
      <c r="D334" s="34" t="s">
        <v>599</v>
      </c>
      <c r="E334" s="11" t="s">
        <v>37</v>
      </c>
    </row>
    <row r="335">
      <c r="A335" s="19">
        <v>0.8638888888888889</v>
      </c>
      <c r="B335" s="34" t="s">
        <v>598</v>
      </c>
      <c r="C335" s="35" t="s">
        <v>68</v>
      </c>
      <c r="D335" s="34" t="s">
        <v>597</v>
      </c>
      <c r="E335" s="11" t="s">
        <v>33</v>
      </c>
    </row>
    <row r="336">
      <c r="A336" s="19">
        <v>0.8638888888888889</v>
      </c>
      <c r="B336" s="34" t="s">
        <v>600</v>
      </c>
      <c r="C336" s="35" t="s">
        <v>18</v>
      </c>
      <c r="D336" s="34" t="s">
        <v>599</v>
      </c>
      <c r="E336" s="11" t="s">
        <v>37</v>
      </c>
    </row>
    <row r="337">
      <c r="A337" s="19">
        <v>0.8743055555555556</v>
      </c>
      <c r="B337" s="34" t="s">
        <v>600</v>
      </c>
      <c r="C337" s="35" t="s">
        <v>601</v>
      </c>
      <c r="D337" s="34" t="s">
        <v>598</v>
      </c>
      <c r="E337" s="11" t="s">
        <v>33</v>
      </c>
    </row>
    <row r="338">
      <c r="A338" s="19">
        <v>0.8743055555555556</v>
      </c>
      <c r="B338" s="34" t="s">
        <v>599</v>
      </c>
      <c r="C338" s="35" t="s">
        <v>190</v>
      </c>
      <c r="D338" s="34" t="s">
        <v>596</v>
      </c>
      <c r="E338" s="11" t="s">
        <v>37</v>
      </c>
    </row>
    <row r="339">
      <c r="A339" s="19">
        <v>0.8847222222222222</v>
      </c>
      <c r="B339" s="34" t="s">
        <v>600</v>
      </c>
      <c r="C339" s="35" t="s">
        <v>78</v>
      </c>
      <c r="D339" s="34" t="s">
        <v>597</v>
      </c>
      <c r="E339" s="11" t="s">
        <v>33</v>
      </c>
    </row>
    <row r="340">
      <c r="A340" s="19">
        <v>0.8847222222222222</v>
      </c>
      <c r="B340" s="34" t="s">
        <v>596</v>
      </c>
      <c r="C340" s="35" t="s">
        <v>226</v>
      </c>
      <c r="D340" s="34" t="s">
        <v>598</v>
      </c>
      <c r="E340" s="11" t="s">
        <v>37</v>
      </c>
    </row>
    <row r="341">
      <c r="A341" s="19">
        <v>0.8944444444444445</v>
      </c>
      <c r="B341" s="34" t="s">
        <v>599</v>
      </c>
      <c r="C341" s="35" t="s">
        <v>195</v>
      </c>
      <c r="D341" s="34" t="s">
        <v>597</v>
      </c>
      <c r="E341" s="11" t="s">
        <v>33</v>
      </c>
    </row>
    <row r="342">
      <c r="A342" s="19">
        <v>0.8944444444444445</v>
      </c>
      <c r="B342" s="34" t="s">
        <v>596</v>
      </c>
      <c r="C342" s="35" t="s">
        <v>64</v>
      </c>
      <c r="D342" s="34" t="s">
        <v>600</v>
      </c>
      <c r="E342" s="11" t="s">
        <v>37</v>
      </c>
    </row>
    <row r="343">
      <c r="A343" s="19">
        <v>0.9048611111111111</v>
      </c>
      <c r="B343" s="34" t="s">
        <v>597</v>
      </c>
      <c r="C343" s="35" t="s">
        <v>78</v>
      </c>
      <c r="D343" s="34" t="s">
        <v>596</v>
      </c>
      <c r="E343" s="11" t="s">
        <v>33</v>
      </c>
    </row>
    <row r="344">
      <c r="A344" s="19">
        <v>0.9048611111111111</v>
      </c>
      <c r="B344" s="34" t="s">
        <v>599</v>
      </c>
      <c r="C344" s="35" t="s">
        <v>81</v>
      </c>
      <c r="D344" s="34" t="s">
        <v>598</v>
      </c>
      <c r="E344" s="11" t="s">
        <v>37</v>
      </c>
    </row>
    <row r="345">
      <c r="A345" s="19">
        <v>0.9152777777777777</v>
      </c>
      <c r="B345" s="34" t="s">
        <v>597</v>
      </c>
      <c r="C345" s="35" t="s">
        <v>602</v>
      </c>
      <c r="D345" s="34" t="s">
        <v>598</v>
      </c>
      <c r="E345" s="11" t="s">
        <v>33</v>
      </c>
    </row>
    <row r="346">
      <c r="A346" s="19">
        <v>0.9152777777777777</v>
      </c>
      <c r="B346" s="34" t="s">
        <v>599</v>
      </c>
      <c r="C346" s="35" t="s">
        <v>251</v>
      </c>
      <c r="D346" s="34" t="s">
        <v>600</v>
      </c>
      <c r="E346" s="11" t="s">
        <v>37</v>
      </c>
    </row>
    <row r="347">
      <c r="A347" s="19">
        <v>0.925</v>
      </c>
      <c r="B347" s="34" t="s">
        <v>598</v>
      </c>
      <c r="C347" s="35" t="s">
        <v>291</v>
      </c>
      <c r="D347" s="34" t="s">
        <v>600</v>
      </c>
      <c r="E347" s="11" t="s">
        <v>33</v>
      </c>
    </row>
    <row r="348">
      <c r="A348" s="19">
        <v>0.925</v>
      </c>
      <c r="B348" s="34" t="s">
        <v>596</v>
      </c>
      <c r="C348" s="35" t="s">
        <v>25</v>
      </c>
      <c r="D348" s="34" t="s">
        <v>599</v>
      </c>
      <c r="E348" s="11" t="s">
        <v>37</v>
      </c>
    </row>
    <row r="349">
      <c r="A349" s="19">
        <v>0.9354166666666667</v>
      </c>
      <c r="B349" s="34" t="s">
        <v>597</v>
      </c>
      <c r="C349" s="35" t="s">
        <v>24</v>
      </c>
      <c r="D349" s="34" t="s">
        <v>600</v>
      </c>
      <c r="E349" s="11" t="s">
        <v>33</v>
      </c>
    </row>
    <row r="350">
      <c r="A350" s="19">
        <v>0.9354166666666667</v>
      </c>
      <c r="B350" s="34" t="s">
        <v>598</v>
      </c>
      <c r="C350" s="35" t="s">
        <v>440</v>
      </c>
      <c r="D350" s="34" t="s">
        <v>596</v>
      </c>
      <c r="E350" s="11" t="s">
        <v>37</v>
      </c>
    </row>
    <row r="351">
      <c r="A351" s="19">
        <v>0.9458333333333333</v>
      </c>
      <c r="B351" s="34" t="s">
        <v>597</v>
      </c>
      <c r="C351" s="35" t="s">
        <v>68</v>
      </c>
      <c r="D351" s="34" t="s">
        <v>599</v>
      </c>
      <c r="E351" s="11" t="s">
        <v>33</v>
      </c>
    </row>
    <row r="352">
      <c r="A352" s="19">
        <v>0.9458333333333333</v>
      </c>
      <c r="B352" s="34" t="s">
        <v>600</v>
      </c>
      <c r="C352" s="35" t="s">
        <v>416</v>
      </c>
      <c r="D352" s="34" t="s">
        <v>596</v>
      </c>
      <c r="E352" s="11" t="s">
        <v>37</v>
      </c>
    </row>
    <row r="353">
      <c r="A353" s="27"/>
      <c r="B353" s="28" t="s">
        <v>156</v>
      </c>
      <c r="C353" s="2"/>
      <c r="D353" s="3"/>
      <c r="E353" s="29"/>
    </row>
    <row r="354">
      <c r="A354" s="18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9">
        <v>0.9583333333333334</v>
      </c>
      <c r="B355" s="34" t="s">
        <v>356</v>
      </c>
      <c r="C355" s="35" t="s">
        <v>195</v>
      </c>
      <c r="D355" s="34" t="s">
        <v>484</v>
      </c>
      <c r="E355" s="11" t="s">
        <v>9</v>
      </c>
    </row>
    <row r="356">
      <c r="A356" s="19">
        <v>0.9583333333333334</v>
      </c>
      <c r="B356" s="34" t="s">
        <v>603</v>
      </c>
      <c r="C356" s="35" t="s">
        <v>64</v>
      </c>
      <c r="D356" s="34" t="s">
        <v>604</v>
      </c>
      <c r="E356" s="11" t="s">
        <v>13</v>
      </c>
    </row>
    <row r="357">
      <c r="A357" s="19">
        <v>0.9680555555555556</v>
      </c>
      <c r="B357" s="34" t="s">
        <v>603</v>
      </c>
      <c r="C357" s="35" t="s">
        <v>260</v>
      </c>
      <c r="D357" s="34" t="s">
        <v>484</v>
      </c>
      <c r="E357" s="11" t="s">
        <v>9</v>
      </c>
    </row>
    <row r="358">
      <c r="A358" s="19">
        <v>0.9680555555555556</v>
      </c>
      <c r="B358" s="34" t="s">
        <v>605</v>
      </c>
      <c r="C358" s="35" t="s">
        <v>62</v>
      </c>
      <c r="D358" s="34" t="s">
        <v>604</v>
      </c>
      <c r="E358" s="11" t="s">
        <v>13</v>
      </c>
    </row>
    <row r="359">
      <c r="A359" s="19">
        <v>0.9784722222222222</v>
      </c>
      <c r="B359" s="34" t="s">
        <v>605</v>
      </c>
      <c r="C359" s="35" t="s">
        <v>190</v>
      </c>
      <c r="D359" s="34" t="s">
        <v>603</v>
      </c>
      <c r="E359" s="11" t="s">
        <v>9</v>
      </c>
    </row>
    <row r="360">
      <c r="A360" s="19">
        <v>0.9784722222222222</v>
      </c>
      <c r="B360" s="34" t="s">
        <v>604</v>
      </c>
      <c r="C360" s="35" t="s">
        <v>66</v>
      </c>
      <c r="D360" s="34" t="s">
        <v>356</v>
      </c>
      <c r="E360" s="11" t="s">
        <v>13</v>
      </c>
    </row>
    <row r="361">
      <c r="A361" s="19">
        <v>0.9888888888888889</v>
      </c>
      <c r="B361" s="34" t="s">
        <v>605</v>
      </c>
      <c r="C361" s="35" t="s">
        <v>217</v>
      </c>
      <c r="D361" s="34" t="s">
        <v>484</v>
      </c>
      <c r="E361" s="11" t="s">
        <v>9</v>
      </c>
    </row>
    <row r="362">
      <c r="A362" s="19">
        <v>0.9888888888888889</v>
      </c>
      <c r="B362" s="34" t="s">
        <v>356</v>
      </c>
      <c r="C362" s="35" t="s">
        <v>45</v>
      </c>
      <c r="D362" s="34" t="s">
        <v>603</v>
      </c>
      <c r="E362" s="11" t="s">
        <v>13</v>
      </c>
    </row>
    <row r="363">
      <c r="A363" s="19">
        <v>0.9986111111111111</v>
      </c>
      <c r="B363" s="34" t="s">
        <v>604</v>
      </c>
      <c r="C363" s="35" t="s">
        <v>69</v>
      </c>
      <c r="D363" s="34" t="s">
        <v>484</v>
      </c>
      <c r="E363" s="11" t="s">
        <v>9</v>
      </c>
    </row>
    <row r="364">
      <c r="A364" s="19">
        <v>0.9986111111111111</v>
      </c>
      <c r="B364" s="34" t="s">
        <v>356</v>
      </c>
      <c r="C364" s="35" t="s">
        <v>87</v>
      </c>
      <c r="D364" s="34" t="s">
        <v>605</v>
      </c>
      <c r="E364" s="11" t="s">
        <v>13</v>
      </c>
    </row>
    <row r="365">
      <c r="A365" s="19">
        <v>0.009027777777777777</v>
      </c>
      <c r="B365" s="34" t="s">
        <v>484</v>
      </c>
      <c r="C365" s="35" t="s">
        <v>195</v>
      </c>
      <c r="D365" s="34" t="s">
        <v>356</v>
      </c>
      <c r="E365" s="11" t="s">
        <v>9</v>
      </c>
    </row>
    <row r="366">
      <c r="A366" s="19">
        <v>0.009027777777777777</v>
      </c>
      <c r="B366" s="34" t="s">
        <v>604</v>
      </c>
      <c r="C366" s="35" t="s">
        <v>218</v>
      </c>
      <c r="D366" s="34" t="s">
        <v>603</v>
      </c>
      <c r="E366" s="11" t="s">
        <v>13</v>
      </c>
    </row>
    <row r="367">
      <c r="A367" s="19">
        <v>0.019444444444444445</v>
      </c>
      <c r="B367" s="34" t="s">
        <v>484</v>
      </c>
      <c r="C367" s="35" t="s">
        <v>35</v>
      </c>
      <c r="D367" s="34" t="s">
        <v>603</v>
      </c>
      <c r="E367" s="11" t="s">
        <v>9</v>
      </c>
    </row>
    <row r="368">
      <c r="A368" s="19">
        <v>0.019444444444444445</v>
      </c>
      <c r="B368" s="34" t="s">
        <v>604</v>
      </c>
      <c r="C368" s="35" t="s">
        <v>362</v>
      </c>
      <c r="D368" s="34" t="s">
        <v>605</v>
      </c>
      <c r="E368" s="11" t="s">
        <v>13</v>
      </c>
    </row>
    <row r="369">
      <c r="A369" s="19">
        <v>0.029166666666666667</v>
      </c>
      <c r="B369" s="34" t="s">
        <v>603</v>
      </c>
      <c r="C369" s="35" t="s">
        <v>260</v>
      </c>
      <c r="D369" s="34" t="s">
        <v>605</v>
      </c>
      <c r="E369" s="11" t="s">
        <v>9</v>
      </c>
    </row>
    <row r="370">
      <c r="A370" s="19">
        <v>0.029166666666666667</v>
      </c>
      <c r="B370" s="34" t="s">
        <v>356</v>
      </c>
      <c r="C370" s="35" t="s">
        <v>62</v>
      </c>
      <c r="D370" s="34" t="s">
        <v>604</v>
      </c>
      <c r="E370" s="11" t="s">
        <v>13</v>
      </c>
    </row>
    <row r="371">
      <c r="A371" s="19">
        <v>0.03958333333333333</v>
      </c>
      <c r="B371" s="34" t="s">
        <v>484</v>
      </c>
      <c r="C371" s="35" t="s">
        <v>195</v>
      </c>
      <c r="D371" s="34" t="s">
        <v>605</v>
      </c>
      <c r="E371" s="11" t="s">
        <v>9</v>
      </c>
    </row>
    <row r="372">
      <c r="A372" s="19">
        <v>0.03958333333333333</v>
      </c>
      <c r="B372" s="34" t="s">
        <v>603</v>
      </c>
      <c r="C372" s="35" t="s">
        <v>41</v>
      </c>
      <c r="D372" s="34" t="s">
        <v>356</v>
      </c>
      <c r="E372" s="11" t="s">
        <v>13</v>
      </c>
    </row>
    <row r="373">
      <c r="A373" s="19">
        <v>0.05</v>
      </c>
      <c r="B373" s="34" t="s">
        <v>484</v>
      </c>
      <c r="C373" s="35" t="s">
        <v>68</v>
      </c>
      <c r="D373" s="34" t="s">
        <v>604</v>
      </c>
      <c r="E373" s="11" t="s">
        <v>9</v>
      </c>
    </row>
    <row r="374">
      <c r="A374" s="19">
        <v>0.05</v>
      </c>
      <c r="B374" s="34" t="s">
        <v>605</v>
      </c>
      <c r="C374" s="35" t="s">
        <v>58</v>
      </c>
      <c r="D374" s="34" t="s">
        <v>356</v>
      </c>
      <c r="E374" s="11" t="s">
        <v>13</v>
      </c>
    </row>
    <row r="375">
      <c r="B375" s="28" t="s">
        <v>156</v>
      </c>
      <c r="C375" s="2"/>
      <c r="D375" s="3"/>
      <c r="E375" s="29"/>
    </row>
    <row r="376">
      <c r="A376" s="18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9">
        <v>0.9583333333333334</v>
      </c>
      <c r="B377" s="34" t="s">
        <v>489</v>
      </c>
      <c r="C377" s="35" t="s">
        <v>87</v>
      </c>
      <c r="D377" s="34" t="s">
        <v>606</v>
      </c>
      <c r="E377" s="11" t="s">
        <v>33</v>
      </c>
    </row>
    <row r="378">
      <c r="A378" s="19">
        <v>0.9583333333333334</v>
      </c>
      <c r="B378" s="34" t="s">
        <v>607</v>
      </c>
      <c r="C378" s="35" t="s">
        <v>282</v>
      </c>
      <c r="D378" s="34" t="s">
        <v>608</v>
      </c>
      <c r="E378" s="11" t="s">
        <v>37</v>
      </c>
    </row>
    <row r="379">
      <c r="A379" s="19">
        <v>0.9680555555555556</v>
      </c>
      <c r="B379" s="34" t="s">
        <v>607</v>
      </c>
      <c r="C379" s="35" t="s">
        <v>81</v>
      </c>
      <c r="D379" s="34" t="s">
        <v>606</v>
      </c>
      <c r="E379" s="11" t="s">
        <v>33</v>
      </c>
    </row>
    <row r="380">
      <c r="A380" s="19">
        <v>0.9680555555555556</v>
      </c>
      <c r="B380" s="34" t="s">
        <v>609</v>
      </c>
      <c r="C380" s="35" t="s">
        <v>62</v>
      </c>
      <c r="D380" s="34" t="s">
        <v>608</v>
      </c>
      <c r="E380" s="11" t="s">
        <v>37</v>
      </c>
    </row>
    <row r="381">
      <c r="A381" s="19">
        <v>0.9784722222222222</v>
      </c>
      <c r="B381" s="34" t="s">
        <v>609</v>
      </c>
      <c r="C381" s="35" t="s">
        <v>193</v>
      </c>
      <c r="D381" s="34" t="s">
        <v>607</v>
      </c>
      <c r="E381" s="11" t="s">
        <v>33</v>
      </c>
    </row>
    <row r="382">
      <c r="A382" s="19">
        <v>0.9784722222222222</v>
      </c>
      <c r="B382" s="34" t="s">
        <v>608</v>
      </c>
      <c r="C382" s="35" t="s">
        <v>239</v>
      </c>
      <c r="D382" s="34" t="s">
        <v>489</v>
      </c>
      <c r="E382" s="11" t="s">
        <v>37</v>
      </c>
    </row>
    <row r="383">
      <c r="A383" s="19">
        <v>0.9888888888888889</v>
      </c>
      <c r="B383" s="34" t="s">
        <v>609</v>
      </c>
      <c r="C383" s="35" t="s">
        <v>302</v>
      </c>
      <c r="D383" s="34" t="s">
        <v>606</v>
      </c>
      <c r="E383" s="11" t="s">
        <v>33</v>
      </c>
    </row>
    <row r="384">
      <c r="A384" s="19">
        <v>0.9888888888888889</v>
      </c>
      <c r="B384" s="34" t="s">
        <v>489</v>
      </c>
      <c r="C384" s="35" t="s">
        <v>294</v>
      </c>
      <c r="D384" s="34" t="s">
        <v>607</v>
      </c>
      <c r="E384" s="11" t="s">
        <v>37</v>
      </c>
    </row>
    <row r="385">
      <c r="A385" s="19">
        <v>0.9986111111111111</v>
      </c>
      <c r="B385" s="34" t="s">
        <v>608</v>
      </c>
      <c r="C385" s="35" t="s">
        <v>218</v>
      </c>
      <c r="D385" s="34" t="s">
        <v>606</v>
      </c>
      <c r="E385" s="11" t="s">
        <v>33</v>
      </c>
    </row>
    <row r="386">
      <c r="A386" s="19">
        <v>0.9986111111111111</v>
      </c>
      <c r="B386" s="34" t="s">
        <v>489</v>
      </c>
      <c r="C386" s="35" t="s">
        <v>82</v>
      </c>
      <c r="D386" s="34" t="s">
        <v>609</v>
      </c>
      <c r="E386" s="11" t="s">
        <v>37</v>
      </c>
    </row>
    <row r="387">
      <c r="A387" s="19">
        <v>0.009027777777777777</v>
      </c>
      <c r="B387" s="34" t="s">
        <v>606</v>
      </c>
      <c r="C387" s="35" t="s">
        <v>14</v>
      </c>
      <c r="D387" s="34" t="s">
        <v>489</v>
      </c>
      <c r="E387" s="11" t="s">
        <v>33</v>
      </c>
    </row>
    <row r="388">
      <c r="A388" s="19">
        <v>0.009027777777777777</v>
      </c>
      <c r="B388" s="34" t="s">
        <v>608</v>
      </c>
      <c r="C388" s="35" t="s">
        <v>273</v>
      </c>
      <c r="D388" s="34" t="s">
        <v>607</v>
      </c>
      <c r="E388" s="11" t="s">
        <v>37</v>
      </c>
    </row>
    <row r="389">
      <c r="A389" s="19">
        <v>0.019444444444444445</v>
      </c>
      <c r="B389" s="34" t="s">
        <v>606</v>
      </c>
      <c r="C389" s="35" t="s">
        <v>194</v>
      </c>
      <c r="D389" s="34" t="s">
        <v>607</v>
      </c>
      <c r="E389" s="11" t="s">
        <v>33</v>
      </c>
    </row>
    <row r="390">
      <c r="A390" s="19">
        <v>0.019444444444444445</v>
      </c>
      <c r="B390" s="34" t="s">
        <v>608</v>
      </c>
      <c r="C390" s="35" t="s">
        <v>195</v>
      </c>
      <c r="D390" s="34" t="s">
        <v>609</v>
      </c>
      <c r="E390" s="11" t="s">
        <v>37</v>
      </c>
    </row>
    <row r="391">
      <c r="A391" s="19">
        <v>0.029166666666666667</v>
      </c>
      <c r="B391" s="34" t="s">
        <v>607</v>
      </c>
      <c r="C391" s="35" t="s">
        <v>370</v>
      </c>
      <c r="D391" s="34" t="s">
        <v>609</v>
      </c>
      <c r="E391" s="11" t="s">
        <v>33</v>
      </c>
    </row>
    <row r="392">
      <c r="A392" s="19">
        <v>0.029166666666666667</v>
      </c>
      <c r="B392" s="34" t="s">
        <v>489</v>
      </c>
      <c r="C392" s="35" t="s">
        <v>87</v>
      </c>
      <c r="D392" s="34" t="s">
        <v>608</v>
      </c>
      <c r="E392" s="11" t="s">
        <v>37</v>
      </c>
    </row>
    <row r="393">
      <c r="A393" s="19">
        <v>0.03958333333333333</v>
      </c>
      <c r="B393" s="34" t="s">
        <v>606</v>
      </c>
      <c r="C393" s="35" t="s">
        <v>22</v>
      </c>
      <c r="D393" s="34" t="s">
        <v>609</v>
      </c>
      <c r="E393" s="11" t="s">
        <v>33</v>
      </c>
    </row>
    <row r="394">
      <c r="A394" s="19">
        <v>0.03958333333333333</v>
      </c>
      <c r="B394" s="34" t="s">
        <v>607</v>
      </c>
      <c r="C394" s="35" t="s">
        <v>217</v>
      </c>
      <c r="D394" s="34" t="s">
        <v>489</v>
      </c>
      <c r="E394" s="11" t="s">
        <v>37</v>
      </c>
    </row>
    <row r="395">
      <c r="A395" s="19">
        <v>0.05</v>
      </c>
      <c r="B395" s="34" t="s">
        <v>606</v>
      </c>
      <c r="C395" s="35" t="s">
        <v>64</v>
      </c>
      <c r="D395" s="34" t="s">
        <v>608</v>
      </c>
      <c r="E395" s="11" t="s">
        <v>33</v>
      </c>
    </row>
    <row r="396">
      <c r="A396" s="19">
        <v>0.05</v>
      </c>
      <c r="B396" s="34" t="s">
        <v>609</v>
      </c>
      <c r="C396" s="35" t="s">
        <v>17</v>
      </c>
      <c r="D396" s="34" t="s">
        <v>489</v>
      </c>
      <c r="E396" s="11" t="s">
        <v>37</v>
      </c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9"/>
    <hyperlink r:id="rId25" ref="E31"/>
    <hyperlink r:id="rId26" ref="E33"/>
    <hyperlink r:id="rId27" ref="E35"/>
    <hyperlink r:id="rId28" ref="E37"/>
    <hyperlink r:id="rId29" ref="E39"/>
    <hyperlink r:id="rId30" ref="E41"/>
    <hyperlink r:id="rId31" ref="E43"/>
    <hyperlink r:id="rId32" ref="E47"/>
    <hyperlink r:id="rId33" ref="E48"/>
    <hyperlink r:id="rId34" ref="E49"/>
    <hyperlink r:id="rId35" ref="E50"/>
    <hyperlink r:id="rId36" ref="E51"/>
    <hyperlink r:id="rId37" ref="E52"/>
    <hyperlink r:id="rId38" ref="E53"/>
    <hyperlink r:id="rId39" ref="E54"/>
    <hyperlink r:id="rId40" ref="E55"/>
    <hyperlink r:id="rId41" ref="E56"/>
    <hyperlink r:id="rId42" ref="E57"/>
    <hyperlink r:id="rId43" ref="E58"/>
    <hyperlink r:id="rId44" ref="E59"/>
    <hyperlink r:id="rId45" ref="E60"/>
    <hyperlink r:id="rId46" ref="E61"/>
    <hyperlink r:id="rId47" ref="E62"/>
    <hyperlink r:id="rId48" ref="E63"/>
    <hyperlink r:id="rId49" ref="E64"/>
    <hyperlink r:id="rId50" ref="E65"/>
    <hyperlink r:id="rId51" ref="E66"/>
    <hyperlink r:id="rId52" ref="E69"/>
    <hyperlink r:id="rId53" ref="E70"/>
    <hyperlink r:id="rId54" ref="E71"/>
    <hyperlink r:id="rId55" ref="E73"/>
    <hyperlink r:id="rId56" ref="E75"/>
    <hyperlink r:id="rId57" ref="E77"/>
    <hyperlink r:id="rId58" ref="E79"/>
    <hyperlink r:id="rId59" ref="E81"/>
    <hyperlink r:id="rId60" ref="E83"/>
    <hyperlink r:id="rId61" ref="E85"/>
    <hyperlink r:id="rId62" ref="E87"/>
    <hyperlink r:id="rId63" ref="E91"/>
    <hyperlink r:id="rId64" ref="E92"/>
    <hyperlink r:id="rId65" ref="E93"/>
    <hyperlink r:id="rId66" ref="E94"/>
    <hyperlink r:id="rId67" ref="E95"/>
    <hyperlink r:id="rId68" ref="E96"/>
    <hyperlink r:id="rId69" ref="E97"/>
    <hyperlink r:id="rId70" ref="E98"/>
    <hyperlink r:id="rId71" ref="E99"/>
    <hyperlink r:id="rId72" ref="E100"/>
    <hyperlink r:id="rId73" ref="E101"/>
    <hyperlink r:id="rId74" ref="E102"/>
    <hyperlink r:id="rId75" ref="E103"/>
    <hyperlink r:id="rId76" ref="E104"/>
    <hyperlink r:id="rId77" ref="E105"/>
    <hyperlink r:id="rId78" ref="E106"/>
    <hyperlink r:id="rId79" ref="E107"/>
    <hyperlink r:id="rId80" ref="E108"/>
    <hyperlink r:id="rId81" ref="E109"/>
    <hyperlink r:id="rId82" ref="E110"/>
    <hyperlink r:id="rId83" ref="E113"/>
    <hyperlink r:id="rId84" ref="E114"/>
    <hyperlink r:id="rId85" ref="E115"/>
    <hyperlink r:id="rId86" ref="E116"/>
    <hyperlink r:id="rId87" ref="E117"/>
    <hyperlink r:id="rId88" ref="E118"/>
    <hyperlink r:id="rId89" ref="E119"/>
    <hyperlink r:id="rId90" ref="E120"/>
    <hyperlink r:id="rId91" ref="E121"/>
    <hyperlink r:id="rId92" ref="E122"/>
    <hyperlink r:id="rId93" ref="E123"/>
    <hyperlink r:id="rId94" ref="E124"/>
    <hyperlink r:id="rId95" ref="E125"/>
    <hyperlink r:id="rId96" ref="E126"/>
    <hyperlink r:id="rId97" ref="E127"/>
    <hyperlink r:id="rId98" ref="E128"/>
    <hyperlink r:id="rId99" ref="E129"/>
    <hyperlink r:id="rId100" ref="E130"/>
    <hyperlink r:id="rId101" ref="E131"/>
    <hyperlink r:id="rId102" ref="E132"/>
    <hyperlink r:id="rId103" ref="E135"/>
    <hyperlink r:id="rId104" ref="E136"/>
    <hyperlink r:id="rId105" ref="E137"/>
    <hyperlink r:id="rId106" ref="E138"/>
    <hyperlink r:id="rId107" ref="E139"/>
    <hyperlink r:id="rId108" ref="E140"/>
    <hyperlink r:id="rId109" ref="E141"/>
    <hyperlink r:id="rId110" ref="E142"/>
    <hyperlink r:id="rId111" ref="E143"/>
    <hyperlink r:id="rId112" ref="E144"/>
    <hyperlink r:id="rId113" ref="E145"/>
    <hyperlink r:id="rId114" ref="E146"/>
    <hyperlink r:id="rId115" ref="E147"/>
    <hyperlink r:id="rId116" ref="E148"/>
    <hyperlink r:id="rId117" ref="E149"/>
    <hyperlink r:id="rId118" ref="E150"/>
    <hyperlink r:id="rId119" ref="E151"/>
    <hyperlink r:id="rId120" ref="E152"/>
    <hyperlink r:id="rId121" ref="E153"/>
    <hyperlink r:id="rId122" ref="E154"/>
    <hyperlink r:id="rId123" ref="E157"/>
    <hyperlink r:id="rId124" ref="E158"/>
    <hyperlink r:id="rId125" ref="E159"/>
    <hyperlink r:id="rId126" ref="E160"/>
    <hyperlink r:id="rId127" ref="E161"/>
    <hyperlink r:id="rId128" ref="E162"/>
    <hyperlink r:id="rId129" ref="E163"/>
    <hyperlink r:id="rId130" ref="E164"/>
    <hyperlink r:id="rId131" ref="E165"/>
    <hyperlink r:id="rId132" ref="E166"/>
    <hyperlink r:id="rId133" ref="E167"/>
    <hyperlink r:id="rId134" ref="E168"/>
    <hyperlink r:id="rId135" ref="E169"/>
    <hyperlink r:id="rId136" ref="E170"/>
    <hyperlink r:id="rId137" ref="E171"/>
    <hyperlink r:id="rId138" ref="E172"/>
    <hyperlink r:id="rId139" ref="E173"/>
    <hyperlink r:id="rId140" ref="E174"/>
    <hyperlink r:id="rId141" ref="E175"/>
    <hyperlink r:id="rId142" ref="E176"/>
    <hyperlink r:id="rId143" ref="E179"/>
    <hyperlink r:id="rId144" ref="E180"/>
    <hyperlink r:id="rId145" ref="E181"/>
    <hyperlink r:id="rId146" ref="E182"/>
    <hyperlink r:id="rId147" ref="E183"/>
    <hyperlink r:id="rId148" ref="E184"/>
    <hyperlink r:id="rId149" ref="E185"/>
    <hyperlink r:id="rId150" ref="E186"/>
    <hyperlink r:id="rId151" ref="E187"/>
    <hyperlink r:id="rId152" ref="E188"/>
    <hyperlink r:id="rId153" ref="E189"/>
    <hyperlink r:id="rId154" ref="E190"/>
    <hyperlink r:id="rId155" ref="E191"/>
    <hyperlink r:id="rId156" ref="E192"/>
    <hyperlink r:id="rId157" ref="E193"/>
    <hyperlink r:id="rId158" ref="E194"/>
    <hyperlink r:id="rId159" ref="E195"/>
    <hyperlink r:id="rId160" ref="E196"/>
    <hyperlink r:id="rId161" ref="E197"/>
    <hyperlink r:id="rId162" ref="E198"/>
    <hyperlink r:id="rId163" ref="E201"/>
    <hyperlink r:id="rId164" ref="E202"/>
    <hyperlink r:id="rId165" ref="E203"/>
    <hyperlink r:id="rId166" ref="E204"/>
    <hyperlink r:id="rId167" ref="E205"/>
    <hyperlink r:id="rId168" ref="E206"/>
    <hyperlink r:id="rId169" ref="E207"/>
    <hyperlink r:id="rId170" ref="E208"/>
    <hyperlink r:id="rId171" ref="E209"/>
    <hyperlink r:id="rId172" ref="E210"/>
    <hyperlink r:id="rId173" ref="E211"/>
    <hyperlink r:id="rId174" ref="E212"/>
    <hyperlink r:id="rId175" ref="E213"/>
    <hyperlink r:id="rId176" ref="E214"/>
    <hyperlink r:id="rId177" ref="E215"/>
    <hyperlink r:id="rId178" ref="E216"/>
    <hyperlink r:id="rId179" ref="E217"/>
    <hyperlink r:id="rId180" ref="E218"/>
    <hyperlink r:id="rId181" ref="E219"/>
    <hyperlink r:id="rId182" ref="E220"/>
    <hyperlink r:id="rId183" ref="E223"/>
    <hyperlink r:id="rId184" ref="E224"/>
    <hyperlink r:id="rId185" ref="E225"/>
    <hyperlink r:id="rId186" ref="E226"/>
    <hyperlink r:id="rId187" ref="E227"/>
    <hyperlink r:id="rId188" ref="E228"/>
    <hyperlink r:id="rId189" ref="E229"/>
    <hyperlink r:id="rId190" ref="E230"/>
    <hyperlink r:id="rId191" ref="E231"/>
    <hyperlink r:id="rId192" ref="E232"/>
    <hyperlink r:id="rId193" ref="E233"/>
    <hyperlink r:id="rId194" ref="E234"/>
    <hyperlink r:id="rId195" ref="E235"/>
    <hyperlink r:id="rId196" ref="E236"/>
    <hyperlink r:id="rId197" ref="E237"/>
    <hyperlink r:id="rId198" ref="E238"/>
    <hyperlink r:id="rId199" ref="E239"/>
    <hyperlink r:id="rId200" ref="E240"/>
    <hyperlink r:id="rId201" ref="E241"/>
    <hyperlink r:id="rId202" ref="E242"/>
    <hyperlink r:id="rId203" ref="E245"/>
    <hyperlink r:id="rId204" ref="E246"/>
    <hyperlink r:id="rId205" ref="E247"/>
    <hyperlink r:id="rId206" ref="E248"/>
    <hyperlink r:id="rId207" ref="E249"/>
    <hyperlink r:id="rId208" ref="E250"/>
    <hyperlink r:id="rId209" ref="E251"/>
    <hyperlink r:id="rId210" ref="E252"/>
    <hyperlink r:id="rId211" ref="E253"/>
    <hyperlink r:id="rId212" ref="E254"/>
    <hyperlink r:id="rId213" ref="E255"/>
    <hyperlink r:id="rId214" ref="E256"/>
    <hyperlink r:id="rId215" ref="E257"/>
    <hyperlink r:id="rId216" ref="E258"/>
    <hyperlink r:id="rId217" ref="E259"/>
    <hyperlink r:id="rId218" ref="E260"/>
    <hyperlink r:id="rId219" ref="E261"/>
    <hyperlink r:id="rId220" ref="E262"/>
    <hyperlink r:id="rId221" ref="E263"/>
    <hyperlink r:id="rId222" ref="E264"/>
    <hyperlink r:id="rId223" ref="E267"/>
    <hyperlink r:id="rId224" ref="E268"/>
    <hyperlink r:id="rId225" ref="E269"/>
    <hyperlink r:id="rId226" ref="E270"/>
    <hyperlink r:id="rId227" ref="E271"/>
    <hyperlink r:id="rId228" ref="E272"/>
    <hyperlink r:id="rId229" ref="E273"/>
    <hyperlink r:id="rId230" ref="E274"/>
    <hyperlink r:id="rId231" ref="E275"/>
    <hyperlink r:id="rId232" ref="E276"/>
    <hyperlink r:id="rId233" ref="E277"/>
    <hyperlink r:id="rId234" ref="E278"/>
    <hyperlink r:id="rId235" ref="E279"/>
    <hyperlink r:id="rId236" ref="E280"/>
    <hyperlink r:id="rId237" ref="E281"/>
    <hyperlink r:id="rId238" ref="E282"/>
    <hyperlink r:id="rId239" ref="E283"/>
    <hyperlink r:id="rId240" ref="E284"/>
    <hyperlink r:id="rId241" ref="E285"/>
    <hyperlink r:id="rId242" ref="E286"/>
    <hyperlink r:id="rId243" ref="E289"/>
    <hyperlink r:id="rId244" ref="E290"/>
    <hyperlink r:id="rId245" ref="E291"/>
    <hyperlink r:id="rId246" ref="E292"/>
    <hyperlink r:id="rId247" ref="E293"/>
    <hyperlink r:id="rId248" ref="E294"/>
    <hyperlink r:id="rId249" ref="E295"/>
    <hyperlink r:id="rId250" ref="E296"/>
    <hyperlink r:id="rId251" ref="E297"/>
    <hyperlink r:id="rId252" ref="E298"/>
    <hyperlink r:id="rId253" ref="E299"/>
    <hyperlink r:id="rId254" ref="E300"/>
    <hyperlink r:id="rId255" ref="E301"/>
    <hyperlink r:id="rId256" ref="E302"/>
    <hyperlink r:id="rId257" ref="E303"/>
    <hyperlink r:id="rId258" ref="E304"/>
    <hyperlink r:id="rId259" ref="E305"/>
    <hyperlink r:id="rId260" ref="E306"/>
    <hyperlink r:id="rId261" ref="E307"/>
    <hyperlink r:id="rId262" ref="E308"/>
    <hyperlink r:id="rId263" ref="E311"/>
    <hyperlink r:id="rId264" ref="E312"/>
    <hyperlink r:id="rId265" ref="E313"/>
    <hyperlink r:id="rId266" ref="E314"/>
    <hyperlink r:id="rId267" ref="E315"/>
    <hyperlink r:id="rId268" ref="E316"/>
    <hyperlink r:id="rId269" ref="E317"/>
    <hyperlink r:id="rId270" ref="E318"/>
    <hyperlink r:id="rId271" ref="E319"/>
    <hyperlink r:id="rId272" ref="E320"/>
    <hyperlink r:id="rId273" ref="E321"/>
    <hyperlink r:id="rId274" ref="E322"/>
    <hyperlink r:id="rId275" ref="E323"/>
    <hyperlink r:id="rId276" ref="E324"/>
    <hyperlink r:id="rId277" ref="E325"/>
    <hyperlink r:id="rId278" ref="E326"/>
    <hyperlink r:id="rId279" ref="E327"/>
    <hyperlink r:id="rId280" ref="E328"/>
    <hyperlink r:id="rId281" ref="E329"/>
    <hyperlink r:id="rId282" ref="E330"/>
    <hyperlink r:id="rId283" ref="E333"/>
    <hyperlink r:id="rId284" ref="E334"/>
    <hyperlink r:id="rId285" ref="E335"/>
    <hyperlink r:id="rId286" ref="E336"/>
    <hyperlink r:id="rId287" ref="E337"/>
    <hyperlink r:id="rId288" ref="E338"/>
    <hyperlink r:id="rId289" ref="E339"/>
    <hyperlink r:id="rId290" ref="E340"/>
    <hyperlink r:id="rId291" ref="E341"/>
    <hyperlink r:id="rId292" ref="E342"/>
    <hyperlink r:id="rId293" ref="E343"/>
    <hyperlink r:id="rId294" ref="E344"/>
    <hyperlink r:id="rId295" ref="E345"/>
    <hyperlink r:id="rId296" ref="E346"/>
    <hyperlink r:id="rId297" ref="E347"/>
    <hyperlink r:id="rId298" ref="E348"/>
    <hyperlink r:id="rId299" ref="E349"/>
    <hyperlink r:id="rId300" ref="E350"/>
    <hyperlink r:id="rId301" ref="E351"/>
    <hyperlink r:id="rId302" ref="E352"/>
    <hyperlink r:id="rId303" ref="E355"/>
    <hyperlink r:id="rId304" ref="E356"/>
    <hyperlink r:id="rId305" ref="E357"/>
    <hyperlink r:id="rId306" ref="E358"/>
    <hyperlink r:id="rId307" ref="E359"/>
    <hyperlink r:id="rId308" ref="E360"/>
    <hyperlink r:id="rId309" ref="E361"/>
    <hyperlink r:id="rId310" ref="E362"/>
    <hyperlink r:id="rId311" ref="E363"/>
    <hyperlink r:id="rId312" ref="E364"/>
    <hyperlink r:id="rId313" ref="E365"/>
    <hyperlink r:id="rId314" ref="E366"/>
    <hyperlink r:id="rId315" ref="E367"/>
    <hyperlink r:id="rId316" ref="E368"/>
    <hyperlink r:id="rId317" ref="E369"/>
    <hyperlink r:id="rId318" ref="E370"/>
    <hyperlink r:id="rId319" ref="E371"/>
    <hyperlink r:id="rId320" ref="E372"/>
    <hyperlink r:id="rId321" ref="E373"/>
    <hyperlink r:id="rId322" ref="E374"/>
    <hyperlink r:id="rId323" ref="E377"/>
    <hyperlink r:id="rId324" ref="E378"/>
    <hyperlink r:id="rId325" ref="E379"/>
    <hyperlink r:id="rId326" ref="E380"/>
    <hyperlink r:id="rId327" ref="E381"/>
    <hyperlink r:id="rId328" ref="E382"/>
    <hyperlink r:id="rId329" ref="E383"/>
    <hyperlink r:id="rId330" ref="E384"/>
    <hyperlink r:id="rId331" ref="E385"/>
    <hyperlink r:id="rId332" ref="E386"/>
    <hyperlink r:id="rId333" ref="E387"/>
    <hyperlink r:id="rId334" ref="E388"/>
    <hyperlink r:id="rId335" ref="E389"/>
    <hyperlink r:id="rId336" ref="E390"/>
    <hyperlink r:id="rId337" ref="E391"/>
    <hyperlink r:id="rId338" ref="E392"/>
    <hyperlink r:id="rId339" ref="E393"/>
    <hyperlink r:id="rId340" ref="E394"/>
    <hyperlink r:id="rId341" ref="E395"/>
    <hyperlink r:id="rId342" ref="E396"/>
  </hyperlinks>
  <drawing r:id="rId34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32" t="s">
        <v>610</v>
      </c>
      <c r="C3" s="33" t="s">
        <v>16</v>
      </c>
      <c r="D3" s="34" t="s">
        <v>611</v>
      </c>
      <c r="E3" s="11" t="s">
        <v>9</v>
      </c>
    </row>
    <row r="4">
      <c r="A4" s="7">
        <v>0.0625</v>
      </c>
      <c r="B4" s="32" t="s">
        <v>612</v>
      </c>
      <c r="C4" s="33" t="s">
        <v>250</v>
      </c>
      <c r="D4" s="32" t="s">
        <v>191</v>
      </c>
      <c r="E4" s="11" t="s">
        <v>13</v>
      </c>
    </row>
    <row r="5">
      <c r="A5" s="7">
        <v>0.07222222222222222</v>
      </c>
      <c r="B5" s="34" t="s">
        <v>612</v>
      </c>
      <c r="C5" s="33" t="s">
        <v>285</v>
      </c>
      <c r="D5" s="32" t="s">
        <v>611</v>
      </c>
      <c r="E5" s="11" t="s">
        <v>9</v>
      </c>
    </row>
    <row r="6">
      <c r="A6" s="7">
        <v>0.07222222222222222</v>
      </c>
      <c r="B6" s="32" t="s">
        <v>613</v>
      </c>
      <c r="C6" s="33" t="s">
        <v>614</v>
      </c>
      <c r="D6" s="34" t="s">
        <v>191</v>
      </c>
      <c r="E6" s="11" t="s">
        <v>13</v>
      </c>
    </row>
    <row r="7">
      <c r="A7" s="7">
        <v>0.08263888888888889</v>
      </c>
      <c r="B7" s="34" t="s">
        <v>613</v>
      </c>
      <c r="C7" s="33" t="s">
        <v>20</v>
      </c>
      <c r="D7" s="32" t="s">
        <v>612</v>
      </c>
      <c r="E7" s="11" t="s">
        <v>9</v>
      </c>
    </row>
    <row r="8">
      <c r="A8" s="7">
        <v>0.08263888888888889</v>
      </c>
      <c r="B8" s="32" t="s">
        <v>191</v>
      </c>
      <c r="C8" s="33" t="s">
        <v>201</v>
      </c>
      <c r="D8" s="32" t="s">
        <v>610</v>
      </c>
      <c r="E8" s="11" t="s">
        <v>13</v>
      </c>
    </row>
    <row r="9">
      <c r="A9" s="7">
        <v>0.09305555555555556</v>
      </c>
      <c r="B9" s="34" t="s">
        <v>613</v>
      </c>
      <c r="C9" s="33" t="s">
        <v>412</v>
      </c>
      <c r="D9" s="34" t="s">
        <v>611</v>
      </c>
      <c r="E9" s="11" t="s">
        <v>9</v>
      </c>
    </row>
    <row r="10">
      <c r="A10" s="7">
        <v>0.09305555555555556</v>
      </c>
      <c r="B10" s="32" t="s">
        <v>610</v>
      </c>
      <c r="C10" s="33" t="s">
        <v>31</v>
      </c>
      <c r="D10" s="32" t="s">
        <v>612</v>
      </c>
      <c r="E10" s="11" t="s">
        <v>13</v>
      </c>
    </row>
    <row r="11">
      <c r="A11" s="7">
        <v>0.10277777777777777</v>
      </c>
      <c r="B11" s="34" t="s">
        <v>191</v>
      </c>
      <c r="C11" s="33" t="s">
        <v>465</v>
      </c>
      <c r="D11" s="32" t="s">
        <v>611</v>
      </c>
      <c r="E11" s="11" t="s">
        <v>9</v>
      </c>
    </row>
    <row r="12">
      <c r="A12" s="7">
        <v>0.10277777777777777</v>
      </c>
      <c r="B12" s="32" t="s">
        <v>610</v>
      </c>
      <c r="C12" s="33" t="s">
        <v>282</v>
      </c>
      <c r="D12" s="34" t="s">
        <v>613</v>
      </c>
      <c r="E12" s="11" t="s">
        <v>13</v>
      </c>
    </row>
    <row r="13">
      <c r="A13" s="7">
        <v>0.11319444444444444</v>
      </c>
      <c r="B13" s="34" t="s">
        <v>611</v>
      </c>
      <c r="C13" s="33" t="s">
        <v>378</v>
      </c>
      <c r="D13" s="32" t="s">
        <v>610</v>
      </c>
      <c r="E13" s="11" t="s">
        <v>9</v>
      </c>
    </row>
    <row r="14">
      <c r="A14" s="7">
        <v>0.11319444444444444</v>
      </c>
      <c r="B14" s="32" t="s">
        <v>191</v>
      </c>
      <c r="C14" s="33" t="s">
        <v>270</v>
      </c>
      <c r="D14" s="32" t="s">
        <v>612</v>
      </c>
      <c r="E14" s="11" t="s">
        <v>13</v>
      </c>
    </row>
    <row r="15">
      <c r="A15" s="7">
        <v>0.12361111111111112</v>
      </c>
      <c r="B15" s="32" t="s">
        <v>611</v>
      </c>
      <c r="C15" s="35" t="s">
        <v>44</v>
      </c>
      <c r="D15" s="34" t="s">
        <v>612</v>
      </c>
      <c r="E15" s="11" t="s">
        <v>9</v>
      </c>
    </row>
    <row r="16">
      <c r="A16" s="7">
        <v>0.12361111111111112</v>
      </c>
      <c r="B16" s="34" t="s">
        <v>191</v>
      </c>
      <c r="C16" s="35" t="s">
        <v>26</v>
      </c>
      <c r="D16" s="32" t="s">
        <v>613</v>
      </c>
      <c r="E16" s="11" t="s">
        <v>13</v>
      </c>
    </row>
    <row r="17">
      <c r="A17" s="7">
        <v>0.13333333333333333</v>
      </c>
      <c r="B17" s="32" t="s">
        <v>612</v>
      </c>
      <c r="C17" s="35" t="s">
        <v>328</v>
      </c>
      <c r="D17" s="34" t="s">
        <v>613</v>
      </c>
      <c r="E17" s="11" t="s">
        <v>9</v>
      </c>
    </row>
    <row r="18">
      <c r="A18" s="7">
        <v>0.13333333333333333</v>
      </c>
      <c r="B18" s="32" t="s">
        <v>610</v>
      </c>
      <c r="C18" s="35" t="s">
        <v>43</v>
      </c>
      <c r="D18" s="32" t="s">
        <v>191</v>
      </c>
      <c r="E18" s="11" t="s">
        <v>13</v>
      </c>
    </row>
    <row r="19">
      <c r="A19" s="7">
        <v>0.14375</v>
      </c>
      <c r="B19" s="34" t="s">
        <v>611</v>
      </c>
      <c r="C19" s="35" t="s">
        <v>67</v>
      </c>
      <c r="D19" s="34" t="s">
        <v>613</v>
      </c>
      <c r="E19" s="11" t="s">
        <v>9</v>
      </c>
    </row>
    <row r="20">
      <c r="A20" s="7">
        <v>0.14375</v>
      </c>
      <c r="B20" s="32" t="s">
        <v>612</v>
      </c>
      <c r="C20" s="35" t="s">
        <v>81</v>
      </c>
      <c r="D20" s="32" t="s">
        <v>610</v>
      </c>
      <c r="E20" s="11" t="s">
        <v>13</v>
      </c>
    </row>
    <row r="21">
      <c r="A21" s="7">
        <v>0.15416666666666667</v>
      </c>
      <c r="B21" s="32" t="s">
        <v>611</v>
      </c>
      <c r="C21" s="35" t="s">
        <v>83</v>
      </c>
      <c r="D21" s="34" t="s">
        <v>191</v>
      </c>
      <c r="E21" s="11" t="s">
        <v>9</v>
      </c>
    </row>
    <row r="22">
      <c r="A22" s="7">
        <v>0.15416666666666667</v>
      </c>
      <c r="B22" s="34" t="s">
        <v>613</v>
      </c>
      <c r="C22" s="35" t="s">
        <v>276</v>
      </c>
      <c r="D22" s="32" t="s">
        <v>610</v>
      </c>
      <c r="E22" s="11" t="s">
        <v>13</v>
      </c>
    </row>
    <row r="23">
      <c r="A23" s="1"/>
      <c r="B23" s="1" t="s">
        <v>29</v>
      </c>
      <c r="C23" s="2"/>
      <c r="D23" s="3"/>
      <c r="E23" s="14"/>
    </row>
    <row r="24">
      <c r="A24" s="15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32" t="s">
        <v>615</v>
      </c>
      <c r="C25" s="33" t="s">
        <v>20</v>
      </c>
      <c r="D25" s="32" t="s">
        <v>616</v>
      </c>
      <c r="E25" s="11" t="s">
        <v>33</v>
      </c>
    </row>
    <row r="26">
      <c r="A26" s="7">
        <v>0.0625</v>
      </c>
      <c r="B26" s="32" t="s">
        <v>617</v>
      </c>
      <c r="C26" s="33" t="s">
        <v>52</v>
      </c>
      <c r="D26" s="32" t="s">
        <v>618</v>
      </c>
      <c r="E26" s="11" t="s">
        <v>37</v>
      </c>
    </row>
    <row r="27">
      <c r="A27" s="7">
        <v>0.07222222222222222</v>
      </c>
      <c r="B27" s="34" t="s">
        <v>617</v>
      </c>
      <c r="C27" s="33" t="s">
        <v>231</v>
      </c>
      <c r="D27" s="34" t="s">
        <v>616</v>
      </c>
      <c r="E27" s="11" t="s">
        <v>33</v>
      </c>
    </row>
    <row r="28">
      <c r="A28" s="7">
        <v>0.07222222222222222</v>
      </c>
      <c r="B28" s="32" t="s">
        <v>619</v>
      </c>
      <c r="C28" s="33" t="s">
        <v>389</v>
      </c>
      <c r="D28" s="32" t="s">
        <v>618</v>
      </c>
      <c r="E28" s="11" t="s">
        <v>37</v>
      </c>
    </row>
    <row r="29">
      <c r="A29" s="7">
        <v>0.08263888888888889</v>
      </c>
      <c r="B29" s="34" t="s">
        <v>619</v>
      </c>
      <c r="C29" s="33" t="s">
        <v>472</v>
      </c>
      <c r="D29" s="32" t="s">
        <v>617</v>
      </c>
      <c r="E29" s="11" t="s">
        <v>33</v>
      </c>
    </row>
    <row r="30">
      <c r="A30" s="7">
        <v>0.08263888888888889</v>
      </c>
      <c r="B30" s="32" t="s">
        <v>618</v>
      </c>
      <c r="C30" s="33" t="s">
        <v>19</v>
      </c>
      <c r="D30" s="32" t="s">
        <v>615</v>
      </c>
      <c r="E30" s="11" t="s">
        <v>37</v>
      </c>
    </row>
    <row r="31">
      <c r="A31" s="7">
        <v>0.09305555555555556</v>
      </c>
      <c r="B31" s="34" t="s">
        <v>619</v>
      </c>
      <c r="C31" s="33" t="s">
        <v>620</v>
      </c>
      <c r="D31" s="32" t="s">
        <v>616</v>
      </c>
      <c r="E31" s="11" t="s">
        <v>33</v>
      </c>
    </row>
    <row r="32">
      <c r="A32" s="7">
        <v>0.09305555555555556</v>
      </c>
      <c r="B32" s="32" t="s">
        <v>615</v>
      </c>
      <c r="C32" s="33" t="s">
        <v>354</v>
      </c>
      <c r="D32" s="34" t="s">
        <v>617</v>
      </c>
      <c r="E32" s="11" t="s">
        <v>37</v>
      </c>
    </row>
    <row r="33">
      <c r="A33" s="7">
        <v>0.10277777777777777</v>
      </c>
      <c r="B33" s="32" t="s">
        <v>618</v>
      </c>
      <c r="C33" s="33" t="s">
        <v>71</v>
      </c>
      <c r="D33" s="32" t="s">
        <v>616</v>
      </c>
      <c r="E33" s="11" t="s">
        <v>33</v>
      </c>
    </row>
    <row r="34">
      <c r="A34" s="7">
        <v>0.10277777777777777</v>
      </c>
      <c r="B34" s="32" t="s">
        <v>615</v>
      </c>
      <c r="C34" s="33" t="s">
        <v>21</v>
      </c>
      <c r="D34" s="32" t="s">
        <v>619</v>
      </c>
      <c r="E34" s="11" t="s">
        <v>37</v>
      </c>
    </row>
    <row r="35">
      <c r="A35" s="7">
        <v>0.11319444444444444</v>
      </c>
      <c r="B35" s="32" t="s">
        <v>616</v>
      </c>
      <c r="C35" s="33" t="s">
        <v>218</v>
      </c>
      <c r="D35" s="32" t="s">
        <v>615</v>
      </c>
      <c r="E35" s="11" t="s">
        <v>33</v>
      </c>
    </row>
    <row r="36">
      <c r="A36" s="7">
        <v>0.11319444444444444</v>
      </c>
      <c r="B36" s="32" t="s">
        <v>618</v>
      </c>
      <c r="C36" s="33" t="s">
        <v>282</v>
      </c>
      <c r="D36" s="32" t="s">
        <v>617</v>
      </c>
      <c r="E36" s="11" t="s">
        <v>37</v>
      </c>
    </row>
    <row r="37">
      <c r="A37" s="7">
        <v>0.12361111111111112</v>
      </c>
      <c r="B37" s="34" t="s">
        <v>616</v>
      </c>
      <c r="C37" s="33" t="s">
        <v>201</v>
      </c>
      <c r="D37" s="34" t="s">
        <v>617</v>
      </c>
      <c r="E37" s="11" t="s">
        <v>33</v>
      </c>
    </row>
    <row r="38">
      <c r="A38" s="7">
        <v>0.12361111111111112</v>
      </c>
      <c r="B38" s="32" t="s">
        <v>618</v>
      </c>
      <c r="C38" s="33" t="s">
        <v>69</v>
      </c>
      <c r="D38" s="32" t="s">
        <v>619</v>
      </c>
      <c r="E38" s="11" t="s">
        <v>37</v>
      </c>
    </row>
    <row r="39">
      <c r="A39" s="7">
        <v>0.13333333333333333</v>
      </c>
      <c r="B39" s="32" t="s">
        <v>617</v>
      </c>
      <c r="C39" s="33" t="s">
        <v>520</v>
      </c>
      <c r="D39" s="34" t="s">
        <v>619</v>
      </c>
      <c r="E39" s="11" t="s">
        <v>33</v>
      </c>
    </row>
    <row r="40">
      <c r="A40" s="7">
        <v>0.13333333333333333</v>
      </c>
      <c r="B40" s="32" t="s">
        <v>615</v>
      </c>
      <c r="C40" s="33" t="s">
        <v>289</v>
      </c>
      <c r="D40" s="32" t="s">
        <v>618</v>
      </c>
      <c r="E40" s="11" t="s">
        <v>37</v>
      </c>
    </row>
    <row r="41">
      <c r="A41" s="7">
        <v>0.14375</v>
      </c>
      <c r="B41" s="32" t="s">
        <v>616</v>
      </c>
      <c r="C41" s="33" t="s">
        <v>64</v>
      </c>
      <c r="D41" s="34" t="s">
        <v>619</v>
      </c>
      <c r="E41" s="11" t="s">
        <v>33</v>
      </c>
    </row>
    <row r="42">
      <c r="A42" s="7">
        <v>0.14375</v>
      </c>
      <c r="B42" s="34" t="s">
        <v>617</v>
      </c>
      <c r="C42" s="33" t="s">
        <v>47</v>
      </c>
      <c r="D42" s="32" t="s">
        <v>615</v>
      </c>
      <c r="E42" s="11" t="s">
        <v>37</v>
      </c>
    </row>
    <row r="43">
      <c r="A43" s="7">
        <v>0.15416666666666667</v>
      </c>
      <c r="B43" s="32" t="s">
        <v>616</v>
      </c>
      <c r="C43" s="33" t="s">
        <v>208</v>
      </c>
      <c r="D43" s="32" t="s">
        <v>618</v>
      </c>
      <c r="E43" s="11" t="s">
        <v>33</v>
      </c>
    </row>
    <row r="44">
      <c r="A44" s="7">
        <v>0.15416666666666667</v>
      </c>
      <c r="B44" s="32" t="s">
        <v>619</v>
      </c>
      <c r="C44" s="33" t="s">
        <v>621</v>
      </c>
      <c r="D44" s="32" t="s">
        <v>615</v>
      </c>
      <c r="E44" s="11" t="s">
        <v>37</v>
      </c>
    </row>
    <row r="45">
      <c r="A45" s="1"/>
      <c r="B45" s="1" t="s">
        <v>53</v>
      </c>
      <c r="C45" s="2"/>
      <c r="D45" s="3"/>
      <c r="E45" s="14"/>
    </row>
    <row r="46">
      <c r="A46" s="15" t="s">
        <v>1</v>
      </c>
      <c r="B46" s="16" t="s">
        <v>2</v>
      </c>
      <c r="C46" s="16" t="s">
        <v>3</v>
      </c>
      <c r="D46" s="16" t="s">
        <v>4</v>
      </c>
      <c r="E46" s="16" t="s">
        <v>5</v>
      </c>
    </row>
    <row r="47">
      <c r="A47" s="7">
        <v>0.16666666666666666</v>
      </c>
      <c r="B47" s="32" t="s">
        <v>622</v>
      </c>
      <c r="C47" s="35" t="s">
        <v>62</v>
      </c>
      <c r="D47" s="32" t="s">
        <v>503</v>
      </c>
      <c r="E47" s="11" t="s">
        <v>9</v>
      </c>
    </row>
    <row r="48">
      <c r="A48" s="7">
        <v>0.16666666666666666</v>
      </c>
      <c r="B48" s="32" t="s">
        <v>623</v>
      </c>
      <c r="C48" s="35" t="s">
        <v>31</v>
      </c>
      <c r="D48" s="32" t="s">
        <v>624</v>
      </c>
      <c r="E48" s="11" t="s">
        <v>13</v>
      </c>
    </row>
    <row r="49">
      <c r="A49" s="7">
        <v>0.1763888888888889</v>
      </c>
      <c r="B49" s="32" t="s">
        <v>623</v>
      </c>
      <c r="C49" s="35" t="s">
        <v>201</v>
      </c>
      <c r="D49" s="32" t="s">
        <v>503</v>
      </c>
      <c r="E49" s="11" t="s">
        <v>9</v>
      </c>
    </row>
    <row r="50">
      <c r="A50" s="7">
        <v>0.1763888888888889</v>
      </c>
      <c r="B50" s="32" t="s">
        <v>505</v>
      </c>
      <c r="C50" s="35" t="s">
        <v>190</v>
      </c>
      <c r="D50" s="32" t="s">
        <v>624</v>
      </c>
      <c r="E50" s="11" t="s">
        <v>13</v>
      </c>
    </row>
    <row r="51">
      <c r="A51" s="7">
        <v>0.18680555555555556</v>
      </c>
      <c r="B51" s="32" t="s">
        <v>505</v>
      </c>
      <c r="C51" s="35" t="s">
        <v>289</v>
      </c>
      <c r="D51" s="32" t="s">
        <v>623</v>
      </c>
      <c r="E51" s="11" t="s">
        <v>9</v>
      </c>
    </row>
    <row r="52">
      <c r="A52" s="7">
        <v>0.18680555555555556</v>
      </c>
      <c r="B52" s="32" t="s">
        <v>624</v>
      </c>
      <c r="C52" s="35" t="s">
        <v>64</v>
      </c>
      <c r="D52" s="32" t="s">
        <v>622</v>
      </c>
      <c r="E52" s="11" t="s">
        <v>13</v>
      </c>
    </row>
    <row r="53">
      <c r="A53" s="7">
        <v>0.19722222222222222</v>
      </c>
      <c r="B53" s="32" t="s">
        <v>505</v>
      </c>
      <c r="C53" s="35" t="s">
        <v>201</v>
      </c>
      <c r="D53" s="32" t="s">
        <v>503</v>
      </c>
      <c r="E53" s="11" t="s">
        <v>9</v>
      </c>
    </row>
    <row r="54">
      <c r="A54" s="7">
        <v>0.19722222222222222</v>
      </c>
      <c r="B54" s="32" t="s">
        <v>622</v>
      </c>
      <c r="C54" s="35" t="s">
        <v>82</v>
      </c>
      <c r="D54" s="32" t="s">
        <v>623</v>
      </c>
      <c r="E54" s="11" t="s">
        <v>13</v>
      </c>
    </row>
    <row r="55">
      <c r="A55" s="7">
        <v>0.20694444444444443</v>
      </c>
      <c r="B55" s="32" t="s">
        <v>624</v>
      </c>
      <c r="C55" s="35" t="s">
        <v>43</v>
      </c>
      <c r="D55" s="32" t="s">
        <v>503</v>
      </c>
      <c r="E55" s="11" t="s">
        <v>9</v>
      </c>
    </row>
    <row r="56">
      <c r="A56" s="7">
        <v>0.20694444444444443</v>
      </c>
      <c r="B56" s="32" t="s">
        <v>622</v>
      </c>
      <c r="C56" s="35" t="s">
        <v>625</v>
      </c>
      <c r="D56" s="32" t="s">
        <v>505</v>
      </c>
      <c r="E56" s="11" t="s">
        <v>13</v>
      </c>
    </row>
    <row r="57">
      <c r="A57" s="7">
        <v>0.21736111111111112</v>
      </c>
      <c r="B57" s="32" t="s">
        <v>503</v>
      </c>
      <c r="C57" s="35" t="s">
        <v>195</v>
      </c>
      <c r="D57" s="32" t="s">
        <v>622</v>
      </c>
      <c r="E57" s="11" t="s">
        <v>9</v>
      </c>
    </row>
    <row r="58">
      <c r="A58" s="7">
        <v>0.21736111111111112</v>
      </c>
      <c r="B58" s="32" t="s">
        <v>624</v>
      </c>
      <c r="C58" s="35" t="s">
        <v>66</v>
      </c>
      <c r="D58" s="32" t="s">
        <v>623</v>
      </c>
      <c r="E58" s="11" t="s">
        <v>13</v>
      </c>
    </row>
    <row r="59">
      <c r="A59" s="7">
        <v>0.22777777777777777</v>
      </c>
      <c r="B59" s="32" t="s">
        <v>503</v>
      </c>
      <c r="C59" s="35" t="s">
        <v>14</v>
      </c>
      <c r="D59" s="32" t="s">
        <v>623</v>
      </c>
      <c r="E59" s="11" t="s">
        <v>9</v>
      </c>
    </row>
    <row r="60">
      <c r="A60" s="7">
        <v>0.22777777777777777</v>
      </c>
      <c r="B60" s="32" t="s">
        <v>624</v>
      </c>
      <c r="C60" s="35" t="s">
        <v>195</v>
      </c>
      <c r="D60" s="32" t="s">
        <v>505</v>
      </c>
      <c r="E60" s="11" t="s">
        <v>13</v>
      </c>
    </row>
    <row r="61">
      <c r="A61" s="7">
        <v>0.2375</v>
      </c>
      <c r="B61" s="32" t="s">
        <v>623</v>
      </c>
      <c r="C61" s="35" t="s">
        <v>68</v>
      </c>
      <c r="D61" s="32" t="s">
        <v>505</v>
      </c>
      <c r="E61" s="11" t="s">
        <v>9</v>
      </c>
    </row>
    <row r="62">
      <c r="A62" s="7">
        <v>0.2375</v>
      </c>
      <c r="B62" s="32" t="s">
        <v>622</v>
      </c>
      <c r="C62" s="35" t="s">
        <v>28</v>
      </c>
      <c r="D62" s="32" t="s">
        <v>624</v>
      </c>
      <c r="E62" s="11" t="s">
        <v>13</v>
      </c>
    </row>
    <row r="63">
      <c r="A63" s="7">
        <v>0.24791666666666667</v>
      </c>
      <c r="B63" s="32" t="s">
        <v>503</v>
      </c>
      <c r="C63" s="35" t="s">
        <v>400</v>
      </c>
      <c r="D63" s="32" t="s">
        <v>505</v>
      </c>
      <c r="E63" s="11" t="s">
        <v>9</v>
      </c>
    </row>
    <row r="64">
      <c r="A64" s="7">
        <v>0.24791666666666667</v>
      </c>
      <c r="B64" s="32" t="s">
        <v>623</v>
      </c>
      <c r="C64" s="35" t="s">
        <v>196</v>
      </c>
      <c r="D64" s="32" t="s">
        <v>622</v>
      </c>
      <c r="E64" s="11" t="s">
        <v>13</v>
      </c>
    </row>
    <row r="65">
      <c r="A65" s="7">
        <v>0.25833333333333336</v>
      </c>
      <c r="B65" s="32" t="s">
        <v>503</v>
      </c>
      <c r="C65" s="35" t="s">
        <v>24</v>
      </c>
      <c r="D65" s="32" t="s">
        <v>624</v>
      </c>
      <c r="E65" s="11" t="s">
        <v>9</v>
      </c>
    </row>
    <row r="66">
      <c r="A66" s="7">
        <v>0.25833333333333336</v>
      </c>
      <c r="B66" s="32" t="s">
        <v>505</v>
      </c>
      <c r="C66" s="35" t="s">
        <v>626</v>
      </c>
      <c r="D66" s="32" t="s">
        <v>622</v>
      </c>
      <c r="E66" s="11" t="s">
        <v>13</v>
      </c>
    </row>
    <row r="67">
      <c r="A67" s="1"/>
      <c r="B67" s="1" t="s">
        <v>53</v>
      </c>
      <c r="C67" s="2"/>
      <c r="D67" s="3"/>
      <c r="E67" s="4"/>
    </row>
    <row r="68">
      <c r="A68" s="15" t="s">
        <v>1</v>
      </c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7">
        <v>0.16666666666666666</v>
      </c>
      <c r="B69" s="32" t="s">
        <v>627</v>
      </c>
      <c r="C69" s="33" t="s">
        <v>239</v>
      </c>
      <c r="D69" s="32" t="s">
        <v>628</v>
      </c>
      <c r="E69" s="11" t="s">
        <v>33</v>
      </c>
    </row>
    <row r="70">
      <c r="A70" s="7">
        <v>0.16666666666666666</v>
      </c>
      <c r="B70" s="32" t="s">
        <v>221</v>
      </c>
      <c r="C70" s="33" t="s">
        <v>352</v>
      </c>
      <c r="D70" s="32" t="s">
        <v>629</v>
      </c>
      <c r="E70" s="11" t="s">
        <v>37</v>
      </c>
    </row>
    <row r="71">
      <c r="A71" s="7">
        <v>0.1763888888888889</v>
      </c>
      <c r="B71" s="32" t="s">
        <v>221</v>
      </c>
      <c r="C71" s="33" t="s">
        <v>354</v>
      </c>
      <c r="D71" s="32" t="s">
        <v>628</v>
      </c>
      <c r="E71" s="11" t="s">
        <v>33</v>
      </c>
    </row>
    <row r="72">
      <c r="A72" s="7">
        <v>0.1763888888888889</v>
      </c>
      <c r="B72" s="32" t="s">
        <v>630</v>
      </c>
      <c r="C72" s="33" t="s">
        <v>578</v>
      </c>
      <c r="D72" s="32" t="s">
        <v>629</v>
      </c>
      <c r="E72" s="11" t="s">
        <v>37</v>
      </c>
    </row>
    <row r="73">
      <c r="A73" s="7">
        <v>0.18680555555555556</v>
      </c>
      <c r="B73" s="32" t="s">
        <v>630</v>
      </c>
      <c r="C73" s="33" t="s">
        <v>87</v>
      </c>
      <c r="D73" s="32" t="s">
        <v>221</v>
      </c>
      <c r="E73" s="11" t="s">
        <v>33</v>
      </c>
    </row>
    <row r="74">
      <c r="A74" s="7">
        <v>0.18680555555555556</v>
      </c>
      <c r="B74" s="32" t="s">
        <v>629</v>
      </c>
      <c r="C74" s="33" t="s">
        <v>25</v>
      </c>
      <c r="D74" s="32" t="s">
        <v>627</v>
      </c>
      <c r="E74" s="11" t="s">
        <v>37</v>
      </c>
    </row>
    <row r="75">
      <c r="A75" s="7">
        <v>0.19722222222222222</v>
      </c>
      <c r="B75" s="32" t="s">
        <v>630</v>
      </c>
      <c r="C75" s="33" t="s">
        <v>18</v>
      </c>
      <c r="D75" s="32" t="s">
        <v>628</v>
      </c>
      <c r="E75" s="11" t="s">
        <v>33</v>
      </c>
    </row>
    <row r="76">
      <c r="A76" s="7">
        <v>0.19722222222222222</v>
      </c>
      <c r="B76" s="32" t="s">
        <v>627</v>
      </c>
      <c r="C76" s="33" t="s">
        <v>195</v>
      </c>
      <c r="D76" s="32" t="s">
        <v>221</v>
      </c>
      <c r="E76" s="11" t="s">
        <v>37</v>
      </c>
    </row>
    <row r="77">
      <c r="A77" s="7">
        <v>0.20694444444444443</v>
      </c>
      <c r="B77" s="32" t="s">
        <v>629</v>
      </c>
      <c r="C77" s="33" t="s">
        <v>403</v>
      </c>
      <c r="D77" s="32" t="s">
        <v>628</v>
      </c>
      <c r="E77" s="11" t="s">
        <v>33</v>
      </c>
    </row>
    <row r="78">
      <c r="A78" s="7">
        <v>0.20694444444444443</v>
      </c>
      <c r="B78" s="32" t="s">
        <v>627</v>
      </c>
      <c r="C78" s="33" t="s">
        <v>195</v>
      </c>
      <c r="D78" s="32" t="s">
        <v>630</v>
      </c>
      <c r="E78" s="11" t="s">
        <v>37</v>
      </c>
    </row>
    <row r="79">
      <c r="A79" s="7">
        <v>0.21736111111111112</v>
      </c>
      <c r="B79" s="32" t="s">
        <v>628</v>
      </c>
      <c r="C79" s="33" t="s">
        <v>28</v>
      </c>
      <c r="D79" s="32" t="s">
        <v>627</v>
      </c>
      <c r="E79" s="11" t="s">
        <v>33</v>
      </c>
    </row>
    <row r="80">
      <c r="A80" s="7">
        <v>0.21736111111111112</v>
      </c>
      <c r="B80" s="32" t="s">
        <v>629</v>
      </c>
      <c r="C80" s="33" t="s">
        <v>631</v>
      </c>
      <c r="D80" s="32" t="s">
        <v>221</v>
      </c>
      <c r="E80" s="11" t="s">
        <v>37</v>
      </c>
    </row>
    <row r="81">
      <c r="A81" s="7">
        <v>0.22777777777777777</v>
      </c>
      <c r="B81" s="32" t="s">
        <v>628</v>
      </c>
      <c r="C81" s="33" t="s">
        <v>64</v>
      </c>
      <c r="D81" s="32" t="s">
        <v>221</v>
      </c>
      <c r="E81" s="11" t="s">
        <v>33</v>
      </c>
    </row>
    <row r="82">
      <c r="A82" s="7">
        <v>0.22777777777777777</v>
      </c>
      <c r="B82" s="32" t="s">
        <v>629</v>
      </c>
      <c r="C82" s="33" t="s">
        <v>273</v>
      </c>
      <c r="D82" s="32" t="s">
        <v>630</v>
      </c>
      <c r="E82" s="11" t="s">
        <v>37</v>
      </c>
    </row>
    <row r="83">
      <c r="A83" s="7">
        <v>0.2375</v>
      </c>
      <c r="B83" s="32" t="s">
        <v>221</v>
      </c>
      <c r="C83" s="33" t="s">
        <v>43</v>
      </c>
      <c r="D83" s="32" t="s">
        <v>630</v>
      </c>
      <c r="E83" s="11" t="s">
        <v>33</v>
      </c>
    </row>
    <row r="84">
      <c r="A84" s="7">
        <v>0.2375</v>
      </c>
      <c r="B84" s="32" t="s">
        <v>627</v>
      </c>
      <c r="C84" s="33" t="s">
        <v>71</v>
      </c>
      <c r="D84" s="32" t="s">
        <v>629</v>
      </c>
      <c r="E84" s="11" t="s">
        <v>37</v>
      </c>
    </row>
    <row r="85">
      <c r="A85" s="7">
        <v>0.24791666666666667</v>
      </c>
      <c r="B85" s="32" t="s">
        <v>628</v>
      </c>
      <c r="C85" s="33" t="s">
        <v>20</v>
      </c>
      <c r="D85" s="32" t="s">
        <v>630</v>
      </c>
      <c r="E85" s="11" t="s">
        <v>33</v>
      </c>
    </row>
    <row r="86">
      <c r="A86" s="7">
        <v>0.24791666666666667</v>
      </c>
      <c r="B86" s="32" t="s">
        <v>221</v>
      </c>
      <c r="C86" s="33" t="s">
        <v>26</v>
      </c>
      <c r="D86" s="32" t="s">
        <v>627</v>
      </c>
      <c r="E86" s="11" t="s">
        <v>37</v>
      </c>
    </row>
    <row r="87">
      <c r="A87" s="7">
        <v>0.25833333333333336</v>
      </c>
      <c r="B87" s="32" t="s">
        <v>628</v>
      </c>
      <c r="C87" s="33" t="s">
        <v>239</v>
      </c>
      <c r="D87" s="32" t="s">
        <v>629</v>
      </c>
      <c r="E87" s="11" t="s">
        <v>33</v>
      </c>
    </row>
    <row r="88">
      <c r="A88" s="7">
        <v>0.25833333333333336</v>
      </c>
      <c r="B88" s="32" t="s">
        <v>630</v>
      </c>
      <c r="C88" s="33" t="s">
        <v>20</v>
      </c>
      <c r="D88" s="32" t="s">
        <v>627</v>
      </c>
      <c r="E88" s="11" t="s">
        <v>37</v>
      </c>
    </row>
    <row r="89">
      <c r="B89" s="1" t="s">
        <v>90</v>
      </c>
      <c r="C89" s="2"/>
      <c r="D89" s="3"/>
      <c r="E89" s="4"/>
    </row>
    <row r="90">
      <c r="A90" s="18" t="s">
        <v>1</v>
      </c>
      <c r="B90" s="16" t="s">
        <v>2</v>
      </c>
      <c r="C90" s="16" t="s">
        <v>3</v>
      </c>
      <c r="D90" s="16" t="s">
        <v>4</v>
      </c>
      <c r="E90" s="16" t="s">
        <v>5</v>
      </c>
    </row>
    <row r="91">
      <c r="A91" s="19">
        <v>0.3333333333333333</v>
      </c>
      <c r="B91" s="32" t="s">
        <v>632</v>
      </c>
      <c r="C91" s="35" t="s">
        <v>319</v>
      </c>
      <c r="D91" s="32" t="s">
        <v>633</v>
      </c>
      <c r="E91" s="11" t="s">
        <v>9</v>
      </c>
    </row>
    <row r="92">
      <c r="A92" s="19">
        <v>0.3333333333333333</v>
      </c>
      <c r="B92" s="32" t="s">
        <v>634</v>
      </c>
      <c r="C92" s="35" t="s">
        <v>24</v>
      </c>
      <c r="D92" s="32" t="s">
        <v>635</v>
      </c>
      <c r="E92" s="11" t="s">
        <v>13</v>
      </c>
    </row>
    <row r="93">
      <c r="A93" s="19">
        <v>0.34305555555555556</v>
      </c>
      <c r="B93" s="32" t="s">
        <v>634</v>
      </c>
      <c r="C93" s="35" t="s">
        <v>212</v>
      </c>
      <c r="D93" s="32" t="s">
        <v>633</v>
      </c>
      <c r="E93" s="11" t="s">
        <v>9</v>
      </c>
    </row>
    <row r="94">
      <c r="A94" s="19">
        <v>0.34305555555555556</v>
      </c>
      <c r="B94" s="32" t="s">
        <v>636</v>
      </c>
      <c r="C94" s="35" t="s">
        <v>544</v>
      </c>
      <c r="D94" s="32" t="s">
        <v>635</v>
      </c>
      <c r="E94" s="11" t="s">
        <v>13</v>
      </c>
    </row>
    <row r="95">
      <c r="A95" s="19">
        <v>0.35347222222222224</v>
      </c>
      <c r="B95" s="32" t="s">
        <v>636</v>
      </c>
      <c r="C95" s="35" t="s">
        <v>637</v>
      </c>
      <c r="D95" s="32" t="s">
        <v>634</v>
      </c>
      <c r="E95" s="11" t="s">
        <v>9</v>
      </c>
    </row>
    <row r="96">
      <c r="A96" s="19">
        <v>0.35347222222222224</v>
      </c>
      <c r="B96" s="32" t="s">
        <v>635</v>
      </c>
      <c r="C96" s="35" t="s">
        <v>267</v>
      </c>
      <c r="D96" s="32" t="s">
        <v>632</v>
      </c>
      <c r="E96" s="11" t="s">
        <v>13</v>
      </c>
    </row>
    <row r="97">
      <c r="A97" s="19">
        <v>0.3638888888888889</v>
      </c>
      <c r="B97" s="32" t="s">
        <v>636</v>
      </c>
      <c r="C97" s="35" t="s">
        <v>295</v>
      </c>
      <c r="D97" s="32" t="s">
        <v>633</v>
      </c>
      <c r="E97" s="11" t="s">
        <v>9</v>
      </c>
    </row>
    <row r="98">
      <c r="A98" s="19">
        <v>0.3638888888888889</v>
      </c>
      <c r="B98" s="32" t="s">
        <v>632</v>
      </c>
      <c r="C98" s="35" t="s">
        <v>197</v>
      </c>
      <c r="D98" s="32" t="s">
        <v>634</v>
      </c>
      <c r="E98" s="11" t="s">
        <v>13</v>
      </c>
    </row>
    <row r="99">
      <c r="A99" s="19">
        <v>0.3736111111111111</v>
      </c>
      <c r="B99" s="32" t="s">
        <v>635</v>
      </c>
      <c r="C99" s="35" t="s">
        <v>218</v>
      </c>
      <c r="D99" s="32" t="s">
        <v>633</v>
      </c>
      <c r="E99" s="11" t="s">
        <v>9</v>
      </c>
    </row>
    <row r="100">
      <c r="A100" s="19">
        <v>0.3736111111111111</v>
      </c>
      <c r="B100" s="32" t="s">
        <v>632</v>
      </c>
      <c r="C100" s="35" t="s">
        <v>282</v>
      </c>
      <c r="D100" s="32" t="s">
        <v>636</v>
      </c>
      <c r="E100" s="11" t="s">
        <v>13</v>
      </c>
    </row>
    <row r="101">
      <c r="A101" s="19">
        <v>0.3840277777777778</v>
      </c>
      <c r="B101" s="32" t="s">
        <v>633</v>
      </c>
      <c r="C101" s="35" t="s">
        <v>62</v>
      </c>
      <c r="D101" s="32" t="s">
        <v>632</v>
      </c>
      <c r="E101" s="11" t="s">
        <v>9</v>
      </c>
    </row>
    <row r="102">
      <c r="A102" s="19">
        <v>0.3840277777777778</v>
      </c>
      <c r="B102" s="32" t="s">
        <v>635</v>
      </c>
      <c r="C102" s="35" t="s">
        <v>45</v>
      </c>
      <c r="D102" s="32" t="s">
        <v>634</v>
      </c>
      <c r="E102" s="11" t="s">
        <v>13</v>
      </c>
    </row>
    <row r="103">
      <c r="A103" s="19">
        <v>0.39444444444444443</v>
      </c>
      <c r="B103" s="32" t="s">
        <v>633</v>
      </c>
      <c r="C103" s="35" t="s">
        <v>193</v>
      </c>
      <c r="D103" s="32" t="s">
        <v>634</v>
      </c>
      <c r="E103" s="11" t="s">
        <v>9</v>
      </c>
    </row>
    <row r="104">
      <c r="A104" s="19">
        <v>0.39444444444444443</v>
      </c>
      <c r="B104" s="32" t="s">
        <v>635</v>
      </c>
      <c r="C104" s="35" t="s">
        <v>11</v>
      </c>
      <c r="D104" s="32" t="s">
        <v>636</v>
      </c>
      <c r="E104" s="11" t="s">
        <v>13</v>
      </c>
    </row>
    <row r="105">
      <c r="A105" s="19">
        <v>0.4041666666666667</v>
      </c>
      <c r="B105" s="32" t="s">
        <v>634</v>
      </c>
      <c r="C105" s="35" t="s">
        <v>638</v>
      </c>
      <c r="D105" s="32" t="s">
        <v>636</v>
      </c>
      <c r="E105" s="11" t="s">
        <v>9</v>
      </c>
    </row>
    <row r="106">
      <c r="A106" s="19">
        <v>0.4041666666666667</v>
      </c>
      <c r="B106" s="32" t="s">
        <v>632</v>
      </c>
      <c r="C106" s="35" t="s">
        <v>404</v>
      </c>
      <c r="D106" s="32" t="s">
        <v>635</v>
      </c>
      <c r="E106" s="11" t="s">
        <v>13</v>
      </c>
    </row>
    <row r="107">
      <c r="A107" s="19">
        <v>0.41458333333333336</v>
      </c>
      <c r="B107" s="32" t="s">
        <v>633</v>
      </c>
      <c r="C107" s="35" t="s">
        <v>25</v>
      </c>
      <c r="D107" s="32" t="s">
        <v>636</v>
      </c>
      <c r="E107" s="11" t="s">
        <v>9</v>
      </c>
    </row>
    <row r="108">
      <c r="A108" s="19">
        <v>0.41458333333333336</v>
      </c>
      <c r="B108" s="32" t="s">
        <v>634</v>
      </c>
      <c r="C108" s="35" t="s">
        <v>35</v>
      </c>
      <c r="D108" s="32" t="s">
        <v>632</v>
      </c>
      <c r="E108" s="11" t="s">
        <v>13</v>
      </c>
    </row>
    <row r="109">
      <c r="A109" s="19">
        <v>0.425</v>
      </c>
      <c r="B109" s="32" t="s">
        <v>633</v>
      </c>
      <c r="C109" s="35" t="s">
        <v>72</v>
      </c>
      <c r="D109" s="32" t="s">
        <v>635</v>
      </c>
      <c r="E109" s="11" t="s">
        <v>9</v>
      </c>
    </row>
    <row r="110">
      <c r="A110" s="19">
        <v>0.425</v>
      </c>
      <c r="B110" s="32" t="s">
        <v>636</v>
      </c>
      <c r="C110" s="35" t="s">
        <v>286</v>
      </c>
      <c r="D110" s="32" t="s">
        <v>632</v>
      </c>
      <c r="E110" s="11" t="s">
        <v>13</v>
      </c>
    </row>
    <row r="111">
      <c r="A111" s="1"/>
      <c r="B111" s="1" t="s">
        <v>90</v>
      </c>
      <c r="C111" s="2"/>
      <c r="D111" s="3"/>
      <c r="E111" s="4"/>
    </row>
    <row r="112">
      <c r="A112" s="18" t="s">
        <v>1</v>
      </c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A113" s="22">
        <v>0.3333333333333333</v>
      </c>
      <c r="B113" s="32" t="s">
        <v>639</v>
      </c>
      <c r="C113" s="35" t="s">
        <v>201</v>
      </c>
      <c r="D113" s="32" t="s">
        <v>640</v>
      </c>
      <c r="E113" s="11" t="s">
        <v>33</v>
      </c>
    </row>
    <row r="114">
      <c r="A114" s="23">
        <v>0.3333333333333333</v>
      </c>
      <c r="B114" s="32" t="s">
        <v>641</v>
      </c>
      <c r="C114" s="35" t="s">
        <v>62</v>
      </c>
      <c r="D114" s="32" t="s">
        <v>642</v>
      </c>
      <c r="E114" s="11" t="s">
        <v>37</v>
      </c>
    </row>
    <row r="115">
      <c r="A115" s="23">
        <v>0.34305555555555556</v>
      </c>
      <c r="B115" s="32" t="s">
        <v>641</v>
      </c>
      <c r="C115" s="35" t="s">
        <v>201</v>
      </c>
      <c r="D115" s="32" t="s">
        <v>640</v>
      </c>
      <c r="E115" s="11" t="s">
        <v>33</v>
      </c>
    </row>
    <row r="116">
      <c r="A116" s="23">
        <v>0.34305555555555556</v>
      </c>
      <c r="B116" s="32" t="s">
        <v>643</v>
      </c>
      <c r="C116" s="35" t="s">
        <v>43</v>
      </c>
      <c r="D116" s="32" t="s">
        <v>642</v>
      </c>
      <c r="E116" s="11" t="s">
        <v>37</v>
      </c>
    </row>
    <row r="117">
      <c r="A117" s="23">
        <v>0.35347222222222224</v>
      </c>
      <c r="B117" s="32" t="s">
        <v>643</v>
      </c>
      <c r="C117" s="35" t="s">
        <v>22</v>
      </c>
      <c r="D117" s="32" t="s">
        <v>641</v>
      </c>
      <c r="E117" s="11" t="s">
        <v>33</v>
      </c>
    </row>
    <row r="118">
      <c r="A118" s="23">
        <v>0.35347222222222224</v>
      </c>
      <c r="B118" s="32" t="s">
        <v>642</v>
      </c>
      <c r="C118" s="35" t="s">
        <v>11</v>
      </c>
      <c r="D118" s="32" t="s">
        <v>639</v>
      </c>
      <c r="E118" s="11" t="s">
        <v>37</v>
      </c>
    </row>
    <row r="119">
      <c r="A119" s="23">
        <v>0.3638888888888889</v>
      </c>
      <c r="B119" s="32" t="s">
        <v>643</v>
      </c>
      <c r="C119" s="35" t="s">
        <v>47</v>
      </c>
      <c r="D119" s="32" t="s">
        <v>640</v>
      </c>
      <c r="E119" s="11" t="s">
        <v>33</v>
      </c>
    </row>
    <row r="120">
      <c r="A120" s="23">
        <v>0.3638888888888889</v>
      </c>
      <c r="B120" s="32" t="s">
        <v>639</v>
      </c>
      <c r="C120" s="35" t="s">
        <v>81</v>
      </c>
      <c r="D120" s="32" t="s">
        <v>641</v>
      </c>
      <c r="E120" s="11" t="s">
        <v>37</v>
      </c>
    </row>
    <row r="121">
      <c r="A121" s="23">
        <v>0.3736111111111111</v>
      </c>
      <c r="B121" s="32" t="s">
        <v>642</v>
      </c>
      <c r="C121" s="35" t="s">
        <v>62</v>
      </c>
      <c r="D121" s="32" t="s">
        <v>640</v>
      </c>
      <c r="E121" s="11" t="s">
        <v>33</v>
      </c>
    </row>
    <row r="122">
      <c r="A122" s="23">
        <v>0.3736111111111111</v>
      </c>
      <c r="B122" s="32" t="s">
        <v>639</v>
      </c>
      <c r="C122" s="35" t="s">
        <v>16</v>
      </c>
      <c r="D122" s="32" t="s">
        <v>643</v>
      </c>
      <c r="E122" s="11" t="s">
        <v>37</v>
      </c>
    </row>
    <row r="123">
      <c r="A123" s="23">
        <v>0.3840277777777778</v>
      </c>
      <c r="B123" s="32" t="s">
        <v>640</v>
      </c>
      <c r="C123" s="35" t="s">
        <v>11</v>
      </c>
      <c r="D123" s="32" t="s">
        <v>639</v>
      </c>
      <c r="E123" s="11" t="s">
        <v>33</v>
      </c>
    </row>
    <row r="124">
      <c r="A124" s="23">
        <v>0.3840277777777778</v>
      </c>
      <c r="B124" s="32" t="s">
        <v>642</v>
      </c>
      <c r="C124" s="35" t="s">
        <v>289</v>
      </c>
      <c r="D124" s="32" t="s">
        <v>641</v>
      </c>
      <c r="E124" s="11" t="s">
        <v>37</v>
      </c>
    </row>
    <row r="125">
      <c r="A125" s="23">
        <v>0.39444444444444443</v>
      </c>
      <c r="B125" s="32" t="s">
        <v>640</v>
      </c>
      <c r="C125" s="35" t="s">
        <v>22</v>
      </c>
      <c r="D125" s="32" t="s">
        <v>641</v>
      </c>
      <c r="E125" s="11" t="s">
        <v>33</v>
      </c>
    </row>
    <row r="126">
      <c r="A126" s="23">
        <v>0.39444444444444443</v>
      </c>
      <c r="B126" s="32" t="s">
        <v>642</v>
      </c>
      <c r="C126" s="35" t="s">
        <v>64</v>
      </c>
      <c r="D126" s="32" t="s">
        <v>643</v>
      </c>
      <c r="E126" s="11" t="s">
        <v>37</v>
      </c>
    </row>
    <row r="127">
      <c r="A127" s="23">
        <v>0.4041666666666667</v>
      </c>
      <c r="B127" s="32" t="s">
        <v>641</v>
      </c>
      <c r="C127" s="35" t="s">
        <v>43</v>
      </c>
      <c r="D127" s="32" t="s">
        <v>643</v>
      </c>
      <c r="E127" s="11" t="s">
        <v>33</v>
      </c>
    </row>
    <row r="128">
      <c r="A128" s="23">
        <v>0.4041666666666667</v>
      </c>
      <c r="B128" s="32" t="s">
        <v>639</v>
      </c>
      <c r="C128" s="35" t="s">
        <v>479</v>
      </c>
      <c r="D128" s="32" t="s">
        <v>642</v>
      </c>
      <c r="E128" s="11" t="s">
        <v>37</v>
      </c>
    </row>
    <row r="129">
      <c r="A129" s="23">
        <v>0.41458333333333336</v>
      </c>
      <c r="B129" s="32" t="s">
        <v>640</v>
      </c>
      <c r="C129" s="35" t="s">
        <v>289</v>
      </c>
      <c r="D129" s="32" t="s">
        <v>643</v>
      </c>
      <c r="E129" s="11" t="s">
        <v>33</v>
      </c>
      <c r="G129" s="36"/>
      <c r="I129" s="36"/>
    </row>
    <row r="130">
      <c r="A130" s="23">
        <v>0.41458333333333336</v>
      </c>
      <c r="B130" s="32" t="s">
        <v>641</v>
      </c>
      <c r="C130" s="35" t="s">
        <v>195</v>
      </c>
      <c r="D130" s="32" t="s">
        <v>639</v>
      </c>
      <c r="E130" s="11" t="s">
        <v>37</v>
      </c>
    </row>
    <row r="131">
      <c r="A131" s="23">
        <v>0.425</v>
      </c>
      <c r="B131" s="32" t="s">
        <v>640</v>
      </c>
      <c r="C131" s="35" t="s">
        <v>270</v>
      </c>
      <c r="D131" s="32" t="s">
        <v>642</v>
      </c>
      <c r="E131" s="11" t="s">
        <v>33</v>
      </c>
    </row>
    <row r="132">
      <c r="A132" s="23">
        <v>0.425</v>
      </c>
      <c r="B132" s="32" t="s">
        <v>643</v>
      </c>
      <c r="C132" s="35" t="s">
        <v>251</v>
      </c>
      <c r="D132" s="32" t="s">
        <v>639</v>
      </c>
      <c r="E132" s="11" t="s">
        <v>37</v>
      </c>
    </row>
    <row r="133">
      <c r="A133" s="1"/>
      <c r="B133" s="1" t="s">
        <v>101</v>
      </c>
      <c r="C133" s="2"/>
      <c r="D133" s="3"/>
      <c r="E133" s="4"/>
    </row>
    <row r="134">
      <c r="A134" s="18" t="s">
        <v>1</v>
      </c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A135" s="19">
        <v>0.4375</v>
      </c>
      <c r="B135" s="32" t="s">
        <v>644</v>
      </c>
      <c r="C135" s="33" t="s">
        <v>645</v>
      </c>
      <c r="D135" s="32" t="s">
        <v>646</v>
      </c>
      <c r="E135" s="11" t="s">
        <v>9</v>
      </c>
    </row>
    <row r="136">
      <c r="A136" s="19">
        <v>0.4375</v>
      </c>
      <c r="B136" s="32" t="s">
        <v>647</v>
      </c>
      <c r="C136" s="33" t="s">
        <v>261</v>
      </c>
      <c r="D136" s="32" t="s">
        <v>648</v>
      </c>
      <c r="E136" s="11" t="s">
        <v>13</v>
      </c>
    </row>
    <row r="137">
      <c r="A137" s="19">
        <v>0.44722222222222224</v>
      </c>
      <c r="B137" s="32" t="s">
        <v>647</v>
      </c>
      <c r="C137" s="33" t="s">
        <v>378</v>
      </c>
      <c r="D137" s="32" t="s">
        <v>646</v>
      </c>
      <c r="E137" s="11" t="s">
        <v>9</v>
      </c>
      <c r="H137" s="36"/>
    </row>
    <row r="138">
      <c r="A138" s="19">
        <v>0.44722222222222224</v>
      </c>
      <c r="B138" s="32" t="s">
        <v>649</v>
      </c>
      <c r="C138" s="33" t="s">
        <v>41</v>
      </c>
      <c r="D138" s="32" t="s">
        <v>648</v>
      </c>
      <c r="E138" s="11" t="s">
        <v>13</v>
      </c>
    </row>
    <row r="139">
      <c r="A139" s="19">
        <v>0.4576388888888889</v>
      </c>
      <c r="B139" s="32" t="s">
        <v>649</v>
      </c>
      <c r="C139" s="33" t="s">
        <v>16</v>
      </c>
      <c r="D139" s="32" t="s">
        <v>647</v>
      </c>
      <c r="E139" s="11" t="s">
        <v>9</v>
      </c>
    </row>
    <row r="140">
      <c r="A140" s="19">
        <v>0.4576388888888889</v>
      </c>
      <c r="B140" s="32" t="s">
        <v>648</v>
      </c>
      <c r="C140" s="33" t="s">
        <v>16</v>
      </c>
      <c r="D140" s="32" t="s">
        <v>644</v>
      </c>
      <c r="E140" s="11" t="s">
        <v>13</v>
      </c>
    </row>
    <row r="141">
      <c r="A141" s="19">
        <v>0.46805555555555556</v>
      </c>
      <c r="B141" s="32" t="s">
        <v>649</v>
      </c>
      <c r="C141" s="33" t="s">
        <v>35</v>
      </c>
      <c r="D141" s="32" t="s">
        <v>646</v>
      </c>
      <c r="E141" s="11" t="s">
        <v>9</v>
      </c>
    </row>
    <row r="142">
      <c r="A142" s="19">
        <v>0.46805555555555556</v>
      </c>
      <c r="B142" s="32" t="s">
        <v>644</v>
      </c>
      <c r="C142" s="33" t="s">
        <v>22</v>
      </c>
      <c r="D142" s="32" t="s">
        <v>647</v>
      </c>
      <c r="E142" s="11" t="s">
        <v>13</v>
      </c>
    </row>
    <row r="143">
      <c r="A143" s="19">
        <v>0.4777777777777778</v>
      </c>
      <c r="B143" s="32" t="s">
        <v>648</v>
      </c>
      <c r="C143" s="33" t="s">
        <v>14</v>
      </c>
      <c r="D143" s="32" t="s">
        <v>646</v>
      </c>
      <c r="E143" s="11" t="s">
        <v>9</v>
      </c>
    </row>
    <row r="144">
      <c r="A144" s="19">
        <v>0.4777777777777778</v>
      </c>
      <c r="B144" s="32" t="s">
        <v>644</v>
      </c>
      <c r="C144" s="33" t="s">
        <v>413</v>
      </c>
      <c r="D144" s="32" t="s">
        <v>649</v>
      </c>
      <c r="E144" s="11" t="s">
        <v>13</v>
      </c>
    </row>
    <row r="145">
      <c r="A145" s="19">
        <v>0.48819444444444443</v>
      </c>
      <c r="B145" s="32" t="s">
        <v>646</v>
      </c>
      <c r="C145" s="33" t="s">
        <v>650</v>
      </c>
      <c r="D145" s="32" t="s">
        <v>644</v>
      </c>
      <c r="E145" s="11" t="s">
        <v>9</v>
      </c>
    </row>
    <row r="146">
      <c r="A146" s="19">
        <v>0.48819444444444443</v>
      </c>
      <c r="B146" s="32" t="s">
        <v>648</v>
      </c>
      <c r="C146" s="33" t="s">
        <v>337</v>
      </c>
      <c r="D146" s="32" t="s">
        <v>647</v>
      </c>
      <c r="E146" s="11" t="s">
        <v>13</v>
      </c>
    </row>
    <row r="147">
      <c r="A147" s="19">
        <v>0.4986111111111111</v>
      </c>
      <c r="B147" s="32" t="s">
        <v>646</v>
      </c>
      <c r="C147" s="35" t="s">
        <v>45</v>
      </c>
      <c r="D147" s="32" t="s">
        <v>647</v>
      </c>
      <c r="E147" s="11" t="s">
        <v>9</v>
      </c>
    </row>
    <row r="148">
      <c r="A148" s="19">
        <v>0.4986111111111111</v>
      </c>
      <c r="B148" s="32" t="s">
        <v>648</v>
      </c>
      <c r="C148" s="35" t="s">
        <v>70</v>
      </c>
      <c r="D148" s="32" t="s">
        <v>649</v>
      </c>
      <c r="E148" s="11" t="s">
        <v>13</v>
      </c>
    </row>
    <row r="149">
      <c r="A149" s="19">
        <v>0.5083333333333333</v>
      </c>
      <c r="B149" s="32" t="s">
        <v>647</v>
      </c>
      <c r="C149" s="35" t="s">
        <v>19</v>
      </c>
      <c r="D149" s="32" t="s">
        <v>649</v>
      </c>
      <c r="E149" s="11" t="s">
        <v>9</v>
      </c>
    </row>
    <row r="150">
      <c r="A150" s="19">
        <v>0.5083333333333333</v>
      </c>
      <c r="B150" s="32" t="s">
        <v>644</v>
      </c>
      <c r="C150" s="35" t="s">
        <v>258</v>
      </c>
      <c r="D150" s="32" t="s">
        <v>648</v>
      </c>
      <c r="E150" s="11" t="s">
        <v>13</v>
      </c>
    </row>
    <row r="151">
      <c r="A151" s="19">
        <v>0.51875</v>
      </c>
      <c r="B151" s="32" t="s">
        <v>646</v>
      </c>
      <c r="C151" s="35" t="s">
        <v>20</v>
      </c>
      <c r="D151" s="32" t="s">
        <v>649</v>
      </c>
      <c r="E151" s="11" t="s">
        <v>9</v>
      </c>
    </row>
    <row r="152">
      <c r="A152" s="19">
        <v>0.51875</v>
      </c>
      <c r="B152" s="32" t="s">
        <v>647</v>
      </c>
      <c r="C152" s="35" t="s">
        <v>72</v>
      </c>
      <c r="D152" s="32" t="s">
        <v>644</v>
      </c>
      <c r="E152" s="11" t="s">
        <v>13</v>
      </c>
    </row>
    <row r="153">
      <c r="A153" s="19">
        <v>0.5291666666666667</v>
      </c>
      <c r="B153" s="32" t="s">
        <v>646</v>
      </c>
      <c r="C153" s="35" t="s">
        <v>278</v>
      </c>
      <c r="D153" s="32" t="s">
        <v>648</v>
      </c>
      <c r="E153" s="11" t="s">
        <v>9</v>
      </c>
    </row>
    <row r="154">
      <c r="A154" s="19">
        <v>0.5291666666666667</v>
      </c>
      <c r="B154" s="32" t="s">
        <v>649</v>
      </c>
      <c r="C154" s="35" t="s">
        <v>651</v>
      </c>
      <c r="D154" s="32" t="s">
        <v>644</v>
      </c>
      <c r="E154" s="11" t="s">
        <v>13</v>
      </c>
    </row>
    <row r="155">
      <c r="A155" s="1"/>
      <c r="B155" s="1" t="s">
        <v>101</v>
      </c>
      <c r="C155" s="2"/>
      <c r="D155" s="3"/>
      <c r="E155" s="4"/>
    </row>
    <row r="156">
      <c r="A156" s="18" t="s">
        <v>1</v>
      </c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A157" s="19">
        <v>0.4375</v>
      </c>
      <c r="B157" s="32" t="s">
        <v>652</v>
      </c>
      <c r="C157" s="33" t="s">
        <v>87</v>
      </c>
      <c r="D157" s="32" t="s">
        <v>653</v>
      </c>
      <c r="E157" s="11" t="s">
        <v>33</v>
      </c>
    </row>
    <row r="158">
      <c r="A158" s="19">
        <v>0.4375</v>
      </c>
      <c r="B158" s="32" t="s">
        <v>654</v>
      </c>
      <c r="C158" s="33" t="s">
        <v>291</v>
      </c>
      <c r="D158" s="32" t="s">
        <v>655</v>
      </c>
      <c r="E158" s="11" t="s">
        <v>37</v>
      </c>
    </row>
    <row r="159">
      <c r="A159" s="19">
        <v>0.44722222222222224</v>
      </c>
      <c r="B159" s="32" t="s">
        <v>654</v>
      </c>
      <c r="C159" s="33" t="s">
        <v>400</v>
      </c>
      <c r="D159" s="32" t="s">
        <v>653</v>
      </c>
      <c r="E159" s="11" t="s">
        <v>33</v>
      </c>
    </row>
    <row r="160">
      <c r="A160" s="19">
        <v>0.44722222222222224</v>
      </c>
      <c r="B160" s="32" t="s">
        <v>656</v>
      </c>
      <c r="C160" s="33" t="s">
        <v>52</v>
      </c>
      <c r="D160" s="32" t="s">
        <v>655</v>
      </c>
      <c r="E160" s="11" t="s">
        <v>37</v>
      </c>
    </row>
    <row r="161">
      <c r="A161" s="19">
        <v>0.4576388888888889</v>
      </c>
      <c r="B161" s="32" t="s">
        <v>656</v>
      </c>
      <c r="C161" s="33" t="s">
        <v>87</v>
      </c>
      <c r="D161" s="32" t="s">
        <v>654</v>
      </c>
      <c r="E161" s="11" t="s">
        <v>33</v>
      </c>
    </row>
    <row r="162">
      <c r="A162" s="19">
        <v>0.4576388888888889</v>
      </c>
      <c r="B162" s="32" t="s">
        <v>655</v>
      </c>
      <c r="C162" s="33" t="s">
        <v>657</v>
      </c>
      <c r="D162" s="32" t="s">
        <v>652</v>
      </c>
      <c r="E162" s="11" t="s">
        <v>37</v>
      </c>
    </row>
    <row r="163">
      <c r="A163" s="19">
        <v>0.46805555555555556</v>
      </c>
      <c r="B163" s="32" t="s">
        <v>656</v>
      </c>
      <c r="C163" s="33" t="s">
        <v>212</v>
      </c>
      <c r="D163" s="32" t="s">
        <v>653</v>
      </c>
      <c r="E163" s="11" t="s">
        <v>33</v>
      </c>
    </row>
    <row r="164">
      <c r="A164" s="19">
        <v>0.46805555555555556</v>
      </c>
      <c r="B164" s="32" t="s">
        <v>652</v>
      </c>
      <c r="C164" s="33" t="s">
        <v>369</v>
      </c>
      <c r="D164" s="32" t="s">
        <v>654</v>
      </c>
      <c r="E164" s="11" t="s">
        <v>37</v>
      </c>
    </row>
    <row r="165">
      <c r="A165" s="19">
        <v>0.4777777777777778</v>
      </c>
      <c r="B165" s="32" t="s">
        <v>655</v>
      </c>
      <c r="C165" s="33" t="s">
        <v>22</v>
      </c>
      <c r="D165" s="32" t="s">
        <v>653</v>
      </c>
      <c r="E165" s="11" t="s">
        <v>33</v>
      </c>
    </row>
    <row r="166">
      <c r="A166" s="19">
        <v>0.4777777777777778</v>
      </c>
      <c r="B166" s="32" t="s">
        <v>652</v>
      </c>
      <c r="C166" s="33" t="s">
        <v>285</v>
      </c>
      <c r="D166" s="32" t="s">
        <v>656</v>
      </c>
      <c r="E166" s="11" t="s">
        <v>37</v>
      </c>
    </row>
    <row r="167">
      <c r="A167" s="19">
        <v>0.48819444444444443</v>
      </c>
      <c r="B167" s="32" t="s">
        <v>653</v>
      </c>
      <c r="C167" s="33" t="s">
        <v>18</v>
      </c>
      <c r="D167" s="32" t="s">
        <v>652</v>
      </c>
      <c r="E167" s="11" t="s">
        <v>33</v>
      </c>
    </row>
    <row r="168">
      <c r="A168" s="19">
        <v>0.48819444444444443</v>
      </c>
      <c r="B168" s="32" t="s">
        <v>655</v>
      </c>
      <c r="C168" s="33" t="s">
        <v>20</v>
      </c>
      <c r="D168" s="32" t="s">
        <v>654</v>
      </c>
      <c r="E168" s="11" t="s">
        <v>37</v>
      </c>
    </row>
    <row r="169">
      <c r="A169" s="19">
        <v>0.4986111111111111</v>
      </c>
      <c r="B169" s="32" t="s">
        <v>653</v>
      </c>
      <c r="C169" s="35" t="s">
        <v>217</v>
      </c>
      <c r="D169" s="32" t="s">
        <v>654</v>
      </c>
      <c r="E169" s="11" t="s">
        <v>33</v>
      </c>
    </row>
    <row r="170">
      <c r="A170" s="19">
        <v>0.4986111111111111</v>
      </c>
      <c r="B170" s="32" t="s">
        <v>655</v>
      </c>
      <c r="C170" s="35" t="s">
        <v>445</v>
      </c>
      <c r="D170" s="32" t="s">
        <v>656</v>
      </c>
      <c r="E170" s="11" t="s">
        <v>37</v>
      </c>
    </row>
    <row r="171">
      <c r="A171" s="19">
        <v>0.5083333333333333</v>
      </c>
      <c r="B171" s="32" t="s">
        <v>654</v>
      </c>
      <c r="C171" s="35" t="s">
        <v>11</v>
      </c>
      <c r="D171" s="32" t="s">
        <v>656</v>
      </c>
      <c r="E171" s="11" t="s">
        <v>33</v>
      </c>
    </row>
    <row r="172">
      <c r="A172" s="19">
        <v>0.5083333333333333</v>
      </c>
      <c r="B172" s="32" t="s">
        <v>652</v>
      </c>
      <c r="C172" s="35" t="s">
        <v>352</v>
      </c>
      <c r="D172" s="32" t="s">
        <v>655</v>
      </c>
      <c r="E172" s="11" t="s">
        <v>37</v>
      </c>
    </row>
    <row r="173">
      <c r="A173" s="19">
        <v>0.51875</v>
      </c>
      <c r="B173" s="32" t="s">
        <v>653</v>
      </c>
      <c r="C173" s="35" t="s">
        <v>195</v>
      </c>
      <c r="D173" s="32" t="s">
        <v>656</v>
      </c>
      <c r="E173" s="11" t="s">
        <v>33</v>
      </c>
    </row>
    <row r="174">
      <c r="A174" s="19">
        <v>0.51875</v>
      </c>
      <c r="B174" s="32" t="s">
        <v>654</v>
      </c>
      <c r="C174" s="35" t="s">
        <v>412</v>
      </c>
      <c r="D174" s="32" t="s">
        <v>652</v>
      </c>
      <c r="E174" s="11" t="s">
        <v>37</v>
      </c>
    </row>
    <row r="175">
      <c r="A175" s="19">
        <v>0.5291666666666667</v>
      </c>
      <c r="B175" s="32" t="s">
        <v>653</v>
      </c>
      <c r="C175" s="35" t="s">
        <v>658</v>
      </c>
      <c r="D175" s="32" t="s">
        <v>655</v>
      </c>
      <c r="E175" s="11" t="s">
        <v>33</v>
      </c>
    </row>
    <row r="176">
      <c r="A176" s="19">
        <v>0.5291666666666667</v>
      </c>
      <c r="B176" s="32" t="s">
        <v>656</v>
      </c>
      <c r="C176" s="35" t="s">
        <v>282</v>
      </c>
      <c r="D176" s="32" t="s">
        <v>652</v>
      </c>
      <c r="E176" s="11" t="s">
        <v>37</v>
      </c>
    </row>
    <row r="177">
      <c r="A177" s="1"/>
      <c r="B177" s="1" t="s">
        <v>112</v>
      </c>
      <c r="C177" s="2"/>
      <c r="D177" s="3"/>
      <c r="E177" s="4"/>
    </row>
    <row r="178">
      <c r="A178" s="18" t="s">
        <v>1</v>
      </c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A179" s="19">
        <v>0.5416666666666666</v>
      </c>
      <c r="B179" s="32" t="s">
        <v>659</v>
      </c>
      <c r="C179" s="35" t="s">
        <v>329</v>
      </c>
      <c r="D179" s="32" t="s">
        <v>417</v>
      </c>
      <c r="E179" s="11" t="s">
        <v>9</v>
      </c>
    </row>
    <row r="180">
      <c r="A180" s="19">
        <v>0.5416666666666666</v>
      </c>
      <c r="B180" s="32" t="s">
        <v>660</v>
      </c>
      <c r="C180" s="35" t="s">
        <v>249</v>
      </c>
      <c r="D180" s="32" t="s">
        <v>661</v>
      </c>
      <c r="E180" s="11" t="s">
        <v>13</v>
      </c>
    </row>
    <row r="181">
      <c r="A181" s="19">
        <v>0.5513888888888889</v>
      </c>
      <c r="B181" s="32" t="s">
        <v>660</v>
      </c>
      <c r="C181" s="35" t="s">
        <v>69</v>
      </c>
      <c r="D181" s="32" t="s">
        <v>417</v>
      </c>
      <c r="E181" s="11" t="s">
        <v>9</v>
      </c>
    </row>
    <row r="182">
      <c r="A182" s="19">
        <v>0.5513888888888889</v>
      </c>
      <c r="B182" s="32" t="s">
        <v>662</v>
      </c>
      <c r="C182" s="35" t="s">
        <v>201</v>
      </c>
      <c r="D182" s="32" t="s">
        <v>661</v>
      </c>
      <c r="E182" s="11" t="s">
        <v>13</v>
      </c>
    </row>
    <row r="183">
      <c r="A183" s="19">
        <v>0.5618055555555556</v>
      </c>
      <c r="B183" s="32" t="s">
        <v>662</v>
      </c>
      <c r="C183" s="35" t="s">
        <v>25</v>
      </c>
      <c r="D183" s="32" t="s">
        <v>660</v>
      </c>
      <c r="E183" s="11" t="s">
        <v>9</v>
      </c>
    </row>
    <row r="184">
      <c r="A184" s="19">
        <v>0.5618055555555556</v>
      </c>
      <c r="B184" s="32" t="s">
        <v>661</v>
      </c>
      <c r="C184" s="35" t="s">
        <v>267</v>
      </c>
      <c r="D184" s="32" t="s">
        <v>659</v>
      </c>
      <c r="E184" s="11" t="s">
        <v>13</v>
      </c>
    </row>
    <row r="185">
      <c r="A185" s="19">
        <v>0.5722222222222222</v>
      </c>
      <c r="B185" s="32" t="s">
        <v>662</v>
      </c>
      <c r="C185" s="35" t="s">
        <v>48</v>
      </c>
      <c r="D185" s="32" t="s">
        <v>417</v>
      </c>
      <c r="E185" s="11" t="s">
        <v>9</v>
      </c>
    </row>
    <row r="186">
      <c r="A186" s="19">
        <v>0.5722222222222222</v>
      </c>
      <c r="B186" s="32" t="s">
        <v>659</v>
      </c>
      <c r="C186" s="35" t="s">
        <v>239</v>
      </c>
      <c r="D186" s="32" t="s">
        <v>660</v>
      </c>
      <c r="E186" s="11" t="s">
        <v>13</v>
      </c>
      <c r="I186" s="36" t="s">
        <v>663</v>
      </c>
    </row>
    <row r="187">
      <c r="A187" s="19">
        <v>0.5819444444444445</v>
      </c>
      <c r="B187" s="32" t="s">
        <v>661</v>
      </c>
      <c r="C187" s="35" t="s">
        <v>197</v>
      </c>
      <c r="D187" s="32" t="s">
        <v>417</v>
      </c>
      <c r="E187" s="11" t="s">
        <v>9</v>
      </c>
    </row>
    <row r="188">
      <c r="A188" s="19">
        <v>0.5819444444444445</v>
      </c>
      <c r="B188" s="32" t="s">
        <v>659</v>
      </c>
      <c r="C188" s="35" t="s">
        <v>664</v>
      </c>
      <c r="D188" s="32" t="s">
        <v>662</v>
      </c>
      <c r="E188" s="11" t="s">
        <v>13</v>
      </c>
    </row>
    <row r="189">
      <c r="A189" s="19">
        <v>0.5923611111111111</v>
      </c>
      <c r="B189" s="32" t="s">
        <v>417</v>
      </c>
      <c r="C189" s="35" t="s">
        <v>64</v>
      </c>
      <c r="D189" s="32" t="s">
        <v>659</v>
      </c>
      <c r="E189" s="11" t="s">
        <v>9</v>
      </c>
    </row>
    <row r="190">
      <c r="A190" s="19">
        <v>0.5923611111111111</v>
      </c>
      <c r="B190" s="32" t="s">
        <v>661</v>
      </c>
      <c r="C190" s="35" t="s">
        <v>7</v>
      </c>
      <c r="D190" s="32" t="s">
        <v>660</v>
      </c>
      <c r="E190" s="11" t="s">
        <v>13</v>
      </c>
    </row>
    <row r="191">
      <c r="A191" s="19">
        <v>0.6027777777777777</v>
      </c>
      <c r="B191" s="32" t="s">
        <v>417</v>
      </c>
      <c r="C191" s="35" t="s">
        <v>273</v>
      </c>
      <c r="D191" s="32" t="s">
        <v>660</v>
      </c>
      <c r="E191" s="11" t="s">
        <v>9</v>
      </c>
    </row>
    <row r="192">
      <c r="A192" s="19">
        <v>0.6027777777777777</v>
      </c>
      <c r="B192" s="32" t="s">
        <v>661</v>
      </c>
      <c r="C192" s="35" t="s">
        <v>64</v>
      </c>
      <c r="D192" s="32" t="s">
        <v>662</v>
      </c>
      <c r="E192" s="11" t="s">
        <v>13</v>
      </c>
    </row>
    <row r="193">
      <c r="A193" s="19">
        <v>0.6125</v>
      </c>
      <c r="B193" s="32" t="s">
        <v>660</v>
      </c>
      <c r="C193" s="35" t="s">
        <v>82</v>
      </c>
      <c r="D193" s="32" t="s">
        <v>662</v>
      </c>
      <c r="E193" s="11" t="s">
        <v>9</v>
      </c>
    </row>
    <row r="194">
      <c r="A194" s="19">
        <v>0.6125</v>
      </c>
      <c r="B194" s="32" t="s">
        <v>659</v>
      </c>
      <c r="C194" s="35" t="s">
        <v>285</v>
      </c>
      <c r="D194" s="32" t="s">
        <v>661</v>
      </c>
      <c r="E194" s="11" t="s">
        <v>13</v>
      </c>
    </row>
    <row r="195">
      <c r="A195" s="19">
        <v>0.6229166666666667</v>
      </c>
      <c r="B195" s="32" t="s">
        <v>417</v>
      </c>
      <c r="C195" s="35" t="s">
        <v>276</v>
      </c>
      <c r="D195" s="32" t="s">
        <v>662</v>
      </c>
      <c r="E195" s="11" t="s">
        <v>9</v>
      </c>
    </row>
    <row r="196">
      <c r="A196" s="19">
        <v>0.6229166666666667</v>
      </c>
      <c r="B196" s="32" t="s">
        <v>660</v>
      </c>
      <c r="C196" s="35" t="s">
        <v>665</v>
      </c>
      <c r="D196" s="32" t="s">
        <v>659</v>
      </c>
      <c r="E196" s="11" t="s">
        <v>13</v>
      </c>
    </row>
    <row r="197">
      <c r="A197" s="19">
        <v>0.6333333333333333</v>
      </c>
      <c r="B197" s="32" t="s">
        <v>417</v>
      </c>
      <c r="C197" s="35" t="s">
        <v>261</v>
      </c>
      <c r="D197" s="32" t="s">
        <v>661</v>
      </c>
      <c r="E197" s="11" t="s">
        <v>9</v>
      </c>
    </row>
    <row r="198">
      <c r="A198" s="19">
        <v>0.6333333333333333</v>
      </c>
      <c r="B198" s="32" t="s">
        <v>662</v>
      </c>
      <c r="C198" s="35" t="s">
        <v>302</v>
      </c>
      <c r="D198" s="32" t="s">
        <v>659</v>
      </c>
      <c r="E198" s="11" t="s">
        <v>13</v>
      </c>
    </row>
    <row r="199">
      <c r="A199" s="1"/>
      <c r="B199" s="1" t="s">
        <v>112</v>
      </c>
      <c r="C199" s="2"/>
      <c r="D199" s="3"/>
      <c r="E199" s="4"/>
    </row>
    <row r="200">
      <c r="A200" s="18" t="s">
        <v>1</v>
      </c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A201" s="19">
        <v>0.5416666666666666</v>
      </c>
      <c r="B201" s="32" t="s">
        <v>666</v>
      </c>
      <c r="C201" s="33" t="s">
        <v>21</v>
      </c>
      <c r="D201" s="32" t="s">
        <v>667</v>
      </c>
      <c r="E201" s="11" t="s">
        <v>33</v>
      </c>
    </row>
    <row r="202">
      <c r="A202" s="19">
        <v>0.5416666666666666</v>
      </c>
      <c r="B202" s="32" t="s">
        <v>668</v>
      </c>
      <c r="C202" s="33" t="s">
        <v>45</v>
      </c>
      <c r="D202" s="32" t="s">
        <v>669</v>
      </c>
      <c r="E202" s="11" t="s">
        <v>37</v>
      </c>
    </row>
    <row r="203">
      <c r="A203" s="19">
        <v>0.5513888888888889</v>
      </c>
      <c r="B203" s="32" t="s">
        <v>668</v>
      </c>
      <c r="C203" s="33" t="s">
        <v>43</v>
      </c>
      <c r="D203" s="32" t="s">
        <v>667</v>
      </c>
      <c r="E203" s="11" t="s">
        <v>33</v>
      </c>
    </row>
    <row r="204">
      <c r="A204" s="19">
        <v>0.5513888888888889</v>
      </c>
      <c r="B204" s="32" t="s">
        <v>670</v>
      </c>
      <c r="C204" s="33" t="s">
        <v>68</v>
      </c>
      <c r="D204" s="32" t="s">
        <v>669</v>
      </c>
      <c r="E204" s="11" t="s">
        <v>37</v>
      </c>
      <c r="G204" s="36"/>
    </row>
    <row r="205">
      <c r="A205" s="19">
        <v>0.5618055555555556</v>
      </c>
      <c r="B205" s="32" t="s">
        <v>670</v>
      </c>
      <c r="C205" s="33" t="s">
        <v>11</v>
      </c>
      <c r="D205" s="32" t="s">
        <v>668</v>
      </c>
      <c r="E205" s="11" t="s">
        <v>33</v>
      </c>
    </row>
    <row r="206">
      <c r="A206" s="19">
        <v>0.5618055555555556</v>
      </c>
      <c r="B206" s="32" t="s">
        <v>669</v>
      </c>
      <c r="C206" s="33" t="s">
        <v>87</v>
      </c>
      <c r="D206" s="32" t="s">
        <v>666</v>
      </c>
      <c r="E206" s="11" t="s">
        <v>37</v>
      </c>
    </row>
    <row r="207">
      <c r="A207" s="19">
        <v>0.5722222222222222</v>
      </c>
      <c r="B207" s="32" t="s">
        <v>670</v>
      </c>
      <c r="C207" s="33" t="s">
        <v>41</v>
      </c>
      <c r="D207" s="32" t="s">
        <v>667</v>
      </c>
      <c r="E207" s="11" t="s">
        <v>33</v>
      </c>
    </row>
    <row r="208">
      <c r="A208" s="19">
        <v>0.5722222222222222</v>
      </c>
      <c r="B208" s="32" t="s">
        <v>666</v>
      </c>
      <c r="C208" s="33" t="s">
        <v>260</v>
      </c>
      <c r="D208" s="32" t="s">
        <v>668</v>
      </c>
      <c r="E208" s="11" t="s">
        <v>37</v>
      </c>
    </row>
    <row r="209">
      <c r="A209" s="19">
        <v>0.5819444444444445</v>
      </c>
      <c r="B209" s="32" t="s">
        <v>669</v>
      </c>
      <c r="C209" s="33" t="s">
        <v>18</v>
      </c>
      <c r="D209" s="32" t="s">
        <v>667</v>
      </c>
      <c r="E209" s="11" t="s">
        <v>33</v>
      </c>
    </row>
    <row r="210">
      <c r="A210" s="19">
        <v>0.5819444444444445</v>
      </c>
      <c r="B210" s="32" t="s">
        <v>666</v>
      </c>
      <c r="C210" s="33" t="s">
        <v>251</v>
      </c>
      <c r="D210" s="32" t="s">
        <v>670</v>
      </c>
      <c r="E210" s="11" t="s">
        <v>37</v>
      </c>
    </row>
    <row r="211">
      <c r="A211" s="19">
        <v>0.5923611111111111</v>
      </c>
      <c r="B211" s="32" t="s">
        <v>667</v>
      </c>
      <c r="C211" s="33" t="s">
        <v>289</v>
      </c>
      <c r="D211" s="32" t="s">
        <v>666</v>
      </c>
      <c r="E211" s="11" t="s">
        <v>33</v>
      </c>
    </row>
    <row r="212">
      <c r="A212" s="19">
        <v>0.5923611111111111</v>
      </c>
      <c r="B212" s="32" t="s">
        <v>669</v>
      </c>
      <c r="C212" s="33" t="s">
        <v>87</v>
      </c>
      <c r="D212" s="32" t="s">
        <v>668</v>
      </c>
      <c r="E212" s="11" t="s">
        <v>37</v>
      </c>
    </row>
    <row r="213">
      <c r="A213" s="19">
        <v>0.6027777777777777</v>
      </c>
      <c r="B213" s="32" t="s">
        <v>667</v>
      </c>
      <c r="C213" s="35" t="s">
        <v>22</v>
      </c>
      <c r="D213" s="32" t="s">
        <v>668</v>
      </c>
      <c r="E213" s="11" t="s">
        <v>33</v>
      </c>
    </row>
    <row r="214">
      <c r="A214" s="19">
        <v>0.6027777777777777</v>
      </c>
      <c r="B214" s="32" t="s">
        <v>669</v>
      </c>
      <c r="C214" s="35" t="s">
        <v>7</v>
      </c>
      <c r="D214" s="32" t="s">
        <v>670</v>
      </c>
      <c r="E214" s="11" t="s">
        <v>37</v>
      </c>
    </row>
    <row r="215">
      <c r="A215" s="19">
        <v>0.6125</v>
      </c>
      <c r="B215" s="32" t="s">
        <v>668</v>
      </c>
      <c r="C215" s="35" t="s">
        <v>62</v>
      </c>
      <c r="D215" s="32" t="s">
        <v>670</v>
      </c>
      <c r="E215" s="11" t="s">
        <v>33</v>
      </c>
    </row>
    <row r="216">
      <c r="A216" s="19">
        <v>0.6125</v>
      </c>
      <c r="B216" s="32" t="s">
        <v>666</v>
      </c>
      <c r="C216" s="35" t="s">
        <v>270</v>
      </c>
      <c r="D216" s="32" t="s">
        <v>669</v>
      </c>
      <c r="E216" s="11" t="s">
        <v>37</v>
      </c>
    </row>
    <row r="217">
      <c r="A217" s="19">
        <v>0.6229166666666667</v>
      </c>
      <c r="B217" s="32" t="s">
        <v>667</v>
      </c>
      <c r="C217" s="35" t="s">
        <v>43</v>
      </c>
      <c r="D217" s="32" t="s">
        <v>670</v>
      </c>
      <c r="E217" s="11" t="s">
        <v>33</v>
      </c>
    </row>
    <row r="218">
      <c r="A218" s="19">
        <v>0.6229166666666667</v>
      </c>
      <c r="B218" s="32" t="s">
        <v>668</v>
      </c>
      <c r="C218" s="35" t="s">
        <v>270</v>
      </c>
      <c r="D218" s="32" t="s">
        <v>666</v>
      </c>
      <c r="E218" s="11" t="s">
        <v>37</v>
      </c>
    </row>
    <row r="219">
      <c r="A219" s="19">
        <v>0.6333333333333333</v>
      </c>
      <c r="B219" s="32" t="s">
        <v>667</v>
      </c>
      <c r="C219" s="35" t="s">
        <v>22</v>
      </c>
      <c r="D219" s="32" t="s">
        <v>669</v>
      </c>
      <c r="E219" s="11" t="s">
        <v>33</v>
      </c>
    </row>
    <row r="220">
      <c r="A220" s="19">
        <v>0.6333333333333333</v>
      </c>
      <c r="B220" s="32" t="s">
        <v>670</v>
      </c>
      <c r="C220" s="35" t="s">
        <v>11</v>
      </c>
      <c r="D220" s="32" t="s">
        <v>666</v>
      </c>
      <c r="E220" s="11" t="s">
        <v>37</v>
      </c>
    </row>
    <row r="221">
      <c r="A221" s="27"/>
      <c r="B221" s="28" t="s">
        <v>123</v>
      </c>
      <c r="C221" s="2"/>
      <c r="D221" s="3"/>
      <c r="E221" s="29"/>
    </row>
    <row r="222">
      <c r="A222" s="18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9">
        <v>0.6458333333333334</v>
      </c>
      <c r="B223" s="34" t="s">
        <v>671</v>
      </c>
      <c r="C223" s="33" t="s">
        <v>44</v>
      </c>
      <c r="D223" s="34" t="s">
        <v>672</v>
      </c>
      <c r="E223" s="11" t="s">
        <v>9</v>
      </c>
    </row>
    <row r="224">
      <c r="A224" s="19">
        <v>0.6458333333333334</v>
      </c>
      <c r="B224" s="34" t="s">
        <v>563</v>
      </c>
      <c r="C224" s="33" t="s">
        <v>48</v>
      </c>
      <c r="D224" s="34" t="s">
        <v>673</v>
      </c>
      <c r="E224" s="11" t="s">
        <v>13</v>
      </c>
    </row>
    <row r="225">
      <c r="A225" s="19">
        <v>0.6555555555555556</v>
      </c>
      <c r="B225" s="34" t="s">
        <v>563</v>
      </c>
      <c r="C225" s="33" t="s">
        <v>19</v>
      </c>
      <c r="D225" s="34" t="s">
        <v>672</v>
      </c>
      <c r="E225" s="11" t="s">
        <v>9</v>
      </c>
    </row>
    <row r="226">
      <c r="A226" s="19">
        <v>0.6555555555555556</v>
      </c>
      <c r="B226" s="34" t="s">
        <v>674</v>
      </c>
      <c r="C226" s="33" t="s">
        <v>11</v>
      </c>
      <c r="D226" s="34" t="s">
        <v>673</v>
      </c>
      <c r="E226" s="11" t="s">
        <v>13</v>
      </c>
    </row>
    <row r="227">
      <c r="A227" s="19">
        <v>0.6659722222222222</v>
      </c>
      <c r="B227" s="34" t="s">
        <v>674</v>
      </c>
      <c r="C227" s="33" t="s">
        <v>87</v>
      </c>
      <c r="D227" s="34" t="s">
        <v>563</v>
      </c>
      <c r="E227" s="11" t="s">
        <v>9</v>
      </c>
    </row>
    <row r="228">
      <c r="A228" s="19">
        <v>0.6659722222222222</v>
      </c>
      <c r="B228" s="34" t="s">
        <v>673</v>
      </c>
      <c r="C228" s="33" t="s">
        <v>190</v>
      </c>
      <c r="D228" s="34" t="s">
        <v>671</v>
      </c>
      <c r="E228" s="11" t="s">
        <v>13</v>
      </c>
    </row>
    <row r="229">
      <c r="A229" s="19">
        <v>0.6763888888888889</v>
      </c>
      <c r="B229" s="34" t="s">
        <v>674</v>
      </c>
      <c r="C229" s="33" t="s">
        <v>215</v>
      </c>
      <c r="D229" s="34" t="s">
        <v>672</v>
      </c>
      <c r="E229" s="11" t="s">
        <v>9</v>
      </c>
    </row>
    <row r="230">
      <c r="A230" s="19">
        <v>0.6763888888888889</v>
      </c>
      <c r="B230" s="34" t="s">
        <v>671</v>
      </c>
      <c r="C230" s="33" t="s">
        <v>66</v>
      </c>
      <c r="D230" s="34" t="s">
        <v>563</v>
      </c>
      <c r="E230" s="11" t="s">
        <v>13</v>
      </c>
    </row>
    <row r="231">
      <c r="A231" s="19">
        <v>0.6861111111111111</v>
      </c>
      <c r="B231" s="34" t="s">
        <v>673</v>
      </c>
      <c r="C231" s="33" t="s">
        <v>251</v>
      </c>
      <c r="D231" s="34" t="s">
        <v>672</v>
      </c>
      <c r="E231" s="11" t="s">
        <v>9</v>
      </c>
    </row>
    <row r="232">
      <c r="A232" s="19">
        <v>0.6861111111111111</v>
      </c>
      <c r="B232" s="34" t="s">
        <v>671</v>
      </c>
      <c r="C232" s="33" t="s">
        <v>21</v>
      </c>
      <c r="D232" s="34" t="s">
        <v>674</v>
      </c>
      <c r="E232" s="11" t="s">
        <v>13</v>
      </c>
    </row>
    <row r="233">
      <c r="A233" s="19">
        <v>0.6965277777777777</v>
      </c>
      <c r="B233" s="34" t="s">
        <v>672</v>
      </c>
      <c r="C233" s="33" t="s">
        <v>197</v>
      </c>
      <c r="D233" s="34" t="s">
        <v>671</v>
      </c>
      <c r="E233" s="11" t="s">
        <v>9</v>
      </c>
    </row>
    <row r="234">
      <c r="A234" s="19">
        <v>0.6965277777777777</v>
      </c>
      <c r="B234" s="34" t="s">
        <v>673</v>
      </c>
      <c r="C234" s="33" t="s">
        <v>190</v>
      </c>
      <c r="D234" s="34" t="s">
        <v>563</v>
      </c>
      <c r="E234" s="11" t="s">
        <v>13</v>
      </c>
    </row>
    <row r="235">
      <c r="A235" s="19">
        <v>0.7069444444444445</v>
      </c>
      <c r="B235" s="34" t="s">
        <v>672</v>
      </c>
      <c r="C235" s="35" t="s">
        <v>64</v>
      </c>
      <c r="D235" s="34" t="s">
        <v>563</v>
      </c>
      <c r="E235" s="11" t="s">
        <v>9</v>
      </c>
    </row>
    <row r="236">
      <c r="A236" s="19">
        <v>0.7069444444444445</v>
      </c>
      <c r="B236" s="34" t="s">
        <v>673</v>
      </c>
      <c r="C236" s="35" t="s">
        <v>285</v>
      </c>
      <c r="D236" s="34" t="s">
        <v>674</v>
      </c>
      <c r="E236" s="11" t="s">
        <v>13</v>
      </c>
    </row>
    <row r="237">
      <c r="A237" s="19">
        <v>0.7166666666666667</v>
      </c>
      <c r="B237" s="34" t="s">
        <v>563</v>
      </c>
      <c r="C237" s="35" t="s">
        <v>274</v>
      </c>
      <c r="D237" s="34" t="s">
        <v>674</v>
      </c>
      <c r="E237" s="11" t="s">
        <v>9</v>
      </c>
    </row>
    <row r="238">
      <c r="A238" s="19">
        <v>0.7166666666666667</v>
      </c>
      <c r="B238" s="34" t="s">
        <v>671</v>
      </c>
      <c r="C238" s="35" t="s">
        <v>481</v>
      </c>
      <c r="D238" s="34" t="s">
        <v>673</v>
      </c>
      <c r="E238" s="11" t="s">
        <v>13</v>
      </c>
    </row>
    <row r="239">
      <c r="A239" s="19">
        <v>0.7270833333333333</v>
      </c>
      <c r="B239" s="34" t="s">
        <v>672</v>
      </c>
      <c r="C239" s="35" t="s">
        <v>16</v>
      </c>
      <c r="D239" s="34" t="s">
        <v>674</v>
      </c>
      <c r="E239" s="11" t="s">
        <v>9</v>
      </c>
    </row>
    <row r="240">
      <c r="A240" s="19">
        <v>0.7270833333333333</v>
      </c>
      <c r="B240" s="34" t="s">
        <v>563</v>
      </c>
      <c r="C240" s="35" t="s">
        <v>66</v>
      </c>
      <c r="D240" s="34" t="s">
        <v>671</v>
      </c>
      <c r="E240" s="11" t="s">
        <v>13</v>
      </c>
    </row>
    <row r="241">
      <c r="A241" s="19">
        <v>0.7375</v>
      </c>
      <c r="B241" s="34" t="s">
        <v>672</v>
      </c>
      <c r="C241" s="35" t="s">
        <v>83</v>
      </c>
      <c r="D241" s="34" t="s">
        <v>673</v>
      </c>
      <c r="E241" s="11" t="s">
        <v>9</v>
      </c>
    </row>
    <row r="242">
      <c r="A242" s="19">
        <v>0.7375</v>
      </c>
      <c r="B242" s="34" t="s">
        <v>674</v>
      </c>
      <c r="C242" s="35" t="s">
        <v>218</v>
      </c>
      <c r="D242" s="34" t="s">
        <v>671</v>
      </c>
      <c r="E242" s="11" t="s">
        <v>13</v>
      </c>
    </row>
    <row r="243">
      <c r="A243" s="27"/>
      <c r="B243" s="28" t="s">
        <v>123</v>
      </c>
      <c r="C243" s="2"/>
      <c r="D243" s="3"/>
      <c r="E243" s="29"/>
    </row>
    <row r="244">
      <c r="A244" s="18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9">
        <v>0.6458333333333334</v>
      </c>
      <c r="B245" s="34" t="s">
        <v>675</v>
      </c>
      <c r="C245" s="35" t="s">
        <v>676</v>
      </c>
      <c r="D245" s="34" t="s">
        <v>677</v>
      </c>
      <c r="E245" s="11" t="s">
        <v>33</v>
      </c>
    </row>
    <row r="246">
      <c r="A246" s="19">
        <v>0.6458333333333334</v>
      </c>
      <c r="B246" s="34" t="s">
        <v>678</v>
      </c>
      <c r="C246" s="35" t="s">
        <v>193</v>
      </c>
      <c r="D246" s="34" t="s">
        <v>679</v>
      </c>
      <c r="E246" s="11" t="s">
        <v>37</v>
      </c>
    </row>
    <row r="247">
      <c r="A247" s="19">
        <v>0.6555555555555556</v>
      </c>
      <c r="B247" s="34" t="s">
        <v>678</v>
      </c>
      <c r="C247" s="35" t="s">
        <v>190</v>
      </c>
      <c r="D247" s="34" t="s">
        <v>677</v>
      </c>
      <c r="E247" s="11" t="s">
        <v>33</v>
      </c>
    </row>
    <row r="248">
      <c r="A248" s="19">
        <v>0.6555555555555556</v>
      </c>
      <c r="B248" s="34" t="s">
        <v>680</v>
      </c>
      <c r="C248" s="35" t="s">
        <v>195</v>
      </c>
      <c r="D248" s="34" t="s">
        <v>679</v>
      </c>
      <c r="E248" s="11" t="s">
        <v>37</v>
      </c>
    </row>
    <row r="249">
      <c r="A249" s="19">
        <v>0.6659722222222222</v>
      </c>
      <c r="B249" s="34" t="s">
        <v>680</v>
      </c>
      <c r="C249" s="35" t="s">
        <v>21</v>
      </c>
      <c r="D249" s="34" t="s">
        <v>678</v>
      </c>
      <c r="E249" s="11" t="s">
        <v>33</v>
      </c>
    </row>
    <row r="250">
      <c r="A250" s="19">
        <v>0.6659722222222222</v>
      </c>
      <c r="B250" s="34" t="s">
        <v>679</v>
      </c>
      <c r="C250" s="35" t="s">
        <v>412</v>
      </c>
      <c r="D250" s="34" t="s">
        <v>675</v>
      </c>
      <c r="E250" s="11" t="s">
        <v>37</v>
      </c>
    </row>
    <row r="251">
      <c r="A251" s="19">
        <v>0.6763888888888889</v>
      </c>
      <c r="B251" s="34" t="s">
        <v>680</v>
      </c>
      <c r="C251" s="35" t="s">
        <v>239</v>
      </c>
      <c r="D251" s="34" t="s">
        <v>677</v>
      </c>
      <c r="E251" s="11" t="s">
        <v>33</v>
      </c>
    </row>
    <row r="252">
      <c r="A252" s="19">
        <v>0.6763888888888889</v>
      </c>
      <c r="B252" s="34" t="s">
        <v>675</v>
      </c>
      <c r="C252" s="35" t="s">
        <v>239</v>
      </c>
      <c r="D252" s="34" t="s">
        <v>678</v>
      </c>
      <c r="E252" s="11" t="s">
        <v>37</v>
      </c>
    </row>
    <row r="253">
      <c r="A253" s="19">
        <v>0.6861111111111111</v>
      </c>
      <c r="B253" s="34" t="s">
        <v>679</v>
      </c>
      <c r="C253" s="35" t="s">
        <v>18</v>
      </c>
      <c r="D253" s="34" t="s">
        <v>677</v>
      </c>
      <c r="E253" s="11" t="s">
        <v>33</v>
      </c>
    </row>
    <row r="254">
      <c r="A254" s="19">
        <v>0.6861111111111111</v>
      </c>
      <c r="B254" s="34" t="s">
        <v>675</v>
      </c>
      <c r="C254" s="35" t="s">
        <v>319</v>
      </c>
      <c r="D254" s="34" t="s">
        <v>680</v>
      </c>
      <c r="E254" s="11" t="s">
        <v>37</v>
      </c>
    </row>
    <row r="255">
      <c r="A255" s="19">
        <v>0.6965277777777777</v>
      </c>
      <c r="B255" s="34" t="s">
        <v>677</v>
      </c>
      <c r="C255" s="35" t="s">
        <v>681</v>
      </c>
      <c r="D255" s="34" t="s">
        <v>675</v>
      </c>
      <c r="E255" s="11" t="s">
        <v>33</v>
      </c>
    </row>
    <row r="256">
      <c r="A256" s="19">
        <v>0.6965277777777777</v>
      </c>
      <c r="B256" s="34" t="s">
        <v>679</v>
      </c>
      <c r="C256" s="35" t="s">
        <v>215</v>
      </c>
      <c r="D256" s="34" t="s">
        <v>678</v>
      </c>
      <c r="E256" s="11" t="s">
        <v>37</v>
      </c>
    </row>
    <row r="257">
      <c r="A257" s="19">
        <v>0.7069444444444445</v>
      </c>
      <c r="B257" s="34" t="s">
        <v>677</v>
      </c>
      <c r="C257" s="35" t="s">
        <v>400</v>
      </c>
      <c r="D257" s="34" t="s">
        <v>678</v>
      </c>
      <c r="E257" s="11" t="s">
        <v>33</v>
      </c>
    </row>
    <row r="258">
      <c r="A258" s="19">
        <v>0.7069444444444445</v>
      </c>
      <c r="B258" s="34" t="s">
        <v>679</v>
      </c>
      <c r="C258" s="35" t="s">
        <v>203</v>
      </c>
      <c r="D258" s="34" t="s">
        <v>680</v>
      </c>
      <c r="E258" s="11" t="s">
        <v>37</v>
      </c>
    </row>
    <row r="259">
      <c r="A259" s="19">
        <v>0.7166666666666667</v>
      </c>
      <c r="B259" s="34" t="s">
        <v>678</v>
      </c>
      <c r="C259" s="35" t="s">
        <v>45</v>
      </c>
      <c r="D259" s="34" t="s">
        <v>680</v>
      </c>
      <c r="E259" s="11" t="s">
        <v>33</v>
      </c>
    </row>
    <row r="260">
      <c r="A260" s="19">
        <v>0.7166666666666667</v>
      </c>
      <c r="B260" s="34" t="s">
        <v>675</v>
      </c>
      <c r="C260" s="35" t="s">
        <v>38</v>
      </c>
      <c r="D260" s="34" t="s">
        <v>679</v>
      </c>
      <c r="E260" s="11" t="s">
        <v>37</v>
      </c>
    </row>
    <row r="261">
      <c r="A261" s="19">
        <v>0.7270833333333333</v>
      </c>
      <c r="B261" s="34" t="s">
        <v>677</v>
      </c>
      <c r="C261" s="35" t="s">
        <v>25</v>
      </c>
      <c r="D261" s="34" t="s">
        <v>680</v>
      </c>
      <c r="E261" s="11" t="s">
        <v>33</v>
      </c>
    </row>
    <row r="262">
      <c r="A262" s="19">
        <v>0.7270833333333333</v>
      </c>
      <c r="B262" s="34" t="s">
        <v>678</v>
      </c>
      <c r="C262" s="35" t="s">
        <v>47</v>
      </c>
      <c r="D262" s="34" t="s">
        <v>675</v>
      </c>
      <c r="E262" s="11" t="s">
        <v>37</v>
      </c>
    </row>
    <row r="263">
      <c r="A263" s="19">
        <v>0.7375</v>
      </c>
      <c r="B263" s="34" t="s">
        <v>677</v>
      </c>
      <c r="C263" s="35" t="s">
        <v>21</v>
      </c>
      <c r="D263" s="34" t="s">
        <v>679</v>
      </c>
      <c r="E263" s="11" t="s">
        <v>33</v>
      </c>
    </row>
    <row r="264">
      <c r="A264" s="19">
        <v>0.7375</v>
      </c>
      <c r="B264" s="34" t="s">
        <v>680</v>
      </c>
      <c r="C264" s="35" t="s">
        <v>19</v>
      </c>
      <c r="D264" s="34" t="s">
        <v>675</v>
      </c>
      <c r="E264" s="11" t="s">
        <v>37</v>
      </c>
    </row>
    <row r="265">
      <c r="A265" s="27"/>
      <c r="B265" s="28" t="s">
        <v>134</v>
      </c>
      <c r="C265" s="2"/>
      <c r="D265" s="3"/>
      <c r="E265" s="29"/>
    </row>
    <row r="266">
      <c r="A266" s="18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9">
        <v>0.75</v>
      </c>
      <c r="B267" s="34" t="s">
        <v>682</v>
      </c>
      <c r="C267" s="35" t="s">
        <v>683</v>
      </c>
      <c r="D267" s="34" t="s">
        <v>574</v>
      </c>
      <c r="E267" s="11" t="s">
        <v>9</v>
      </c>
    </row>
    <row r="268">
      <c r="A268" s="19">
        <v>0.75</v>
      </c>
      <c r="B268" s="34" t="s">
        <v>451</v>
      </c>
      <c r="C268" s="35" t="s">
        <v>80</v>
      </c>
      <c r="D268" s="34" t="s">
        <v>452</v>
      </c>
      <c r="E268" s="11" t="s">
        <v>13</v>
      </c>
    </row>
    <row r="269">
      <c r="A269" s="19">
        <v>0.7597222222222222</v>
      </c>
      <c r="B269" s="34" t="s">
        <v>451</v>
      </c>
      <c r="C269" s="35" t="s">
        <v>684</v>
      </c>
      <c r="D269" s="34" t="s">
        <v>574</v>
      </c>
      <c r="E269" s="11" t="s">
        <v>9</v>
      </c>
    </row>
    <row r="270">
      <c r="A270" s="19">
        <v>0.7597222222222222</v>
      </c>
      <c r="B270" s="34" t="s">
        <v>685</v>
      </c>
      <c r="C270" s="35" t="s">
        <v>215</v>
      </c>
      <c r="D270" s="34" t="s">
        <v>452</v>
      </c>
      <c r="E270" s="11" t="s">
        <v>13</v>
      </c>
    </row>
    <row r="271">
      <c r="A271" s="19">
        <v>0.7701388888888889</v>
      </c>
      <c r="B271" s="34" t="s">
        <v>685</v>
      </c>
      <c r="C271" s="35" t="s">
        <v>220</v>
      </c>
      <c r="D271" s="34" t="s">
        <v>451</v>
      </c>
      <c r="E271" s="11" t="s">
        <v>9</v>
      </c>
    </row>
    <row r="272">
      <c r="A272" s="19">
        <v>0.7701388888888889</v>
      </c>
      <c r="B272" s="34" t="s">
        <v>452</v>
      </c>
      <c r="C272" s="35" t="s">
        <v>194</v>
      </c>
      <c r="D272" s="34" t="s">
        <v>682</v>
      </c>
      <c r="E272" s="11" t="s">
        <v>13</v>
      </c>
    </row>
    <row r="273">
      <c r="A273" s="19">
        <v>0.7805555555555556</v>
      </c>
      <c r="B273" s="34" t="s">
        <v>685</v>
      </c>
      <c r="C273" s="35" t="s">
        <v>686</v>
      </c>
      <c r="D273" s="34" t="s">
        <v>574</v>
      </c>
      <c r="E273" s="11" t="s">
        <v>9</v>
      </c>
    </row>
    <row r="274">
      <c r="A274" s="19">
        <v>0.7805555555555556</v>
      </c>
      <c r="B274" s="34" t="s">
        <v>682</v>
      </c>
      <c r="C274" s="35" t="s">
        <v>7</v>
      </c>
      <c r="D274" s="34" t="s">
        <v>451</v>
      </c>
      <c r="E274" s="11" t="s">
        <v>13</v>
      </c>
    </row>
    <row r="275">
      <c r="A275" s="19">
        <v>0.7902777777777777</v>
      </c>
      <c r="B275" s="34" t="s">
        <v>452</v>
      </c>
      <c r="C275" s="35" t="s">
        <v>328</v>
      </c>
      <c r="D275" s="34" t="s">
        <v>574</v>
      </c>
      <c r="E275" s="11" t="s">
        <v>9</v>
      </c>
    </row>
    <row r="276">
      <c r="A276" s="19">
        <v>0.7902777777777777</v>
      </c>
      <c r="B276" s="34" t="s">
        <v>682</v>
      </c>
      <c r="C276" s="35" t="s">
        <v>328</v>
      </c>
      <c r="D276" s="34" t="s">
        <v>685</v>
      </c>
      <c r="E276" s="11" t="s">
        <v>13</v>
      </c>
    </row>
    <row r="277">
      <c r="A277" s="19">
        <v>0.8006944444444445</v>
      </c>
      <c r="B277" s="34" t="s">
        <v>574</v>
      </c>
      <c r="C277" s="35" t="s">
        <v>687</v>
      </c>
      <c r="D277" s="34" t="s">
        <v>682</v>
      </c>
      <c r="E277" s="11" t="s">
        <v>9</v>
      </c>
    </row>
    <row r="278">
      <c r="A278" s="19">
        <v>0.8006944444444445</v>
      </c>
      <c r="B278" s="34" t="s">
        <v>452</v>
      </c>
      <c r="C278" s="35" t="s">
        <v>68</v>
      </c>
      <c r="D278" s="34" t="s">
        <v>451</v>
      </c>
      <c r="E278" s="11" t="s">
        <v>13</v>
      </c>
    </row>
    <row r="279">
      <c r="A279" s="19">
        <v>0.8111111111111111</v>
      </c>
      <c r="B279" s="34" t="s">
        <v>574</v>
      </c>
      <c r="C279" s="35" t="s">
        <v>84</v>
      </c>
      <c r="D279" s="34" t="s">
        <v>451</v>
      </c>
      <c r="E279" s="11" t="s">
        <v>9</v>
      </c>
    </row>
    <row r="280">
      <c r="A280" s="19">
        <v>0.8111111111111111</v>
      </c>
      <c r="B280" s="34" t="s">
        <v>452</v>
      </c>
      <c r="C280" s="35" t="s">
        <v>190</v>
      </c>
      <c r="D280" s="34" t="s">
        <v>685</v>
      </c>
      <c r="E280" s="11" t="s">
        <v>13</v>
      </c>
    </row>
    <row r="281">
      <c r="A281" s="19">
        <v>0.8208333333333333</v>
      </c>
      <c r="B281" s="34" t="s">
        <v>451</v>
      </c>
      <c r="C281" s="35" t="s">
        <v>45</v>
      </c>
      <c r="D281" s="34" t="s">
        <v>685</v>
      </c>
      <c r="E281" s="11" t="s">
        <v>9</v>
      </c>
    </row>
    <row r="282">
      <c r="A282" s="19">
        <v>0.8208333333333333</v>
      </c>
      <c r="B282" s="34" t="s">
        <v>682</v>
      </c>
      <c r="C282" s="35" t="s">
        <v>196</v>
      </c>
      <c r="D282" s="34" t="s">
        <v>452</v>
      </c>
      <c r="E282" s="11" t="s">
        <v>13</v>
      </c>
    </row>
    <row r="283">
      <c r="A283" s="19">
        <v>0.83125</v>
      </c>
      <c r="B283" s="34" t="s">
        <v>574</v>
      </c>
      <c r="C283" s="35" t="s">
        <v>78</v>
      </c>
      <c r="D283" s="34" t="s">
        <v>685</v>
      </c>
      <c r="E283" s="11" t="s">
        <v>9</v>
      </c>
    </row>
    <row r="284">
      <c r="A284" s="19">
        <v>0.83125</v>
      </c>
      <c r="B284" s="34" t="s">
        <v>451</v>
      </c>
      <c r="C284" s="35" t="s">
        <v>196</v>
      </c>
      <c r="D284" s="34" t="s">
        <v>682</v>
      </c>
      <c r="E284" s="11" t="s">
        <v>13</v>
      </c>
    </row>
    <row r="285">
      <c r="A285" s="19">
        <v>0.8416666666666667</v>
      </c>
      <c r="B285" s="34" t="s">
        <v>574</v>
      </c>
      <c r="C285" s="35" t="s">
        <v>81</v>
      </c>
      <c r="D285" s="34" t="s">
        <v>452</v>
      </c>
      <c r="E285" s="11" t="s">
        <v>9</v>
      </c>
    </row>
    <row r="286">
      <c r="A286" s="19">
        <v>0.8416666666666667</v>
      </c>
      <c r="B286" s="34" t="s">
        <v>685</v>
      </c>
      <c r="C286" s="35" t="s">
        <v>190</v>
      </c>
      <c r="D286" s="34" t="s">
        <v>682</v>
      </c>
      <c r="E286" s="11" t="s">
        <v>13</v>
      </c>
    </row>
    <row r="287">
      <c r="A287" s="27"/>
      <c r="B287" s="28" t="s">
        <v>134</v>
      </c>
      <c r="C287" s="2"/>
      <c r="D287" s="3"/>
      <c r="E287" s="29"/>
    </row>
    <row r="288">
      <c r="A288" s="18" t="s">
        <v>1</v>
      </c>
      <c r="B288" s="6" t="s">
        <v>2</v>
      </c>
      <c r="C288" s="6" t="s">
        <v>3</v>
      </c>
      <c r="D288" s="6" t="s">
        <v>4</v>
      </c>
      <c r="E288" s="6" t="s">
        <v>5</v>
      </c>
      <c r="G288" s="36"/>
    </row>
    <row r="289">
      <c r="A289" s="19">
        <v>0.75</v>
      </c>
      <c r="B289" s="34" t="s">
        <v>688</v>
      </c>
      <c r="C289" s="35" t="s">
        <v>22</v>
      </c>
      <c r="D289" s="34" t="s">
        <v>689</v>
      </c>
      <c r="E289" s="11" t="s">
        <v>33</v>
      </c>
    </row>
    <row r="290">
      <c r="A290" s="19">
        <v>0.75</v>
      </c>
      <c r="B290" s="34" t="s">
        <v>690</v>
      </c>
      <c r="C290" s="35" t="s">
        <v>426</v>
      </c>
      <c r="D290" s="34" t="s">
        <v>691</v>
      </c>
      <c r="E290" s="11" t="s">
        <v>37</v>
      </c>
    </row>
    <row r="291">
      <c r="A291" s="19">
        <v>0.7597222222222222</v>
      </c>
      <c r="B291" s="34" t="s">
        <v>690</v>
      </c>
      <c r="C291" s="35" t="s">
        <v>17</v>
      </c>
      <c r="D291" s="34" t="s">
        <v>689</v>
      </c>
      <c r="E291" s="11" t="s">
        <v>33</v>
      </c>
    </row>
    <row r="292">
      <c r="A292" s="19">
        <v>0.7597222222222222</v>
      </c>
      <c r="B292" s="34" t="s">
        <v>692</v>
      </c>
      <c r="C292" s="35" t="s">
        <v>294</v>
      </c>
      <c r="D292" s="34" t="s">
        <v>691</v>
      </c>
      <c r="E292" s="11" t="s">
        <v>37</v>
      </c>
    </row>
    <row r="293">
      <c r="A293" s="19">
        <v>0.7701388888888889</v>
      </c>
      <c r="B293" s="34" t="s">
        <v>692</v>
      </c>
      <c r="C293" s="35" t="s">
        <v>693</v>
      </c>
      <c r="D293" s="34" t="s">
        <v>690</v>
      </c>
      <c r="E293" s="11" t="s">
        <v>33</v>
      </c>
    </row>
    <row r="294">
      <c r="A294" s="19">
        <v>0.7701388888888889</v>
      </c>
      <c r="B294" s="34" t="s">
        <v>691</v>
      </c>
      <c r="C294" s="35" t="s">
        <v>195</v>
      </c>
      <c r="D294" s="34" t="s">
        <v>688</v>
      </c>
      <c r="E294" s="11" t="s">
        <v>37</v>
      </c>
    </row>
    <row r="295">
      <c r="A295" s="19">
        <v>0.7805555555555556</v>
      </c>
      <c r="B295" s="34" t="s">
        <v>692</v>
      </c>
      <c r="C295" s="35" t="s">
        <v>45</v>
      </c>
      <c r="D295" s="34" t="s">
        <v>689</v>
      </c>
      <c r="E295" s="11" t="s">
        <v>33</v>
      </c>
    </row>
    <row r="296">
      <c r="A296" s="19">
        <v>0.7805555555555556</v>
      </c>
      <c r="B296" s="34" t="s">
        <v>688</v>
      </c>
      <c r="C296" s="35" t="s">
        <v>25</v>
      </c>
      <c r="D296" s="34" t="s">
        <v>690</v>
      </c>
      <c r="E296" s="11" t="s">
        <v>37</v>
      </c>
    </row>
    <row r="297">
      <c r="A297" s="19">
        <v>0.7902777777777777</v>
      </c>
      <c r="B297" s="34" t="s">
        <v>691</v>
      </c>
      <c r="C297" s="35" t="s">
        <v>239</v>
      </c>
      <c r="D297" s="34" t="s">
        <v>689</v>
      </c>
      <c r="E297" s="11" t="s">
        <v>33</v>
      </c>
    </row>
    <row r="298">
      <c r="A298" s="19">
        <v>0.7902777777777777</v>
      </c>
      <c r="B298" s="34" t="s">
        <v>688</v>
      </c>
      <c r="C298" s="35" t="s">
        <v>267</v>
      </c>
      <c r="D298" s="34" t="s">
        <v>692</v>
      </c>
      <c r="E298" s="11" t="s">
        <v>37</v>
      </c>
    </row>
    <row r="299">
      <c r="A299" s="19">
        <v>0.8006944444444445</v>
      </c>
      <c r="B299" s="34" t="s">
        <v>689</v>
      </c>
      <c r="C299" s="35" t="s">
        <v>201</v>
      </c>
      <c r="D299" s="34" t="s">
        <v>688</v>
      </c>
      <c r="E299" s="11" t="s">
        <v>33</v>
      </c>
    </row>
    <row r="300">
      <c r="A300" s="19">
        <v>0.8006944444444445</v>
      </c>
      <c r="B300" s="34" t="s">
        <v>691</v>
      </c>
      <c r="C300" s="35" t="s">
        <v>239</v>
      </c>
      <c r="D300" s="34" t="s">
        <v>690</v>
      </c>
      <c r="E300" s="11" t="s">
        <v>37</v>
      </c>
    </row>
    <row r="301">
      <c r="A301" s="19">
        <v>0.8111111111111111</v>
      </c>
      <c r="B301" s="34" t="s">
        <v>689</v>
      </c>
      <c r="C301" s="35" t="s">
        <v>81</v>
      </c>
      <c r="D301" s="34" t="s">
        <v>690</v>
      </c>
      <c r="E301" s="11" t="s">
        <v>33</v>
      </c>
    </row>
    <row r="302">
      <c r="A302" s="19">
        <v>0.8111111111111111</v>
      </c>
      <c r="B302" s="34" t="s">
        <v>691</v>
      </c>
      <c r="C302" s="35" t="s">
        <v>413</v>
      </c>
      <c r="D302" s="34" t="s">
        <v>692</v>
      </c>
      <c r="E302" s="11" t="s">
        <v>37</v>
      </c>
    </row>
    <row r="303">
      <c r="A303" s="19">
        <v>0.8208333333333333</v>
      </c>
      <c r="B303" s="34" t="s">
        <v>690</v>
      </c>
      <c r="C303" s="35" t="s">
        <v>426</v>
      </c>
      <c r="D303" s="34" t="s">
        <v>692</v>
      </c>
      <c r="E303" s="11" t="s">
        <v>33</v>
      </c>
    </row>
    <row r="304">
      <c r="A304" s="19">
        <v>0.8208333333333333</v>
      </c>
      <c r="B304" s="34" t="s">
        <v>688</v>
      </c>
      <c r="C304" s="35" t="s">
        <v>270</v>
      </c>
      <c r="D304" s="34" t="s">
        <v>691</v>
      </c>
      <c r="E304" s="11" t="s">
        <v>37</v>
      </c>
    </row>
    <row r="305">
      <c r="A305" s="19">
        <v>0.83125</v>
      </c>
      <c r="B305" s="34" t="s">
        <v>689</v>
      </c>
      <c r="C305" s="35" t="s">
        <v>55</v>
      </c>
      <c r="D305" s="34" t="s">
        <v>692</v>
      </c>
      <c r="E305" s="11" t="s">
        <v>33</v>
      </c>
    </row>
    <row r="306">
      <c r="A306" s="19">
        <v>0.83125</v>
      </c>
      <c r="B306" s="34" t="s">
        <v>690</v>
      </c>
      <c r="C306" s="35" t="s">
        <v>291</v>
      </c>
      <c r="D306" s="34" t="s">
        <v>688</v>
      </c>
      <c r="E306" s="11" t="s">
        <v>37</v>
      </c>
    </row>
    <row r="307">
      <c r="A307" s="19">
        <v>0.8416666666666667</v>
      </c>
      <c r="B307" s="34" t="s">
        <v>689</v>
      </c>
      <c r="C307" s="35" t="s">
        <v>544</v>
      </c>
      <c r="D307" s="34" t="s">
        <v>691</v>
      </c>
      <c r="E307" s="11" t="s">
        <v>33</v>
      </c>
    </row>
    <row r="308">
      <c r="A308" s="19">
        <v>0.8416666666666667</v>
      </c>
      <c r="B308" s="34" t="s">
        <v>692</v>
      </c>
      <c r="C308" s="35" t="s">
        <v>261</v>
      </c>
      <c r="D308" s="34" t="s">
        <v>688</v>
      </c>
      <c r="E308" s="11" t="s">
        <v>37</v>
      </c>
    </row>
    <row r="309">
      <c r="A309" s="27"/>
      <c r="B309" s="28" t="s">
        <v>145</v>
      </c>
      <c r="C309" s="2"/>
      <c r="D309" s="3"/>
      <c r="E309" s="29"/>
    </row>
    <row r="310">
      <c r="A310" s="18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9">
        <v>0.8541666666666666</v>
      </c>
      <c r="B311" s="34" t="s">
        <v>694</v>
      </c>
      <c r="C311" s="33" t="s">
        <v>695</v>
      </c>
      <c r="D311" s="34" t="s">
        <v>696</v>
      </c>
      <c r="E311" s="11" t="s">
        <v>9</v>
      </c>
    </row>
    <row r="312">
      <c r="A312" s="19">
        <v>0.8541666666666666</v>
      </c>
      <c r="B312" s="34" t="s">
        <v>593</v>
      </c>
      <c r="C312" s="33" t="s">
        <v>82</v>
      </c>
      <c r="D312" s="34" t="s">
        <v>697</v>
      </c>
      <c r="E312" s="11" t="s">
        <v>13</v>
      </c>
    </row>
    <row r="313">
      <c r="A313" s="19">
        <v>0.8638888888888889</v>
      </c>
      <c r="B313" s="34" t="s">
        <v>593</v>
      </c>
      <c r="C313" s="33" t="s">
        <v>363</v>
      </c>
      <c r="D313" s="34" t="s">
        <v>696</v>
      </c>
      <c r="E313" s="11" t="s">
        <v>9</v>
      </c>
    </row>
    <row r="314">
      <c r="A314" s="19">
        <v>0.8638888888888889</v>
      </c>
      <c r="B314" s="34" t="s">
        <v>698</v>
      </c>
      <c r="C314" s="33" t="s">
        <v>400</v>
      </c>
      <c r="D314" s="34" t="s">
        <v>697</v>
      </c>
      <c r="E314" s="11" t="s">
        <v>13</v>
      </c>
    </row>
    <row r="315">
      <c r="A315" s="19">
        <v>0.8743055555555556</v>
      </c>
      <c r="B315" s="34" t="s">
        <v>698</v>
      </c>
      <c r="C315" s="33" t="s">
        <v>16</v>
      </c>
      <c r="D315" s="34" t="s">
        <v>593</v>
      </c>
      <c r="E315" s="11" t="s">
        <v>9</v>
      </c>
    </row>
    <row r="316">
      <c r="A316" s="19">
        <v>0.8743055555555556</v>
      </c>
      <c r="B316" s="34" t="s">
        <v>697</v>
      </c>
      <c r="C316" s="33" t="s">
        <v>69</v>
      </c>
      <c r="D316" s="34" t="s">
        <v>694</v>
      </c>
      <c r="E316" s="11" t="s">
        <v>13</v>
      </c>
    </row>
    <row r="317">
      <c r="A317" s="19">
        <v>0.8847222222222222</v>
      </c>
      <c r="B317" s="34" t="s">
        <v>698</v>
      </c>
      <c r="C317" s="33" t="s">
        <v>232</v>
      </c>
      <c r="D317" s="34" t="s">
        <v>696</v>
      </c>
      <c r="E317" s="11" t="s">
        <v>9</v>
      </c>
    </row>
    <row r="318">
      <c r="A318" s="19">
        <v>0.8847222222222222</v>
      </c>
      <c r="B318" s="34" t="s">
        <v>694</v>
      </c>
      <c r="C318" s="33" t="s">
        <v>217</v>
      </c>
      <c r="D318" s="34" t="s">
        <v>593</v>
      </c>
      <c r="E318" s="11" t="s">
        <v>13</v>
      </c>
    </row>
    <row r="319">
      <c r="A319" s="19">
        <v>0.8944444444444445</v>
      </c>
      <c r="B319" s="34" t="s">
        <v>697</v>
      </c>
      <c r="C319" s="33" t="s">
        <v>78</v>
      </c>
      <c r="D319" s="34" t="s">
        <v>696</v>
      </c>
      <c r="E319" s="11" t="s">
        <v>9</v>
      </c>
    </row>
    <row r="320">
      <c r="A320" s="19">
        <v>0.8944444444444445</v>
      </c>
      <c r="B320" s="34" t="s">
        <v>694</v>
      </c>
      <c r="C320" s="33" t="s">
        <v>88</v>
      </c>
      <c r="D320" s="34" t="s">
        <v>698</v>
      </c>
      <c r="E320" s="11" t="s">
        <v>13</v>
      </c>
    </row>
    <row r="321">
      <c r="A321" s="19">
        <v>0.9048611111111111</v>
      </c>
      <c r="B321" s="34" t="s">
        <v>696</v>
      </c>
      <c r="C321" s="33" t="s">
        <v>699</v>
      </c>
      <c r="D321" s="34" t="s">
        <v>694</v>
      </c>
      <c r="E321" s="11" t="s">
        <v>9</v>
      </c>
    </row>
    <row r="322">
      <c r="A322" s="19">
        <v>0.9048611111111111</v>
      </c>
      <c r="B322" s="34" t="s">
        <v>697</v>
      </c>
      <c r="C322" s="33" t="s">
        <v>31</v>
      </c>
      <c r="D322" s="34" t="s">
        <v>593</v>
      </c>
      <c r="E322" s="11" t="s">
        <v>13</v>
      </c>
    </row>
    <row r="323">
      <c r="A323" s="19">
        <v>0.9152777777777777</v>
      </c>
      <c r="B323" s="34" t="s">
        <v>696</v>
      </c>
      <c r="C323" s="35" t="s">
        <v>545</v>
      </c>
      <c r="D323" s="34" t="s">
        <v>593</v>
      </c>
      <c r="E323" s="11" t="s">
        <v>9</v>
      </c>
    </row>
    <row r="324">
      <c r="A324" s="19">
        <v>0.9152777777777777</v>
      </c>
      <c r="B324" s="34" t="s">
        <v>697</v>
      </c>
      <c r="C324" s="35" t="s">
        <v>69</v>
      </c>
      <c r="D324" s="34" t="s">
        <v>698</v>
      </c>
      <c r="E324" s="11" t="s">
        <v>13</v>
      </c>
    </row>
    <row r="325">
      <c r="A325" s="19">
        <v>0.925</v>
      </c>
      <c r="B325" s="34" t="s">
        <v>593</v>
      </c>
      <c r="C325" s="35" t="s">
        <v>239</v>
      </c>
      <c r="D325" s="34" t="s">
        <v>698</v>
      </c>
      <c r="E325" s="11" t="s">
        <v>9</v>
      </c>
    </row>
    <row r="326">
      <c r="A326" s="19">
        <v>0.925</v>
      </c>
      <c r="B326" s="34" t="s">
        <v>694</v>
      </c>
      <c r="C326" s="35" t="s">
        <v>218</v>
      </c>
      <c r="D326" s="34" t="s">
        <v>697</v>
      </c>
      <c r="E326" s="11" t="s">
        <v>13</v>
      </c>
    </row>
    <row r="327">
      <c r="A327" s="19">
        <v>0.9354166666666667</v>
      </c>
      <c r="B327" s="34" t="s">
        <v>696</v>
      </c>
      <c r="C327" s="35" t="s">
        <v>64</v>
      </c>
      <c r="D327" s="34" t="s">
        <v>698</v>
      </c>
      <c r="E327" s="11" t="s">
        <v>9</v>
      </c>
    </row>
    <row r="328">
      <c r="A328" s="19">
        <v>0.9354166666666667</v>
      </c>
      <c r="B328" s="34" t="s">
        <v>593</v>
      </c>
      <c r="C328" s="35" t="s">
        <v>31</v>
      </c>
      <c r="D328" s="34" t="s">
        <v>694</v>
      </c>
      <c r="E328" s="11" t="s">
        <v>13</v>
      </c>
    </row>
    <row r="329">
      <c r="A329" s="19">
        <v>0.9458333333333333</v>
      </c>
      <c r="B329" s="34" t="s">
        <v>696</v>
      </c>
      <c r="C329" s="35" t="s">
        <v>355</v>
      </c>
      <c r="D329" s="34" t="s">
        <v>697</v>
      </c>
      <c r="E329" s="11" t="s">
        <v>9</v>
      </c>
    </row>
    <row r="330">
      <c r="A330" s="19">
        <v>0.9458333333333333</v>
      </c>
      <c r="B330" s="34" t="s">
        <v>698</v>
      </c>
      <c r="C330" s="35" t="s">
        <v>544</v>
      </c>
      <c r="D330" s="34" t="s">
        <v>694</v>
      </c>
      <c r="E330" s="11" t="s">
        <v>13</v>
      </c>
    </row>
    <row r="331">
      <c r="A331" s="27"/>
      <c r="B331" s="28" t="s">
        <v>145</v>
      </c>
      <c r="C331" s="2"/>
      <c r="D331" s="3"/>
      <c r="E331" s="29"/>
    </row>
    <row r="332">
      <c r="A332" s="18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9">
        <v>0.8541666666666666</v>
      </c>
      <c r="B333" s="34" t="s">
        <v>700</v>
      </c>
      <c r="C333" s="35" t="s">
        <v>25</v>
      </c>
      <c r="D333" s="34" t="s">
        <v>701</v>
      </c>
      <c r="E333" s="11" t="s">
        <v>33</v>
      </c>
    </row>
    <row r="334">
      <c r="A334" s="19">
        <v>0.8541666666666666</v>
      </c>
      <c r="B334" s="34" t="s">
        <v>146</v>
      </c>
      <c r="C334" s="35" t="s">
        <v>72</v>
      </c>
      <c r="D334" s="34" t="s">
        <v>702</v>
      </c>
      <c r="E334" s="11" t="s">
        <v>37</v>
      </c>
    </row>
    <row r="335">
      <c r="A335" s="19">
        <v>0.8638888888888889</v>
      </c>
      <c r="B335" s="34" t="s">
        <v>146</v>
      </c>
      <c r="C335" s="35" t="s">
        <v>69</v>
      </c>
      <c r="D335" s="34" t="s">
        <v>701</v>
      </c>
      <c r="E335" s="11" t="s">
        <v>33</v>
      </c>
    </row>
    <row r="336">
      <c r="A336" s="19">
        <v>0.8638888888888889</v>
      </c>
      <c r="B336" s="34" t="s">
        <v>703</v>
      </c>
      <c r="C336" s="35" t="s">
        <v>17</v>
      </c>
      <c r="D336" s="34" t="s">
        <v>702</v>
      </c>
      <c r="E336" s="11" t="s">
        <v>37</v>
      </c>
    </row>
    <row r="337">
      <c r="A337" s="19">
        <v>0.8743055555555556</v>
      </c>
      <c r="B337" s="34" t="s">
        <v>703</v>
      </c>
      <c r="C337" s="35" t="s">
        <v>295</v>
      </c>
      <c r="D337" s="34" t="s">
        <v>146</v>
      </c>
      <c r="E337" s="11" t="s">
        <v>33</v>
      </c>
    </row>
    <row r="338">
      <c r="A338" s="19">
        <v>0.8743055555555556</v>
      </c>
      <c r="B338" s="34" t="s">
        <v>702</v>
      </c>
      <c r="C338" s="35" t="s">
        <v>291</v>
      </c>
      <c r="D338" s="34" t="s">
        <v>700</v>
      </c>
      <c r="E338" s="11" t="s">
        <v>37</v>
      </c>
    </row>
    <row r="339">
      <c r="A339" s="19">
        <v>0.8847222222222222</v>
      </c>
      <c r="B339" s="34" t="s">
        <v>703</v>
      </c>
      <c r="C339" s="35" t="s">
        <v>68</v>
      </c>
      <c r="D339" s="34" t="s">
        <v>701</v>
      </c>
      <c r="E339" s="11" t="s">
        <v>33</v>
      </c>
    </row>
    <row r="340">
      <c r="A340" s="19">
        <v>0.8847222222222222</v>
      </c>
      <c r="B340" s="34" t="s">
        <v>700</v>
      </c>
      <c r="C340" s="35" t="s">
        <v>23</v>
      </c>
      <c r="D340" s="34" t="s">
        <v>146</v>
      </c>
      <c r="E340" s="11" t="s">
        <v>37</v>
      </c>
    </row>
    <row r="341">
      <c r="A341" s="19">
        <v>0.8944444444444445</v>
      </c>
      <c r="B341" s="34" t="s">
        <v>702</v>
      </c>
      <c r="C341" s="35" t="s">
        <v>297</v>
      </c>
      <c r="D341" s="34" t="s">
        <v>701</v>
      </c>
      <c r="E341" s="11" t="s">
        <v>33</v>
      </c>
    </row>
    <row r="342">
      <c r="A342" s="19">
        <v>0.8944444444444445</v>
      </c>
      <c r="B342" s="34" t="s">
        <v>700</v>
      </c>
      <c r="C342" s="35" t="s">
        <v>289</v>
      </c>
      <c r="D342" s="34" t="s">
        <v>703</v>
      </c>
      <c r="E342" s="11" t="s">
        <v>37</v>
      </c>
    </row>
    <row r="343">
      <c r="A343" s="19">
        <v>0.9048611111111111</v>
      </c>
      <c r="B343" s="34" t="s">
        <v>701</v>
      </c>
      <c r="C343" s="35" t="s">
        <v>520</v>
      </c>
      <c r="D343" s="34" t="s">
        <v>700</v>
      </c>
      <c r="E343" s="11" t="s">
        <v>33</v>
      </c>
    </row>
    <row r="344">
      <c r="A344" s="19">
        <v>0.9048611111111111</v>
      </c>
      <c r="B344" s="34" t="s">
        <v>702</v>
      </c>
      <c r="C344" s="35" t="s">
        <v>17</v>
      </c>
      <c r="D344" s="34" t="s">
        <v>146</v>
      </c>
      <c r="E344" s="11" t="s">
        <v>37</v>
      </c>
    </row>
    <row r="345">
      <c r="A345" s="19">
        <v>0.9152777777777777</v>
      </c>
      <c r="B345" s="34" t="s">
        <v>701</v>
      </c>
      <c r="C345" s="35" t="s">
        <v>285</v>
      </c>
      <c r="D345" s="34" t="s">
        <v>146</v>
      </c>
      <c r="E345" s="11" t="s">
        <v>33</v>
      </c>
    </row>
    <row r="346">
      <c r="A346" s="19">
        <v>0.9152777777777777</v>
      </c>
      <c r="B346" s="34" t="s">
        <v>702</v>
      </c>
      <c r="C346" s="35" t="s">
        <v>65</v>
      </c>
      <c r="D346" s="34" t="s">
        <v>703</v>
      </c>
      <c r="E346" s="11" t="s">
        <v>37</v>
      </c>
    </row>
    <row r="347">
      <c r="A347" s="19">
        <v>0.925</v>
      </c>
      <c r="B347" s="34" t="s">
        <v>146</v>
      </c>
      <c r="C347" s="35" t="s">
        <v>81</v>
      </c>
      <c r="D347" s="34" t="s">
        <v>703</v>
      </c>
      <c r="E347" s="11" t="s">
        <v>33</v>
      </c>
    </row>
    <row r="348">
      <c r="A348" s="19">
        <v>0.925</v>
      </c>
      <c r="B348" s="34" t="s">
        <v>700</v>
      </c>
      <c r="C348" s="35" t="s">
        <v>190</v>
      </c>
      <c r="D348" s="34" t="s">
        <v>702</v>
      </c>
      <c r="E348" s="11" t="s">
        <v>37</v>
      </c>
    </row>
    <row r="349">
      <c r="A349" s="19">
        <v>0.9354166666666667</v>
      </c>
      <c r="B349" s="34" t="s">
        <v>701</v>
      </c>
      <c r="C349" s="35" t="s">
        <v>194</v>
      </c>
      <c r="D349" s="34" t="s">
        <v>703</v>
      </c>
      <c r="E349" s="11" t="s">
        <v>33</v>
      </c>
    </row>
    <row r="350">
      <c r="A350" s="19">
        <v>0.9354166666666667</v>
      </c>
      <c r="B350" s="34" t="s">
        <v>146</v>
      </c>
      <c r="C350" s="35" t="s">
        <v>25</v>
      </c>
      <c r="D350" s="34" t="s">
        <v>700</v>
      </c>
      <c r="E350" s="11" t="s">
        <v>37</v>
      </c>
    </row>
    <row r="351">
      <c r="A351" s="19">
        <v>0.9458333333333333</v>
      </c>
      <c r="B351" s="34" t="s">
        <v>701</v>
      </c>
      <c r="C351" s="35" t="s">
        <v>62</v>
      </c>
      <c r="D351" s="34" t="s">
        <v>702</v>
      </c>
      <c r="E351" s="11" t="s">
        <v>33</v>
      </c>
    </row>
    <row r="352">
      <c r="A352" s="19">
        <v>0.9458333333333333</v>
      </c>
      <c r="B352" s="34" t="s">
        <v>703</v>
      </c>
      <c r="C352" s="35" t="s">
        <v>48</v>
      </c>
      <c r="D352" s="34" t="s">
        <v>700</v>
      </c>
      <c r="E352" s="11" t="s">
        <v>37</v>
      </c>
    </row>
    <row r="353">
      <c r="A353" s="27"/>
      <c r="B353" s="28" t="s">
        <v>156</v>
      </c>
      <c r="C353" s="2"/>
      <c r="D353" s="3"/>
      <c r="E353" s="29"/>
    </row>
    <row r="354">
      <c r="A354" s="18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9">
        <v>0.9583333333333334</v>
      </c>
      <c r="B355" s="34" t="s">
        <v>704</v>
      </c>
      <c r="C355" s="35" t="s">
        <v>17</v>
      </c>
      <c r="D355" s="34" t="s">
        <v>484</v>
      </c>
      <c r="E355" s="11" t="s">
        <v>9</v>
      </c>
    </row>
    <row r="356">
      <c r="A356" s="19">
        <v>0.9583333333333334</v>
      </c>
      <c r="B356" s="34" t="s">
        <v>181</v>
      </c>
      <c r="C356" s="35" t="s">
        <v>201</v>
      </c>
      <c r="D356" s="34" t="s">
        <v>705</v>
      </c>
      <c r="E356" s="11" t="s">
        <v>13</v>
      </c>
    </row>
    <row r="357">
      <c r="A357" s="19">
        <v>0.9680555555555556</v>
      </c>
      <c r="B357" s="34" t="s">
        <v>181</v>
      </c>
      <c r="C357" s="35" t="s">
        <v>238</v>
      </c>
      <c r="D357" s="34" t="s">
        <v>484</v>
      </c>
      <c r="E357" s="11" t="s">
        <v>9</v>
      </c>
    </row>
    <row r="358">
      <c r="A358" s="19">
        <v>0.9680555555555556</v>
      </c>
      <c r="B358" s="34" t="s">
        <v>613</v>
      </c>
      <c r="C358" s="35" t="s">
        <v>706</v>
      </c>
      <c r="D358" s="34" t="s">
        <v>705</v>
      </c>
      <c r="E358" s="11" t="s">
        <v>13</v>
      </c>
    </row>
    <row r="359">
      <c r="A359" s="19">
        <v>0.9784722222222222</v>
      </c>
      <c r="B359" s="34" t="s">
        <v>613</v>
      </c>
      <c r="C359" s="35" t="s">
        <v>64</v>
      </c>
      <c r="D359" s="34" t="s">
        <v>181</v>
      </c>
      <c r="E359" s="11" t="s">
        <v>9</v>
      </c>
    </row>
    <row r="360">
      <c r="A360" s="19">
        <v>0.9784722222222222</v>
      </c>
      <c r="B360" s="34" t="s">
        <v>705</v>
      </c>
      <c r="C360" s="35" t="s">
        <v>259</v>
      </c>
      <c r="D360" s="34" t="s">
        <v>704</v>
      </c>
      <c r="E360" s="11" t="s">
        <v>13</v>
      </c>
    </row>
    <row r="361">
      <c r="A361" s="19">
        <v>0.9888888888888889</v>
      </c>
      <c r="B361" s="34" t="s">
        <v>613</v>
      </c>
      <c r="C361" s="35" t="s">
        <v>20</v>
      </c>
      <c r="D361" s="34" t="s">
        <v>484</v>
      </c>
      <c r="E361" s="11" t="s">
        <v>9</v>
      </c>
    </row>
    <row r="362">
      <c r="A362" s="19">
        <v>0.9888888888888889</v>
      </c>
      <c r="B362" s="34" t="s">
        <v>704</v>
      </c>
      <c r="C362" s="35" t="s">
        <v>270</v>
      </c>
      <c r="D362" s="34" t="s">
        <v>181</v>
      </c>
      <c r="E362" s="11" t="s">
        <v>13</v>
      </c>
    </row>
    <row r="363">
      <c r="A363" s="19">
        <v>0.9986111111111111</v>
      </c>
      <c r="B363" s="34" t="s">
        <v>705</v>
      </c>
      <c r="C363" s="35" t="s">
        <v>82</v>
      </c>
      <c r="D363" s="34" t="s">
        <v>484</v>
      </c>
      <c r="E363" s="11" t="s">
        <v>9</v>
      </c>
    </row>
    <row r="364">
      <c r="A364" s="19">
        <v>0.9986111111111111</v>
      </c>
      <c r="B364" s="34" t="s">
        <v>704</v>
      </c>
      <c r="C364" s="35" t="s">
        <v>17</v>
      </c>
      <c r="D364" s="34" t="s">
        <v>613</v>
      </c>
      <c r="E364" s="11" t="s">
        <v>13</v>
      </c>
    </row>
    <row r="365">
      <c r="A365" s="19">
        <v>0.009027777777777777</v>
      </c>
      <c r="B365" s="34" t="s">
        <v>484</v>
      </c>
      <c r="C365" s="35" t="s">
        <v>81</v>
      </c>
      <c r="D365" s="34" t="s">
        <v>704</v>
      </c>
      <c r="E365" s="11" t="s">
        <v>9</v>
      </c>
    </row>
    <row r="366">
      <c r="A366" s="19">
        <v>0.009027777777777777</v>
      </c>
      <c r="B366" s="34" t="s">
        <v>705</v>
      </c>
      <c r="C366" s="35" t="s">
        <v>76</v>
      </c>
      <c r="D366" s="34" t="s">
        <v>181</v>
      </c>
      <c r="E366" s="11" t="s">
        <v>13</v>
      </c>
    </row>
    <row r="367">
      <c r="A367" s="19">
        <v>0.019444444444444445</v>
      </c>
      <c r="B367" s="34" t="s">
        <v>484</v>
      </c>
      <c r="C367" s="35" t="s">
        <v>11</v>
      </c>
      <c r="D367" s="34" t="s">
        <v>181</v>
      </c>
      <c r="E367" s="11" t="s">
        <v>9</v>
      </c>
    </row>
    <row r="368">
      <c r="A368" s="19">
        <v>0.019444444444444445</v>
      </c>
      <c r="B368" s="34" t="s">
        <v>705</v>
      </c>
      <c r="C368" s="35" t="s">
        <v>282</v>
      </c>
      <c r="D368" s="34" t="s">
        <v>613</v>
      </c>
      <c r="E368" s="11" t="s">
        <v>13</v>
      </c>
    </row>
    <row r="369">
      <c r="A369" s="19">
        <v>0.029166666666666667</v>
      </c>
      <c r="B369" s="34" t="s">
        <v>181</v>
      </c>
      <c r="C369" s="35" t="s">
        <v>212</v>
      </c>
      <c r="D369" s="34" t="s">
        <v>613</v>
      </c>
      <c r="E369" s="11" t="s">
        <v>9</v>
      </c>
    </row>
    <row r="370">
      <c r="A370" s="19">
        <v>0.029166666666666667</v>
      </c>
      <c r="B370" s="34" t="s">
        <v>704</v>
      </c>
      <c r="C370" s="35" t="s">
        <v>578</v>
      </c>
      <c r="D370" s="34" t="s">
        <v>705</v>
      </c>
      <c r="E370" s="11" t="s">
        <v>13</v>
      </c>
    </row>
    <row r="371">
      <c r="A371" s="19">
        <v>0.03958333333333333</v>
      </c>
      <c r="B371" s="34" t="s">
        <v>484</v>
      </c>
      <c r="C371" s="35" t="s">
        <v>201</v>
      </c>
      <c r="D371" s="34" t="s">
        <v>613</v>
      </c>
      <c r="E371" s="11" t="s">
        <v>9</v>
      </c>
    </row>
    <row r="372">
      <c r="A372" s="19">
        <v>0.03958333333333333</v>
      </c>
      <c r="B372" s="34" t="s">
        <v>181</v>
      </c>
      <c r="C372" s="35" t="s">
        <v>196</v>
      </c>
      <c r="D372" s="34" t="s">
        <v>704</v>
      </c>
      <c r="E372" s="11" t="s">
        <v>13</v>
      </c>
    </row>
    <row r="373">
      <c r="A373" s="19">
        <v>0.05</v>
      </c>
      <c r="B373" s="34" t="s">
        <v>484</v>
      </c>
      <c r="C373" s="35" t="s">
        <v>17</v>
      </c>
      <c r="D373" s="34" t="s">
        <v>705</v>
      </c>
      <c r="E373" s="11" t="s">
        <v>9</v>
      </c>
    </row>
    <row r="374">
      <c r="A374" s="19">
        <v>0.05</v>
      </c>
      <c r="B374" s="34" t="s">
        <v>613</v>
      </c>
      <c r="C374" s="35" t="s">
        <v>195</v>
      </c>
      <c r="D374" s="34" t="s">
        <v>704</v>
      </c>
      <c r="E374" s="11" t="s">
        <v>13</v>
      </c>
    </row>
    <row r="375">
      <c r="B375" s="28" t="s">
        <v>156</v>
      </c>
      <c r="C375" s="2"/>
      <c r="D375" s="3"/>
      <c r="E375" s="29"/>
    </row>
    <row r="376">
      <c r="A376" s="18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9">
        <v>0.9583333333333334</v>
      </c>
      <c r="B377" s="34" t="s">
        <v>707</v>
      </c>
      <c r="C377" s="35" t="s">
        <v>193</v>
      </c>
      <c r="D377" s="34" t="s">
        <v>606</v>
      </c>
      <c r="E377" s="11" t="s">
        <v>33</v>
      </c>
    </row>
    <row r="378">
      <c r="A378" s="19">
        <v>0.9583333333333334</v>
      </c>
      <c r="B378" s="34" t="s">
        <v>708</v>
      </c>
      <c r="C378" s="35" t="s">
        <v>251</v>
      </c>
      <c r="D378" s="34" t="s">
        <v>709</v>
      </c>
      <c r="E378" s="11" t="s">
        <v>37</v>
      </c>
    </row>
    <row r="379">
      <c r="A379" s="19">
        <v>0.9680555555555556</v>
      </c>
      <c r="B379" s="34" t="s">
        <v>708</v>
      </c>
      <c r="C379" s="35" t="s">
        <v>25</v>
      </c>
      <c r="D379" s="34" t="s">
        <v>606</v>
      </c>
      <c r="E379" s="11" t="s">
        <v>33</v>
      </c>
    </row>
    <row r="380">
      <c r="A380" s="19">
        <v>0.9680555555555556</v>
      </c>
      <c r="B380" s="34" t="s">
        <v>710</v>
      </c>
      <c r="C380" s="35" t="s">
        <v>261</v>
      </c>
      <c r="D380" s="34" t="s">
        <v>709</v>
      </c>
      <c r="E380" s="11" t="s">
        <v>37</v>
      </c>
    </row>
    <row r="381">
      <c r="A381" s="19">
        <v>0.9784722222222222</v>
      </c>
      <c r="B381" s="34" t="s">
        <v>710</v>
      </c>
      <c r="C381" s="35" t="s">
        <v>260</v>
      </c>
      <c r="D381" s="34" t="s">
        <v>708</v>
      </c>
      <c r="E381" s="11" t="s">
        <v>33</v>
      </c>
    </row>
    <row r="382">
      <c r="A382" s="19">
        <v>0.9784722222222222</v>
      </c>
      <c r="B382" s="34" t="s">
        <v>709</v>
      </c>
      <c r="C382" s="35" t="s">
        <v>196</v>
      </c>
      <c r="D382" s="34" t="s">
        <v>707</v>
      </c>
      <c r="E382" s="11" t="s">
        <v>37</v>
      </c>
    </row>
    <row r="383">
      <c r="A383" s="19">
        <v>0.9888888888888889</v>
      </c>
      <c r="B383" s="34" t="s">
        <v>710</v>
      </c>
      <c r="C383" s="35" t="s">
        <v>18</v>
      </c>
      <c r="D383" s="34" t="s">
        <v>606</v>
      </c>
      <c r="E383" s="11" t="s">
        <v>33</v>
      </c>
    </row>
    <row r="384">
      <c r="A384" s="19">
        <v>0.9888888888888889</v>
      </c>
      <c r="B384" s="34" t="s">
        <v>707</v>
      </c>
      <c r="C384" s="35" t="s">
        <v>190</v>
      </c>
      <c r="D384" s="34" t="s">
        <v>708</v>
      </c>
      <c r="E384" s="11" t="s">
        <v>37</v>
      </c>
    </row>
    <row r="385">
      <c r="A385" s="19">
        <v>0.9986111111111111</v>
      </c>
      <c r="B385" s="34" t="s">
        <v>709</v>
      </c>
      <c r="C385" s="35" t="s">
        <v>81</v>
      </c>
      <c r="D385" s="34" t="s">
        <v>606</v>
      </c>
      <c r="E385" s="11" t="s">
        <v>33</v>
      </c>
    </row>
    <row r="386">
      <c r="A386" s="19">
        <v>0.9986111111111111</v>
      </c>
      <c r="B386" s="34" t="s">
        <v>707</v>
      </c>
      <c r="C386" s="35" t="s">
        <v>72</v>
      </c>
      <c r="D386" s="34" t="s">
        <v>710</v>
      </c>
      <c r="E386" s="11" t="s">
        <v>37</v>
      </c>
    </row>
    <row r="387">
      <c r="A387" s="19">
        <v>0.009027777777777777</v>
      </c>
      <c r="B387" s="34" t="s">
        <v>606</v>
      </c>
      <c r="C387" s="35" t="s">
        <v>11</v>
      </c>
      <c r="D387" s="34" t="s">
        <v>707</v>
      </c>
      <c r="E387" s="11" t="s">
        <v>33</v>
      </c>
    </row>
    <row r="388">
      <c r="A388" s="19">
        <v>0.009027777777777777</v>
      </c>
      <c r="B388" s="34" t="s">
        <v>709</v>
      </c>
      <c r="C388" s="35" t="s">
        <v>43</v>
      </c>
      <c r="D388" s="34" t="s">
        <v>708</v>
      </c>
      <c r="E388" s="11" t="s">
        <v>37</v>
      </c>
    </row>
    <row r="389">
      <c r="A389" s="19">
        <v>0.019444444444444445</v>
      </c>
      <c r="B389" s="34" t="s">
        <v>606</v>
      </c>
      <c r="C389" s="35" t="s">
        <v>11</v>
      </c>
      <c r="D389" s="34" t="s">
        <v>708</v>
      </c>
      <c r="E389" s="11" t="s">
        <v>33</v>
      </c>
    </row>
    <row r="390">
      <c r="A390" s="19">
        <v>0.019444444444444445</v>
      </c>
      <c r="B390" s="34" t="s">
        <v>709</v>
      </c>
      <c r="C390" s="35" t="s">
        <v>45</v>
      </c>
      <c r="D390" s="34" t="s">
        <v>710</v>
      </c>
      <c r="E390" s="11" t="s">
        <v>37</v>
      </c>
    </row>
    <row r="391">
      <c r="A391" s="19">
        <v>0.029166666666666667</v>
      </c>
      <c r="B391" s="34" t="s">
        <v>708</v>
      </c>
      <c r="C391" s="35" t="s">
        <v>64</v>
      </c>
      <c r="D391" s="34" t="s">
        <v>710</v>
      </c>
      <c r="E391" s="11" t="s">
        <v>33</v>
      </c>
    </row>
    <row r="392">
      <c r="A392" s="19">
        <v>0.029166666666666667</v>
      </c>
      <c r="B392" s="34" t="s">
        <v>707</v>
      </c>
      <c r="C392" s="35" t="s">
        <v>325</v>
      </c>
      <c r="D392" s="34" t="s">
        <v>709</v>
      </c>
      <c r="E392" s="11" t="s">
        <v>37</v>
      </c>
    </row>
    <row r="393">
      <c r="A393" s="19">
        <v>0.03958333333333333</v>
      </c>
      <c r="B393" s="34" t="s">
        <v>606</v>
      </c>
      <c r="C393" s="35" t="s">
        <v>195</v>
      </c>
      <c r="D393" s="34" t="s">
        <v>710</v>
      </c>
      <c r="E393" s="11" t="s">
        <v>33</v>
      </c>
    </row>
    <row r="394">
      <c r="A394" s="19">
        <v>0.03958333333333333</v>
      </c>
      <c r="B394" s="34" t="s">
        <v>708</v>
      </c>
      <c r="C394" s="35" t="s">
        <v>78</v>
      </c>
      <c r="D394" s="34" t="s">
        <v>707</v>
      </c>
      <c r="E394" s="11" t="s">
        <v>37</v>
      </c>
    </row>
    <row r="395">
      <c r="A395" s="19">
        <v>0.05</v>
      </c>
      <c r="B395" s="34" t="s">
        <v>606</v>
      </c>
      <c r="C395" s="35" t="s">
        <v>16</v>
      </c>
      <c r="D395" s="34" t="s">
        <v>709</v>
      </c>
      <c r="E395" s="11" t="s">
        <v>33</v>
      </c>
    </row>
    <row r="396">
      <c r="A396" s="19">
        <v>0.05</v>
      </c>
      <c r="B396" s="34" t="s">
        <v>710</v>
      </c>
      <c r="C396" s="35" t="s">
        <v>445</v>
      </c>
      <c r="D396" s="34" t="s">
        <v>707</v>
      </c>
      <c r="E396" s="11" t="s">
        <v>37</v>
      </c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32" t="s">
        <v>711</v>
      </c>
      <c r="C3" s="33" t="s">
        <v>273</v>
      </c>
      <c r="D3" s="34" t="s">
        <v>712</v>
      </c>
      <c r="E3" s="11" t="s">
        <v>9</v>
      </c>
    </row>
    <row r="4">
      <c r="A4" s="7">
        <v>0.0625</v>
      </c>
      <c r="B4" s="32" t="s">
        <v>713</v>
      </c>
      <c r="C4" s="33" t="s">
        <v>428</v>
      </c>
      <c r="D4" s="32" t="s">
        <v>191</v>
      </c>
      <c r="E4" s="11" t="s">
        <v>13</v>
      </c>
    </row>
    <row r="5">
      <c r="A5" s="7">
        <v>0.07222222222222222</v>
      </c>
      <c r="B5" s="34" t="s">
        <v>713</v>
      </c>
      <c r="C5" s="33" t="s">
        <v>43</v>
      </c>
      <c r="D5" s="32" t="s">
        <v>712</v>
      </c>
      <c r="E5" s="11" t="s">
        <v>9</v>
      </c>
    </row>
    <row r="6">
      <c r="A6" s="7">
        <v>0.07222222222222222</v>
      </c>
      <c r="B6" s="32" t="s">
        <v>714</v>
      </c>
      <c r="C6" s="33" t="s">
        <v>684</v>
      </c>
      <c r="D6" s="34" t="s">
        <v>191</v>
      </c>
      <c r="E6" s="11" t="s">
        <v>13</v>
      </c>
    </row>
    <row r="7">
      <c r="A7" s="7">
        <v>0.08263888888888889</v>
      </c>
      <c r="B7" s="34" t="s">
        <v>714</v>
      </c>
      <c r="C7" s="33" t="s">
        <v>27</v>
      </c>
      <c r="D7" s="32" t="s">
        <v>713</v>
      </c>
      <c r="E7" s="11" t="s">
        <v>9</v>
      </c>
    </row>
    <row r="8">
      <c r="A8" s="7">
        <v>0.08263888888888889</v>
      </c>
      <c r="B8" s="32" t="s">
        <v>191</v>
      </c>
      <c r="C8" s="33" t="s">
        <v>274</v>
      </c>
      <c r="D8" s="32" t="s">
        <v>711</v>
      </c>
      <c r="E8" s="11" t="s">
        <v>13</v>
      </c>
    </row>
    <row r="9">
      <c r="A9" s="7">
        <v>0.09305555555555556</v>
      </c>
      <c r="B9" s="34" t="s">
        <v>714</v>
      </c>
      <c r="C9" s="33" t="s">
        <v>11</v>
      </c>
      <c r="D9" s="34" t="s">
        <v>712</v>
      </c>
      <c r="E9" s="11" t="s">
        <v>9</v>
      </c>
    </row>
    <row r="10">
      <c r="A10" s="7">
        <v>0.09305555555555556</v>
      </c>
      <c r="B10" s="32" t="s">
        <v>711</v>
      </c>
      <c r="C10" s="33" t="s">
        <v>193</v>
      </c>
      <c r="D10" s="32" t="s">
        <v>713</v>
      </c>
      <c r="E10" s="11" t="s">
        <v>13</v>
      </c>
    </row>
    <row r="11">
      <c r="A11" s="7">
        <v>0.10277777777777777</v>
      </c>
      <c r="B11" s="34" t="s">
        <v>191</v>
      </c>
      <c r="C11" s="33" t="s">
        <v>67</v>
      </c>
      <c r="D11" s="32" t="s">
        <v>712</v>
      </c>
      <c r="E11" s="11" t="s">
        <v>9</v>
      </c>
    </row>
    <row r="12">
      <c r="A12" s="7">
        <v>0.10277777777777777</v>
      </c>
      <c r="B12" s="32" t="s">
        <v>711</v>
      </c>
      <c r="C12" s="33" t="s">
        <v>81</v>
      </c>
      <c r="D12" s="34" t="s">
        <v>714</v>
      </c>
      <c r="E12" s="11" t="s">
        <v>13</v>
      </c>
    </row>
    <row r="13">
      <c r="A13" s="7">
        <v>0.11319444444444444</v>
      </c>
      <c r="B13" s="34" t="s">
        <v>712</v>
      </c>
      <c r="C13" s="33" t="s">
        <v>19</v>
      </c>
      <c r="D13" s="32" t="s">
        <v>711</v>
      </c>
      <c r="E13" s="11" t="s">
        <v>9</v>
      </c>
    </row>
    <row r="14">
      <c r="A14" s="7">
        <v>0.11319444444444444</v>
      </c>
      <c r="B14" s="34" t="s">
        <v>191</v>
      </c>
      <c r="C14" s="33" t="s">
        <v>14</v>
      </c>
      <c r="D14" s="32" t="s">
        <v>713</v>
      </c>
      <c r="E14" s="11" t="s">
        <v>13</v>
      </c>
    </row>
    <row r="15">
      <c r="A15" s="7">
        <v>0.12361111111111112</v>
      </c>
      <c r="B15" s="32" t="s">
        <v>712</v>
      </c>
      <c r="C15" s="35" t="s">
        <v>11</v>
      </c>
      <c r="D15" s="34" t="s">
        <v>713</v>
      </c>
      <c r="E15" s="11" t="s">
        <v>9</v>
      </c>
    </row>
    <row r="16">
      <c r="A16" s="7">
        <v>0.12361111111111112</v>
      </c>
      <c r="B16" s="34" t="s">
        <v>191</v>
      </c>
      <c r="C16" s="35" t="s">
        <v>35</v>
      </c>
      <c r="D16" s="32" t="s">
        <v>714</v>
      </c>
      <c r="E16" s="11" t="s">
        <v>13</v>
      </c>
    </row>
    <row r="17">
      <c r="A17" s="7">
        <v>0.13333333333333333</v>
      </c>
      <c r="B17" s="32" t="s">
        <v>713</v>
      </c>
      <c r="C17" s="35" t="s">
        <v>329</v>
      </c>
      <c r="D17" s="34" t="s">
        <v>714</v>
      </c>
      <c r="E17" s="11" t="s">
        <v>9</v>
      </c>
    </row>
    <row r="18">
      <c r="A18" s="7">
        <v>0.13333333333333333</v>
      </c>
      <c r="B18" s="32" t="s">
        <v>711</v>
      </c>
      <c r="C18" s="35" t="s">
        <v>81</v>
      </c>
      <c r="D18" s="32" t="s">
        <v>191</v>
      </c>
      <c r="E18" s="11" t="s">
        <v>13</v>
      </c>
    </row>
    <row r="19">
      <c r="A19" s="7">
        <v>0.14375</v>
      </c>
      <c r="B19" s="34" t="s">
        <v>712</v>
      </c>
      <c r="C19" s="35" t="s">
        <v>19</v>
      </c>
      <c r="D19" s="34" t="s">
        <v>714</v>
      </c>
      <c r="E19" s="11" t="s">
        <v>9</v>
      </c>
    </row>
    <row r="20">
      <c r="A20" s="7">
        <v>0.14375</v>
      </c>
      <c r="B20" s="32" t="s">
        <v>713</v>
      </c>
      <c r="C20" s="35" t="s">
        <v>25</v>
      </c>
      <c r="D20" s="32" t="s">
        <v>711</v>
      </c>
      <c r="E20" s="11" t="s">
        <v>13</v>
      </c>
    </row>
    <row r="21">
      <c r="A21" s="7">
        <v>0.15416666666666667</v>
      </c>
      <c r="B21" s="32" t="s">
        <v>712</v>
      </c>
      <c r="C21" s="35" t="s">
        <v>196</v>
      </c>
      <c r="D21" s="34" t="s">
        <v>191</v>
      </c>
      <c r="E21" s="11" t="s">
        <v>9</v>
      </c>
    </row>
    <row r="22">
      <c r="A22" s="7">
        <v>0.15416666666666667</v>
      </c>
      <c r="B22" s="34" t="s">
        <v>714</v>
      </c>
      <c r="C22" s="35" t="s">
        <v>196</v>
      </c>
      <c r="D22" s="32" t="s">
        <v>711</v>
      </c>
      <c r="E22" s="11" t="s">
        <v>13</v>
      </c>
    </row>
    <row r="23">
      <c r="A23" s="1"/>
      <c r="B23" s="1" t="s">
        <v>29</v>
      </c>
      <c r="C23" s="2"/>
      <c r="D23" s="3"/>
      <c r="E23" s="14"/>
    </row>
    <row r="24">
      <c r="A24" s="15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32" t="s">
        <v>617</v>
      </c>
      <c r="C25" s="33" t="s">
        <v>52</v>
      </c>
      <c r="D25" s="32" t="s">
        <v>199</v>
      </c>
      <c r="E25" s="11" t="s">
        <v>33</v>
      </c>
    </row>
    <row r="26">
      <c r="A26" s="7">
        <v>0.0625</v>
      </c>
      <c r="B26" s="32" t="s">
        <v>200</v>
      </c>
      <c r="C26" s="33" t="s">
        <v>201</v>
      </c>
      <c r="D26" s="32" t="s">
        <v>715</v>
      </c>
      <c r="E26" s="11" t="s">
        <v>37</v>
      </c>
    </row>
    <row r="27">
      <c r="A27" s="7">
        <v>0.07222222222222222</v>
      </c>
      <c r="B27" s="34" t="s">
        <v>200</v>
      </c>
      <c r="C27" s="33" t="s">
        <v>716</v>
      </c>
      <c r="D27" s="34" t="s">
        <v>199</v>
      </c>
      <c r="E27" s="11" t="s">
        <v>33</v>
      </c>
    </row>
    <row r="28">
      <c r="A28" s="7">
        <v>0.07222222222222222</v>
      </c>
      <c r="B28" s="32" t="s">
        <v>717</v>
      </c>
      <c r="C28" s="33" t="s">
        <v>22</v>
      </c>
      <c r="D28" s="32" t="s">
        <v>715</v>
      </c>
      <c r="E28" s="11" t="s">
        <v>37</v>
      </c>
    </row>
    <row r="29">
      <c r="A29" s="7">
        <v>0.08263888888888889</v>
      </c>
      <c r="B29" s="34" t="s">
        <v>717</v>
      </c>
      <c r="C29" s="33" t="s">
        <v>260</v>
      </c>
      <c r="D29" s="32" t="s">
        <v>200</v>
      </c>
      <c r="E29" s="11" t="s">
        <v>33</v>
      </c>
    </row>
    <row r="30">
      <c r="A30" s="7">
        <v>0.08263888888888889</v>
      </c>
      <c r="B30" s="32" t="s">
        <v>715</v>
      </c>
      <c r="C30" s="33" t="s">
        <v>87</v>
      </c>
      <c r="D30" s="32" t="s">
        <v>617</v>
      </c>
      <c r="E30" s="11" t="s">
        <v>37</v>
      </c>
    </row>
    <row r="31">
      <c r="A31" s="7">
        <v>0.09305555555555556</v>
      </c>
      <c r="B31" s="34" t="s">
        <v>717</v>
      </c>
      <c r="C31" s="33" t="s">
        <v>428</v>
      </c>
      <c r="D31" s="32" t="s">
        <v>199</v>
      </c>
      <c r="E31" s="11" t="s">
        <v>33</v>
      </c>
    </row>
    <row r="32">
      <c r="A32" s="7">
        <v>0.09305555555555556</v>
      </c>
      <c r="B32" s="32" t="s">
        <v>617</v>
      </c>
      <c r="C32" s="33" t="s">
        <v>273</v>
      </c>
      <c r="D32" s="34" t="s">
        <v>200</v>
      </c>
      <c r="E32" s="11" t="s">
        <v>37</v>
      </c>
    </row>
    <row r="33">
      <c r="A33" s="7">
        <v>0.10277777777777777</v>
      </c>
      <c r="B33" s="32" t="s">
        <v>715</v>
      </c>
      <c r="C33" s="33" t="s">
        <v>18</v>
      </c>
      <c r="D33" s="32" t="s">
        <v>199</v>
      </c>
      <c r="E33" s="11" t="s">
        <v>33</v>
      </c>
    </row>
    <row r="34">
      <c r="A34" s="7">
        <v>0.10277777777777777</v>
      </c>
      <c r="B34" s="32" t="s">
        <v>617</v>
      </c>
      <c r="C34" s="33" t="s">
        <v>718</v>
      </c>
      <c r="D34" s="32" t="s">
        <v>717</v>
      </c>
      <c r="E34" s="11" t="s">
        <v>37</v>
      </c>
    </row>
    <row r="35">
      <c r="A35" s="7">
        <v>0.11319444444444444</v>
      </c>
      <c r="B35" s="32" t="s">
        <v>199</v>
      </c>
      <c r="C35" s="33" t="s">
        <v>197</v>
      </c>
      <c r="D35" s="32" t="s">
        <v>617</v>
      </c>
      <c r="E35" s="11" t="s">
        <v>33</v>
      </c>
    </row>
    <row r="36">
      <c r="A36" s="7">
        <v>0.11319444444444444</v>
      </c>
      <c r="B36" s="32" t="s">
        <v>715</v>
      </c>
      <c r="C36" s="33" t="s">
        <v>81</v>
      </c>
      <c r="D36" s="32" t="s">
        <v>200</v>
      </c>
      <c r="E36" s="11" t="s">
        <v>37</v>
      </c>
    </row>
    <row r="37">
      <c r="A37" s="7">
        <v>0.12361111111111112</v>
      </c>
      <c r="B37" s="34" t="s">
        <v>199</v>
      </c>
      <c r="C37" s="33" t="s">
        <v>693</v>
      </c>
      <c r="D37" s="34" t="s">
        <v>200</v>
      </c>
      <c r="E37" s="11" t="s">
        <v>33</v>
      </c>
    </row>
    <row r="38">
      <c r="A38" s="7">
        <v>0.12361111111111112</v>
      </c>
      <c r="B38" s="32" t="s">
        <v>715</v>
      </c>
      <c r="C38" s="33" t="s">
        <v>190</v>
      </c>
      <c r="D38" s="32" t="s">
        <v>717</v>
      </c>
      <c r="E38" s="11" t="s">
        <v>37</v>
      </c>
    </row>
    <row r="39">
      <c r="A39" s="7">
        <v>0.13333333333333333</v>
      </c>
      <c r="B39" s="32" t="s">
        <v>200</v>
      </c>
      <c r="C39" s="33" t="s">
        <v>14</v>
      </c>
      <c r="D39" s="34" t="s">
        <v>717</v>
      </c>
      <c r="E39" s="11" t="s">
        <v>33</v>
      </c>
    </row>
    <row r="40">
      <c r="A40" s="7">
        <v>0.13333333333333333</v>
      </c>
      <c r="B40" s="32" t="s">
        <v>617</v>
      </c>
      <c r="C40" s="33" t="s">
        <v>273</v>
      </c>
      <c r="D40" s="32" t="s">
        <v>715</v>
      </c>
      <c r="E40" s="11" t="s">
        <v>37</v>
      </c>
    </row>
    <row r="41">
      <c r="A41" s="7">
        <v>0.14375</v>
      </c>
      <c r="B41" s="32" t="s">
        <v>199</v>
      </c>
      <c r="C41" s="33" t="s">
        <v>21</v>
      </c>
      <c r="D41" s="34" t="s">
        <v>717</v>
      </c>
      <c r="E41" s="11" t="s">
        <v>33</v>
      </c>
    </row>
    <row r="42">
      <c r="A42" s="7">
        <v>0.14375</v>
      </c>
      <c r="B42" s="34" t="s">
        <v>200</v>
      </c>
      <c r="C42" s="33" t="s">
        <v>55</v>
      </c>
      <c r="D42" s="32" t="s">
        <v>617</v>
      </c>
      <c r="E42" s="11" t="s">
        <v>37</v>
      </c>
    </row>
    <row r="43">
      <c r="A43" s="7">
        <v>0.15416666666666667</v>
      </c>
      <c r="B43" s="32" t="s">
        <v>199</v>
      </c>
      <c r="C43" s="33" t="s">
        <v>286</v>
      </c>
      <c r="D43" s="32" t="s">
        <v>715</v>
      </c>
      <c r="E43" s="11" t="s">
        <v>33</v>
      </c>
    </row>
    <row r="44">
      <c r="A44" s="7">
        <v>0.15416666666666667</v>
      </c>
      <c r="B44" s="32" t="s">
        <v>717</v>
      </c>
      <c r="C44" s="33" t="s">
        <v>719</v>
      </c>
      <c r="D44" s="32" t="s">
        <v>617</v>
      </c>
      <c r="E44" s="11" t="s">
        <v>37</v>
      </c>
    </row>
    <row r="45">
      <c r="A45" s="1"/>
      <c r="B45" s="1" t="s">
        <v>53</v>
      </c>
      <c r="C45" s="2"/>
      <c r="D45" s="3"/>
      <c r="E45" s="14"/>
    </row>
    <row r="46">
      <c r="A46" s="15" t="s">
        <v>1</v>
      </c>
      <c r="B46" s="16" t="s">
        <v>2</v>
      </c>
      <c r="C46" s="16" t="s">
        <v>3</v>
      </c>
      <c r="D46" s="16" t="s">
        <v>4</v>
      </c>
      <c r="E46" s="16" t="s">
        <v>5</v>
      </c>
    </row>
    <row r="47">
      <c r="A47" s="7">
        <v>0.16666666666666666</v>
      </c>
      <c r="B47" s="32" t="s">
        <v>720</v>
      </c>
      <c r="C47" s="35" t="s">
        <v>66</v>
      </c>
      <c r="D47" s="32" t="s">
        <v>372</v>
      </c>
      <c r="E47" s="11" t="s">
        <v>9</v>
      </c>
    </row>
    <row r="48">
      <c r="A48" s="7">
        <v>0.16666666666666666</v>
      </c>
      <c r="B48" s="32" t="s">
        <v>721</v>
      </c>
      <c r="C48" s="35" t="s">
        <v>68</v>
      </c>
      <c r="D48" s="32" t="s">
        <v>504</v>
      </c>
      <c r="E48" s="11" t="s">
        <v>13</v>
      </c>
    </row>
    <row r="49">
      <c r="A49" s="7">
        <v>0.1763888888888889</v>
      </c>
      <c r="B49" s="32" t="s">
        <v>721</v>
      </c>
      <c r="C49" s="35" t="s">
        <v>58</v>
      </c>
      <c r="D49" s="32" t="s">
        <v>372</v>
      </c>
      <c r="E49" s="11" t="s">
        <v>9</v>
      </c>
    </row>
    <row r="50">
      <c r="A50" s="7">
        <v>0.1763888888888889</v>
      </c>
      <c r="B50" s="32" t="s">
        <v>502</v>
      </c>
      <c r="C50" s="35" t="s">
        <v>24</v>
      </c>
      <c r="D50" s="32" t="s">
        <v>504</v>
      </c>
      <c r="E50" s="11" t="s">
        <v>13</v>
      </c>
    </row>
    <row r="51">
      <c r="A51" s="7">
        <v>0.18680555555555556</v>
      </c>
      <c r="B51" s="32" t="s">
        <v>502</v>
      </c>
      <c r="C51" s="35" t="s">
        <v>282</v>
      </c>
      <c r="D51" s="32" t="s">
        <v>721</v>
      </c>
      <c r="E51" s="11" t="s">
        <v>9</v>
      </c>
    </row>
    <row r="52">
      <c r="A52" s="7">
        <v>0.18680555555555556</v>
      </c>
      <c r="B52" s="32" t="s">
        <v>504</v>
      </c>
      <c r="C52" s="35" t="s">
        <v>218</v>
      </c>
      <c r="D52" s="32" t="s">
        <v>720</v>
      </c>
      <c r="E52" s="11" t="s">
        <v>13</v>
      </c>
    </row>
    <row r="53">
      <c r="A53" s="7">
        <v>0.19722222222222222</v>
      </c>
      <c r="B53" s="32" t="s">
        <v>502</v>
      </c>
      <c r="C53" s="35" t="s">
        <v>41</v>
      </c>
      <c r="D53" s="32" t="s">
        <v>372</v>
      </c>
      <c r="E53" s="11" t="s">
        <v>9</v>
      </c>
    </row>
    <row r="54">
      <c r="A54" s="7">
        <v>0.19722222222222222</v>
      </c>
      <c r="B54" s="32" t="s">
        <v>720</v>
      </c>
      <c r="C54" s="35" t="s">
        <v>20</v>
      </c>
      <c r="D54" s="32" t="s">
        <v>721</v>
      </c>
      <c r="E54" s="11" t="s">
        <v>13</v>
      </c>
    </row>
    <row r="55">
      <c r="A55" s="7">
        <v>0.20694444444444443</v>
      </c>
      <c r="B55" s="32" t="s">
        <v>504</v>
      </c>
      <c r="C55" s="35" t="s">
        <v>20</v>
      </c>
      <c r="D55" s="32" t="s">
        <v>372</v>
      </c>
      <c r="E55" s="11" t="s">
        <v>9</v>
      </c>
    </row>
    <row r="56">
      <c r="A56" s="7">
        <v>0.20694444444444443</v>
      </c>
      <c r="B56" s="32" t="s">
        <v>720</v>
      </c>
      <c r="C56" s="35" t="s">
        <v>194</v>
      </c>
      <c r="D56" s="32" t="s">
        <v>502</v>
      </c>
      <c r="E56" s="11" t="s">
        <v>13</v>
      </c>
    </row>
    <row r="57">
      <c r="A57" s="7">
        <v>0.21736111111111112</v>
      </c>
      <c r="B57" s="32" t="s">
        <v>372</v>
      </c>
      <c r="C57" s="35" t="s">
        <v>43</v>
      </c>
      <c r="D57" s="32" t="s">
        <v>720</v>
      </c>
      <c r="E57" s="11" t="s">
        <v>9</v>
      </c>
    </row>
    <row r="58">
      <c r="A58" s="7">
        <v>0.21736111111111112</v>
      </c>
      <c r="B58" s="32" t="s">
        <v>504</v>
      </c>
      <c r="C58" s="35" t="s">
        <v>239</v>
      </c>
      <c r="D58" s="32" t="s">
        <v>721</v>
      </c>
      <c r="E58" s="11" t="s">
        <v>13</v>
      </c>
    </row>
    <row r="59">
      <c r="A59" s="7">
        <v>0.22777777777777777</v>
      </c>
      <c r="B59" s="32" t="s">
        <v>372</v>
      </c>
      <c r="C59" s="35" t="s">
        <v>11</v>
      </c>
      <c r="D59" s="32" t="s">
        <v>721</v>
      </c>
      <c r="E59" s="11" t="s">
        <v>9</v>
      </c>
    </row>
    <row r="60">
      <c r="A60" s="7">
        <v>0.22777777777777777</v>
      </c>
      <c r="B60" s="32" t="s">
        <v>504</v>
      </c>
      <c r="C60" s="35" t="s">
        <v>35</v>
      </c>
      <c r="D60" s="32" t="s">
        <v>502</v>
      </c>
      <c r="E60" s="11" t="s">
        <v>13</v>
      </c>
    </row>
    <row r="61">
      <c r="A61" s="7">
        <v>0.2375</v>
      </c>
      <c r="B61" s="32" t="s">
        <v>721</v>
      </c>
      <c r="C61" s="35" t="s">
        <v>87</v>
      </c>
      <c r="D61" s="32" t="s">
        <v>502</v>
      </c>
      <c r="E61" s="11" t="s">
        <v>9</v>
      </c>
    </row>
    <row r="62">
      <c r="A62" s="7">
        <v>0.2375</v>
      </c>
      <c r="B62" s="32" t="s">
        <v>720</v>
      </c>
      <c r="C62" s="35" t="s">
        <v>24</v>
      </c>
      <c r="D62" s="32" t="s">
        <v>504</v>
      </c>
      <c r="E62" s="11" t="s">
        <v>13</v>
      </c>
    </row>
    <row r="63">
      <c r="A63" s="7">
        <v>0.24791666666666667</v>
      </c>
      <c r="B63" s="32" t="s">
        <v>372</v>
      </c>
      <c r="C63" s="35" t="s">
        <v>201</v>
      </c>
      <c r="D63" s="32" t="s">
        <v>502</v>
      </c>
      <c r="E63" s="11" t="s">
        <v>9</v>
      </c>
    </row>
    <row r="64">
      <c r="A64" s="7">
        <v>0.24791666666666667</v>
      </c>
      <c r="B64" s="32" t="s">
        <v>721</v>
      </c>
      <c r="C64" s="35" t="s">
        <v>7</v>
      </c>
      <c r="D64" s="32" t="s">
        <v>720</v>
      </c>
      <c r="E64" s="11" t="s">
        <v>13</v>
      </c>
    </row>
    <row r="65">
      <c r="A65" s="7">
        <v>0.25833333333333336</v>
      </c>
      <c r="B65" s="32" t="s">
        <v>372</v>
      </c>
      <c r="C65" s="35" t="s">
        <v>43</v>
      </c>
      <c r="D65" s="32" t="s">
        <v>504</v>
      </c>
      <c r="E65" s="11" t="s">
        <v>9</v>
      </c>
    </row>
    <row r="66">
      <c r="A66" s="7">
        <v>0.25833333333333336</v>
      </c>
      <c r="B66" s="32" t="s">
        <v>502</v>
      </c>
      <c r="C66" s="35" t="s">
        <v>722</v>
      </c>
      <c r="D66" s="32" t="s">
        <v>720</v>
      </c>
      <c r="E66" s="11" t="s">
        <v>13</v>
      </c>
    </row>
    <row r="67">
      <c r="A67" s="1"/>
      <c r="B67" s="1" t="s">
        <v>53</v>
      </c>
      <c r="C67" s="2"/>
      <c r="D67" s="3"/>
      <c r="E67" s="4"/>
    </row>
    <row r="68">
      <c r="A68" s="15" t="s">
        <v>1</v>
      </c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7">
        <v>0.16666666666666666</v>
      </c>
      <c r="B69" s="32" t="s">
        <v>162</v>
      </c>
      <c r="C69" s="33" t="s">
        <v>212</v>
      </c>
      <c r="D69" s="32" t="s">
        <v>510</v>
      </c>
      <c r="E69" s="11" t="s">
        <v>33</v>
      </c>
    </row>
    <row r="70">
      <c r="A70" s="7">
        <v>0.16666666666666666</v>
      </c>
      <c r="B70" s="32" t="s">
        <v>381</v>
      </c>
      <c r="C70" s="33" t="s">
        <v>285</v>
      </c>
      <c r="D70" s="32" t="s">
        <v>723</v>
      </c>
      <c r="E70" s="11" t="s">
        <v>37</v>
      </c>
    </row>
    <row r="71">
      <c r="A71" s="7">
        <v>0.1763888888888889</v>
      </c>
      <c r="B71" s="32" t="s">
        <v>381</v>
      </c>
      <c r="C71" s="33" t="s">
        <v>76</v>
      </c>
      <c r="D71" s="32" t="s">
        <v>510</v>
      </c>
      <c r="E71" s="11" t="s">
        <v>33</v>
      </c>
    </row>
    <row r="72">
      <c r="A72" s="7">
        <v>0.1763888888888889</v>
      </c>
      <c r="B72" s="32" t="s">
        <v>512</v>
      </c>
      <c r="C72" s="33" t="s">
        <v>282</v>
      </c>
      <c r="D72" s="32" t="s">
        <v>723</v>
      </c>
      <c r="E72" s="11" t="s">
        <v>37</v>
      </c>
    </row>
    <row r="73">
      <c r="A73" s="7">
        <v>0.18680555555555556</v>
      </c>
      <c r="B73" s="32" t="s">
        <v>512</v>
      </c>
      <c r="C73" s="33" t="s">
        <v>197</v>
      </c>
      <c r="D73" s="32" t="s">
        <v>381</v>
      </c>
      <c r="E73" s="11" t="s">
        <v>33</v>
      </c>
    </row>
    <row r="74">
      <c r="A74" s="7">
        <v>0.18680555555555556</v>
      </c>
      <c r="B74" s="32" t="s">
        <v>723</v>
      </c>
      <c r="C74" s="33" t="s">
        <v>614</v>
      </c>
      <c r="D74" s="32" t="s">
        <v>162</v>
      </c>
      <c r="E74" s="11" t="s">
        <v>37</v>
      </c>
    </row>
    <row r="75">
      <c r="A75" s="7">
        <v>0.19722222222222222</v>
      </c>
      <c r="B75" s="32" t="s">
        <v>512</v>
      </c>
      <c r="C75" s="33" t="s">
        <v>88</v>
      </c>
      <c r="D75" s="32" t="s">
        <v>510</v>
      </c>
      <c r="E75" s="11" t="s">
        <v>33</v>
      </c>
    </row>
    <row r="76">
      <c r="A76" s="7">
        <v>0.19722222222222222</v>
      </c>
      <c r="B76" s="32" t="s">
        <v>162</v>
      </c>
      <c r="C76" s="33" t="s">
        <v>724</v>
      </c>
      <c r="D76" s="32" t="s">
        <v>381</v>
      </c>
      <c r="E76" s="11" t="s">
        <v>37</v>
      </c>
    </row>
    <row r="77">
      <c r="A77" s="7">
        <v>0.20694444444444443</v>
      </c>
      <c r="B77" s="32" t="s">
        <v>723</v>
      </c>
      <c r="C77" s="33" t="s">
        <v>351</v>
      </c>
      <c r="D77" s="32" t="s">
        <v>510</v>
      </c>
      <c r="E77" s="44" t="str">
        <f>HYPERLINK("https://youtu.be/C7ueCGojBi8?t=3524","channel 3")</f>
        <v>channel 3</v>
      </c>
    </row>
    <row r="78">
      <c r="A78" s="7">
        <v>0.20694444444444443</v>
      </c>
      <c r="B78" s="32" t="s">
        <v>162</v>
      </c>
      <c r="C78" s="33" t="s">
        <v>725</v>
      </c>
      <c r="D78" s="32" t="s">
        <v>512</v>
      </c>
      <c r="E78" s="11" t="s">
        <v>37</v>
      </c>
    </row>
    <row r="79">
      <c r="A79" s="7">
        <v>0.21736111111111112</v>
      </c>
      <c r="B79" s="32" t="s">
        <v>510</v>
      </c>
      <c r="C79" s="33" t="s">
        <v>239</v>
      </c>
      <c r="D79" s="32" t="s">
        <v>162</v>
      </c>
      <c r="E79" s="11" t="s">
        <v>33</v>
      </c>
    </row>
    <row r="80">
      <c r="A80" s="7">
        <v>0.21736111111111112</v>
      </c>
      <c r="B80" s="32" t="s">
        <v>723</v>
      </c>
      <c r="C80" s="33" t="s">
        <v>41</v>
      </c>
      <c r="D80" s="32" t="s">
        <v>381</v>
      </c>
      <c r="E80" s="11" t="s">
        <v>37</v>
      </c>
    </row>
    <row r="81">
      <c r="A81" s="7">
        <v>0.22777777777777777</v>
      </c>
      <c r="B81" s="32" t="s">
        <v>510</v>
      </c>
      <c r="C81" s="33" t="s">
        <v>43</v>
      </c>
      <c r="D81" s="32" t="s">
        <v>381</v>
      </c>
      <c r="E81" s="11" t="s">
        <v>33</v>
      </c>
    </row>
    <row r="82">
      <c r="A82" s="7">
        <v>0.22777777777777777</v>
      </c>
      <c r="B82" s="32" t="s">
        <v>723</v>
      </c>
      <c r="C82" s="33" t="s">
        <v>249</v>
      </c>
      <c r="D82" s="32" t="s">
        <v>512</v>
      </c>
      <c r="E82" s="11" t="s">
        <v>37</v>
      </c>
    </row>
    <row r="83">
      <c r="A83" s="7">
        <v>0.2375</v>
      </c>
      <c r="B83" s="32" t="s">
        <v>381</v>
      </c>
      <c r="C83" s="33" t="s">
        <v>400</v>
      </c>
      <c r="D83" s="32" t="s">
        <v>512</v>
      </c>
      <c r="E83" s="11" t="s">
        <v>33</v>
      </c>
    </row>
    <row r="84">
      <c r="A84" s="7">
        <v>0.2375</v>
      </c>
      <c r="B84" s="32" t="s">
        <v>162</v>
      </c>
      <c r="C84" s="33" t="s">
        <v>726</v>
      </c>
      <c r="D84" s="32" t="s">
        <v>723</v>
      </c>
      <c r="E84" s="11" t="s">
        <v>37</v>
      </c>
    </row>
    <row r="85">
      <c r="A85" s="7">
        <v>0.24791666666666667</v>
      </c>
      <c r="B85" s="32" t="s">
        <v>510</v>
      </c>
      <c r="C85" s="33" t="s">
        <v>544</v>
      </c>
      <c r="D85" s="32" t="s">
        <v>512</v>
      </c>
      <c r="E85" s="11" t="s">
        <v>33</v>
      </c>
    </row>
    <row r="86">
      <c r="A86" s="7">
        <v>0.24791666666666667</v>
      </c>
      <c r="B86" s="32" t="s">
        <v>381</v>
      </c>
      <c r="C86" s="33" t="s">
        <v>719</v>
      </c>
      <c r="D86" s="32" t="s">
        <v>162</v>
      </c>
      <c r="E86" s="11" t="s">
        <v>37</v>
      </c>
    </row>
    <row r="87">
      <c r="A87" s="7">
        <v>0.25833333333333336</v>
      </c>
      <c r="B87" s="32" t="s">
        <v>510</v>
      </c>
      <c r="C87" s="33" t="s">
        <v>190</v>
      </c>
      <c r="D87" s="32" t="s">
        <v>723</v>
      </c>
      <c r="E87" s="11" t="s">
        <v>33</v>
      </c>
    </row>
    <row r="88">
      <c r="A88" s="7">
        <v>0.25833333333333336</v>
      </c>
      <c r="B88" s="32" t="s">
        <v>512</v>
      </c>
      <c r="C88" s="33" t="s">
        <v>727</v>
      </c>
      <c r="D88" s="32" t="s">
        <v>162</v>
      </c>
      <c r="E88" s="11" t="s">
        <v>37</v>
      </c>
    </row>
    <row r="89">
      <c r="B89" s="1" t="s">
        <v>90</v>
      </c>
      <c r="C89" s="2"/>
      <c r="D89" s="3"/>
      <c r="E89" s="4"/>
    </row>
    <row r="90">
      <c r="A90" s="18" t="s">
        <v>1</v>
      </c>
      <c r="B90" s="16" t="s">
        <v>2</v>
      </c>
      <c r="C90" s="16" t="s">
        <v>3</v>
      </c>
      <c r="D90" s="16" t="s">
        <v>4</v>
      </c>
      <c r="E90" s="16" t="s">
        <v>5</v>
      </c>
    </row>
    <row r="91">
      <c r="A91" s="19">
        <v>0.3333333333333333</v>
      </c>
      <c r="B91" s="32" t="s">
        <v>728</v>
      </c>
      <c r="C91" s="35" t="s">
        <v>25</v>
      </c>
      <c r="D91" s="32" t="s">
        <v>729</v>
      </c>
      <c r="E91" s="11" t="s">
        <v>9</v>
      </c>
    </row>
    <row r="92">
      <c r="A92" s="19">
        <v>0.3333333333333333</v>
      </c>
      <c r="B92" s="32" t="s">
        <v>730</v>
      </c>
      <c r="C92" s="35" t="s">
        <v>195</v>
      </c>
      <c r="D92" s="32" t="s">
        <v>731</v>
      </c>
      <c r="E92" s="11" t="s">
        <v>13</v>
      </c>
    </row>
    <row r="93">
      <c r="A93" s="19">
        <v>0.34305555555555556</v>
      </c>
      <c r="B93" s="32" t="s">
        <v>730</v>
      </c>
      <c r="C93" s="35" t="s">
        <v>201</v>
      </c>
      <c r="D93" s="32" t="s">
        <v>729</v>
      </c>
      <c r="E93" s="11" t="s">
        <v>9</v>
      </c>
    </row>
    <row r="94">
      <c r="A94" s="19">
        <v>0.34305555555555556</v>
      </c>
      <c r="B94" s="32" t="s">
        <v>732</v>
      </c>
      <c r="C94" s="35" t="s">
        <v>195</v>
      </c>
      <c r="D94" s="32" t="s">
        <v>731</v>
      </c>
      <c r="E94" s="11" t="s">
        <v>13</v>
      </c>
    </row>
    <row r="95">
      <c r="A95" s="19">
        <v>0.35347222222222224</v>
      </c>
      <c r="B95" s="32" t="s">
        <v>732</v>
      </c>
      <c r="C95" s="35" t="s">
        <v>21</v>
      </c>
      <c r="D95" s="32" t="s">
        <v>730</v>
      </c>
      <c r="E95" s="11" t="s">
        <v>9</v>
      </c>
    </row>
    <row r="96">
      <c r="A96" s="19">
        <v>0.35347222222222224</v>
      </c>
      <c r="B96" s="32" t="s">
        <v>731</v>
      </c>
      <c r="C96" s="35" t="s">
        <v>11</v>
      </c>
      <c r="D96" s="32" t="s">
        <v>728</v>
      </c>
      <c r="E96" s="11" t="s">
        <v>13</v>
      </c>
    </row>
    <row r="97">
      <c r="A97" s="19">
        <v>0.3638888888888889</v>
      </c>
      <c r="B97" s="32" t="s">
        <v>732</v>
      </c>
      <c r="C97" s="35" t="s">
        <v>89</v>
      </c>
      <c r="D97" s="32" t="s">
        <v>729</v>
      </c>
      <c r="E97" s="11" t="s">
        <v>9</v>
      </c>
    </row>
    <row r="98">
      <c r="A98" s="19">
        <v>0.3638888888888889</v>
      </c>
      <c r="B98" s="32" t="s">
        <v>728</v>
      </c>
      <c r="C98" s="35" t="s">
        <v>193</v>
      </c>
      <c r="D98" s="32" t="s">
        <v>730</v>
      </c>
      <c r="E98" s="11" t="s">
        <v>13</v>
      </c>
    </row>
    <row r="99">
      <c r="A99" s="19">
        <v>0.3736111111111111</v>
      </c>
      <c r="B99" s="32" t="s">
        <v>731</v>
      </c>
      <c r="C99" s="35" t="s">
        <v>68</v>
      </c>
      <c r="D99" s="32" t="s">
        <v>729</v>
      </c>
      <c r="E99" s="11" t="s">
        <v>9</v>
      </c>
    </row>
    <row r="100">
      <c r="A100" s="19">
        <v>0.3736111111111111</v>
      </c>
      <c r="B100" s="32" t="s">
        <v>728</v>
      </c>
      <c r="C100" s="35" t="s">
        <v>312</v>
      </c>
      <c r="D100" s="32" t="s">
        <v>732</v>
      </c>
      <c r="E100" s="11" t="s">
        <v>13</v>
      </c>
    </row>
    <row r="101">
      <c r="A101" s="19">
        <v>0.3840277777777778</v>
      </c>
      <c r="B101" s="32" t="s">
        <v>729</v>
      </c>
      <c r="C101" s="35" t="s">
        <v>25</v>
      </c>
      <c r="D101" s="32" t="s">
        <v>728</v>
      </c>
      <c r="E101" s="11" t="s">
        <v>9</v>
      </c>
    </row>
    <row r="102">
      <c r="A102" s="19">
        <v>0.3840277777777778</v>
      </c>
      <c r="B102" s="32" t="s">
        <v>731</v>
      </c>
      <c r="C102" s="35" t="s">
        <v>17</v>
      </c>
      <c r="D102" s="32" t="s">
        <v>730</v>
      </c>
      <c r="E102" s="11" t="s">
        <v>13</v>
      </c>
    </row>
    <row r="103">
      <c r="A103" s="19">
        <v>0.39444444444444443</v>
      </c>
      <c r="B103" s="32" t="s">
        <v>729</v>
      </c>
      <c r="C103" s="35" t="s">
        <v>258</v>
      </c>
      <c r="D103" s="32" t="s">
        <v>730</v>
      </c>
      <c r="E103" s="11" t="s">
        <v>9</v>
      </c>
    </row>
    <row r="104">
      <c r="A104" s="19">
        <v>0.39444444444444443</v>
      </c>
      <c r="B104" s="32" t="s">
        <v>731</v>
      </c>
      <c r="C104" s="35" t="s">
        <v>82</v>
      </c>
      <c r="D104" s="32" t="s">
        <v>732</v>
      </c>
      <c r="E104" s="11" t="s">
        <v>13</v>
      </c>
    </row>
    <row r="105">
      <c r="A105" s="19">
        <v>0.4041666666666667</v>
      </c>
      <c r="B105" s="32" t="s">
        <v>730</v>
      </c>
      <c r="C105" s="35" t="s">
        <v>195</v>
      </c>
      <c r="D105" s="32" t="s">
        <v>732</v>
      </c>
      <c r="E105" s="11" t="s">
        <v>9</v>
      </c>
    </row>
    <row r="106">
      <c r="A106" s="19">
        <v>0.4041666666666667</v>
      </c>
      <c r="B106" s="32" t="s">
        <v>728</v>
      </c>
      <c r="C106" s="35" t="s">
        <v>400</v>
      </c>
      <c r="D106" s="32" t="s">
        <v>731</v>
      </c>
      <c r="E106" s="11" t="s">
        <v>13</v>
      </c>
    </row>
    <row r="107">
      <c r="A107" s="19">
        <v>0.41458333333333336</v>
      </c>
      <c r="B107" s="32" t="s">
        <v>729</v>
      </c>
      <c r="C107" s="35" t="s">
        <v>733</v>
      </c>
      <c r="D107" s="32" t="s">
        <v>732</v>
      </c>
      <c r="E107" s="11" t="s">
        <v>9</v>
      </c>
    </row>
    <row r="108">
      <c r="A108" s="19">
        <v>0.41458333333333336</v>
      </c>
      <c r="B108" s="32" t="s">
        <v>730</v>
      </c>
      <c r="C108" s="35" t="s">
        <v>87</v>
      </c>
      <c r="D108" s="32" t="s">
        <v>728</v>
      </c>
      <c r="E108" s="11" t="s">
        <v>13</v>
      </c>
    </row>
    <row r="109">
      <c r="A109" s="19">
        <v>0.425</v>
      </c>
      <c r="B109" s="32" t="s">
        <v>729</v>
      </c>
      <c r="C109" s="35" t="s">
        <v>19</v>
      </c>
      <c r="D109" s="32" t="s">
        <v>731</v>
      </c>
      <c r="E109" s="11" t="s">
        <v>9</v>
      </c>
    </row>
    <row r="110">
      <c r="A110" s="19">
        <v>0.425</v>
      </c>
      <c r="B110" s="32" t="s">
        <v>732</v>
      </c>
      <c r="C110" s="35" t="s">
        <v>295</v>
      </c>
      <c r="D110" s="32" t="s">
        <v>728</v>
      </c>
      <c r="E110" s="11" t="s">
        <v>13</v>
      </c>
      <c r="J110" s="36" t="s">
        <v>663</v>
      </c>
    </row>
    <row r="111">
      <c r="A111" s="1"/>
      <c r="B111" s="1" t="s">
        <v>90</v>
      </c>
      <c r="C111" s="2"/>
      <c r="D111" s="3"/>
      <c r="E111" s="4"/>
    </row>
    <row r="112">
      <c r="A112" s="18" t="s">
        <v>1</v>
      </c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A113" s="22">
        <v>0.3333333333333333</v>
      </c>
      <c r="B113" s="32" t="s">
        <v>734</v>
      </c>
      <c r="C113" s="33" t="s">
        <v>291</v>
      </c>
      <c r="D113" s="32" t="s">
        <v>640</v>
      </c>
      <c r="E113" s="11" t="s">
        <v>33</v>
      </c>
    </row>
    <row r="114">
      <c r="A114" s="23">
        <v>0.3333333333333333</v>
      </c>
      <c r="B114" s="32" t="s">
        <v>735</v>
      </c>
      <c r="C114" s="33" t="s">
        <v>195</v>
      </c>
      <c r="D114" s="32" t="s">
        <v>525</v>
      </c>
      <c r="E114" s="11" t="s">
        <v>37</v>
      </c>
    </row>
    <row r="115">
      <c r="A115" s="23">
        <v>0.34305555555555556</v>
      </c>
      <c r="B115" s="32" t="s">
        <v>735</v>
      </c>
      <c r="C115" s="33" t="s">
        <v>190</v>
      </c>
      <c r="D115" s="32" t="s">
        <v>640</v>
      </c>
      <c r="E115" s="11" t="s">
        <v>33</v>
      </c>
    </row>
    <row r="116">
      <c r="A116" s="23">
        <v>0.34305555555555556</v>
      </c>
      <c r="B116" s="32" t="s">
        <v>736</v>
      </c>
      <c r="C116" s="33" t="s">
        <v>81</v>
      </c>
      <c r="D116" s="32" t="s">
        <v>525</v>
      </c>
      <c r="E116" s="11" t="s">
        <v>37</v>
      </c>
    </row>
    <row r="117">
      <c r="A117" s="23">
        <v>0.35347222222222224</v>
      </c>
      <c r="B117" s="32" t="s">
        <v>736</v>
      </c>
      <c r="C117" s="33" t="s">
        <v>270</v>
      </c>
      <c r="D117" s="32" t="s">
        <v>735</v>
      </c>
      <c r="E117" s="11" t="s">
        <v>33</v>
      </c>
    </row>
    <row r="118">
      <c r="A118" s="23">
        <v>0.35347222222222224</v>
      </c>
      <c r="B118" s="32" t="s">
        <v>525</v>
      </c>
      <c r="C118" s="33" t="s">
        <v>41</v>
      </c>
      <c r="D118" s="32" t="s">
        <v>734</v>
      </c>
      <c r="E118" s="11" t="s">
        <v>37</v>
      </c>
    </row>
    <row r="119">
      <c r="A119" s="23">
        <v>0.3638888888888889</v>
      </c>
      <c r="B119" s="32" t="s">
        <v>736</v>
      </c>
      <c r="C119" s="33" t="s">
        <v>587</v>
      </c>
      <c r="D119" s="32" t="s">
        <v>640</v>
      </c>
      <c r="E119" s="11" t="s">
        <v>33</v>
      </c>
    </row>
    <row r="120">
      <c r="A120" s="23">
        <v>0.3638888888888889</v>
      </c>
      <c r="B120" s="32" t="s">
        <v>734</v>
      </c>
      <c r="C120" s="33" t="s">
        <v>43</v>
      </c>
      <c r="D120" s="32" t="s">
        <v>735</v>
      </c>
      <c r="E120" s="11" t="s">
        <v>37</v>
      </c>
    </row>
    <row r="121">
      <c r="A121" s="23">
        <v>0.3736111111111111</v>
      </c>
      <c r="B121" s="32" t="s">
        <v>525</v>
      </c>
      <c r="C121" s="33" t="s">
        <v>87</v>
      </c>
      <c r="D121" s="32" t="s">
        <v>640</v>
      </c>
      <c r="E121" s="11" t="s">
        <v>33</v>
      </c>
    </row>
    <row r="122">
      <c r="A122" s="23">
        <v>0.3736111111111111</v>
      </c>
      <c r="B122" s="32" t="s">
        <v>734</v>
      </c>
      <c r="C122" s="33" t="s">
        <v>370</v>
      </c>
      <c r="D122" s="32" t="s">
        <v>736</v>
      </c>
      <c r="E122" s="11" t="s">
        <v>37</v>
      </c>
    </row>
    <row r="123">
      <c r="A123" s="23">
        <v>0.3840277777777778</v>
      </c>
      <c r="B123" s="32" t="s">
        <v>640</v>
      </c>
      <c r="C123" s="33" t="s">
        <v>217</v>
      </c>
      <c r="D123" s="32" t="s">
        <v>734</v>
      </c>
      <c r="E123" s="11" t="s">
        <v>33</v>
      </c>
    </row>
    <row r="124">
      <c r="A124" s="23">
        <v>0.3840277777777778</v>
      </c>
      <c r="B124" s="32" t="s">
        <v>525</v>
      </c>
      <c r="C124" s="33" t="s">
        <v>22</v>
      </c>
      <c r="D124" s="32" t="s">
        <v>735</v>
      </c>
      <c r="E124" s="11" t="s">
        <v>37</v>
      </c>
    </row>
    <row r="125">
      <c r="A125" s="23">
        <v>0.39444444444444443</v>
      </c>
      <c r="B125" s="32" t="s">
        <v>640</v>
      </c>
      <c r="C125" s="33" t="s">
        <v>11</v>
      </c>
      <c r="D125" s="32" t="s">
        <v>735</v>
      </c>
      <c r="E125" s="11" t="s">
        <v>33</v>
      </c>
    </row>
    <row r="126">
      <c r="A126" s="23">
        <v>0.39444444444444443</v>
      </c>
      <c r="B126" s="32" t="s">
        <v>525</v>
      </c>
      <c r="C126" s="33" t="s">
        <v>65</v>
      </c>
      <c r="D126" s="32" t="s">
        <v>736</v>
      </c>
      <c r="E126" s="11" t="s">
        <v>37</v>
      </c>
    </row>
    <row r="127">
      <c r="A127" s="23">
        <v>0.4041666666666667</v>
      </c>
      <c r="B127" s="32" t="s">
        <v>735</v>
      </c>
      <c r="C127" s="33" t="s">
        <v>62</v>
      </c>
      <c r="D127" s="32" t="s">
        <v>736</v>
      </c>
      <c r="E127" s="11" t="s">
        <v>33</v>
      </c>
    </row>
    <row r="128">
      <c r="A128" s="23">
        <v>0.4041666666666667</v>
      </c>
      <c r="B128" s="32" t="s">
        <v>734</v>
      </c>
      <c r="C128" s="33" t="s">
        <v>239</v>
      </c>
      <c r="D128" s="32" t="s">
        <v>525</v>
      </c>
      <c r="E128" s="11" t="s">
        <v>37</v>
      </c>
    </row>
    <row r="129">
      <c r="A129" s="23">
        <v>0.41458333333333336</v>
      </c>
      <c r="B129" s="32" t="s">
        <v>640</v>
      </c>
      <c r="C129" s="33" t="s">
        <v>19</v>
      </c>
      <c r="D129" s="32" t="s">
        <v>736</v>
      </c>
      <c r="E129" s="11" t="s">
        <v>33</v>
      </c>
    </row>
    <row r="130">
      <c r="A130" s="23">
        <v>0.41458333333333336</v>
      </c>
      <c r="B130" s="32" t="s">
        <v>735</v>
      </c>
      <c r="C130" s="33" t="s">
        <v>82</v>
      </c>
      <c r="D130" s="32" t="s">
        <v>734</v>
      </c>
      <c r="E130" s="11" t="s">
        <v>37</v>
      </c>
    </row>
    <row r="131">
      <c r="A131" s="23">
        <v>0.425</v>
      </c>
      <c r="B131" s="32" t="s">
        <v>640</v>
      </c>
      <c r="C131" s="33" t="s">
        <v>566</v>
      </c>
      <c r="D131" s="32" t="s">
        <v>525</v>
      </c>
      <c r="E131" s="11" t="s">
        <v>33</v>
      </c>
    </row>
    <row r="132">
      <c r="A132" s="23">
        <v>0.425</v>
      </c>
      <c r="B132" s="32" t="s">
        <v>736</v>
      </c>
      <c r="C132" s="33" t="s">
        <v>354</v>
      </c>
      <c r="D132" s="32" t="s">
        <v>734</v>
      </c>
      <c r="E132" s="11" t="s">
        <v>37</v>
      </c>
    </row>
    <row r="133">
      <c r="A133" s="1"/>
      <c r="B133" s="1" t="s">
        <v>101</v>
      </c>
      <c r="C133" s="2"/>
      <c r="D133" s="3"/>
      <c r="E133" s="4"/>
    </row>
    <row r="134">
      <c r="A134" s="18" t="s">
        <v>1</v>
      </c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A135" s="19">
        <v>0.4375</v>
      </c>
      <c r="B135" s="32" t="s">
        <v>737</v>
      </c>
      <c r="C135" s="33" t="s">
        <v>291</v>
      </c>
      <c r="D135" s="32" t="s">
        <v>738</v>
      </c>
      <c r="E135" s="11" t="s">
        <v>9</v>
      </c>
    </row>
    <row r="136">
      <c r="A136" s="19">
        <v>0.4375</v>
      </c>
      <c r="B136" s="32" t="s">
        <v>739</v>
      </c>
      <c r="C136" s="33" t="s">
        <v>190</v>
      </c>
      <c r="D136" s="32" t="s">
        <v>740</v>
      </c>
      <c r="E136" s="11" t="s">
        <v>13</v>
      </c>
    </row>
    <row r="137">
      <c r="A137" s="19">
        <v>0.44722222222222224</v>
      </c>
      <c r="B137" s="32" t="s">
        <v>739</v>
      </c>
      <c r="C137" s="33" t="s">
        <v>741</v>
      </c>
      <c r="D137" s="32" t="s">
        <v>738</v>
      </c>
      <c r="E137" s="11" t="s">
        <v>9</v>
      </c>
    </row>
    <row r="138">
      <c r="A138" s="19">
        <v>0.44722222222222224</v>
      </c>
      <c r="B138" s="32" t="s">
        <v>742</v>
      </c>
      <c r="C138" s="33" t="s">
        <v>19</v>
      </c>
      <c r="D138" s="32" t="s">
        <v>740</v>
      </c>
      <c r="E138" s="11" t="s">
        <v>13</v>
      </c>
    </row>
    <row r="139">
      <c r="A139" s="19">
        <v>0.4576388888888889</v>
      </c>
      <c r="B139" s="32" t="s">
        <v>742</v>
      </c>
      <c r="C139" s="33" t="s">
        <v>251</v>
      </c>
      <c r="D139" s="32" t="s">
        <v>739</v>
      </c>
      <c r="E139" s="11" t="s">
        <v>9</v>
      </c>
    </row>
    <row r="140">
      <c r="A140" s="19">
        <v>0.4576388888888889</v>
      </c>
      <c r="B140" s="32" t="s">
        <v>740</v>
      </c>
      <c r="C140" s="33" t="s">
        <v>43</v>
      </c>
      <c r="D140" s="32" t="s">
        <v>737</v>
      </c>
      <c r="E140" s="11" t="s">
        <v>13</v>
      </c>
    </row>
    <row r="141">
      <c r="A141" s="19">
        <v>0.46805555555555556</v>
      </c>
      <c r="B141" s="32" t="s">
        <v>742</v>
      </c>
      <c r="C141" s="33" t="s">
        <v>370</v>
      </c>
      <c r="D141" s="32" t="s">
        <v>738</v>
      </c>
      <c r="E141" s="11" t="s">
        <v>9</v>
      </c>
    </row>
    <row r="142">
      <c r="A142" s="19">
        <v>0.46805555555555556</v>
      </c>
      <c r="B142" s="32" t="s">
        <v>737</v>
      </c>
      <c r="C142" s="33" t="s">
        <v>62</v>
      </c>
      <c r="D142" s="32" t="s">
        <v>739</v>
      </c>
      <c r="E142" s="11" t="s">
        <v>13</v>
      </c>
    </row>
    <row r="143">
      <c r="A143" s="19">
        <v>0.4777777777777778</v>
      </c>
      <c r="B143" s="32" t="s">
        <v>740</v>
      </c>
      <c r="C143" s="33" t="s">
        <v>64</v>
      </c>
      <c r="D143" s="32" t="s">
        <v>738</v>
      </c>
      <c r="E143" s="11" t="s">
        <v>9</v>
      </c>
    </row>
    <row r="144">
      <c r="A144" s="19">
        <v>0.4777777777777778</v>
      </c>
      <c r="B144" s="32" t="s">
        <v>737</v>
      </c>
      <c r="C144" s="33" t="s">
        <v>52</v>
      </c>
      <c r="D144" s="32" t="s">
        <v>742</v>
      </c>
      <c r="E144" s="11" t="s">
        <v>13</v>
      </c>
    </row>
    <row r="145">
      <c r="A145" s="19">
        <v>0.48819444444444443</v>
      </c>
      <c r="B145" s="32" t="s">
        <v>738</v>
      </c>
      <c r="C145" s="33" t="s">
        <v>218</v>
      </c>
      <c r="D145" s="32" t="s">
        <v>737</v>
      </c>
      <c r="E145" s="11" t="s">
        <v>9</v>
      </c>
    </row>
    <row r="146">
      <c r="A146" s="19">
        <v>0.48819444444444443</v>
      </c>
      <c r="B146" s="32" t="s">
        <v>740</v>
      </c>
      <c r="C146" s="33" t="s">
        <v>544</v>
      </c>
      <c r="D146" s="32" t="s">
        <v>739</v>
      </c>
      <c r="E146" s="11" t="s">
        <v>13</v>
      </c>
    </row>
    <row r="147">
      <c r="A147" s="19">
        <v>0.4986111111111111</v>
      </c>
      <c r="B147" s="32" t="s">
        <v>738</v>
      </c>
      <c r="C147" s="35" t="s">
        <v>743</v>
      </c>
      <c r="D147" s="32" t="s">
        <v>739</v>
      </c>
      <c r="E147" s="11" t="s">
        <v>9</v>
      </c>
    </row>
    <row r="148">
      <c r="A148" s="19">
        <v>0.4986111111111111</v>
      </c>
      <c r="B148" s="32" t="s">
        <v>740</v>
      </c>
      <c r="C148" s="35" t="s">
        <v>17</v>
      </c>
      <c r="D148" s="32" t="s">
        <v>742</v>
      </c>
      <c r="E148" s="11" t="s">
        <v>13</v>
      </c>
    </row>
    <row r="149">
      <c r="A149" s="19">
        <v>0.5083333333333333</v>
      </c>
      <c r="B149" s="32" t="s">
        <v>739</v>
      </c>
      <c r="C149" s="35" t="s">
        <v>304</v>
      </c>
      <c r="D149" s="32" t="s">
        <v>742</v>
      </c>
      <c r="E149" s="11" t="s">
        <v>9</v>
      </c>
    </row>
    <row r="150">
      <c r="A150" s="19">
        <v>0.5083333333333333</v>
      </c>
      <c r="B150" s="32" t="s">
        <v>737</v>
      </c>
      <c r="C150" s="35" t="s">
        <v>21</v>
      </c>
      <c r="D150" s="32" t="s">
        <v>740</v>
      </c>
      <c r="E150" s="11" t="s">
        <v>13</v>
      </c>
    </row>
    <row r="151">
      <c r="A151" s="19">
        <v>0.51875</v>
      </c>
      <c r="B151" s="32" t="s">
        <v>738</v>
      </c>
      <c r="C151" s="35" t="s">
        <v>88</v>
      </c>
      <c r="D151" s="32" t="s">
        <v>742</v>
      </c>
      <c r="E151" s="11" t="s">
        <v>9</v>
      </c>
    </row>
    <row r="152">
      <c r="A152" s="19">
        <v>0.51875</v>
      </c>
      <c r="B152" s="32" t="s">
        <v>739</v>
      </c>
      <c r="C152" s="35" t="s">
        <v>81</v>
      </c>
      <c r="D152" s="32" t="s">
        <v>737</v>
      </c>
      <c r="E152" s="11" t="s">
        <v>13</v>
      </c>
    </row>
    <row r="153">
      <c r="A153" s="19">
        <v>0.5291666666666667</v>
      </c>
      <c r="B153" s="32" t="s">
        <v>738</v>
      </c>
      <c r="C153" s="35" t="s">
        <v>65</v>
      </c>
      <c r="D153" s="32" t="s">
        <v>740</v>
      </c>
      <c r="E153" s="11" t="s">
        <v>9</v>
      </c>
    </row>
    <row r="154">
      <c r="A154" s="19">
        <v>0.5291666666666667</v>
      </c>
      <c r="B154" s="32" t="s">
        <v>742</v>
      </c>
      <c r="C154" s="35" t="s">
        <v>43</v>
      </c>
      <c r="D154" s="32" t="s">
        <v>737</v>
      </c>
      <c r="E154" s="11" t="s">
        <v>13</v>
      </c>
    </row>
    <row r="155">
      <c r="A155" s="1"/>
      <c r="B155" s="1" t="s">
        <v>101</v>
      </c>
      <c r="C155" s="2"/>
      <c r="D155" s="3"/>
      <c r="E155" s="4"/>
    </row>
    <row r="156">
      <c r="A156" s="18" t="s">
        <v>1</v>
      </c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A157" s="19">
        <v>0.4375</v>
      </c>
      <c r="B157" s="32" t="s">
        <v>744</v>
      </c>
      <c r="C157" s="33" t="s">
        <v>58</v>
      </c>
      <c r="D157" s="32" t="s">
        <v>745</v>
      </c>
      <c r="E157" s="11" t="s">
        <v>33</v>
      </c>
    </row>
    <row r="158">
      <c r="A158" s="19">
        <v>0.4375</v>
      </c>
      <c r="B158" s="32" t="s">
        <v>746</v>
      </c>
      <c r="C158" s="33" t="s">
        <v>7</v>
      </c>
      <c r="D158" s="32" t="s">
        <v>656</v>
      </c>
      <c r="E158" s="11" t="s">
        <v>37</v>
      </c>
    </row>
    <row r="159">
      <c r="A159" s="19">
        <v>0.44722222222222224</v>
      </c>
      <c r="B159" s="32" t="s">
        <v>746</v>
      </c>
      <c r="C159" s="33" t="s">
        <v>286</v>
      </c>
      <c r="D159" s="32" t="s">
        <v>745</v>
      </c>
      <c r="E159" s="11" t="s">
        <v>33</v>
      </c>
    </row>
    <row r="160">
      <c r="A160" s="19">
        <v>0.44722222222222224</v>
      </c>
      <c r="B160" s="32" t="s">
        <v>652</v>
      </c>
      <c r="C160" s="37" t="s">
        <v>25</v>
      </c>
      <c r="D160" s="32" t="s">
        <v>656</v>
      </c>
      <c r="E160" s="11" t="s">
        <v>37</v>
      </c>
    </row>
    <row r="161">
      <c r="A161" s="19">
        <v>0.4576388888888889</v>
      </c>
      <c r="B161" s="32" t="s">
        <v>652</v>
      </c>
      <c r="C161" s="33" t="s">
        <v>218</v>
      </c>
      <c r="D161" s="32" t="s">
        <v>746</v>
      </c>
      <c r="E161" s="11" t="s">
        <v>33</v>
      </c>
    </row>
    <row r="162">
      <c r="A162" s="19">
        <v>0.4576388888888889</v>
      </c>
      <c r="B162" s="32" t="s">
        <v>656</v>
      </c>
      <c r="C162" s="33" t="s">
        <v>17</v>
      </c>
      <c r="D162" s="32" t="s">
        <v>744</v>
      </c>
      <c r="E162" s="11" t="s">
        <v>37</v>
      </c>
    </row>
    <row r="163">
      <c r="A163" s="19">
        <v>0.46805555555555556</v>
      </c>
      <c r="B163" s="32" t="s">
        <v>652</v>
      </c>
      <c r="C163" s="33" t="s">
        <v>88</v>
      </c>
      <c r="D163" s="32" t="s">
        <v>745</v>
      </c>
      <c r="E163" s="11" t="s">
        <v>33</v>
      </c>
    </row>
    <row r="164">
      <c r="A164" s="19">
        <v>0.46805555555555556</v>
      </c>
      <c r="B164" s="32" t="s">
        <v>744</v>
      </c>
      <c r="C164" s="33" t="s">
        <v>43</v>
      </c>
      <c r="D164" s="45" t="s">
        <v>746</v>
      </c>
      <c r="E164" s="11" t="s">
        <v>37</v>
      </c>
    </row>
    <row r="165">
      <c r="A165" s="19">
        <v>0.4777777777777778</v>
      </c>
      <c r="B165" s="32" t="s">
        <v>656</v>
      </c>
      <c r="C165" s="33" t="s">
        <v>390</v>
      </c>
      <c r="D165" s="32" t="s">
        <v>745</v>
      </c>
      <c r="E165" s="11" t="s">
        <v>33</v>
      </c>
    </row>
    <row r="166">
      <c r="A166" s="19">
        <v>0.4777777777777778</v>
      </c>
      <c r="B166" s="32" t="s">
        <v>744</v>
      </c>
      <c r="C166" s="33" t="s">
        <v>260</v>
      </c>
      <c r="D166" s="32" t="s">
        <v>652</v>
      </c>
      <c r="E166" s="11" t="s">
        <v>37</v>
      </c>
    </row>
    <row r="167">
      <c r="A167" s="19">
        <v>0.48819444444444443</v>
      </c>
      <c r="B167" s="32" t="s">
        <v>745</v>
      </c>
      <c r="C167" s="33" t="s">
        <v>354</v>
      </c>
      <c r="D167" s="32" t="s">
        <v>744</v>
      </c>
      <c r="E167" s="11" t="s">
        <v>33</v>
      </c>
    </row>
    <row r="168">
      <c r="A168" s="19">
        <v>0.48819444444444443</v>
      </c>
      <c r="B168" s="32" t="s">
        <v>656</v>
      </c>
      <c r="C168" s="33" t="s">
        <v>69</v>
      </c>
      <c r="D168" s="32" t="s">
        <v>746</v>
      </c>
      <c r="E168" s="11" t="s">
        <v>37</v>
      </c>
    </row>
    <row r="169">
      <c r="A169" s="19">
        <v>0.4986111111111111</v>
      </c>
      <c r="B169" s="32" t="s">
        <v>745</v>
      </c>
      <c r="C169" s="33" t="s">
        <v>43</v>
      </c>
      <c r="D169" s="32" t="s">
        <v>746</v>
      </c>
      <c r="E169" s="11" t="s">
        <v>33</v>
      </c>
    </row>
    <row r="170">
      <c r="A170" s="19">
        <v>0.4986111111111111</v>
      </c>
      <c r="B170" s="32" t="s">
        <v>656</v>
      </c>
      <c r="C170" s="33" t="s">
        <v>205</v>
      </c>
      <c r="D170" s="32" t="s">
        <v>652</v>
      </c>
      <c r="E170" s="11" t="s">
        <v>37</v>
      </c>
    </row>
    <row r="171">
      <c r="A171" s="19">
        <v>0.5083333333333333</v>
      </c>
      <c r="B171" s="32" t="s">
        <v>746</v>
      </c>
      <c r="C171" s="33" t="s">
        <v>31</v>
      </c>
      <c r="D171" s="32" t="s">
        <v>652</v>
      </c>
      <c r="E171" s="11" t="s">
        <v>33</v>
      </c>
    </row>
    <row r="172">
      <c r="A172" s="19">
        <v>0.5083333333333333</v>
      </c>
      <c r="B172" s="32" t="s">
        <v>744</v>
      </c>
      <c r="C172" s="33" t="s">
        <v>80</v>
      </c>
      <c r="D172" s="32" t="s">
        <v>656</v>
      </c>
      <c r="E172" s="11" t="s">
        <v>37</v>
      </c>
    </row>
    <row r="173">
      <c r="A173" s="19">
        <v>0.51875</v>
      </c>
      <c r="B173" s="32" t="s">
        <v>745</v>
      </c>
      <c r="C173" s="33" t="s">
        <v>22</v>
      </c>
      <c r="D173" s="32" t="s">
        <v>652</v>
      </c>
      <c r="E173" s="11" t="s">
        <v>33</v>
      </c>
    </row>
    <row r="174">
      <c r="A174" s="19">
        <v>0.51875</v>
      </c>
      <c r="B174" s="32" t="s">
        <v>746</v>
      </c>
      <c r="C174" s="33" t="s">
        <v>747</v>
      </c>
      <c r="D174" s="32" t="s">
        <v>744</v>
      </c>
      <c r="E174" s="11" t="s">
        <v>37</v>
      </c>
    </row>
    <row r="175">
      <c r="A175" s="19">
        <v>0.5291666666666667</v>
      </c>
      <c r="B175" s="32" t="s">
        <v>745</v>
      </c>
      <c r="C175" s="33" t="s">
        <v>239</v>
      </c>
      <c r="D175" s="32" t="s">
        <v>656</v>
      </c>
      <c r="E175" s="11" t="s">
        <v>33</v>
      </c>
    </row>
    <row r="176">
      <c r="A176" s="19">
        <v>0.5291666666666667</v>
      </c>
      <c r="B176" s="32" t="s">
        <v>652</v>
      </c>
      <c r="C176" s="33" t="s">
        <v>48</v>
      </c>
      <c r="D176" s="32" t="s">
        <v>744</v>
      </c>
      <c r="E176" s="11" t="s">
        <v>37</v>
      </c>
    </row>
    <row r="177">
      <c r="A177" s="1"/>
      <c r="B177" s="1" t="s">
        <v>112</v>
      </c>
      <c r="C177" s="2"/>
      <c r="D177" s="3"/>
      <c r="E177" s="4"/>
    </row>
    <row r="178">
      <c r="A178" s="18" t="s">
        <v>1</v>
      </c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A179" s="19">
        <v>0.5416666666666666</v>
      </c>
      <c r="B179" s="32" t="s">
        <v>634</v>
      </c>
      <c r="C179" s="35" t="s">
        <v>31</v>
      </c>
      <c r="D179" s="32" t="s">
        <v>748</v>
      </c>
      <c r="E179" s="11" t="s">
        <v>9</v>
      </c>
    </row>
    <row r="180">
      <c r="A180" s="19">
        <v>0.5416666666666666</v>
      </c>
      <c r="B180" s="32" t="s">
        <v>749</v>
      </c>
      <c r="C180" s="35" t="s">
        <v>412</v>
      </c>
      <c r="D180" s="32" t="s">
        <v>750</v>
      </c>
      <c r="E180" s="11" t="s">
        <v>13</v>
      </c>
    </row>
    <row r="181">
      <c r="A181" s="19">
        <v>0.5513888888888889</v>
      </c>
      <c r="B181" s="32" t="s">
        <v>749</v>
      </c>
      <c r="C181" s="35" t="s">
        <v>751</v>
      </c>
      <c r="D181" s="32" t="s">
        <v>748</v>
      </c>
      <c r="E181" s="11" t="s">
        <v>9</v>
      </c>
    </row>
    <row r="182">
      <c r="A182" s="19">
        <v>0.5513888888888889</v>
      </c>
      <c r="B182" s="32" t="s">
        <v>546</v>
      </c>
      <c r="C182" s="35" t="s">
        <v>446</v>
      </c>
      <c r="D182" s="32" t="s">
        <v>750</v>
      </c>
      <c r="E182" s="11" t="s">
        <v>13</v>
      </c>
    </row>
    <row r="183">
      <c r="A183" s="19">
        <v>0.5618055555555556</v>
      </c>
      <c r="B183" s="32" t="s">
        <v>546</v>
      </c>
      <c r="C183" s="35" t="s">
        <v>752</v>
      </c>
      <c r="D183" s="32" t="s">
        <v>749</v>
      </c>
      <c r="E183" s="11" t="s">
        <v>9</v>
      </c>
    </row>
    <row r="184">
      <c r="A184" s="19">
        <v>0.5618055555555556</v>
      </c>
      <c r="B184" s="32" t="s">
        <v>750</v>
      </c>
      <c r="C184" s="35" t="s">
        <v>19</v>
      </c>
      <c r="D184" s="32" t="s">
        <v>634</v>
      </c>
      <c r="E184" s="11" t="s">
        <v>13</v>
      </c>
    </row>
    <row r="185">
      <c r="A185" s="19">
        <v>0.5722222222222222</v>
      </c>
      <c r="B185" s="32" t="s">
        <v>546</v>
      </c>
      <c r="C185" s="35" t="s">
        <v>295</v>
      </c>
      <c r="D185" s="32" t="s">
        <v>748</v>
      </c>
      <c r="E185" s="11" t="s">
        <v>9</v>
      </c>
    </row>
    <row r="186">
      <c r="A186" s="19">
        <v>0.5722222222222222</v>
      </c>
      <c r="B186" s="32" t="s">
        <v>634</v>
      </c>
      <c r="C186" s="35" t="s">
        <v>426</v>
      </c>
      <c r="D186" s="32" t="s">
        <v>749</v>
      </c>
      <c r="E186" s="11" t="s">
        <v>13</v>
      </c>
    </row>
    <row r="187">
      <c r="A187" s="19">
        <v>0.5819444444444445</v>
      </c>
      <c r="B187" s="32" t="s">
        <v>750</v>
      </c>
      <c r="C187" s="35" t="s">
        <v>282</v>
      </c>
      <c r="D187" s="32" t="s">
        <v>748</v>
      </c>
      <c r="E187" s="11" t="s">
        <v>9</v>
      </c>
    </row>
    <row r="188">
      <c r="A188" s="19">
        <v>0.5819444444444445</v>
      </c>
      <c r="B188" s="32" t="s">
        <v>634</v>
      </c>
      <c r="C188" s="35" t="s">
        <v>49</v>
      </c>
      <c r="D188" s="32" t="s">
        <v>546</v>
      </c>
      <c r="E188" s="11" t="s">
        <v>13</v>
      </c>
    </row>
    <row r="189">
      <c r="A189" s="19">
        <v>0.5923611111111111</v>
      </c>
      <c r="B189" s="32" t="s">
        <v>748</v>
      </c>
      <c r="C189" s="35" t="s">
        <v>260</v>
      </c>
      <c r="D189" s="32" t="s">
        <v>634</v>
      </c>
      <c r="E189" s="11" t="s">
        <v>9</v>
      </c>
    </row>
    <row r="190">
      <c r="A190" s="19">
        <v>0.5923611111111111</v>
      </c>
      <c r="B190" s="32" t="s">
        <v>750</v>
      </c>
      <c r="C190" s="35" t="s">
        <v>69</v>
      </c>
      <c r="D190" s="32" t="s">
        <v>749</v>
      </c>
      <c r="E190" s="11" t="s">
        <v>13</v>
      </c>
    </row>
    <row r="191">
      <c r="A191" s="19">
        <v>0.6027777777777777</v>
      </c>
      <c r="B191" s="32" t="s">
        <v>748</v>
      </c>
      <c r="C191" s="35" t="s">
        <v>71</v>
      </c>
      <c r="D191" s="32" t="s">
        <v>749</v>
      </c>
      <c r="E191" s="11" t="s">
        <v>9</v>
      </c>
    </row>
    <row r="192">
      <c r="A192" s="19">
        <v>0.6027777777777777</v>
      </c>
      <c r="B192" s="32" t="s">
        <v>750</v>
      </c>
      <c r="C192" s="35" t="s">
        <v>48</v>
      </c>
      <c r="D192" s="32" t="s">
        <v>546</v>
      </c>
      <c r="E192" s="11" t="s">
        <v>13</v>
      </c>
    </row>
    <row r="193">
      <c r="A193" s="19">
        <v>0.6125</v>
      </c>
      <c r="B193" s="32" t="s">
        <v>749</v>
      </c>
      <c r="C193" s="35" t="s">
        <v>194</v>
      </c>
      <c r="D193" s="32" t="s">
        <v>546</v>
      </c>
      <c r="E193" s="11" t="s">
        <v>9</v>
      </c>
    </row>
    <row r="194">
      <c r="A194" s="19">
        <v>0.6125</v>
      </c>
      <c r="B194" s="32" t="s">
        <v>634</v>
      </c>
      <c r="C194" s="35" t="s">
        <v>25</v>
      </c>
      <c r="D194" s="32" t="s">
        <v>750</v>
      </c>
      <c r="E194" s="11" t="s">
        <v>13</v>
      </c>
    </row>
    <row r="195">
      <c r="A195" s="19">
        <v>0.6229166666666667</v>
      </c>
      <c r="B195" s="32" t="s">
        <v>748</v>
      </c>
      <c r="C195" s="35" t="s">
        <v>416</v>
      </c>
      <c r="D195" s="32" t="s">
        <v>546</v>
      </c>
      <c r="E195" s="11" t="s">
        <v>9</v>
      </c>
    </row>
    <row r="196">
      <c r="A196" s="19">
        <v>0.6229166666666667</v>
      </c>
      <c r="B196" s="32" t="s">
        <v>749</v>
      </c>
      <c r="C196" s="35" t="s">
        <v>283</v>
      </c>
      <c r="D196" s="32" t="s">
        <v>634</v>
      </c>
      <c r="E196" s="11" t="s">
        <v>13</v>
      </c>
    </row>
    <row r="197">
      <c r="A197" s="19">
        <v>0.6333333333333333</v>
      </c>
      <c r="B197" s="32" t="s">
        <v>748</v>
      </c>
      <c r="C197" s="35" t="s">
        <v>305</v>
      </c>
      <c r="D197" s="32" t="s">
        <v>750</v>
      </c>
      <c r="E197" s="11" t="s">
        <v>9</v>
      </c>
    </row>
    <row r="198">
      <c r="A198" s="19">
        <v>0.6333333333333333</v>
      </c>
      <c r="B198" s="32" t="s">
        <v>546</v>
      </c>
      <c r="C198" s="35" t="s">
        <v>69</v>
      </c>
      <c r="D198" s="32" t="s">
        <v>634</v>
      </c>
      <c r="E198" s="11" t="s">
        <v>13</v>
      </c>
    </row>
    <row r="199">
      <c r="A199" s="1"/>
      <c r="B199" s="1" t="s">
        <v>112</v>
      </c>
      <c r="C199" s="2"/>
      <c r="D199" s="3"/>
      <c r="E199" s="4"/>
    </row>
    <row r="200">
      <c r="A200" s="18" t="s">
        <v>1</v>
      </c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A201" s="19">
        <v>0.5416666666666666</v>
      </c>
      <c r="B201" s="32" t="s">
        <v>753</v>
      </c>
      <c r="C201" s="33" t="s">
        <v>68</v>
      </c>
      <c r="D201" s="32" t="s">
        <v>754</v>
      </c>
      <c r="E201" s="11" t="s">
        <v>33</v>
      </c>
    </row>
    <row r="202">
      <c r="A202" s="19">
        <v>0.5416666666666666</v>
      </c>
      <c r="B202" s="32" t="s">
        <v>668</v>
      </c>
      <c r="C202" s="33" t="s">
        <v>66</v>
      </c>
      <c r="D202" s="32" t="s">
        <v>755</v>
      </c>
      <c r="E202" s="11" t="s">
        <v>37</v>
      </c>
    </row>
    <row r="203">
      <c r="A203" s="19">
        <v>0.5513888888888889</v>
      </c>
      <c r="B203" s="32" t="s">
        <v>668</v>
      </c>
      <c r="C203" s="33" t="s">
        <v>196</v>
      </c>
      <c r="D203" s="32" t="s">
        <v>754</v>
      </c>
      <c r="E203" s="11" t="s">
        <v>33</v>
      </c>
    </row>
    <row r="204">
      <c r="A204" s="19">
        <v>0.5513888888888889</v>
      </c>
      <c r="B204" s="32" t="s">
        <v>756</v>
      </c>
      <c r="C204" s="33" t="s">
        <v>195</v>
      </c>
      <c r="D204" s="32" t="s">
        <v>755</v>
      </c>
      <c r="E204" s="11" t="s">
        <v>37</v>
      </c>
    </row>
    <row r="205">
      <c r="A205" s="19">
        <v>0.5618055555555556</v>
      </c>
      <c r="B205" s="32" t="s">
        <v>756</v>
      </c>
      <c r="C205" s="33" t="s">
        <v>285</v>
      </c>
      <c r="D205" s="32" t="s">
        <v>668</v>
      </c>
      <c r="E205" s="11" t="s">
        <v>33</v>
      </c>
    </row>
    <row r="206">
      <c r="A206" s="19">
        <v>0.5618055555555556</v>
      </c>
      <c r="B206" s="32" t="s">
        <v>755</v>
      </c>
      <c r="C206" s="33" t="s">
        <v>212</v>
      </c>
      <c r="D206" s="32" t="s">
        <v>753</v>
      </c>
      <c r="E206" s="11" t="s">
        <v>37</v>
      </c>
    </row>
    <row r="207">
      <c r="A207" s="19">
        <v>0.5722222222222222</v>
      </c>
      <c r="B207" s="32" t="s">
        <v>756</v>
      </c>
      <c r="C207" s="33" t="s">
        <v>42</v>
      </c>
      <c r="D207" s="32" t="s">
        <v>754</v>
      </c>
      <c r="E207" s="11" t="s">
        <v>33</v>
      </c>
    </row>
    <row r="208">
      <c r="A208" s="19">
        <v>0.5722222222222222</v>
      </c>
      <c r="B208" s="32" t="s">
        <v>753</v>
      </c>
      <c r="C208" s="33" t="s">
        <v>722</v>
      </c>
      <c r="D208" s="32" t="s">
        <v>668</v>
      </c>
      <c r="E208" s="11" t="s">
        <v>37</v>
      </c>
    </row>
    <row r="209">
      <c r="A209" s="19">
        <v>0.5819444444444445</v>
      </c>
      <c r="B209" s="32" t="s">
        <v>755</v>
      </c>
      <c r="C209" s="33" t="s">
        <v>757</v>
      </c>
      <c r="D209" s="32" t="s">
        <v>754</v>
      </c>
      <c r="E209" s="11" t="s">
        <v>33</v>
      </c>
    </row>
    <row r="210">
      <c r="A210" s="19">
        <v>0.5819444444444445</v>
      </c>
      <c r="B210" s="32" t="s">
        <v>753</v>
      </c>
      <c r="C210" s="33" t="s">
        <v>238</v>
      </c>
      <c r="D210" s="32" t="s">
        <v>756</v>
      </c>
      <c r="E210" s="11" t="s">
        <v>37</v>
      </c>
    </row>
    <row r="211">
      <c r="A211" s="19">
        <v>0.5923611111111111</v>
      </c>
      <c r="B211" s="32" t="s">
        <v>754</v>
      </c>
      <c r="C211" s="33" t="s">
        <v>194</v>
      </c>
      <c r="D211" s="32" t="s">
        <v>753</v>
      </c>
      <c r="E211" s="11" t="s">
        <v>33</v>
      </c>
    </row>
    <row r="212">
      <c r="A212" s="19">
        <v>0.5923611111111111</v>
      </c>
      <c r="B212" s="32" t="s">
        <v>755</v>
      </c>
      <c r="C212" s="33" t="s">
        <v>87</v>
      </c>
      <c r="D212" s="32" t="s">
        <v>668</v>
      </c>
      <c r="E212" s="11" t="s">
        <v>37</v>
      </c>
    </row>
    <row r="213">
      <c r="A213" s="19">
        <v>0.6027777777777777</v>
      </c>
      <c r="B213" s="32" t="s">
        <v>754</v>
      </c>
      <c r="C213" s="33" t="s">
        <v>20</v>
      </c>
      <c r="D213" s="32" t="s">
        <v>668</v>
      </c>
      <c r="E213" s="11" t="s">
        <v>33</v>
      </c>
    </row>
    <row r="214">
      <c r="A214" s="19">
        <v>0.6027777777777777</v>
      </c>
      <c r="B214" s="32" t="s">
        <v>755</v>
      </c>
      <c r="C214" s="33" t="s">
        <v>48</v>
      </c>
      <c r="D214" s="32" t="s">
        <v>756</v>
      </c>
      <c r="E214" s="11" t="s">
        <v>37</v>
      </c>
    </row>
    <row r="215">
      <c r="A215" s="19">
        <v>0.6125</v>
      </c>
      <c r="B215" s="32" t="s">
        <v>668</v>
      </c>
      <c r="C215" s="33" t="s">
        <v>43</v>
      </c>
      <c r="D215" s="32" t="s">
        <v>756</v>
      </c>
      <c r="E215" s="11" t="s">
        <v>33</v>
      </c>
    </row>
    <row r="216">
      <c r="A216" s="19">
        <v>0.6125</v>
      </c>
      <c r="B216" s="32" t="s">
        <v>753</v>
      </c>
      <c r="C216" s="33" t="s">
        <v>249</v>
      </c>
      <c r="D216" s="32" t="s">
        <v>755</v>
      </c>
      <c r="E216" s="11" t="s">
        <v>37</v>
      </c>
    </row>
    <row r="217">
      <c r="A217" s="19">
        <v>0.6229166666666667</v>
      </c>
      <c r="B217" s="32" t="s">
        <v>754</v>
      </c>
      <c r="C217" s="33" t="s">
        <v>14</v>
      </c>
      <c r="D217" s="32" t="s">
        <v>756</v>
      </c>
      <c r="E217" s="11" t="s">
        <v>33</v>
      </c>
    </row>
    <row r="218">
      <c r="A218" s="19">
        <v>0.6229166666666667</v>
      </c>
      <c r="B218" s="32" t="s">
        <v>668</v>
      </c>
      <c r="C218" s="33" t="s">
        <v>758</v>
      </c>
      <c r="D218" s="32" t="s">
        <v>753</v>
      </c>
      <c r="E218" s="11" t="s">
        <v>37</v>
      </c>
    </row>
    <row r="219">
      <c r="A219" s="19">
        <v>0.6333333333333333</v>
      </c>
      <c r="B219" s="32" t="s">
        <v>754</v>
      </c>
      <c r="C219" s="33" t="s">
        <v>533</v>
      </c>
      <c r="D219" s="32" t="s">
        <v>755</v>
      </c>
      <c r="E219" s="11" t="s">
        <v>33</v>
      </c>
    </row>
    <row r="220">
      <c r="A220" s="19">
        <v>0.6333333333333333</v>
      </c>
      <c r="B220" s="32" t="s">
        <v>756</v>
      </c>
      <c r="C220" s="33" t="s">
        <v>83</v>
      </c>
      <c r="D220" s="32" t="s">
        <v>753</v>
      </c>
      <c r="E220" s="11" t="s">
        <v>37</v>
      </c>
    </row>
    <row r="221">
      <c r="A221" s="27"/>
      <c r="B221" s="28" t="s">
        <v>123</v>
      </c>
      <c r="C221" s="2"/>
      <c r="D221" s="3"/>
      <c r="E221" s="29"/>
    </row>
    <row r="222">
      <c r="A222" s="18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9">
        <v>0.6458333333333334</v>
      </c>
      <c r="B223" s="34" t="s">
        <v>759</v>
      </c>
      <c r="C223" s="33" t="s">
        <v>66</v>
      </c>
      <c r="D223" s="34" t="s">
        <v>562</v>
      </c>
      <c r="E223" s="11" t="s">
        <v>9</v>
      </c>
    </row>
    <row r="224">
      <c r="A224" s="19">
        <v>0.6458333333333334</v>
      </c>
      <c r="B224" s="34" t="s">
        <v>432</v>
      </c>
      <c r="C224" s="33" t="s">
        <v>19</v>
      </c>
      <c r="D224" s="34" t="s">
        <v>760</v>
      </c>
      <c r="E224" s="11" t="s">
        <v>13</v>
      </c>
    </row>
    <row r="225">
      <c r="A225" s="19">
        <v>0.6555555555555556</v>
      </c>
      <c r="B225" s="34" t="s">
        <v>432</v>
      </c>
      <c r="C225" s="33" t="s">
        <v>190</v>
      </c>
      <c r="D225" s="34" t="s">
        <v>562</v>
      </c>
      <c r="E225" s="11" t="s">
        <v>9</v>
      </c>
    </row>
    <row r="226">
      <c r="A226" s="19">
        <v>0.6555555555555556</v>
      </c>
      <c r="B226" s="34" t="s">
        <v>761</v>
      </c>
      <c r="C226" s="33" t="s">
        <v>17</v>
      </c>
      <c r="D226" s="34" t="s">
        <v>760</v>
      </c>
      <c r="E226" s="11" t="s">
        <v>13</v>
      </c>
    </row>
    <row r="227">
      <c r="A227" s="19">
        <v>0.6659722222222222</v>
      </c>
      <c r="B227" s="34" t="s">
        <v>761</v>
      </c>
      <c r="C227" s="33" t="s">
        <v>66</v>
      </c>
      <c r="D227" s="34" t="s">
        <v>432</v>
      </c>
      <c r="E227" s="11" t="s">
        <v>9</v>
      </c>
    </row>
    <row r="228">
      <c r="A228" s="19">
        <v>0.6659722222222222</v>
      </c>
      <c r="B228" s="34" t="s">
        <v>760</v>
      </c>
      <c r="C228" s="33" t="s">
        <v>196</v>
      </c>
      <c r="D228" s="34" t="s">
        <v>759</v>
      </c>
      <c r="E228" s="11" t="s">
        <v>13</v>
      </c>
    </row>
    <row r="229">
      <c r="A229" s="19">
        <v>0.6763888888888889</v>
      </c>
      <c r="B229" s="34" t="s">
        <v>761</v>
      </c>
      <c r="C229" s="33" t="s">
        <v>465</v>
      </c>
      <c r="D229" s="34" t="s">
        <v>562</v>
      </c>
      <c r="E229" s="11" t="s">
        <v>9</v>
      </c>
    </row>
    <row r="230">
      <c r="A230" s="19">
        <v>0.6763888888888889</v>
      </c>
      <c r="B230" s="34" t="s">
        <v>759</v>
      </c>
      <c r="C230" s="33" t="s">
        <v>231</v>
      </c>
      <c r="D230" s="34" t="s">
        <v>432</v>
      </c>
      <c r="E230" s="11" t="s">
        <v>13</v>
      </c>
    </row>
    <row r="231">
      <c r="A231" s="19">
        <v>0.6861111111111111</v>
      </c>
      <c r="B231" s="34" t="s">
        <v>760</v>
      </c>
      <c r="C231" s="33" t="s">
        <v>260</v>
      </c>
      <c r="D231" s="34" t="s">
        <v>562</v>
      </c>
      <c r="E231" s="11" t="s">
        <v>9</v>
      </c>
    </row>
    <row r="232">
      <c r="A232" s="19">
        <v>0.6861111111111111</v>
      </c>
      <c r="B232" s="34" t="s">
        <v>759</v>
      </c>
      <c r="C232" s="33" t="s">
        <v>87</v>
      </c>
      <c r="D232" s="34" t="s">
        <v>761</v>
      </c>
      <c r="E232" s="11" t="s">
        <v>13</v>
      </c>
    </row>
    <row r="233">
      <c r="A233" s="19">
        <v>0.6965277777777777</v>
      </c>
      <c r="B233" s="34" t="s">
        <v>562</v>
      </c>
      <c r="C233" s="33" t="s">
        <v>285</v>
      </c>
      <c r="D233" s="34" t="s">
        <v>759</v>
      </c>
      <c r="E233" s="11" t="s">
        <v>9</v>
      </c>
    </row>
    <row r="234">
      <c r="A234" s="19">
        <v>0.6965277777777777</v>
      </c>
      <c r="B234" s="34" t="s">
        <v>760</v>
      </c>
      <c r="C234" s="33" t="s">
        <v>306</v>
      </c>
      <c r="D234" s="34" t="s">
        <v>432</v>
      </c>
      <c r="E234" s="11" t="s">
        <v>13</v>
      </c>
    </row>
    <row r="235">
      <c r="A235" s="19">
        <v>0.7069444444444445</v>
      </c>
      <c r="B235" s="34" t="s">
        <v>562</v>
      </c>
      <c r="C235" s="35" t="s">
        <v>362</v>
      </c>
      <c r="D235" s="34" t="s">
        <v>432</v>
      </c>
      <c r="E235" s="11" t="s">
        <v>9</v>
      </c>
    </row>
    <row r="236">
      <c r="A236" s="19">
        <v>0.7069444444444445</v>
      </c>
      <c r="B236" s="34" t="s">
        <v>760</v>
      </c>
      <c r="C236" s="35" t="s">
        <v>69</v>
      </c>
      <c r="D236" s="34" t="s">
        <v>761</v>
      </c>
      <c r="E236" s="11" t="s">
        <v>13</v>
      </c>
    </row>
    <row r="237">
      <c r="A237" s="19">
        <v>0.7166666666666667</v>
      </c>
      <c r="B237" s="34" t="s">
        <v>432</v>
      </c>
      <c r="C237" s="35" t="s">
        <v>238</v>
      </c>
      <c r="D237" s="34" t="s">
        <v>761</v>
      </c>
      <c r="E237" s="11" t="s">
        <v>9</v>
      </c>
    </row>
    <row r="238">
      <c r="A238" s="19">
        <v>0.7166666666666667</v>
      </c>
      <c r="B238" s="34" t="s">
        <v>759</v>
      </c>
      <c r="C238" s="35" t="s">
        <v>544</v>
      </c>
      <c r="D238" s="34" t="s">
        <v>760</v>
      </c>
      <c r="E238" s="11" t="s">
        <v>13</v>
      </c>
    </row>
    <row r="239">
      <c r="A239" s="19">
        <v>0.7270833333333333</v>
      </c>
      <c r="B239" s="34" t="s">
        <v>562</v>
      </c>
      <c r="C239" s="35" t="s">
        <v>243</v>
      </c>
      <c r="D239" s="34" t="s">
        <v>761</v>
      </c>
      <c r="E239" s="11" t="s">
        <v>9</v>
      </c>
    </row>
    <row r="240">
      <c r="A240" s="19">
        <v>0.7270833333333333</v>
      </c>
      <c r="B240" s="34" t="s">
        <v>432</v>
      </c>
      <c r="C240" s="35" t="s">
        <v>25</v>
      </c>
      <c r="D240" s="34" t="s">
        <v>759</v>
      </c>
      <c r="E240" s="11" t="s">
        <v>13</v>
      </c>
    </row>
    <row r="241">
      <c r="A241" s="19">
        <v>0.7375</v>
      </c>
      <c r="B241" s="34" t="s">
        <v>562</v>
      </c>
      <c r="C241" s="35" t="s">
        <v>21</v>
      </c>
      <c r="D241" s="34" t="s">
        <v>760</v>
      </c>
      <c r="E241" s="11" t="s">
        <v>9</v>
      </c>
    </row>
    <row r="242">
      <c r="A242" s="19">
        <v>0.7375</v>
      </c>
      <c r="B242" s="34" t="s">
        <v>761</v>
      </c>
      <c r="C242" s="35" t="s">
        <v>197</v>
      </c>
      <c r="D242" s="34" t="s">
        <v>759</v>
      </c>
      <c r="E242" s="11" t="s">
        <v>13</v>
      </c>
    </row>
    <row r="243">
      <c r="A243" s="27"/>
      <c r="B243" s="28" t="s">
        <v>123</v>
      </c>
      <c r="C243" s="2"/>
      <c r="D243" s="3"/>
      <c r="E243" s="29"/>
    </row>
    <row r="244">
      <c r="A244" s="18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9">
        <v>0.6458333333333334</v>
      </c>
      <c r="B245" s="34" t="s">
        <v>762</v>
      </c>
      <c r="C245" s="33" t="s">
        <v>658</v>
      </c>
      <c r="D245" s="34" t="s">
        <v>763</v>
      </c>
      <c r="E245" s="11" t="s">
        <v>33</v>
      </c>
    </row>
    <row r="246">
      <c r="A246" s="19">
        <v>0.6458333333333334</v>
      </c>
      <c r="B246" s="34" t="s">
        <v>764</v>
      </c>
      <c r="C246" s="33" t="s">
        <v>765</v>
      </c>
      <c r="D246" s="34" t="s">
        <v>766</v>
      </c>
      <c r="E246" s="11" t="s">
        <v>37</v>
      </c>
    </row>
    <row r="247">
      <c r="A247" s="19">
        <v>0.6555555555555556</v>
      </c>
      <c r="B247" s="34" t="s">
        <v>764</v>
      </c>
      <c r="C247" s="33" t="s">
        <v>767</v>
      </c>
      <c r="D247" s="34" t="s">
        <v>763</v>
      </c>
      <c r="E247" s="11" t="s">
        <v>33</v>
      </c>
    </row>
    <row r="248">
      <c r="A248" s="19">
        <v>0.6555555555555556</v>
      </c>
      <c r="B248" s="34" t="s">
        <v>768</v>
      </c>
      <c r="C248" s="33" t="s">
        <v>769</v>
      </c>
      <c r="D248" s="34" t="s">
        <v>766</v>
      </c>
      <c r="E248" s="11" t="s">
        <v>37</v>
      </c>
    </row>
    <row r="249">
      <c r="A249" s="19">
        <v>0.6659722222222222</v>
      </c>
      <c r="B249" s="34" t="s">
        <v>768</v>
      </c>
      <c r="C249" s="33" t="s">
        <v>197</v>
      </c>
      <c r="D249" s="34" t="s">
        <v>764</v>
      </c>
      <c r="E249" s="11" t="s">
        <v>33</v>
      </c>
    </row>
    <row r="250">
      <c r="A250" s="19">
        <v>0.6659722222222222</v>
      </c>
      <c r="B250" s="34" t="s">
        <v>766</v>
      </c>
      <c r="C250" s="33" t="s">
        <v>81</v>
      </c>
      <c r="D250" s="34" t="s">
        <v>762</v>
      </c>
      <c r="E250" s="11" t="s">
        <v>37</v>
      </c>
    </row>
    <row r="251">
      <c r="A251" s="19">
        <v>0.6763888888888889</v>
      </c>
      <c r="B251" s="34" t="s">
        <v>768</v>
      </c>
      <c r="C251" s="33" t="s">
        <v>65</v>
      </c>
      <c r="D251" s="34" t="s">
        <v>763</v>
      </c>
      <c r="E251" s="11" t="s">
        <v>33</v>
      </c>
    </row>
    <row r="252">
      <c r="A252" s="19">
        <v>0.6763888888888889</v>
      </c>
      <c r="B252" s="34" t="s">
        <v>762</v>
      </c>
      <c r="C252" s="33" t="s">
        <v>82</v>
      </c>
      <c r="D252" s="34" t="s">
        <v>764</v>
      </c>
      <c r="E252" s="11" t="s">
        <v>37</v>
      </c>
    </row>
    <row r="253">
      <c r="A253" s="19">
        <v>0.6861111111111111</v>
      </c>
      <c r="B253" s="34" t="s">
        <v>766</v>
      </c>
      <c r="C253" s="33" t="s">
        <v>770</v>
      </c>
      <c r="D253" s="34" t="s">
        <v>763</v>
      </c>
      <c r="E253" s="11" t="s">
        <v>33</v>
      </c>
    </row>
    <row r="254">
      <c r="A254" s="19">
        <v>0.6861111111111111</v>
      </c>
      <c r="B254" s="34" t="s">
        <v>762</v>
      </c>
      <c r="C254" s="33" t="s">
        <v>544</v>
      </c>
      <c r="D254" s="34" t="s">
        <v>768</v>
      </c>
      <c r="E254" s="11" t="s">
        <v>37</v>
      </c>
    </row>
    <row r="255">
      <c r="A255" s="19">
        <v>0.6965277777777777</v>
      </c>
      <c r="B255" s="34" t="s">
        <v>763</v>
      </c>
      <c r="C255" s="33" t="s">
        <v>17</v>
      </c>
      <c r="D255" s="34" t="s">
        <v>762</v>
      </c>
      <c r="E255" s="11" t="s">
        <v>33</v>
      </c>
    </row>
    <row r="256">
      <c r="A256" s="19">
        <v>0.6965277777777777</v>
      </c>
      <c r="B256" s="34" t="s">
        <v>766</v>
      </c>
      <c r="C256" s="33" t="s">
        <v>370</v>
      </c>
      <c r="D256" s="34" t="s">
        <v>764</v>
      </c>
      <c r="E256" s="11" t="s">
        <v>37</v>
      </c>
    </row>
    <row r="257">
      <c r="A257" s="19">
        <v>0.7069444444444445</v>
      </c>
      <c r="B257" s="34" t="s">
        <v>763</v>
      </c>
      <c r="C257" s="33" t="s">
        <v>22</v>
      </c>
      <c r="D257" s="34" t="s">
        <v>764</v>
      </c>
      <c r="E257" s="11" t="s">
        <v>33</v>
      </c>
    </row>
    <row r="258">
      <c r="A258" s="19">
        <v>0.7069444444444445</v>
      </c>
      <c r="B258" s="34" t="s">
        <v>766</v>
      </c>
      <c r="C258" s="33" t="s">
        <v>238</v>
      </c>
      <c r="D258" s="34" t="s">
        <v>768</v>
      </c>
      <c r="E258" s="11" t="s">
        <v>37</v>
      </c>
    </row>
    <row r="259">
      <c r="A259" s="19">
        <v>0.7166666666666667</v>
      </c>
      <c r="B259" s="34" t="s">
        <v>764</v>
      </c>
      <c r="C259" s="33" t="s">
        <v>584</v>
      </c>
      <c r="D259" s="34" t="s">
        <v>768</v>
      </c>
      <c r="E259" s="11" t="s">
        <v>33</v>
      </c>
    </row>
    <row r="260">
      <c r="A260" s="19">
        <v>0.7166666666666667</v>
      </c>
      <c r="B260" s="34" t="s">
        <v>762</v>
      </c>
      <c r="C260" s="33" t="s">
        <v>319</v>
      </c>
      <c r="D260" s="34" t="s">
        <v>766</v>
      </c>
      <c r="E260" s="11" t="s">
        <v>37</v>
      </c>
    </row>
    <row r="261">
      <c r="A261" s="19">
        <v>0.7270833333333333</v>
      </c>
      <c r="B261" s="34" t="s">
        <v>763</v>
      </c>
      <c r="C261" s="33" t="s">
        <v>27</v>
      </c>
      <c r="D261" s="34" t="s">
        <v>768</v>
      </c>
      <c r="E261" s="11" t="s">
        <v>33</v>
      </c>
    </row>
    <row r="262">
      <c r="A262" s="19">
        <v>0.7270833333333333</v>
      </c>
      <c r="B262" s="34" t="s">
        <v>764</v>
      </c>
      <c r="C262" s="33" t="s">
        <v>684</v>
      </c>
      <c r="D262" s="34" t="s">
        <v>762</v>
      </c>
      <c r="E262" s="11" t="s">
        <v>37</v>
      </c>
    </row>
    <row r="263">
      <c r="A263" s="19">
        <v>0.7375</v>
      </c>
      <c r="B263" s="34" t="s">
        <v>763</v>
      </c>
      <c r="C263" s="33" t="s">
        <v>286</v>
      </c>
      <c r="D263" s="34" t="s">
        <v>766</v>
      </c>
      <c r="E263" s="11" t="s">
        <v>33</v>
      </c>
    </row>
    <row r="264">
      <c r="A264" s="19">
        <v>0.7375</v>
      </c>
      <c r="B264" s="34" t="s">
        <v>768</v>
      </c>
      <c r="C264" s="33" t="s">
        <v>14</v>
      </c>
      <c r="D264" s="34" t="s">
        <v>762</v>
      </c>
      <c r="E264" s="11" t="s">
        <v>37</v>
      </c>
    </row>
    <row r="265">
      <c r="A265" s="27"/>
      <c r="B265" s="28" t="s">
        <v>134</v>
      </c>
      <c r="C265" s="2"/>
      <c r="D265" s="3"/>
      <c r="E265" s="29"/>
    </row>
    <row r="266">
      <c r="A266" s="18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9">
        <v>0.75</v>
      </c>
      <c r="B267" s="34" t="s">
        <v>771</v>
      </c>
      <c r="C267" s="35" t="s">
        <v>273</v>
      </c>
      <c r="D267" s="34" t="s">
        <v>772</v>
      </c>
      <c r="E267" s="11" t="s">
        <v>9</v>
      </c>
    </row>
    <row r="268">
      <c r="A268" s="19">
        <v>0.75</v>
      </c>
      <c r="B268" s="34" t="s">
        <v>773</v>
      </c>
      <c r="C268" s="35" t="s">
        <v>17</v>
      </c>
      <c r="D268" s="34" t="s">
        <v>774</v>
      </c>
      <c r="E268" s="11" t="s">
        <v>13</v>
      </c>
    </row>
    <row r="269">
      <c r="A269" s="19">
        <v>0.7597222222222222</v>
      </c>
      <c r="B269" s="34" t="s">
        <v>773</v>
      </c>
      <c r="C269" s="35" t="s">
        <v>239</v>
      </c>
      <c r="D269" s="34" t="s">
        <v>772</v>
      </c>
      <c r="E269" s="11" t="s">
        <v>9</v>
      </c>
    </row>
    <row r="270">
      <c r="A270" s="19">
        <v>0.7597222222222222</v>
      </c>
      <c r="B270" s="34" t="s">
        <v>315</v>
      </c>
      <c r="C270" s="35" t="s">
        <v>41</v>
      </c>
      <c r="D270" s="34" t="s">
        <v>774</v>
      </c>
      <c r="E270" s="11" t="s">
        <v>13</v>
      </c>
    </row>
    <row r="271">
      <c r="A271" s="19">
        <v>0.7701388888888889</v>
      </c>
      <c r="B271" s="34" t="s">
        <v>315</v>
      </c>
      <c r="C271" s="35" t="s">
        <v>775</v>
      </c>
      <c r="D271" s="34" t="s">
        <v>773</v>
      </c>
      <c r="E271" s="11" t="s">
        <v>9</v>
      </c>
    </row>
    <row r="272">
      <c r="A272" s="19">
        <v>0.7701388888888889</v>
      </c>
      <c r="B272" s="34" t="s">
        <v>774</v>
      </c>
      <c r="C272" s="35" t="s">
        <v>363</v>
      </c>
      <c r="D272" s="34" t="s">
        <v>771</v>
      </c>
      <c r="E272" s="11" t="s">
        <v>13</v>
      </c>
    </row>
    <row r="273">
      <c r="A273" s="19">
        <v>0.7805555555555556</v>
      </c>
      <c r="B273" s="34" t="s">
        <v>315</v>
      </c>
      <c r="C273" s="35" t="s">
        <v>25</v>
      </c>
      <c r="D273" s="34" t="s">
        <v>772</v>
      </c>
      <c r="E273" s="11" t="s">
        <v>9</v>
      </c>
    </row>
    <row r="274">
      <c r="A274" s="19">
        <v>0.7805555555555556</v>
      </c>
      <c r="B274" s="34" t="s">
        <v>771</v>
      </c>
      <c r="C274" s="35" t="s">
        <v>190</v>
      </c>
      <c r="D274" s="34" t="s">
        <v>773</v>
      </c>
      <c r="E274" s="11" t="s">
        <v>13</v>
      </c>
    </row>
    <row r="275">
      <c r="A275" s="19">
        <v>0.7902777777777777</v>
      </c>
      <c r="B275" s="34" t="s">
        <v>774</v>
      </c>
      <c r="C275" s="35" t="s">
        <v>465</v>
      </c>
      <c r="D275" s="34" t="s">
        <v>772</v>
      </c>
      <c r="E275" s="11" t="s">
        <v>9</v>
      </c>
    </row>
    <row r="276">
      <c r="A276" s="19">
        <v>0.7902777777777777</v>
      </c>
      <c r="B276" s="34" t="s">
        <v>771</v>
      </c>
      <c r="C276" s="35" t="s">
        <v>52</v>
      </c>
      <c r="D276" s="34" t="s">
        <v>315</v>
      </c>
      <c r="E276" s="11" t="s">
        <v>13</v>
      </c>
    </row>
    <row r="277">
      <c r="A277" s="19">
        <v>0.8006944444444445</v>
      </c>
      <c r="B277" s="34" t="s">
        <v>772</v>
      </c>
      <c r="C277" s="35" t="s">
        <v>14</v>
      </c>
      <c r="D277" s="34" t="s">
        <v>771</v>
      </c>
      <c r="E277" s="11" t="s">
        <v>9</v>
      </c>
    </row>
    <row r="278">
      <c r="A278" s="19">
        <v>0.8006944444444445</v>
      </c>
      <c r="B278" s="34" t="s">
        <v>774</v>
      </c>
      <c r="C278" s="35" t="s">
        <v>11</v>
      </c>
      <c r="D278" s="34" t="s">
        <v>773</v>
      </c>
      <c r="E278" s="11" t="s">
        <v>13</v>
      </c>
    </row>
    <row r="279">
      <c r="A279" s="19">
        <v>0.8111111111111111</v>
      </c>
      <c r="B279" s="34" t="s">
        <v>772</v>
      </c>
      <c r="C279" s="35" t="s">
        <v>196</v>
      </c>
      <c r="D279" s="34" t="s">
        <v>773</v>
      </c>
      <c r="E279" s="11" t="s">
        <v>9</v>
      </c>
    </row>
    <row r="280">
      <c r="A280" s="19">
        <v>0.8111111111111111</v>
      </c>
      <c r="B280" s="34" t="s">
        <v>774</v>
      </c>
      <c r="C280" s="35" t="s">
        <v>218</v>
      </c>
      <c r="D280" s="34" t="s">
        <v>315</v>
      </c>
      <c r="E280" s="11" t="s">
        <v>13</v>
      </c>
    </row>
    <row r="281">
      <c r="A281" s="19">
        <v>0.8208333333333333</v>
      </c>
      <c r="B281" s="34" t="s">
        <v>773</v>
      </c>
      <c r="C281" s="35" t="s">
        <v>68</v>
      </c>
      <c r="D281" s="34" t="s">
        <v>315</v>
      </c>
      <c r="E281" s="11" t="s">
        <v>9</v>
      </c>
    </row>
    <row r="282">
      <c r="A282" s="19">
        <v>0.8208333333333333</v>
      </c>
      <c r="B282" s="34" t="s">
        <v>771</v>
      </c>
      <c r="C282" s="35" t="s">
        <v>274</v>
      </c>
      <c r="D282" s="34" t="s">
        <v>774</v>
      </c>
      <c r="E282" s="11" t="s">
        <v>13</v>
      </c>
    </row>
    <row r="283">
      <c r="A283" s="19">
        <v>0.83125</v>
      </c>
      <c r="B283" s="34" t="s">
        <v>772</v>
      </c>
      <c r="C283" s="35" t="s">
        <v>70</v>
      </c>
      <c r="D283" s="34" t="s">
        <v>315</v>
      </c>
      <c r="E283" s="11" t="s">
        <v>9</v>
      </c>
    </row>
    <row r="284">
      <c r="A284" s="19">
        <v>0.83125</v>
      </c>
      <c r="B284" s="34" t="s">
        <v>773</v>
      </c>
      <c r="C284" s="35" t="s">
        <v>18</v>
      </c>
      <c r="D284" s="34" t="s">
        <v>771</v>
      </c>
      <c r="E284" s="11" t="s">
        <v>13</v>
      </c>
    </row>
    <row r="285">
      <c r="A285" s="19">
        <v>0.8416666666666667</v>
      </c>
      <c r="B285" s="34" t="s">
        <v>772</v>
      </c>
      <c r="C285" s="35" t="s">
        <v>218</v>
      </c>
      <c r="D285" s="34" t="s">
        <v>774</v>
      </c>
      <c r="E285" s="11" t="s">
        <v>9</v>
      </c>
    </row>
    <row r="286">
      <c r="A286" s="19">
        <v>0.8416666666666667</v>
      </c>
      <c r="B286" s="34" t="s">
        <v>315</v>
      </c>
      <c r="C286" s="35" t="s">
        <v>319</v>
      </c>
      <c r="D286" s="34" t="s">
        <v>771</v>
      </c>
      <c r="E286" s="11" t="s">
        <v>13</v>
      </c>
    </row>
    <row r="287">
      <c r="A287" s="27"/>
      <c r="B287" s="28" t="s">
        <v>134</v>
      </c>
      <c r="C287" s="2"/>
      <c r="D287" s="3"/>
      <c r="E287" s="29"/>
    </row>
    <row r="288">
      <c r="A288" s="18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9">
        <v>0.75</v>
      </c>
      <c r="B289" s="34" t="s">
        <v>776</v>
      </c>
      <c r="C289" s="33" t="s">
        <v>328</v>
      </c>
      <c r="D289" s="34" t="s">
        <v>777</v>
      </c>
      <c r="E289" s="11" t="s">
        <v>33</v>
      </c>
    </row>
    <row r="290">
      <c r="A290" s="19">
        <v>0.75</v>
      </c>
      <c r="B290" s="34" t="s">
        <v>583</v>
      </c>
      <c r="C290" s="33" t="s">
        <v>233</v>
      </c>
      <c r="D290" s="34" t="s">
        <v>778</v>
      </c>
      <c r="E290" s="11" t="s">
        <v>37</v>
      </c>
    </row>
    <row r="291">
      <c r="A291" s="19">
        <v>0.7597222222222222</v>
      </c>
      <c r="B291" s="34" t="s">
        <v>583</v>
      </c>
      <c r="C291" s="33" t="s">
        <v>779</v>
      </c>
      <c r="D291" s="34" t="s">
        <v>777</v>
      </c>
      <c r="E291" s="11" t="s">
        <v>33</v>
      </c>
    </row>
    <row r="292">
      <c r="A292" s="19">
        <v>0.7597222222222222</v>
      </c>
      <c r="B292" s="34" t="s">
        <v>586</v>
      </c>
      <c r="C292" s="33" t="s">
        <v>780</v>
      </c>
      <c r="D292" s="34" t="s">
        <v>778</v>
      </c>
      <c r="E292" s="11" t="s">
        <v>37</v>
      </c>
    </row>
    <row r="293">
      <c r="A293" s="19">
        <v>0.7701388888888889</v>
      </c>
      <c r="B293" s="34" t="s">
        <v>586</v>
      </c>
      <c r="C293" s="33" t="s">
        <v>282</v>
      </c>
      <c r="D293" s="34" t="s">
        <v>583</v>
      </c>
      <c r="E293" s="11" t="s">
        <v>33</v>
      </c>
    </row>
    <row r="294">
      <c r="A294" s="19">
        <v>0.7701388888888889</v>
      </c>
      <c r="B294" s="34" t="s">
        <v>778</v>
      </c>
      <c r="C294" s="33" t="s">
        <v>16</v>
      </c>
      <c r="D294" s="34" t="s">
        <v>776</v>
      </c>
      <c r="E294" s="11" t="s">
        <v>37</v>
      </c>
    </row>
    <row r="295">
      <c r="A295" s="19">
        <v>0.7805555555555556</v>
      </c>
      <c r="B295" s="34" t="s">
        <v>586</v>
      </c>
      <c r="C295" s="33" t="s">
        <v>86</v>
      </c>
      <c r="D295" s="34" t="s">
        <v>777</v>
      </c>
      <c r="E295" s="11" t="s">
        <v>33</v>
      </c>
    </row>
    <row r="296">
      <c r="A296" s="19">
        <v>0.7805555555555556</v>
      </c>
      <c r="B296" s="34" t="s">
        <v>776</v>
      </c>
      <c r="C296" s="33" t="s">
        <v>533</v>
      </c>
      <c r="D296" s="34" t="s">
        <v>583</v>
      </c>
      <c r="E296" s="11" t="s">
        <v>37</v>
      </c>
    </row>
    <row r="297">
      <c r="A297" s="19">
        <v>0.7902777777777777</v>
      </c>
      <c r="B297" s="34" t="s">
        <v>778</v>
      </c>
      <c r="C297" s="33" t="s">
        <v>286</v>
      </c>
      <c r="D297" s="34" t="s">
        <v>777</v>
      </c>
      <c r="E297" s="11" t="s">
        <v>33</v>
      </c>
    </row>
    <row r="298">
      <c r="A298" s="19">
        <v>0.7902777777777777</v>
      </c>
      <c r="B298" s="34" t="s">
        <v>776</v>
      </c>
      <c r="C298" s="33" t="s">
        <v>578</v>
      </c>
      <c r="D298" s="34" t="s">
        <v>586</v>
      </c>
      <c r="E298" s="11" t="s">
        <v>37</v>
      </c>
    </row>
    <row r="299">
      <c r="A299" s="19">
        <v>0.8006944444444445</v>
      </c>
      <c r="B299" s="34" t="s">
        <v>777</v>
      </c>
      <c r="C299" s="33" t="s">
        <v>693</v>
      </c>
      <c r="D299" s="34" t="s">
        <v>776</v>
      </c>
      <c r="E299" s="11" t="s">
        <v>33</v>
      </c>
    </row>
    <row r="300">
      <c r="A300" s="19">
        <v>0.8006944444444445</v>
      </c>
      <c r="B300" s="34" t="s">
        <v>778</v>
      </c>
      <c r="C300" s="33" t="s">
        <v>196</v>
      </c>
      <c r="D300" s="34" t="s">
        <v>583</v>
      </c>
      <c r="E300" s="11" t="s">
        <v>37</v>
      </c>
    </row>
    <row r="301">
      <c r="A301" s="19">
        <v>0.8111111111111111</v>
      </c>
      <c r="B301" s="34" t="s">
        <v>777</v>
      </c>
      <c r="C301" s="33" t="s">
        <v>455</v>
      </c>
      <c r="D301" s="34" t="s">
        <v>583</v>
      </c>
      <c r="E301" s="11" t="s">
        <v>33</v>
      </c>
    </row>
    <row r="302">
      <c r="A302" s="19">
        <v>0.8111111111111111</v>
      </c>
      <c r="B302" s="34" t="s">
        <v>778</v>
      </c>
      <c r="C302" s="33" t="s">
        <v>354</v>
      </c>
      <c r="D302" s="34" t="s">
        <v>586</v>
      </c>
      <c r="E302" s="11" t="s">
        <v>37</v>
      </c>
    </row>
    <row r="303">
      <c r="A303" s="19">
        <v>0.8208333333333333</v>
      </c>
      <c r="B303" s="34" t="s">
        <v>583</v>
      </c>
      <c r="C303" s="33" t="s">
        <v>416</v>
      </c>
      <c r="D303" s="34" t="s">
        <v>586</v>
      </c>
      <c r="E303" s="11" t="s">
        <v>33</v>
      </c>
    </row>
    <row r="304">
      <c r="A304" s="19">
        <v>0.8208333333333333</v>
      </c>
      <c r="B304" s="34" t="s">
        <v>776</v>
      </c>
      <c r="C304" s="33" t="s">
        <v>770</v>
      </c>
      <c r="D304" s="34" t="s">
        <v>778</v>
      </c>
      <c r="E304" s="11" t="s">
        <v>37</v>
      </c>
    </row>
    <row r="305">
      <c r="A305" s="19">
        <v>0.83125</v>
      </c>
      <c r="B305" s="34" t="s">
        <v>777</v>
      </c>
      <c r="C305" s="33" t="s">
        <v>38</v>
      </c>
      <c r="D305" s="34" t="s">
        <v>586</v>
      </c>
      <c r="E305" s="11" t="s">
        <v>33</v>
      </c>
    </row>
    <row r="306">
      <c r="A306" s="19">
        <v>0.83125</v>
      </c>
      <c r="B306" s="34" t="s">
        <v>583</v>
      </c>
      <c r="C306" s="33" t="s">
        <v>500</v>
      </c>
      <c r="D306" s="34" t="s">
        <v>776</v>
      </c>
      <c r="E306" s="11" t="s">
        <v>37</v>
      </c>
    </row>
    <row r="307">
      <c r="A307" s="19">
        <v>0.8416666666666667</v>
      </c>
      <c r="B307" s="34" t="s">
        <v>777</v>
      </c>
      <c r="C307" s="33" t="s">
        <v>203</v>
      </c>
      <c r="D307" s="34" t="s">
        <v>778</v>
      </c>
      <c r="E307" s="11" t="s">
        <v>33</v>
      </c>
    </row>
    <row r="308">
      <c r="A308" s="19">
        <v>0.8416666666666667</v>
      </c>
      <c r="B308" s="34" t="s">
        <v>586</v>
      </c>
      <c r="C308" s="33" t="s">
        <v>47</v>
      </c>
      <c r="D308" s="34" t="s">
        <v>776</v>
      </c>
      <c r="E308" s="11" t="s">
        <v>37</v>
      </c>
    </row>
    <row r="309">
      <c r="A309" s="27"/>
      <c r="B309" s="28" t="s">
        <v>145</v>
      </c>
      <c r="C309" s="2"/>
      <c r="D309" s="3"/>
      <c r="E309" s="29"/>
    </row>
    <row r="310">
      <c r="A310" s="18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9">
        <v>0.8541666666666666</v>
      </c>
      <c r="B311" s="34" t="s">
        <v>781</v>
      </c>
      <c r="C311" s="33" t="s">
        <v>687</v>
      </c>
      <c r="D311" s="34" t="s">
        <v>782</v>
      </c>
      <c r="E311" s="11" t="s">
        <v>9</v>
      </c>
    </row>
    <row r="312">
      <c r="A312" s="19">
        <v>0.8541666666666666</v>
      </c>
      <c r="B312" s="34" t="s">
        <v>783</v>
      </c>
      <c r="C312" s="37" t="s">
        <v>43</v>
      </c>
      <c r="D312" s="34" t="s">
        <v>784</v>
      </c>
      <c r="E312" s="11" t="s">
        <v>13</v>
      </c>
    </row>
    <row r="313">
      <c r="A313" s="19">
        <v>0.8638888888888889</v>
      </c>
      <c r="B313" s="34" t="s">
        <v>783</v>
      </c>
      <c r="C313" s="33" t="s">
        <v>21</v>
      </c>
      <c r="D313" s="34" t="s">
        <v>782</v>
      </c>
      <c r="E313" s="11" t="s">
        <v>9</v>
      </c>
    </row>
    <row r="314">
      <c r="A314" s="19">
        <v>0.8638888888888889</v>
      </c>
      <c r="B314" s="34" t="s">
        <v>785</v>
      </c>
      <c r="C314" s="33" t="s">
        <v>64</v>
      </c>
      <c r="D314" s="34" t="s">
        <v>784</v>
      </c>
      <c r="E314" s="11" t="s">
        <v>13</v>
      </c>
    </row>
    <row r="315">
      <c r="A315" s="19">
        <v>0.8743055555555556</v>
      </c>
      <c r="B315" s="34" t="s">
        <v>785</v>
      </c>
      <c r="C315" s="33" t="s">
        <v>412</v>
      </c>
      <c r="D315" s="34" t="s">
        <v>783</v>
      </c>
      <c r="E315" s="11" t="s">
        <v>9</v>
      </c>
    </row>
    <row r="316">
      <c r="A316" s="19">
        <v>0.8743055555555556</v>
      </c>
      <c r="B316" s="34" t="s">
        <v>784</v>
      </c>
      <c r="C316" s="33" t="s">
        <v>482</v>
      </c>
      <c r="D316" s="34" t="s">
        <v>781</v>
      </c>
      <c r="E316" s="11" t="s">
        <v>13</v>
      </c>
    </row>
    <row r="317">
      <c r="A317" s="19">
        <v>0.8847222222222222</v>
      </c>
      <c r="B317" s="34" t="s">
        <v>785</v>
      </c>
      <c r="C317" s="33" t="s">
        <v>50</v>
      </c>
      <c r="D317" s="34" t="s">
        <v>782</v>
      </c>
      <c r="E317" s="11" t="s">
        <v>9</v>
      </c>
    </row>
    <row r="318">
      <c r="A318" s="19">
        <v>0.8847222222222222</v>
      </c>
      <c r="B318" s="34" t="s">
        <v>781</v>
      </c>
      <c r="C318" s="33" t="s">
        <v>684</v>
      </c>
      <c r="D318" s="34" t="s">
        <v>783</v>
      </c>
      <c r="E318" s="11" t="s">
        <v>13</v>
      </c>
    </row>
    <row r="319">
      <c r="A319" s="19">
        <v>0.8944444444444445</v>
      </c>
      <c r="B319" s="34" t="s">
        <v>784</v>
      </c>
      <c r="C319" s="33" t="s">
        <v>786</v>
      </c>
      <c r="D319" s="34" t="s">
        <v>782</v>
      </c>
      <c r="E319" s="11" t="s">
        <v>9</v>
      </c>
    </row>
    <row r="320">
      <c r="A320" s="19">
        <v>0.8944444444444445</v>
      </c>
      <c r="B320" s="34" t="s">
        <v>781</v>
      </c>
      <c r="C320" s="33" t="s">
        <v>68</v>
      </c>
      <c r="D320" s="34" t="s">
        <v>785</v>
      </c>
      <c r="E320" s="11" t="s">
        <v>13</v>
      </c>
    </row>
    <row r="321">
      <c r="A321" s="19">
        <v>0.9048611111111111</v>
      </c>
      <c r="B321" s="34" t="s">
        <v>782</v>
      </c>
      <c r="C321" s="33" t="s">
        <v>25</v>
      </c>
      <c r="D321" s="34" t="s">
        <v>781</v>
      </c>
      <c r="E321" s="11" t="s">
        <v>9</v>
      </c>
    </row>
    <row r="322">
      <c r="A322" s="19">
        <v>0.9048611111111111</v>
      </c>
      <c r="B322" s="34" t="s">
        <v>784</v>
      </c>
      <c r="C322" s="33" t="s">
        <v>533</v>
      </c>
      <c r="D322" s="34" t="s">
        <v>783</v>
      </c>
      <c r="E322" s="11" t="s">
        <v>13</v>
      </c>
    </row>
    <row r="323">
      <c r="A323" s="19">
        <v>0.9152777777777777</v>
      </c>
      <c r="B323" s="34" t="s">
        <v>782</v>
      </c>
      <c r="C323" s="35" t="s">
        <v>455</v>
      </c>
      <c r="D323" s="34" t="s">
        <v>783</v>
      </c>
      <c r="E323" s="11" t="s">
        <v>9</v>
      </c>
    </row>
    <row r="324">
      <c r="A324" s="19">
        <v>0.9152777777777777</v>
      </c>
      <c r="B324" s="34" t="s">
        <v>784</v>
      </c>
      <c r="C324" s="35" t="s">
        <v>68</v>
      </c>
      <c r="D324" s="34" t="s">
        <v>785</v>
      </c>
      <c r="E324" s="11" t="s">
        <v>13</v>
      </c>
    </row>
    <row r="325">
      <c r="A325" s="19">
        <v>0.925</v>
      </c>
      <c r="B325" s="34" t="s">
        <v>783</v>
      </c>
      <c r="C325" s="35" t="s">
        <v>544</v>
      </c>
      <c r="D325" s="34" t="s">
        <v>785</v>
      </c>
      <c r="E325" s="11" t="s">
        <v>9</v>
      </c>
    </row>
    <row r="326">
      <c r="A326" s="19">
        <v>0.925</v>
      </c>
      <c r="B326" s="34" t="s">
        <v>781</v>
      </c>
      <c r="C326" s="35" t="s">
        <v>328</v>
      </c>
      <c r="D326" s="34" t="s">
        <v>784</v>
      </c>
      <c r="E326" s="11" t="s">
        <v>13</v>
      </c>
    </row>
    <row r="327">
      <c r="A327" s="19">
        <v>0.9354166666666667</v>
      </c>
      <c r="B327" s="34" t="s">
        <v>782</v>
      </c>
      <c r="C327" s="35" t="s">
        <v>11</v>
      </c>
      <c r="D327" s="34" t="s">
        <v>785</v>
      </c>
      <c r="E327" s="11" t="s">
        <v>9</v>
      </c>
    </row>
    <row r="328">
      <c r="A328" s="19">
        <v>0.9354166666666667</v>
      </c>
      <c r="B328" s="34" t="s">
        <v>783</v>
      </c>
      <c r="C328" s="35" t="s">
        <v>270</v>
      </c>
      <c r="D328" s="34" t="s">
        <v>781</v>
      </c>
      <c r="E328" s="11" t="s">
        <v>13</v>
      </c>
    </row>
    <row r="329">
      <c r="A329" s="19">
        <v>0.9458333333333333</v>
      </c>
      <c r="B329" s="34" t="s">
        <v>782</v>
      </c>
      <c r="C329" s="35" t="s">
        <v>215</v>
      </c>
      <c r="D329" s="34" t="s">
        <v>784</v>
      </c>
      <c r="E329" s="11" t="s">
        <v>9</v>
      </c>
    </row>
    <row r="330">
      <c r="A330" s="19">
        <v>0.9458333333333333</v>
      </c>
      <c r="B330" s="34" t="s">
        <v>785</v>
      </c>
      <c r="C330" s="35" t="s">
        <v>488</v>
      </c>
      <c r="D330" s="34" t="s">
        <v>781</v>
      </c>
      <c r="E330" s="11" t="s">
        <v>13</v>
      </c>
    </row>
    <row r="331">
      <c r="A331" s="27"/>
      <c r="B331" s="28" t="s">
        <v>145</v>
      </c>
      <c r="C331" s="2"/>
      <c r="D331" s="3"/>
      <c r="E331" s="29"/>
    </row>
    <row r="332">
      <c r="A332" s="18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9">
        <v>0.8541666666666666</v>
      </c>
      <c r="B333" s="34" t="s">
        <v>787</v>
      </c>
      <c r="C333" s="33" t="s">
        <v>416</v>
      </c>
      <c r="D333" s="34" t="s">
        <v>788</v>
      </c>
      <c r="E333" s="11" t="s">
        <v>33</v>
      </c>
    </row>
    <row r="334">
      <c r="A334" s="19">
        <v>0.8541666666666666</v>
      </c>
      <c r="B334" s="34" t="s">
        <v>324</v>
      </c>
      <c r="C334" s="33" t="s">
        <v>716</v>
      </c>
      <c r="D334" s="34" t="s">
        <v>789</v>
      </c>
      <c r="E334" s="11" t="s">
        <v>37</v>
      </c>
    </row>
    <row r="335">
      <c r="A335" s="19">
        <v>0.8638888888888889</v>
      </c>
      <c r="B335" s="34" t="s">
        <v>324</v>
      </c>
      <c r="C335" s="33" t="s">
        <v>790</v>
      </c>
      <c r="D335" s="34" t="s">
        <v>788</v>
      </c>
      <c r="E335" s="11" t="s">
        <v>33</v>
      </c>
    </row>
    <row r="336">
      <c r="A336" s="19">
        <v>0.8638888888888889</v>
      </c>
      <c r="B336" s="34" t="s">
        <v>791</v>
      </c>
      <c r="C336" s="33" t="s">
        <v>22</v>
      </c>
      <c r="D336" s="34" t="s">
        <v>789</v>
      </c>
      <c r="E336" s="11" t="s">
        <v>37</v>
      </c>
    </row>
    <row r="337">
      <c r="A337" s="19">
        <v>0.8743055555555556</v>
      </c>
      <c r="B337" s="34" t="s">
        <v>791</v>
      </c>
      <c r="C337" s="33" t="s">
        <v>81</v>
      </c>
      <c r="D337" s="34" t="s">
        <v>324</v>
      </c>
      <c r="E337" s="11" t="s">
        <v>33</v>
      </c>
    </row>
    <row r="338">
      <c r="A338" s="19">
        <v>0.8743055555555556</v>
      </c>
      <c r="B338" s="34" t="s">
        <v>789</v>
      </c>
      <c r="C338" s="33" t="s">
        <v>238</v>
      </c>
      <c r="D338" s="34" t="s">
        <v>787</v>
      </c>
      <c r="E338" s="11" t="s">
        <v>37</v>
      </c>
    </row>
    <row r="339">
      <c r="A339" s="19">
        <v>0.8847222222222222</v>
      </c>
      <c r="B339" s="34" t="s">
        <v>791</v>
      </c>
      <c r="C339" s="33" t="s">
        <v>534</v>
      </c>
      <c r="D339" s="34" t="s">
        <v>788</v>
      </c>
      <c r="E339" s="11" t="s">
        <v>33</v>
      </c>
    </row>
    <row r="340">
      <c r="A340" s="19">
        <v>0.8847222222222222</v>
      </c>
      <c r="B340" s="34" t="s">
        <v>787</v>
      </c>
      <c r="C340" s="33" t="s">
        <v>792</v>
      </c>
      <c r="D340" s="34" t="s">
        <v>324</v>
      </c>
      <c r="E340" s="11" t="s">
        <v>37</v>
      </c>
    </row>
    <row r="341">
      <c r="A341" s="19">
        <v>0.8944444444444445</v>
      </c>
      <c r="B341" s="34" t="s">
        <v>789</v>
      </c>
      <c r="C341" s="33" t="s">
        <v>22</v>
      </c>
      <c r="D341" s="34" t="s">
        <v>788</v>
      </c>
      <c r="E341" s="11" t="s">
        <v>33</v>
      </c>
    </row>
    <row r="342">
      <c r="A342" s="19">
        <v>0.8944444444444445</v>
      </c>
      <c r="B342" s="34" t="s">
        <v>787</v>
      </c>
      <c r="C342" s="33" t="s">
        <v>11</v>
      </c>
      <c r="D342" s="34" t="s">
        <v>791</v>
      </c>
      <c r="E342" s="11" t="s">
        <v>37</v>
      </c>
    </row>
    <row r="343">
      <c r="A343" s="19">
        <v>0.9048611111111111</v>
      </c>
      <c r="B343" s="34" t="s">
        <v>788</v>
      </c>
      <c r="C343" s="33" t="s">
        <v>294</v>
      </c>
      <c r="D343" s="34" t="s">
        <v>787</v>
      </c>
      <c r="E343" s="11" t="s">
        <v>33</v>
      </c>
    </row>
    <row r="344">
      <c r="A344" s="19">
        <v>0.9048611111111111</v>
      </c>
      <c r="B344" s="34" t="s">
        <v>789</v>
      </c>
      <c r="C344" s="33" t="s">
        <v>325</v>
      </c>
      <c r="D344" s="34" t="s">
        <v>324</v>
      </c>
      <c r="E344" s="11" t="s">
        <v>37</v>
      </c>
    </row>
    <row r="345">
      <c r="A345" s="19">
        <v>0.9152777777777777</v>
      </c>
      <c r="B345" s="34" t="s">
        <v>788</v>
      </c>
      <c r="C345" s="33" t="s">
        <v>194</v>
      </c>
      <c r="D345" s="34" t="s">
        <v>324</v>
      </c>
      <c r="E345" s="11" t="s">
        <v>33</v>
      </c>
    </row>
    <row r="346">
      <c r="A346" s="19">
        <v>0.9152777777777777</v>
      </c>
      <c r="B346" s="34" t="s">
        <v>789</v>
      </c>
      <c r="C346" s="33" t="s">
        <v>16</v>
      </c>
      <c r="D346" s="34" t="s">
        <v>791</v>
      </c>
      <c r="E346" s="11" t="s">
        <v>37</v>
      </c>
    </row>
    <row r="347">
      <c r="A347" s="19">
        <v>0.925</v>
      </c>
      <c r="B347" s="34" t="s">
        <v>324</v>
      </c>
      <c r="C347" s="33" t="s">
        <v>369</v>
      </c>
      <c r="D347" s="34" t="s">
        <v>791</v>
      </c>
      <c r="E347" s="11" t="s">
        <v>33</v>
      </c>
    </row>
    <row r="348">
      <c r="A348" s="19">
        <v>0.925</v>
      </c>
      <c r="B348" s="34" t="s">
        <v>787</v>
      </c>
      <c r="C348" s="33" t="s">
        <v>239</v>
      </c>
      <c r="D348" s="34" t="s">
        <v>789</v>
      </c>
      <c r="E348" s="11" t="s">
        <v>37</v>
      </c>
    </row>
    <row r="349">
      <c r="A349" s="19">
        <v>0.9354166666666667</v>
      </c>
      <c r="B349" s="34" t="s">
        <v>788</v>
      </c>
      <c r="C349" s="33" t="s">
        <v>195</v>
      </c>
      <c r="D349" s="34" t="s">
        <v>791</v>
      </c>
      <c r="E349" s="11" t="s">
        <v>33</v>
      </c>
    </row>
    <row r="350">
      <c r="A350" s="19">
        <v>0.9354166666666667</v>
      </c>
      <c r="B350" s="34" t="s">
        <v>324</v>
      </c>
      <c r="C350" s="33" t="s">
        <v>793</v>
      </c>
      <c r="D350" s="34" t="s">
        <v>787</v>
      </c>
      <c r="E350" s="11" t="s">
        <v>37</v>
      </c>
    </row>
    <row r="351">
      <c r="A351" s="19">
        <v>0.9458333333333333</v>
      </c>
      <c r="B351" s="34" t="s">
        <v>788</v>
      </c>
      <c r="C351" s="33" t="s">
        <v>260</v>
      </c>
      <c r="D351" s="34" t="s">
        <v>789</v>
      </c>
      <c r="E351" s="11" t="s">
        <v>33</v>
      </c>
    </row>
    <row r="352">
      <c r="A352" s="19">
        <v>0.9458333333333333</v>
      </c>
      <c r="B352" s="34" t="s">
        <v>791</v>
      </c>
      <c r="C352" s="33" t="s">
        <v>27</v>
      </c>
      <c r="D352" s="34" t="s">
        <v>787</v>
      </c>
      <c r="E352" s="11" t="s">
        <v>37</v>
      </c>
    </row>
    <row r="353">
      <c r="A353" s="27"/>
      <c r="B353" s="28" t="s">
        <v>156</v>
      </c>
      <c r="C353" s="2"/>
      <c r="D353" s="3"/>
      <c r="E353" s="29"/>
    </row>
    <row r="354">
      <c r="A354" s="18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9">
        <v>0.9583333333333334</v>
      </c>
      <c r="B355" s="34" t="s">
        <v>794</v>
      </c>
      <c r="C355" s="35" t="s">
        <v>566</v>
      </c>
      <c r="D355" s="34" t="s">
        <v>484</v>
      </c>
      <c r="E355" s="11" t="s">
        <v>9</v>
      </c>
    </row>
    <row r="356">
      <c r="A356" s="19">
        <v>0.9583333333333334</v>
      </c>
      <c r="B356" s="34" t="s">
        <v>795</v>
      </c>
      <c r="C356" s="35" t="s">
        <v>19</v>
      </c>
      <c r="D356" s="34" t="s">
        <v>796</v>
      </c>
      <c r="E356" s="11" t="s">
        <v>13</v>
      </c>
    </row>
    <row r="357">
      <c r="A357" s="19">
        <v>0.9680555555555556</v>
      </c>
      <c r="B357" s="34" t="s">
        <v>795</v>
      </c>
      <c r="C357" s="35" t="s">
        <v>66</v>
      </c>
      <c r="D357" s="34" t="s">
        <v>484</v>
      </c>
      <c r="E357" s="11" t="s">
        <v>9</v>
      </c>
    </row>
    <row r="358">
      <c r="A358" s="19">
        <v>0.9680555555555556</v>
      </c>
      <c r="B358" s="34" t="s">
        <v>349</v>
      </c>
      <c r="C358" s="35" t="s">
        <v>196</v>
      </c>
      <c r="D358" s="34" t="s">
        <v>796</v>
      </c>
      <c r="E358" s="11" t="s">
        <v>13</v>
      </c>
    </row>
    <row r="359">
      <c r="A359" s="19">
        <v>0.9784722222222222</v>
      </c>
      <c r="B359" s="34" t="s">
        <v>349</v>
      </c>
      <c r="C359" s="35" t="s">
        <v>203</v>
      </c>
      <c r="D359" s="34" t="s">
        <v>795</v>
      </c>
      <c r="E359" s="11" t="s">
        <v>9</v>
      </c>
    </row>
    <row r="360">
      <c r="A360" s="19">
        <v>0.9784722222222222</v>
      </c>
      <c r="B360" s="34" t="s">
        <v>796</v>
      </c>
      <c r="C360" s="35" t="s">
        <v>19</v>
      </c>
      <c r="D360" s="34" t="s">
        <v>794</v>
      </c>
      <c r="E360" s="11" t="s">
        <v>13</v>
      </c>
    </row>
    <row r="361">
      <c r="A361" s="19">
        <v>0.9888888888888889</v>
      </c>
      <c r="B361" s="34" t="s">
        <v>349</v>
      </c>
      <c r="C361" s="35" t="s">
        <v>217</v>
      </c>
      <c r="D361" s="34" t="s">
        <v>484</v>
      </c>
      <c r="E361" s="11" t="s">
        <v>9</v>
      </c>
    </row>
    <row r="362">
      <c r="A362" s="19">
        <v>0.9888888888888889</v>
      </c>
      <c r="B362" s="34" t="s">
        <v>794</v>
      </c>
      <c r="C362" s="35" t="s">
        <v>274</v>
      </c>
      <c r="D362" s="34" t="s">
        <v>795</v>
      </c>
      <c r="E362" s="11" t="s">
        <v>13</v>
      </c>
    </row>
    <row r="363">
      <c r="A363" s="19">
        <v>0.9986111111111111</v>
      </c>
      <c r="B363" s="34" t="s">
        <v>796</v>
      </c>
      <c r="C363" s="35" t="s">
        <v>81</v>
      </c>
      <c r="D363" s="34" t="s">
        <v>484</v>
      </c>
      <c r="E363" s="11" t="s">
        <v>9</v>
      </c>
    </row>
    <row r="364">
      <c r="A364" s="19">
        <v>0.9986111111111111</v>
      </c>
      <c r="B364" s="34" t="s">
        <v>794</v>
      </c>
      <c r="C364" s="35" t="s">
        <v>190</v>
      </c>
      <c r="D364" s="34" t="s">
        <v>349</v>
      </c>
      <c r="E364" s="11" t="s">
        <v>13</v>
      </c>
    </row>
    <row r="365">
      <c r="A365" s="19">
        <v>0.009027777777777777</v>
      </c>
      <c r="B365" s="34" t="s">
        <v>484</v>
      </c>
      <c r="C365" s="35" t="s">
        <v>212</v>
      </c>
      <c r="D365" s="34" t="s">
        <v>794</v>
      </c>
      <c r="E365" s="11" t="s">
        <v>9</v>
      </c>
    </row>
    <row r="366">
      <c r="A366" s="19">
        <v>0.009027777777777777</v>
      </c>
      <c r="B366" s="34" t="s">
        <v>796</v>
      </c>
      <c r="C366" s="35" t="s">
        <v>81</v>
      </c>
      <c r="D366" s="34" t="s">
        <v>795</v>
      </c>
      <c r="E366" s="11" t="s">
        <v>13</v>
      </c>
    </row>
    <row r="367">
      <c r="A367" s="19">
        <v>0.019444444444444445</v>
      </c>
      <c r="B367" s="34" t="s">
        <v>484</v>
      </c>
      <c r="C367" s="35" t="s">
        <v>64</v>
      </c>
      <c r="D367" s="34" t="s">
        <v>795</v>
      </c>
      <c r="E367" s="11" t="s">
        <v>9</v>
      </c>
    </row>
    <row r="368">
      <c r="A368" s="19">
        <v>0.019444444444444445</v>
      </c>
      <c r="B368" s="34" t="s">
        <v>796</v>
      </c>
      <c r="C368" s="35" t="s">
        <v>78</v>
      </c>
      <c r="D368" s="34" t="s">
        <v>349</v>
      </c>
      <c r="E368" s="11" t="s">
        <v>13</v>
      </c>
    </row>
    <row r="369">
      <c r="A369" s="19">
        <v>0.029166666666666667</v>
      </c>
      <c r="B369" s="34" t="s">
        <v>795</v>
      </c>
      <c r="C369" s="35" t="s">
        <v>43</v>
      </c>
      <c r="D369" s="34" t="s">
        <v>349</v>
      </c>
      <c r="E369" s="11" t="s">
        <v>9</v>
      </c>
    </row>
    <row r="370">
      <c r="A370" s="19">
        <v>0.029166666666666667</v>
      </c>
      <c r="B370" s="34" t="s">
        <v>794</v>
      </c>
      <c r="C370" s="35" t="s">
        <v>71</v>
      </c>
      <c r="D370" s="34" t="s">
        <v>796</v>
      </c>
      <c r="E370" s="11" t="s">
        <v>13</v>
      </c>
    </row>
    <row r="371">
      <c r="A371" s="19">
        <v>0.03958333333333333</v>
      </c>
      <c r="B371" s="34" t="s">
        <v>484</v>
      </c>
      <c r="C371" s="35" t="s">
        <v>797</v>
      </c>
      <c r="D371" s="34" t="s">
        <v>349</v>
      </c>
      <c r="E371" s="11" t="s">
        <v>9</v>
      </c>
    </row>
    <row r="372">
      <c r="A372" s="19">
        <v>0.03958333333333333</v>
      </c>
      <c r="B372" s="34" t="s">
        <v>795</v>
      </c>
      <c r="C372" s="35" t="s">
        <v>218</v>
      </c>
      <c r="D372" s="34" t="s">
        <v>794</v>
      </c>
      <c r="E372" s="11" t="s">
        <v>13</v>
      </c>
    </row>
    <row r="373">
      <c r="A373" s="19">
        <v>0.05</v>
      </c>
      <c r="B373" s="34" t="s">
        <v>484</v>
      </c>
      <c r="C373" s="35" t="s">
        <v>17</v>
      </c>
      <c r="D373" s="34" t="s">
        <v>796</v>
      </c>
      <c r="E373" s="11" t="s">
        <v>9</v>
      </c>
    </row>
    <row r="374">
      <c r="A374" s="19">
        <v>0.05</v>
      </c>
      <c r="B374" s="34" t="s">
        <v>349</v>
      </c>
      <c r="C374" s="35" t="s">
        <v>251</v>
      </c>
      <c r="D374" s="34" t="s">
        <v>794</v>
      </c>
      <c r="E374" s="11" t="s">
        <v>13</v>
      </c>
    </row>
    <row r="375">
      <c r="B375" s="28" t="s">
        <v>156</v>
      </c>
      <c r="C375" s="2"/>
      <c r="D375" s="3"/>
      <c r="E375" s="29"/>
    </row>
    <row r="376">
      <c r="A376" s="18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9">
        <v>0.9583333333333334</v>
      </c>
      <c r="B377" s="34" t="s">
        <v>798</v>
      </c>
      <c r="C377" s="33" t="s">
        <v>270</v>
      </c>
      <c r="D377" s="34" t="s">
        <v>608</v>
      </c>
      <c r="E377" s="11" t="s">
        <v>33</v>
      </c>
    </row>
    <row r="378">
      <c r="A378" s="19">
        <v>0.9583333333333334</v>
      </c>
      <c r="B378" s="34" t="s">
        <v>799</v>
      </c>
      <c r="C378" s="33" t="s">
        <v>45</v>
      </c>
      <c r="D378" s="34" t="s">
        <v>800</v>
      </c>
      <c r="E378" s="11" t="s">
        <v>37</v>
      </c>
    </row>
    <row r="379">
      <c r="A379" s="19">
        <v>0.9680555555555556</v>
      </c>
      <c r="B379" s="34" t="s">
        <v>799</v>
      </c>
      <c r="C379" s="33" t="s">
        <v>58</v>
      </c>
      <c r="D379" s="34" t="s">
        <v>608</v>
      </c>
      <c r="E379" s="11" t="s">
        <v>33</v>
      </c>
    </row>
    <row r="380">
      <c r="A380" s="19">
        <v>0.9680555555555556</v>
      </c>
      <c r="B380" s="34" t="s">
        <v>801</v>
      </c>
      <c r="C380" s="33" t="s">
        <v>201</v>
      </c>
      <c r="D380" s="34" t="s">
        <v>800</v>
      </c>
      <c r="E380" s="11" t="s">
        <v>37</v>
      </c>
    </row>
    <row r="381">
      <c r="A381" s="19">
        <v>0.9784722222222222</v>
      </c>
      <c r="B381" s="34" t="s">
        <v>801</v>
      </c>
      <c r="C381" s="33" t="s">
        <v>81</v>
      </c>
      <c r="D381" s="34" t="s">
        <v>799</v>
      </c>
      <c r="E381" s="11" t="s">
        <v>33</v>
      </c>
    </row>
    <row r="382">
      <c r="A382" s="19">
        <v>0.9784722222222222</v>
      </c>
      <c r="B382" s="34" t="s">
        <v>800</v>
      </c>
      <c r="C382" s="33" t="s">
        <v>286</v>
      </c>
      <c r="D382" s="34" t="s">
        <v>798</v>
      </c>
      <c r="E382" s="11" t="s">
        <v>37</v>
      </c>
    </row>
    <row r="383">
      <c r="A383" s="19">
        <v>0.9888888888888889</v>
      </c>
      <c r="B383" s="34" t="s">
        <v>801</v>
      </c>
      <c r="C383" s="33" t="s">
        <v>196</v>
      </c>
      <c r="D383" s="34" t="s">
        <v>608</v>
      </c>
      <c r="E383" s="11" t="s">
        <v>33</v>
      </c>
    </row>
    <row r="384">
      <c r="A384" s="19">
        <v>0.9888888888888889</v>
      </c>
      <c r="B384" s="34" t="s">
        <v>798</v>
      </c>
      <c r="C384" s="33" t="s">
        <v>20</v>
      </c>
      <c r="D384" s="34" t="s">
        <v>799</v>
      </c>
      <c r="E384" s="11" t="s">
        <v>37</v>
      </c>
    </row>
    <row r="385">
      <c r="A385" s="19">
        <v>0.9986111111111111</v>
      </c>
      <c r="B385" s="34" t="s">
        <v>800</v>
      </c>
      <c r="C385" s="33" t="s">
        <v>81</v>
      </c>
      <c r="D385" s="34" t="s">
        <v>608</v>
      </c>
      <c r="E385" s="11" t="s">
        <v>33</v>
      </c>
    </row>
    <row r="386">
      <c r="A386" s="19">
        <v>0.9986111111111111</v>
      </c>
      <c r="B386" s="34" t="s">
        <v>798</v>
      </c>
      <c r="C386" s="33" t="s">
        <v>312</v>
      </c>
      <c r="D386" s="34" t="s">
        <v>801</v>
      </c>
      <c r="E386" s="11" t="s">
        <v>37</v>
      </c>
    </row>
    <row r="387">
      <c r="A387" s="19">
        <v>0.009027777777777777</v>
      </c>
      <c r="B387" s="34" t="s">
        <v>608</v>
      </c>
      <c r="C387" s="33" t="s">
        <v>45</v>
      </c>
      <c r="D387" s="34" t="s">
        <v>798</v>
      </c>
      <c r="E387" s="11" t="s">
        <v>33</v>
      </c>
    </row>
    <row r="388">
      <c r="A388" s="19">
        <v>0.009027777777777777</v>
      </c>
      <c r="B388" s="34" t="s">
        <v>800</v>
      </c>
      <c r="C388" s="33" t="s">
        <v>81</v>
      </c>
      <c r="D388" s="34" t="s">
        <v>799</v>
      </c>
      <c r="E388" s="11" t="s">
        <v>37</v>
      </c>
    </row>
    <row r="389">
      <c r="A389" s="19">
        <v>0.019444444444444445</v>
      </c>
      <c r="B389" s="34" t="s">
        <v>608</v>
      </c>
      <c r="C389" s="33" t="s">
        <v>88</v>
      </c>
      <c r="D389" s="34" t="s">
        <v>799</v>
      </c>
      <c r="E389" s="11" t="s">
        <v>33</v>
      </c>
    </row>
    <row r="390">
      <c r="A390" s="19">
        <v>0.019444444444444445</v>
      </c>
      <c r="B390" s="34" t="s">
        <v>800</v>
      </c>
      <c r="C390" s="33" t="s">
        <v>687</v>
      </c>
      <c r="D390" s="34" t="s">
        <v>801</v>
      </c>
      <c r="E390" s="11" t="s">
        <v>37</v>
      </c>
    </row>
    <row r="391">
      <c r="A391" s="19">
        <v>0.029166666666666667</v>
      </c>
      <c r="B391" s="34" t="s">
        <v>799</v>
      </c>
      <c r="C391" s="33" t="s">
        <v>193</v>
      </c>
      <c r="D391" s="34" t="s">
        <v>801</v>
      </c>
      <c r="E391" s="11" t="s">
        <v>33</v>
      </c>
    </row>
    <row r="392">
      <c r="A392" s="19">
        <v>0.029166666666666667</v>
      </c>
      <c r="B392" s="34" t="s">
        <v>798</v>
      </c>
      <c r="C392" s="33" t="s">
        <v>802</v>
      </c>
      <c r="D392" s="34" t="s">
        <v>800</v>
      </c>
      <c r="E392" s="11" t="s">
        <v>37</v>
      </c>
    </row>
    <row r="393">
      <c r="A393" s="19">
        <v>0.03958333333333333</v>
      </c>
      <c r="B393" s="34" t="s">
        <v>608</v>
      </c>
      <c r="C393" s="33" t="s">
        <v>45</v>
      </c>
      <c r="D393" s="34" t="s">
        <v>801</v>
      </c>
      <c r="E393" s="11" t="s">
        <v>33</v>
      </c>
    </row>
    <row r="394">
      <c r="A394" s="19">
        <v>0.03958333333333333</v>
      </c>
      <c r="B394" s="34" t="s">
        <v>799</v>
      </c>
      <c r="C394" s="33" t="s">
        <v>243</v>
      </c>
      <c r="D394" s="34" t="s">
        <v>798</v>
      </c>
      <c r="E394" s="11" t="s">
        <v>37</v>
      </c>
    </row>
    <row r="395">
      <c r="A395" s="19">
        <v>0.05</v>
      </c>
      <c r="B395" s="34" t="s">
        <v>608</v>
      </c>
      <c r="C395" s="33" t="s">
        <v>270</v>
      </c>
      <c r="D395" s="34" t="s">
        <v>800</v>
      </c>
      <c r="E395" s="11" t="s">
        <v>33</v>
      </c>
    </row>
    <row r="396">
      <c r="A396" s="19">
        <v>0.05</v>
      </c>
      <c r="B396" s="34" t="s">
        <v>801</v>
      </c>
      <c r="C396" s="33" t="s">
        <v>201</v>
      </c>
      <c r="D396" s="34" t="s">
        <v>798</v>
      </c>
      <c r="E396" s="11" t="s">
        <v>37</v>
      </c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8"/>
    <hyperlink r:id="rId70" ref="E79"/>
    <hyperlink r:id="rId71" ref="E80"/>
    <hyperlink r:id="rId72" ref="E81"/>
    <hyperlink r:id="rId73" ref="E82"/>
    <hyperlink r:id="rId74" ref="E83"/>
    <hyperlink r:id="rId75" ref="E84"/>
    <hyperlink r:id="rId76" ref="E85"/>
    <hyperlink r:id="rId77" ref="E86"/>
    <hyperlink r:id="rId78" ref="E87"/>
    <hyperlink r:id="rId79" ref="E88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7"/>
    <hyperlink r:id="rId97" ref="E108"/>
    <hyperlink r:id="rId98" ref="E109"/>
    <hyperlink r:id="rId99" ref="E110"/>
    <hyperlink r:id="rId100" ref="E113"/>
    <hyperlink r:id="rId101" ref="E114"/>
    <hyperlink r:id="rId102" ref="E115"/>
    <hyperlink r:id="rId103" ref="E116"/>
    <hyperlink r:id="rId104" ref="E117"/>
    <hyperlink r:id="rId105" ref="E118"/>
    <hyperlink r:id="rId106" ref="E119"/>
    <hyperlink r:id="rId107" ref="E120"/>
    <hyperlink r:id="rId108" ref="E121"/>
    <hyperlink r:id="rId109" ref="E122"/>
    <hyperlink r:id="rId110" ref="E123"/>
    <hyperlink r:id="rId111" ref="E124"/>
    <hyperlink r:id="rId112" ref="E125"/>
    <hyperlink r:id="rId113" ref="E126"/>
    <hyperlink r:id="rId114" ref="E127"/>
    <hyperlink r:id="rId115" ref="E128"/>
    <hyperlink r:id="rId116" ref="E129"/>
    <hyperlink r:id="rId117" ref="E130"/>
    <hyperlink r:id="rId118" ref="E131"/>
    <hyperlink r:id="rId119" ref="E132"/>
    <hyperlink r:id="rId120" ref="E135"/>
    <hyperlink r:id="rId121" ref="E136"/>
    <hyperlink r:id="rId122" ref="E137"/>
    <hyperlink r:id="rId123" ref="E138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 t="s">
        <v>0</v>
      </c>
      <c r="B1" s="2"/>
      <c r="C1" s="2"/>
      <c r="D1" s="2"/>
      <c r="E1" s="3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32" t="s">
        <v>356</v>
      </c>
      <c r="C3" s="33" t="s">
        <v>201</v>
      </c>
      <c r="D3" s="34" t="s">
        <v>712</v>
      </c>
      <c r="E3" s="11" t="s">
        <v>9</v>
      </c>
    </row>
    <row r="4">
      <c r="A4" s="7">
        <v>0.0625</v>
      </c>
      <c r="B4" s="32" t="s">
        <v>713</v>
      </c>
      <c r="C4" s="33" t="s">
        <v>270</v>
      </c>
      <c r="D4" s="32" t="s">
        <v>191</v>
      </c>
      <c r="E4" s="11" t="s">
        <v>13</v>
      </c>
    </row>
    <row r="5">
      <c r="A5" s="7">
        <v>0.07222222222222222</v>
      </c>
      <c r="B5" s="34" t="s">
        <v>713</v>
      </c>
      <c r="C5" s="33" t="s">
        <v>87</v>
      </c>
      <c r="D5" s="32" t="s">
        <v>712</v>
      </c>
      <c r="E5" s="11" t="s">
        <v>9</v>
      </c>
    </row>
    <row r="6">
      <c r="A6" s="7">
        <v>0.07222222222222222</v>
      </c>
      <c r="B6" s="32" t="s">
        <v>803</v>
      </c>
      <c r="C6" s="33" t="s">
        <v>18</v>
      </c>
      <c r="D6" s="34" t="s">
        <v>191</v>
      </c>
      <c r="E6" s="11" t="s">
        <v>13</v>
      </c>
    </row>
    <row r="7">
      <c r="A7" s="7">
        <v>0.08263888888888889</v>
      </c>
      <c r="B7" s="34" t="s">
        <v>803</v>
      </c>
      <c r="C7" s="33" t="s">
        <v>197</v>
      </c>
      <c r="D7" s="32" t="s">
        <v>713</v>
      </c>
      <c r="E7" s="11" t="s">
        <v>9</v>
      </c>
    </row>
    <row r="8">
      <c r="A8" s="7">
        <v>0.08263888888888889</v>
      </c>
      <c r="B8" s="32" t="s">
        <v>191</v>
      </c>
      <c r="C8" s="33" t="s">
        <v>88</v>
      </c>
      <c r="D8" s="32" t="s">
        <v>356</v>
      </c>
      <c r="E8" s="11" t="s">
        <v>13</v>
      </c>
    </row>
    <row r="9">
      <c r="A9" s="7">
        <v>0.09305555555555556</v>
      </c>
      <c r="B9" s="34" t="s">
        <v>803</v>
      </c>
      <c r="C9" s="33" t="s">
        <v>16</v>
      </c>
      <c r="D9" s="34" t="s">
        <v>712</v>
      </c>
      <c r="E9" s="11" t="s">
        <v>9</v>
      </c>
    </row>
    <row r="10">
      <c r="A10" s="7">
        <v>0.09305555555555556</v>
      </c>
      <c r="B10" s="32" t="s">
        <v>356</v>
      </c>
      <c r="C10" s="33" t="s">
        <v>352</v>
      </c>
      <c r="D10" s="32" t="s">
        <v>713</v>
      </c>
      <c r="E10" s="11" t="s">
        <v>13</v>
      </c>
    </row>
    <row r="11">
      <c r="A11" s="7">
        <v>0.10277777777777777</v>
      </c>
      <c r="B11" s="34" t="s">
        <v>191</v>
      </c>
      <c r="C11" s="33" t="s">
        <v>197</v>
      </c>
      <c r="D11" s="32" t="s">
        <v>712</v>
      </c>
      <c r="E11" s="11" t="s">
        <v>9</v>
      </c>
    </row>
    <row r="12">
      <c r="A12" s="7">
        <v>0.10277777777777777</v>
      </c>
      <c r="B12" s="32" t="s">
        <v>356</v>
      </c>
      <c r="C12" s="33" t="s">
        <v>22</v>
      </c>
      <c r="D12" s="34" t="s">
        <v>803</v>
      </c>
      <c r="E12" s="11" t="s">
        <v>13</v>
      </c>
    </row>
    <row r="13">
      <c r="A13" s="7">
        <v>0.11319444444444444</v>
      </c>
      <c r="B13" s="34" t="s">
        <v>712</v>
      </c>
      <c r="C13" s="33" t="s">
        <v>239</v>
      </c>
      <c r="D13" s="32" t="s">
        <v>356</v>
      </c>
      <c r="E13" s="11" t="s">
        <v>9</v>
      </c>
    </row>
    <row r="14">
      <c r="A14" s="7">
        <v>0.11319444444444444</v>
      </c>
      <c r="B14" s="32" t="s">
        <v>191</v>
      </c>
      <c r="C14" s="33" t="s">
        <v>47</v>
      </c>
      <c r="D14" s="32" t="s">
        <v>713</v>
      </c>
      <c r="E14" s="11" t="s">
        <v>13</v>
      </c>
    </row>
    <row r="15">
      <c r="A15" s="7">
        <v>0.12361111111111112</v>
      </c>
      <c r="B15" s="32" t="s">
        <v>712</v>
      </c>
      <c r="C15" s="35" t="s">
        <v>351</v>
      </c>
      <c r="D15" s="34" t="s">
        <v>713</v>
      </c>
      <c r="E15" s="11" t="s">
        <v>9</v>
      </c>
    </row>
    <row r="16">
      <c r="A16" s="7">
        <v>0.12361111111111112</v>
      </c>
      <c r="B16" s="34" t="s">
        <v>191</v>
      </c>
      <c r="C16" s="35" t="s">
        <v>215</v>
      </c>
      <c r="D16" s="32" t="s">
        <v>803</v>
      </c>
      <c r="E16" s="11" t="s">
        <v>13</v>
      </c>
    </row>
    <row r="17">
      <c r="A17" s="7">
        <v>0.13333333333333333</v>
      </c>
      <c r="B17" s="32" t="s">
        <v>713</v>
      </c>
      <c r="C17" s="35" t="s">
        <v>804</v>
      </c>
      <c r="D17" s="34" t="s">
        <v>803</v>
      </c>
      <c r="E17" s="11" t="s">
        <v>9</v>
      </c>
    </row>
    <row r="18">
      <c r="A18" s="7">
        <v>0.13333333333333333</v>
      </c>
      <c r="B18" s="32" t="s">
        <v>356</v>
      </c>
      <c r="C18" s="35" t="s">
        <v>43</v>
      </c>
      <c r="D18" s="32" t="s">
        <v>191</v>
      </c>
      <c r="E18" s="11" t="s">
        <v>13</v>
      </c>
    </row>
    <row r="19">
      <c r="A19" s="7">
        <v>0.14375</v>
      </c>
      <c r="B19" s="34" t="s">
        <v>712</v>
      </c>
      <c r="C19" s="35" t="s">
        <v>380</v>
      </c>
      <c r="D19" s="34" t="s">
        <v>803</v>
      </c>
      <c r="E19" s="11" t="s">
        <v>9</v>
      </c>
    </row>
    <row r="20">
      <c r="A20" s="7">
        <v>0.14375</v>
      </c>
      <c r="B20" s="32" t="s">
        <v>713</v>
      </c>
      <c r="C20" s="35" t="s">
        <v>71</v>
      </c>
      <c r="D20" s="32" t="s">
        <v>356</v>
      </c>
      <c r="E20" s="11" t="s">
        <v>13</v>
      </c>
    </row>
    <row r="21">
      <c r="A21" s="7">
        <v>0.15416666666666667</v>
      </c>
      <c r="B21" s="32" t="s">
        <v>712</v>
      </c>
      <c r="C21" s="35" t="s">
        <v>190</v>
      </c>
      <c r="D21" s="34" t="s">
        <v>191</v>
      </c>
      <c r="E21" s="11" t="s">
        <v>9</v>
      </c>
    </row>
    <row r="22">
      <c r="A22" s="7">
        <v>0.15416666666666667</v>
      </c>
      <c r="B22" s="34" t="s">
        <v>803</v>
      </c>
      <c r="C22" s="35" t="s">
        <v>197</v>
      </c>
      <c r="D22" s="32" t="s">
        <v>356</v>
      </c>
      <c r="E22" s="11" t="s">
        <v>13</v>
      </c>
    </row>
    <row r="23">
      <c r="A23" s="1" t="s">
        <v>29</v>
      </c>
      <c r="B23" s="2"/>
      <c r="C23" s="2"/>
      <c r="D23" s="2"/>
      <c r="E23" s="3"/>
    </row>
    <row r="24">
      <c r="A24" s="15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32" t="s">
        <v>805</v>
      </c>
      <c r="C25" s="35" t="s">
        <v>66</v>
      </c>
      <c r="D25" s="32" t="s">
        <v>199</v>
      </c>
      <c r="E25" s="11" t="s">
        <v>33</v>
      </c>
    </row>
    <row r="26">
      <c r="A26" s="7">
        <v>0.0625</v>
      </c>
      <c r="B26" s="32" t="s">
        <v>806</v>
      </c>
      <c r="C26" s="35" t="s">
        <v>89</v>
      </c>
      <c r="D26" s="32" t="s">
        <v>807</v>
      </c>
      <c r="E26" s="11" t="s">
        <v>37</v>
      </c>
    </row>
    <row r="27">
      <c r="A27" s="7">
        <v>0.07222222222222222</v>
      </c>
      <c r="B27" s="34" t="s">
        <v>806</v>
      </c>
      <c r="C27" s="35" t="s">
        <v>55</v>
      </c>
      <c r="D27" s="34" t="s">
        <v>199</v>
      </c>
      <c r="E27" s="11" t="s">
        <v>33</v>
      </c>
    </row>
    <row r="28">
      <c r="A28" s="7">
        <v>0.07222222222222222</v>
      </c>
      <c r="B28" s="32" t="s">
        <v>499</v>
      </c>
      <c r="C28" s="35" t="s">
        <v>217</v>
      </c>
      <c r="D28" s="32" t="s">
        <v>807</v>
      </c>
      <c r="E28" s="11" t="s">
        <v>37</v>
      </c>
    </row>
    <row r="29">
      <c r="A29" s="7">
        <v>0.08263888888888889</v>
      </c>
      <c r="B29" s="34" t="s">
        <v>499</v>
      </c>
      <c r="C29" s="35" t="s">
        <v>727</v>
      </c>
      <c r="D29" s="32" t="s">
        <v>806</v>
      </c>
      <c r="E29" s="11" t="s">
        <v>33</v>
      </c>
    </row>
    <row r="30">
      <c r="A30" s="7">
        <v>0.08263888888888889</v>
      </c>
      <c r="B30" s="32" t="s">
        <v>807</v>
      </c>
      <c r="C30" s="35" t="s">
        <v>195</v>
      </c>
      <c r="D30" s="32" t="s">
        <v>805</v>
      </c>
      <c r="E30" s="11" t="s">
        <v>37</v>
      </c>
    </row>
    <row r="31">
      <c r="A31" s="7">
        <v>0.09305555555555556</v>
      </c>
      <c r="B31" s="34" t="s">
        <v>499</v>
      </c>
      <c r="C31" s="35" t="s">
        <v>488</v>
      </c>
      <c r="D31" s="32" t="s">
        <v>199</v>
      </c>
      <c r="E31" s="11" t="s">
        <v>33</v>
      </c>
    </row>
    <row r="32">
      <c r="A32" s="7">
        <v>0.09305555555555556</v>
      </c>
      <c r="B32" s="32" t="s">
        <v>805</v>
      </c>
      <c r="C32" s="35" t="s">
        <v>16</v>
      </c>
      <c r="D32" s="34" t="s">
        <v>806</v>
      </c>
      <c r="E32" s="11" t="s">
        <v>37</v>
      </c>
    </row>
    <row r="33">
      <c r="A33" s="7">
        <v>0.10277777777777777</v>
      </c>
      <c r="B33" s="32" t="s">
        <v>807</v>
      </c>
      <c r="C33" s="35" t="s">
        <v>55</v>
      </c>
      <c r="D33" s="32" t="s">
        <v>199</v>
      </c>
      <c r="E33" s="11" t="s">
        <v>33</v>
      </c>
    </row>
    <row r="34">
      <c r="A34" s="7">
        <v>0.10277777777777777</v>
      </c>
      <c r="B34" s="32" t="s">
        <v>805</v>
      </c>
      <c r="C34" s="35" t="s">
        <v>23</v>
      </c>
      <c r="D34" s="32" t="s">
        <v>499</v>
      </c>
      <c r="E34" s="11" t="s">
        <v>37</v>
      </c>
    </row>
    <row r="35">
      <c r="A35" s="7">
        <v>0.11319444444444444</v>
      </c>
      <c r="B35" s="32" t="s">
        <v>199</v>
      </c>
      <c r="C35" s="35" t="s">
        <v>320</v>
      </c>
      <c r="D35" s="32" t="s">
        <v>805</v>
      </c>
      <c r="E35" s="11" t="s">
        <v>33</v>
      </c>
    </row>
    <row r="36">
      <c r="A36" s="7">
        <v>0.11319444444444444</v>
      </c>
      <c r="B36" s="32" t="s">
        <v>807</v>
      </c>
      <c r="C36" s="35" t="s">
        <v>52</v>
      </c>
      <c r="D36" s="32" t="s">
        <v>806</v>
      </c>
      <c r="E36" s="11" t="s">
        <v>37</v>
      </c>
    </row>
    <row r="37">
      <c r="A37" s="7">
        <v>0.12361111111111112</v>
      </c>
      <c r="B37" s="34" t="s">
        <v>199</v>
      </c>
      <c r="C37" s="35" t="s">
        <v>270</v>
      </c>
      <c r="D37" s="34" t="s">
        <v>806</v>
      </c>
      <c r="E37" s="11" t="s">
        <v>33</v>
      </c>
    </row>
    <row r="38">
      <c r="A38" s="7">
        <v>0.12361111111111112</v>
      </c>
      <c r="B38" s="32" t="s">
        <v>807</v>
      </c>
      <c r="C38" s="35" t="s">
        <v>28</v>
      </c>
      <c r="D38" s="32" t="s">
        <v>499</v>
      </c>
      <c r="E38" s="11" t="s">
        <v>37</v>
      </c>
    </row>
    <row r="39">
      <c r="A39" s="7">
        <v>0.13333333333333333</v>
      </c>
      <c r="B39" s="32" t="s">
        <v>806</v>
      </c>
      <c r="C39" s="35" t="s">
        <v>19</v>
      </c>
      <c r="D39" s="34" t="s">
        <v>499</v>
      </c>
      <c r="E39" s="11" t="s">
        <v>33</v>
      </c>
    </row>
    <row r="40">
      <c r="A40" s="7">
        <v>0.13333333333333333</v>
      </c>
      <c r="B40" s="32" t="s">
        <v>805</v>
      </c>
      <c r="C40" s="35" t="s">
        <v>363</v>
      </c>
      <c r="D40" s="32" t="s">
        <v>807</v>
      </c>
      <c r="E40" s="11" t="s">
        <v>37</v>
      </c>
    </row>
    <row r="41">
      <c r="A41" s="7">
        <v>0.14375</v>
      </c>
      <c r="B41" s="32" t="s">
        <v>199</v>
      </c>
      <c r="C41" s="35" t="s">
        <v>426</v>
      </c>
      <c r="D41" s="34" t="s">
        <v>499</v>
      </c>
      <c r="E41" s="11" t="s">
        <v>33</v>
      </c>
    </row>
    <row r="42">
      <c r="A42" s="7">
        <v>0.14375</v>
      </c>
      <c r="B42" s="34" t="s">
        <v>806</v>
      </c>
      <c r="C42" s="35" t="s">
        <v>64</v>
      </c>
      <c r="D42" s="32" t="s">
        <v>805</v>
      </c>
      <c r="E42" s="11" t="s">
        <v>37</v>
      </c>
    </row>
    <row r="43">
      <c r="A43" s="7">
        <v>0.15416666666666667</v>
      </c>
      <c r="B43" s="32" t="s">
        <v>199</v>
      </c>
      <c r="C43" s="35" t="s">
        <v>49</v>
      </c>
      <c r="D43" s="32" t="s">
        <v>807</v>
      </c>
      <c r="E43" s="11" t="s">
        <v>33</v>
      </c>
    </row>
    <row r="44">
      <c r="A44" s="7">
        <v>0.15416666666666667</v>
      </c>
      <c r="B44" s="32" t="s">
        <v>499</v>
      </c>
      <c r="C44" s="35" t="s">
        <v>64</v>
      </c>
      <c r="D44" s="32" t="s">
        <v>805</v>
      </c>
      <c r="E44" s="11" t="s">
        <v>37</v>
      </c>
    </row>
    <row r="45">
      <c r="A45" s="1" t="s">
        <v>53</v>
      </c>
      <c r="B45" s="2"/>
      <c r="C45" s="2"/>
      <c r="D45" s="2"/>
      <c r="E45" s="3"/>
    </row>
    <row r="46">
      <c r="A46" s="15" t="s">
        <v>1</v>
      </c>
      <c r="B46" s="16" t="s">
        <v>2</v>
      </c>
      <c r="C46" s="16" t="s">
        <v>3</v>
      </c>
      <c r="D46" s="16" t="s">
        <v>4</v>
      </c>
      <c r="E46" s="16" t="s">
        <v>5</v>
      </c>
    </row>
    <row r="47">
      <c r="A47" s="7">
        <v>0.16666666666666666</v>
      </c>
      <c r="B47" s="32" t="s">
        <v>209</v>
      </c>
      <c r="C47" s="35" t="s">
        <v>557</v>
      </c>
      <c r="D47" s="32" t="s">
        <v>808</v>
      </c>
      <c r="E47" s="11" t="s">
        <v>9</v>
      </c>
    </row>
    <row r="48">
      <c r="A48" s="7">
        <v>0.16666666666666666</v>
      </c>
      <c r="B48" s="32" t="s">
        <v>809</v>
      </c>
      <c r="C48" s="35" t="s">
        <v>193</v>
      </c>
      <c r="D48" s="32" t="s">
        <v>624</v>
      </c>
      <c r="E48" s="11" t="s">
        <v>13</v>
      </c>
    </row>
    <row r="49">
      <c r="A49" s="7">
        <v>0.1763888888888889</v>
      </c>
      <c r="B49" s="32" t="s">
        <v>809</v>
      </c>
      <c r="C49" s="35" t="s">
        <v>220</v>
      </c>
      <c r="D49" s="32" t="s">
        <v>808</v>
      </c>
      <c r="E49" s="11" t="s">
        <v>9</v>
      </c>
    </row>
    <row r="50">
      <c r="A50" s="7">
        <v>0.1763888888888889</v>
      </c>
      <c r="B50" s="32" t="s">
        <v>77</v>
      </c>
      <c r="C50" s="35" t="s">
        <v>7</v>
      </c>
      <c r="D50" s="32" t="s">
        <v>624</v>
      </c>
      <c r="E50" s="11" t="s">
        <v>13</v>
      </c>
    </row>
    <row r="51">
      <c r="A51" s="7">
        <v>0.18680555555555556</v>
      </c>
      <c r="B51" s="32" t="s">
        <v>77</v>
      </c>
      <c r="C51" s="35" t="s">
        <v>215</v>
      </c>
      <c r="D51" s="32" t="s">
        <v>809</v>
      </c>
      <c r="E51" s="11" t="s">
        <v>9</v>
      </c>
    </row>
    <row r="52">
      <c r="A52" s="7">
        <v>0.18680555555555556</v>
      </c>
      <c r="B52" s="32" t="s">
        <v>624</v>
      </c>
      <c r="C52" s="35" t="s">
        <v>11</v>
      </c>
      <c r="D52" s="32" t="s">
        <v>209</v>
      </c>
      <c r="E52" s="11" t="s">
        <v>13</v>
      </c>
    </row>
    <row r="53">
      <c r="A53" s="7">
        <v>0.19722222222222222</v>
      </c>
      <c r="B53" s="32" t="s">
        <v>77</v>
      </c>
      <c r="C53" s="35" t="s">
        <v>197</v>
      </c>
      <c r="D53" s="32" t="s">
        <v>808</v>
      </c>
      <c r="E53" s="11" t="s">
        <v>9</v>
      </c>
    </row>
    <row r="54">
      <c r="A54" s="7">
        <v>0.19722222222222222</v>
      </c>
      <c r="B54" s="32" t="s">
        <v>209</v>
      </c>
      <c r="C54" s="35" t="s">
        <v>218</v>
      </c>
      <c r="D54" s="32" t="s">
        <v>809</v>
      </c>
      <c r="E54" s="11" t="s">
        <v>13</v>
      </c>
    </row>
    <row r="55">
      <c r="A55" s="7">
        <v>0.20694444444444443</v>
      </c>
      <c r="B55" s="32" t="s">
        <v>624</v>
      </c>
      <c r="C55" s="35" t="s">
        <v>201</v>
      </c>
      <c r="D55" s="32" t="s">
        <v>808</v>
      </c>
      <c r="E55" s="11" t="s">
        <v>9</v>
      </c>
    </row>
    <row r="56">
      <c r="A56" s="7">
        <v>0.20694444444444443</v>
      </c>
      <c r="B56" s="32" t="s">
        <v>209</v>
      </c>
      <c r="C56" s="35" t="s">
        <v>325</v>
      </c>
      <c r="D56" s="32" t="s">
        <v>77</v>
      </c>
      <c r="E56" s="11" t="s">
        <v>13</v>
      </c>
    </row>
    <row r="57">
      <c r="A57" s="7">
        <v>0.21736111111111112</v>
      </c>
      <c r="B57" s="32" t="s">
        <v>808</v>
      </c>
      <c r="C57" s="35" t="s">
        <v>283</v>
      </c>
      <c r="D57" s="32" t="s">
        <v>209</v>
      </c>
      <c r="E57" s="11" t="s">
        <v>9</v>
      </c>
    </row>
    <row r="58">
      <c r="A58" s="7">
        <v>0.21736111111111112</v>
      </c>
      <c r="B58" s="32" t="s">
        <v>624</v>
      </c>
      <c r="C58" s="35" t="s">
        <v>22</v>
      </c>
      <c r="D58" s="32" t="s">
        <v>809</v>
      </c>
      <c r="E58" s="11" t="s">
        <v>13</v>
      </c>
    </row>
    <row r="59">
      <c r="A59" s="7">
        <v>0.22777777777777777</v>
      </c>
      <c r="B59" s="32" t="s">
        <v>808</v>
      </c>
      <c r="C59" s="35" t="s">
        <v>87</v>
      </c>
      <c r="D59" s="32" t="s">
        <v>809</v>
      </c>
      <c r="E59" s="11" t="s">
        <v>9</v>
      </c>
    </row>
    <row r="60">
      <c r="A60" s="7">
        <v>0.22777777777777777</v>
      </c>
      <c r="B60" s="32" t="s">
        <v>624</v>
      </c>
      <c r="C60" s="35" t="s">
        <v>35</v>
      </c>
      <c r="D60" s="32" t="s">
        <v>77</v>
      </c>
      <c r="E60" s="11" t="s">
        <v>13</v>
      </c>
    </row>
    <row r="61">
      <c r="A61" s="7">
        <v>0.2375</v>
      </c>
      <c r="B61" s="32" t="s">
        <v>809</v>
      </c>
      <c r="C61" s="35" t="s">
        <v>239</v>
      </c>
      <c r="D61" s="32" t="s">
        <v>77</v>
      </c>
      <c r="E61" s="11" t="s">
        <v>9</v>
      </c>
    </row>
    <row r="62">
      <c r="A62" s="7">
        <v>0.2375</v>
      </c>
      <c r="B62" s="32" t="s">
        <v>209</v>
      </c>
      <c r="C62" s="35" t="s">
        <v>28</v>
      </c>
      <c r="D62" s="32" t="s">
        <v>624</v>
      </c>
      <c r="E62" s="11" t="s">
        <v>13</v>
      </c>
    </row>
    <row r="63">
      <c r="A63" s="7">
        <v>0.24791666666666667</v>
      </c>
      <c r="B63" s="32" t="s">
        <v>808</v>
      </c>
      <c r="C63" s="35" t="s">
        <v>196</v>
      </c>
      <c r="D63" s="32" t="s">
        <v>77</v>
      </c>
      <c r="E63" s="11" t="s">
        <v>9</v>
      </c>
    </row>
    <row r="64">
      <c r="A64" s="7">
        <v>0.24791666666666667</v>
      </c>
      <c r="B64" s="32" t="s">
        <v>809</v>
      </c>
      <c r="C64" s="35" t="s">
        <v>197</v>
      </c>
      <c r="D64" s="32" t="s">
        <v>209</v>
      </c>
      <c r="E64" s="11" t="s">
        <v>13</v>
      </c>
    </row>
    <row r="65">
      <c r="A65" s="7">
        <v>0.25833333333333336</v>
      </c>
      <c r="B65" s="32" t="s">
        <v>808</v>
      </c>
      <c r="C65" s="35" t="s">
        <v>31</v>
      </c>
      <c r="D65" s="32" t="s">
        <v>624</v>
      </c>
      <c r="E65" s="11" t="s">
        <v>9</v>
      </c>
    </row>
    <row r="66">
      <c r="A66" s="7">
        <v>0.25833333333333336</v>
      </c>
      <c r="B66" s="32" t="s">
        <v>77</v>
      </c>
      <c r="C66" s="35" t="s">
        <v>87</v>
      </c>
      <c r="D66" s="32" t="s">
        <v>209</v>
      </c>
      <c r="E66" s="11" t="s">
        <v>13</v>
      </c>
    </row>
    <row r="67">
      <c r="A67" s="1" t="s">
        <v>53</v>
      </c>
      <c r="B67" s="2"/>
      <c r="C67" s="2"/>
      <c r="D67" s="2"/>
      <c r="E67" s="3"/>
    </row>
    <row r="68">
      <c r="A68" s="15" t="s">
        <v>1</v>
      </c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7">
        <v>0.16666666666666666</v>
      </c>
      <c r="B69" s="32" t="s">
        <v>810</v>
      </c>
      <c r="C69" s="35" t="s">
        <v>196</v>
      </c>
      <c r="D69" s="32" t="s">
        <v>348</v>
      </c>
      <c r="E69" s="11" t="s">
        <v>33</v>
      </c>
    </row>
    <row r="70">
      <c r="A70" s="7">
        <v>0.16666666666666666</v>
      </c>
      <c r="B70" s="32" t="s">
        <v>811</v>
      </c>
      <c r="C70" s="35" t="s">
        <v>66</v>
      </c>
      <c r="D70" s="32" t="s">
        <v>812</v>
      </c>
      <c r="E70" s="11" t="s">
        <v>37</v>
      </c>
    </row>
    <row r="71">
      <c r="A71" s="7">
        <v>0.1763888888888889</v>
      </c>
      <c r="B71" s="32" t="s">
        <v>811</v>
      </c>
      <c r="C71" s="35" t="s">
        <v>87</v>
      </c>
      <c r="D71" s="32" t="s">
        <v>348</v>
      </c>
      <c r="E71" s="11" t="s">
        <v>33</v>
      </c>
    </row>
    <row r="72">
      <c r="A72" s="7">
        <v>0.1763888888888889</v>
      </c>
      <c r="B72" s="32" t="s">
        <v>813</v>
      </c>
      <c r="C72" s="35" t="s">
        <v>770</v>
      </c>
      <c r="D72" s="32" t="s">
        <v>812</v>
      </c>
      <c r="E72" s="11" t="s">
        <v>37</v>
      </c>
    </row>
    <row r="73">
      <c r="A73" s="7">
        <v>0.18680555555555556</v>
      </c>
      <c r="B73" s="32" t="s">
        <v>813</v>
      </c>
      <c r="C73" s="35" t="s">
        <v>614</v>
      </c>
      <c r="D73" s="32" t="s">
        <v>811</v>
      </c>
      <c r="E73" s="11" t="s">
        <v>33</v>
      </c>
    </row>
    <row r="74">
      <c r="A74" s="7">
        <v>0.18680555555555556</v>
      </c>
      <c r="B74" s="32" t="s">
        <v>812</v>
      </c>
      <c r="C74" s="35" t="s">
        <v>218</v>
      </c>
      <c r="D74" s="32" t="s">
        <v>810</v>
      </c>
      <c r="E74" s="11" t="s">
        <v>37</v>
      </c>
    </row>
    <row r="75">
      <c r="A75" s="7">
        <v>0.19722222222222222</v>
      </c>
      <c r="B75" s="32" t="s">
        <v>813</v>
      </c>
      <c r="C75" s="35" t="s">
        <v>71</v>
      </c>
      <c r="D75" s="32" t="s">
        <v>348</v>
      </c>
      <c r="E75" s="11" t="s">
        <v>33</v>
      </c>
    </row>
    <row r="76">
      <c r="A76" s="7">
        <v>0.19722222222222222</v>
      </c>
      <c r="B76" s="32" t="s">
        <v>810</v>
      </c>
      <c r="C76" s="35" t="s">
        <v>42</v>
      </c>
      <c r="D76" s="32" t="s">
        <v>811</v>
      </c>
      <c r="E76" s="11" t="s">
        <v>37</v>
      </c>
    </row>
    <row r="77">
      <c r="A77" s="7">
        <v>0.20694444444444443</v>
      </c>
      <c r="B77" s="32" t="s">
        <v>812</v>
      </c>
      <c r="C77" s="35" t="s">
        <v>196</v>
      </c>
      <c r="D77" s="32" t="s">
        <v>348</v>
      </c>
      <c r="E77" s="11" t="s">
        <v>33</v>
      </c>
    </row>
    <row r="78">
      <c r="A78" s="7">
        <v>0.20694444444444443</v>
      </c>
      <c r="B78" s="32" t="s">
        <v>810</v>
      </c>
      <c r="C78" s="35" t="s">
        <v>814</v>
      </c>
      <c r="D78" s="32" t="s">
        <v>813</v>
      </c>
      <c r="E78" s="11" t="s">
        <v>37</v>
      </c>
    </row>
    <row r="79">
      <c r="A79" s="7">
        <v>0.21736111111111112</v>
      </c>
      <c r="B79" s="32" t="s">
        <v>348</v>
      </c>
      <c r="C79" s="35" t="s">
        <v>65</v>
      </c>
      <c r="D79" s="32" t="s">
        <v>810</v>
      </c>
      <c r="E79" s="11" t="s">
        <v>33</v>
      </c>
    </row>
    <row r="80">
      <c r="A80" s="7">
        <v>0.21736111111111112</v>
      </c>
      <c r="B80" s="32" t="s">
        <v>812</v>
      </c>
      <c r="C80" s="35" t="s">
        <v>193</v>
      </c>
      <c r="D80" s="32" t="s">
        <v>811</v>
      </c>
      <c r="E80" s="11" t="s">
        <v>37</v>
      </c>
    </row>
    <row r="81">
      <c r="A81" s="7">
        <v>0.22777777777777777</v>
      </c>
      <c r="B81" s="32" t="s">
        <v>348</v>
      </c>
      <c r="C81" s="35" t="s">
        <v>72</v>
      </c>
      <c r="D81" s="32" t="s">
        <v>811</v>
      </c>
      <c r="E81" s="11" t="s">
        <v>33</v>
      </c>
    </row>
    <row r="82">
      <c r="A82" s="7">
        <v>0.22777777777777777</v>
      </c>
      <c r="B82" s="32" t="s">
        <v>812</v>
      </c>
      <c r="C82" s="35" t="s">
        <v>64</v>
      </c>
      <c r="D82" s="32" t="s">
        <v>813</v>
      </c>
      <c r="E82" s="11" t="s">
        <v>37</v>
      </c>
    </row>
    <row r="83">
      <c r="A83" s="7">
        <v>0.2375</v>
      </c>
      <c r="B83" s="32" t="s">
        <v>811</v>
      </c>
      <c r="C83" s="35" t="s">
        <v>43</v>
      </c>
      <c r="D83" s="32" t="s">
        <v>813</v>
      </c>
      <c r="E83" s="11" t="s">
        <v>33</v>
      </c>
    </row>
    <row r="84">
      <c r="A84" s="7">
        <v>0.2375</v>
      </c>
      <c r="B84" s="32" t="s">
        <v>810</v>
      </c>
      <c r="C84" s="35" t="s">
        <v>815</v>
      </c>
      <c r="D84" s="32" t="s">
        <v>812</v>
      </c>
      <c r="E84" s="11" t="s">
        <v>37</v>
      </c>
    </row>
    <row r="85">
      <c r="A85" s="7">
        <v>0.24791666666666667</v>
      </c>
      <c r="B85" s="32" t="s">
        <v>348</v>
      </c>
      <c r="C85" s="35" t="s">
        <v>320</v>
      </c>
      <c r="D85" s="32" t="s">
        <v>813</v>
      </c>
      <c r="E85" s="11" t="s">
        <v>33</v>
      </c>
    </row>
    <row r="86">
      <c r="A86" s="7">
        <v>0.24791666666666667</v>
      </c>
      <c r="B86" s="32" t="s">
        <v>811</v>
      </c>
      <c r="C86" s="35" t="s">
        <v>11</v>
      </c>
      <c r="D86" s="32" t="s">
        <v>810</v>
      </c>
      <c r="E86" s="11" t="s">
        <v>37</v>
      </c>
    </row>
    <row r="87">
      <c r="A87" s="7">
        <v>0.25833333333333336</v>
      </c>
      <c r="B87" s="32" t="s">
        <v>348</v>
      </c>
      <c r="C87" s="35" t="s">
        <v>239</v>
      </c>
      <c r="D87" s="32" t="s">
        <v>812</v>
      </c>
      <c r="E87" s="11" t="s">
        <v>33</v>
      </c>
    </row>
    <row r="88">
      <c r="A88" s="7">
        <v>0.25833333333333336</v>
      </c>
      <c r="B88" s="32" t="s">
        <v>813</v>
      </c>
      <c r="C88" s="35" t="s">
        <v>76</v>
      </c>
      <c r="D88" s="32" t="s">
        <v>810</v>
      </c>
      <c r="E88" s="11" t="s">
        <v>37</v>
      </c>
    </row>
    <row r="89">
      <c r="B89" s="1" t="s">
        <v>90</v>
      </c>
      <c r="C89" s="2"/>
      <c r="D89" s="3"/>
      <c r="E89" s="4"/>
    </row>
    <row r="90">
      <c r="A90" s="18" t="s">
        <v>1</v>
      </c>
      <c r="B90" s="16" t="s">
        <v>2</v>
      </c>
      <c r="C90" s="16" t="s">
        <v>3</v>
      </c>
      <c r="D90" s="16" t="s">
        <v>4</v>
      </c>
      <c r="E90" s="16" t="s">
        <v>5</v>
      </c>
    </row>
    <row r="91">
      <c r="A91" s="19">
        <v>0.3333333333333333</v>
      </c>
      <c r="B91" s="32" t="s">
        <v>732</v>
      </c>
      <c r="C91" s="35" t="s">
        <v>533</v>
      </c>
      <c r="D91" s="32" t="s">
        <v>816</v>
      </c>
      <c r="E91" s="11" t="s">
        <v>9</v>
      </c>
    </row>
    <row r="92">
      <c r="A92" s="19">
        <v>0.3333333333333333</v>
      </c>
      <c r="B92" s="32" t="s">
        <v>817</v>
      </c>
      <c r="C92" s="35" t="s">
        <v>196</v>
      </c>
      <c r="D92" s="32" t="s">
        <v>818</v>
      </c>
      <c r="E92" s="11" t="s">
        <v>13</v>
      </c>
    </row>
    <row r="93">
      <c r="A93" s="19">
        <v>0.34305555555555556</v>
      </c>
      <c r="B93" s="32" t="s">
        <v>817</v>
      </c>
      <c r="C93" s="35" t="s">
        <v>716</v>
      </c>
      <c r="D93" s="32" t="s">
        <v>816</v>
      </c>
      <c r="E93" s="11" t="s">
        <v>9</v>
      </c>
    </row>
    <row r="94">
      <c r="A94" s="19">
        <v>0.34305555555555556</v>
      </c>
      <c r="B94" s="32" t="s">
        <v>731</v>
      </c>
      <c r="C94" s="35" t="s">
        <v>87</v>
      </c>
      <c r="D94" s="32" t="s">
        <v>818</v>
      </c>
      <c r="E94" s="11" t="s">
        <v>13</v>
      </c>
    </row>
    <row r="95">
      <c r="A95" s="19">
        <v>0.35347222222222224</v>
      </c>
      <c r="B95" s="32" t="s">
        <v>731</v>
      </c>
      <c r="C95" s="35" t="s">
        <v>274</v>
      </c>
      <c r="D95" s="32" t="s">
        <v>817</v>
      </c>
      <c r="E95" s="11" t="s">
        <v>9</v>
      </c>
    </row>
    <row r="96">
      <c r="A96" s="19">
        <v>0.35347222222222224</v>
      </c>
      <c r="B96" s="32" t="s">
        <v>818</v>
      </c>
      <c r="C96" s="35" t="s">
        <v>412</v>
      </c>
      <c r="D96" s="32" t="s">
        <v>732</v>
      </c>
      <c r="E96" s="11" t="s">
        <v>13</v>
      </c>
    </row>
    <row r="97">
      <c r="A97" s="19">
        <v>0.3638888888888889</v>
      </c>
      <c r="B97" s="32" t="s">
        <v>731</v>
      </c>
      <c r="C97" s="35" t="s">
        <v>194</v>
      </c>
      <c r="D97" s="32" t="s">
        <v>816</v>
      </c>
      <c r="E97" s="11" t="s">
        <v>9</v>
      </c>
    </row>
    <row r="98">
      <c r="A98" s="19">
        <v>0.3638888888888889</v>
      </c>
      <c r="B98" s="32" t="s">
        <v>732</v>
      </c>
      <c r="C98" s="35" t="s">
        <v>88</v>
      </c>
      <c r="D98" s="32" t="s">
        <v>817</v>
      </c>
      <c r="E98" s="11" t="s">
        <v>13</v>
      </c>
    </row>
    <row r="99">
      <c r="A99" s="19">
        <v>0.3736111111111111</v>
      </c>
      <c r="B99" s="32" t="s">
        <v>818</v>
      </c>
      <c r="C99" s="35" t="s">
        <v>11</v>
      </c>
      <c r="D99" s="32" t="s">
        <v>816</v>
      </c>
      <c r="E99" s="11" t="s">
        <v>9</v>
      </c>
    </row>
    <row r="100">
      <c r="A100" s="19">
        <v>0.3736111111111111</v>
      </c>
      <c r="B100" s="32" t="s">
        <v>732</v>
      </c>
      <c r="C100" s="35" t="s">
        <v>446</v>
      </c>
      <c r="D100" s="32" t="s">
        <v>731</v>
      </c>
      <c r="E100" s="11" t="s">
        <v>13</v>
      </c>
    </row>
    <row r="101">
      <c r="A101" s="19">
        <v>0.3840277777777778</v>
      </c>
      <c r="B101" s="32" t="s">
        <v>816</v>
      </c>
      <c r="C101" s="35" t="s">
        <v>64</v>
      </c>
      <c r="D101" s="32" t="s">
        <v>732</v>
      </c>
      <c r="E101" s="11" t="s">
        <v>9</v>
      </c>
    </row>
    <row r="102">
      <c r="A102" s="19">
        <v>0.3840277777777778</v>
      </c>
      <c r="B102" s="32" t="s">
        <v>818</v>
      </c>
      <c r="C102" s="35" t="s">
        <v>285</v>
      </c>
      <c r="D102" s="32" t="s">
        <v>817</v>
      </c>
      <c r="E102" s="11" t="s">
        <v>13</v>
      </c>
    </row>
    <row r="103">
      <c r="A103" s="19">
        <v>0.39444444444444443</v>
      </c>
      <c r="B103" s="32" t="s">
        <v>816</v>
      </c>
      <c r="C103" s="35" t="s">
        <v>48</v>
      </c>
      <c r="D103" s="32" t="s">
        <v>817</v>
      </c>
      <c r="E103" s="11" t="s">
        <v>9</v>
      </c>
    </row>
    <row r="104">
      <c r="A104" s="19">
        <v>0.39444444444444443</v>
      </c>
      <c r="B104" s="32" t="s">
        <v>818</v>
      </c>
      <c r="C104" s="35" t="s">
        <v>47</v>
      </c>
      <c r="D104" s="32" t="s">
        <v>731</v>
      </c>
      <c r="E104" s="11" t="s">
        <v>13</v>
      </c>
    </row>
    <row r="105">
      <c r="A105" s="19">
        <v>0.4041666666666667</v>
      </c>
      <c r="B105" s="32" t="s">
        <v>817</v>
      </c>
      <c r="C105" s="35" t="s">
        <v>819</v>
      </c>
      <c r="D105" s="32" t="s">
        <v>731</v>
      </c>
      <c r="E105" s="11" t="s">
        <v>9</v>
      </c>
    </row>
    <row r="106">
      <c r="A106" s="19">
        <v>0.4041666666666667</v>
      </c>
      <c r="B106" s="32" t="s">
        <v>732</v>
      </c>
      <c r="C106" s="35" t="s">
        <v>725</v>
      </c>
      <c r="D106" s="32" t="s">
        <v>818</v>
      </c>
      <c r="E106" s="11" t="s">
        <v>13</v>
      </c>
    </row>
    <row r="107">
      <c r="A107" s="19">
        <v>0.41458333333333336</v>
      </c>
      <c r="B107" s="32" t="s">
        <v>816</v>
      </c>
      <c r="C107" s="35" t="s">
        <v>566</v>
      </c>
      <c r="D107" s="32" t="s">
        <v>731</v>
      </c>
      <c r="E107" s="11" t="s">
        <v>9</v>
      </c>
    </row>
    <row r="108">
      <c r="A108" s="19">
        <v>0.41458333333333336</v>
      </c>
      <c r="B108" s="32" t="s">
        <v>817</v>
      </c>
      <c r="C108" s="35" t="s">
        <v>378</v>
      </c>
      <c r="D108" s="32" t="s">
        <v>732</v>
      </c>
      <c r="E108" s="11" t="s">
        <v>13</v>
      </c>
    </row>
    <row r="109">
      <c r="A109" s="19">
        <v>0.425</v>
      </c>
      <c r="B109" s="32" t="s">
        <v>816</v>
      </c>
      <c r="C109" s="35" t="s">
        <v>509</v>
      </c>
      <c r="D109" s="32" t="s">
        <v>818</v>
      </c>
      <c r="E109" s="11" t="s">
        <v>9</v>
      </c>
    </row>
    <row r="110">
      <c r="A110" s="19">
        <v>0.425</v>
      </c>
      <c r="B110" s="32" t="s">
        <v>731</v>
      </c>
      <c r="C110" s="35" t="s">
        <v>302</v>
      </c>
      <c r="D110" s="32" t="s">
        <v>732</v>
      </c>
      <c r="E110" s="11" t="s">
        <v>13</v>
      </c>
    </row>
    <row r="111">
      <c r="A111" s="1"/>
      <c r="B111" s="1" t="s">
        <v>90</v>
      </c>
      <c r="C111" s="2"/>
      <c r="D111" s="3"/>
      <c r="E111" s="4"/>
    </row>
    <row r="112">
      <c r="A112" s="18" t="s">
        <v>1</v>
      </c>
      <c r="B112" s="16" t="s">
        <v>2</v>
      </c>
      <c r="C112" s="16" t="s">
        <v>3</v>
      </c>
      <c r="D112" s="16" t="s">
        <v>4</v>
      </c>
      <c r="E112" s="16" t="s">
        <v>5</v>
      </c>
      <c r="G112" s="36"/>
    </row>
    <row r="113">
      <c r="A113" s="22">
        <v>0.3333333333333333</v>
      </c>
      <c r="B113" s="32" t="s">
        <v>820</v>
      </c>
      <c r="C113" s="35" t="s">
        <v>190</v>
      </c>
      <c r="D113" s="32" t="s">
        <v>821</v>
      </c>
      <c r="E113" s="11" t="s">
        <v>33</v>
      </c>
    </row>
    <row r="114">
      <c r="A114" s="23">
        <v>0.3333333333333333</v>
      </c>
      <c r="B114" s="32" t="s">
        <v>822</v>
      </c>
      <c r="C114" s="35" t="s">
        <v>23</v>
      </c>
      <c r="D114" s="32" t="s">
        <v>823</v>
      </c>
      <c r="E114" s="11" t="s">
        <v>37</v>
      </c>
    </row>
    <row r="115">
      <c r="A115" s="23">
        <v>0.34305555555555556</v>
      </c>
      <c r="B115" s="32" t="s">
        <v>822</v>
      </c>
      <c r="C115" s="35" t="s">
        <v>824</v>
      </c>
      <c r="D115" s="32" t="s">
        <v>821</v>
      </c>
      <c r="E115" s="11" t="s">
        <v>33</v>
      </c>
    </row>
    <row r="116">
      <c r="A116" s="23">
        <v>0.34305555555555556</v>
      </c>
      <c r="B116" s="32" t="s">
        <v>825</v>
      </c>
      <c r="C116" s="35" t="s">
        <v>285</v>
      </c>
      <c r="D116" s="32" t="s">
        <v>823</v>
      </c>
      <c r="E116" s="11" t="s">
        <v>37</v>
      </c>
    </row>
    <row r="117">
      <c r="A117" s="23">
        <v>0.35347222222222224</v>
      </c>
      <c r="B117" s="32" t="s">
        <v>825</v>
      </c>
      <c r="C117" s="35" t="s">
        <v>414</v>
      </c>
      <c r="D117" s="32" t="s">
        <v>822</v>
      </c>
      <c r="E117" s="11" t="s">
        <v>33</v>
      </c>
    </row>
    <row r="118">
      <c r="A118" s="23">
        <v>0.35347222222222224</v>
      </c>
      <c r="B118" s="32" t="s">
        <v>823</v>
      </c>
      <c r="C118" s="35" t="s">
        <v>195</v>
      </c>
      <c r="D118" s="32" t="s">
        <v>820</v>
      </c>
      <c r="E118" s="11" t="s">
        <v>37</v>
      </c>
    </row>
    <row r="119">
      <c r="A119" s="23">
        <v>0.3638888888888889</v>
      </c>
      <c r="B119" s="32" t="s">
        <v>825</v>
      </c>
      <c r="C119" s="35" t="s">
        <v>826</v>
      </c>
      <c r="D119" s="32" t="s">
        <v>821</v>
      </c>
      <c r="E119" s="11" t="s">
        <v>33</v>
      </c>
    </row>
    <row r="120">
      <c r="A120" s="23">
        <v>0.3638888888888889</v>
      </c>
      <c r="B120" s="32" t="s">
        <v>820</v>
      </c>
      <c r="C120" s="35" t="s">
        <v>249</v>
      </c>
      <c r="D120" s="32" t="s">
        <v>822</v>
      </c>
      <c r="E120" s="11" t="s">
        <v>37</v>
      </c>
    </row>
    <row r="121">
      <c r="A121" s="23">
        <v>0.3736111111111111</v>
      </c>
      <c r="B121" s="32" t="s">
        <v>823</v>
      </c>
      <c r="C121" s="35" t="s">
        <v>43</v>
      </c>
      <c r="D121" s="32" t="s">
        <v>821</v>
      </c>
      <c r="E121" s="11" t="s">
        <v>33</v>
      </c>
    </row>
    <row r="122">
      <c r="A122" s="23">
        <v>0.3736111111111111</v>
      </c>
      <c r="B122" s="32" t="s">
        <v>820</v>
      </c>
      <c r="C122" s="35" t="s">
        <v>43</v>
      </c>
      <c r="D122" s="32" t="s">
        <v>825</v>
      </c>
      <c r="E122" s="11" t="s">
        <v>37</v>
      </c>
    </row>
    <row r="123">
      <c r="A123" s="23">
        <v>0.3840277777777778</v>
      </c>
      <c r="B123" s="32" t="s">
        <v>821</v>
      </c>
      <c r="C123" s="35" t="s">
        <v>260</v>
      </c>
      <c r="D123" s="32" t="s">
        <v>820</v>
      </c>
      <c r="E123" s="11" t="s">
        <v>33</v>
      </c>
    </row>
    <row r="124">
      <c r="A124" s="23">
        <v>0.3840277777777778</v>
      </c>
      <c r="B124" s="32" t="s">
        <v>823</v>
      </c>
      <c r="C124" s="35" t="s">
        <v>238</v>
      </c>
      <c r="D124" s="32" t="s">
        <v>822</v>
      </c>
      <c r="E124" s="11" t="s">
        <v>37</v>
      </c>
    </row>
    <row r="125">
      <c r="A125" s="23">
        <v>0.39444444444444443</v>
      </c>
      <c r="B125" s="32" t="s">
        <v>821</v>
      </c>
      <c r="C125" s="35" t="s">
        <v>827</v>
      </c>
      <c r="D125" s="32" t="s">
        <v>822</v>
      </c>
      <c r="E125" s="11" t="s">
        <v>33</v>
      </c>
    </row>
    <row r="126">
      <c r="A126" s="23">
        <v>0.39444444444444443</v>
      </c>
      <c r="B126" s="32" t="s">
        <v>823</v>
      </c>
      <c r="C126" s="35" t="s">
        <v>87</v>
      </c>
      <c r="D126" s="32" t="s">
        <v>825</v>
      </c>
      <c r="E126" s="11" t="s">
        <v>37</v>
      </c>
    </row>
    <row r="127">
      <c r="A127" s="23">
        <v>0.4041666666666667</v>
      </c>
      <c r="B127" s="32" t="s">
        <v>822</v>
      </c>
      <c r="C127" s="35" t="s">
        <v>828</v>
      </c>
      <c r="D127" s="32" t="s">
        <v>825</v>
      </c>
      <c r="E127" s="11" t="s">
        <v>33</v>
      </c>
    </row>
    <row r="128">
      <c r="A128" s="23">
        <v>0.4041666666666667</v>
      </c>
      <c r="B128" s="32" t="s">
        <v>820</v>
      </c>
      <c r="C128" s="35" t="s">
        <v>285</v>
      </c>
      <c r="D128" s="32" t="s">
        <v>823</v>
      </c>
      <c r="E128" s="11" t="s">
        <v>37</v>
      </c>
    </row>
    <row r="129">
      <c r="A129" s="23">
        <v>0.41458333333333336</v>
      </c>
      <c r="B129" s="32" t="s">
        <v>821</v>
      </c>
      <c r="C129" s="35" t="s">
        <v>289</v>
      </c>
      <c r="D129" s="32" t="s">
        <v>825</v>
      </c>
      <c r="E129" s="11" t="s">
        <v>33</v>
      </c>
    </row>
    <row r="130">
      <c r="A130" s="23">
        <v>0.41458333333333336</v>
      </c>
      <c r="B130" s="32" t="s">
        <v>822</v>
      </c>
      <c r="C130" s="35" t="s">
        <v>509</v>
      </c>
      <c r="D130" s="32" t="s">
        <v>820</v>
      </c>
      <c r="E130" s="11" t="s">
        <v>37</v>
      </c>
    </row>
    <row r="131">
      <c r="A131" s="23">
        <v>0.425</v>
      </c>
      <c r="B131" s="32" t="s">
        <v>821</v>
      </c>
      <c r="C131" s="35" t="s">
        <v>829</v>
      </c>
      <c r="D131" s="32" t="s">
        <v>823</v>
      </c>
      <c r="E131" s="11" t="s">
        <v>33</v>
      </c>
    </row>
    <row r="132">
      <c r="A132" s="23">
        <v>0.425</v>
      </c>
      <c r="B132" s="32" t="s">
        <v>825</v>
      </c>
      <c r="C132" s="35" t="s">
        <v>41</v>
      </c>
      <c r="D132" s="32" t="s">
        <v>820</v>
      </c>
      <c r="E132" s="11" t="s">
        <v>37</v>
      </c>
    </row>
    <row r="133">
      <c r="A133" s="1"/>
      <c r="B133" s="1" t="s">
        <v>101</v>
      </c>
      <c r="C133" s="2"/>
      <c r="D133" s="3"/>
      <c r="E133" s="4"/>
    </row>
    <row r="134">
      <c r="A134" s="18" t="s">
        <v>1</v>
      </c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A135" s="19">
        <v>0.4375</v>
      </c>
      <c r="B135" s="32" t="s">
        <v>528</v>
      </c>
      <c r="C135" s="33" t="s">
        <v>687</v>
      </c>
      <c r="D135" s="32" t="s">
        <v>830</v>
      </c>
      <c r="E135" s="11" t="s">
        <v>9</v>
      </c>
    </row>
    <row r="136">
      <c r="A136" s="19">
        <v>0.4375</v>
      </c>
      <c r="B136" s="32" t="s">
        <v>831</v>
      </c>
      <c r="C136" s="33" t="s">
        <v>370</v>
      </c>
      <c r="D136" s="32" t="s">
        <v>532</v>
      </c>
      <c r="E136" s="11" t="s">
        <v>13</v>
      </c>
    </row>
    <row r="137">
      <c r="A137" s="19">
        <v>0.44722222222222224</v>
      </c>
      <c r="B137" s="32" t="s">
        <v>831</v>
      </c>
      <c r="C137" s="33" t="s">
        <v>231</v>
      </c>
      <c r="D137" s="32" t="s">
        <v>830</v>
      </c>
      <c r="E137" s="11" t="s">
        <v>9</v>
      </c>
    </row>
    <row r="138">
      <c r="A138" s="19">
        <v>0.44722222222222224</v>
      </c>
      <c r="B138" s="32" t="s">
        <v>832</v>
      </c>
      <c r="C138" s="33" t="s">
        <v>19</v>
      </c>
      <c r="D138" s="32" t="s">
        <v>532</v>
      </c>
      <c r="E138" s="11" t="s">
        <v>13</v>
      </c>
    </row>
    <row r="139">
      <c r="A139" s="19">
        <v>0.4576388888888889</v>
      </c>
      <c r="B139" s="32" t="s">
        <v>832</v>
      </c>
      <c r="C139" s="33" t="s">
        <v>41</v>
      </c>
      <c r="D139" s="32" t="s">
        <v>831</v>
      </c>
      <c r="E139" s="11" t="s">
        <v>9</v>
      </c>
    </row>
    <row r="140">
      <c r="A140" s="19">
        <v>0.4576388888888889</v>
      </c>
      <c r="B140" s="32" t="s">
        <v>532</v>
      </c>
      <c r="C140" s="33" t="s">
        <v>20</v>
      </c>
      <c r="D140" s="32" t="s">
        <v>528</v>
      </c>
      <c r="E140" s="11" t="s">
        <v>13</v>
      </c>
    </row>
    <row r="141">
      <c r="A141" s="19">
        <v>0.46805555555555556</v>
      </c>
      <c r="B141" s="32" t="s">
        <v>832</v>
      </c>
      <c r="C141" s="33" t="s">
        <v>362</v>
      </c>
      <c r="D141" s="32" t="s">
        <v>830</v>
      </c>
      <c r="E141" s="11" t="s">
        <v>9</v>
      </c>
    </row>
    <row r="142">
      <c r="A142" s="19">
        <v>0.46805555555555556</v>
      </c>
      <c r="B142" s="32" t="s">
        <v>528</v>
      </c>
      <c r="C142" s="33" t="s">
        <v>70</v>
      </c>
      <c r="D142" s="32" t="s">
        <v>831</v>
      </c>
      <c r="E142" s="11" t="s">
        <v>13</v>
      </c>
    </row>
    <row r="143">
      <c r="A143" s="19">
        <v>0.4777777777777778</v>
      </c>
      <c r="B143" s="32" t="s">
        <v>532</v>
      </c>
      <c r="C143" s="33" t="s">
        <v>494</v>
      </c>
      <c r="D143" s="32" t="s">
        <v>830</v>
      </c>
      <c r="E143" s="11" t="s">
        <v>9</v>
      </c>
    </row>
    <row r="144">
      <c r="A144" s="19">
        <v>0.4777777777777778</v>
      </c>
      <c r="B144" s="32" t="s">
        <v>528</v>
      </c>
      <c r="C144" s="33" t="s">
        <v>41</v>
      </c>
      <c r="D144" s="32" t="s">
        <v>832</v>
      </c>
      <c r="E144" s="11" t="s">
        <v>13</v>
      </c>
    </row>
    <row r="145">
      <c r="A145" s="19">
        <v>0.48819444444444443</v>
      </c>
      <c r="B145" s="32" t="s">
        <v>830</v>
      </c>
      <c r="C145" s="33" t="s">
        <v>286</v>
      </c>
      <c r="D145" s="32" t="s">
        <v>528</v>
      </c>
      <c r="E145" s="11" t="s">
        <v>9</v>
      </c>
    </row>
    <row r="146">
      <c r="A146" s="19">
        <v>0.48819444444444443</v>
      </c>
      <c r="B146" s="32" t="s">
        <v>532</v>
      </c>
      <c r="C146" s="33" t="s">
        <v>72</v>
      </c>
      <c r="D146" s="32" t="s">
        <v>831</v>
      </c>
      <c r="E146" s="11" t="s">
        <v>13</v>
      </c>
    </row>
    <row r="147">
      <c r="A147" s="19">
        <v>0.4986111111111111</v>
      </c>
      <c r="B147" s="32" t="s">
        <v>830</v>
      </c>
      <c r="C147" s="35" t="s">
        <v>294</v>
      </c>
      <c r="D147" s="32" t="s">
        <v>831</v>
      </c>
      <c r="E147" s="11" t="s">
        <v>9</v>
      </c>
    </row>
    <row r="148">
      <c r="A148" s="19">
        <v>0.4986111111111111</v>
      </c>
      <c r="B148" s="32" t="s">
        <v>532</v>
      </c>
      <c r="C148" s="35" t="s">
        <v>251</v>
      </c>
      <c r="D148" s="32" t="s">
        <v>832</v>
      </c>
      <c r="E148" s="11" t="s">
        <v>13</v>
      </c>
    </row>
    <row r="149">
      <c r="A149" s="19">
        <v>0.5083333333333333</v>
      </c>
      <c r="B149" s="32" t="s">
        <v>831</v>
      </c>
      <c r="C149" s="35" t="s">
        <v>267</v>
      </c>
      <c r="D149" s="32" t="s">
        <v>832</v>
      </c>
      <c r="E149" s="11" t="s">
        <v>9</v>
      </c>
    </row>
    <row r="150">
      <c r="A150" s="19">
        <v>0.5083333333333333</v>
      </c>
      <c r="B150" s="32" t="s">
        <v>528</v>
      </c>
      <c r="C150" s="35" t="s">
        <v>270</v>
      </c>
      <c r="D150" s="32" t="s">
        <v>532</v>
      </c>
      <c r="E150" s="11" t="s">
        <v>13</v>
      </c>
    </row>
    <row r="151">
      <c r="A151" s="19">
        <v>0.51875</v>
      </c>
      <c r="B151" s="32" t="s">
        <v>830</v>
      </c>
      <c r="C151" s="35" t="s">
        <v>412</v>
      </c>
      <c r="D151" s="32" t="s">
        <v>832</v>
      </c>
      <c r="E151" s="11" t="s">
        <v>9</v>
      </c>
    </row>
    <row r="152">
      <c r="A152" s="19">
        <v>0.51875</v>
      </c>
      <c r="B152" s="32" t="s">
        <v>831</v>
      </c>
      <c r="C152" s="35" t="s">
        <v>259</v>
      </c>
      <c r="D152" s="32" t="s">
        <v>528</v>
      </c>
      <c r="E152" s="11" t="s">
        <v>13</v>
      </c>
    </row>
    <row r="153">
      <c r="A153" s="19">
        <v>0.5291666666666667</v>
      </c>
      <c r="B153" s="32" t="s">
        <v>830</v>
      </c>
      <c r="C153" s="35" t="s">
        <v>16</v>
      </c>
      <c r="D153" s="32" t="s">
        <v>532</v>
      </c>
      <c r="E153" s="11" t="s">
        <v>9</v>
      </c>
    </row>
    <row r="154">
      <c r="A154" s="19">
        <v>0.5291666666666667</v>
      </c>
      <c r="B154" s="32" t="s">
        <v>832</v>
      </c>
      <c r="C154" s="35" t="s">
        <v>82</v>
      </c>
      <c r="D154" s="32" t="s">
        <v>528</v>
      </c>
      <c r="E154" s="11" t="s">
        <v>13</v>
      </c>
    </row>
    <row r="155">
      <c r="A155" s="1"/>
      <c r="B155" s="1" t="s">
        <v>101</v>
      </c>
      <c r="C155" s="2"/>
      <c r="D155" s="3"/>
      <c r="E155" s="4"/>
    </row>
    <row r="156">
      <c r="A156" s="18" t="s">
        <v>1</v>
      </c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A157" s="19">
        <v>0.4375</v>
      </c>
      <c r="B157" s="32" t="s">
        <v>654</v>
      </c>
      <c r="C157" s="33" t="s">
        <v>380</v>
      </c>
      <c r="D157" s="32" t="s">
        <v>833</v>
      </c>
      <c r="E157" s="11" t="s">
        <v>33</v>
      </c>
    </row>
    <row r="158">
      <c r="A158" s="19">
        <v>0.4375</v>
      </c>
      <c r="B158" s="32" t="s">
        <v>834</v>
      </c>
      <c r="C158" s="33" t="s">
        <v>835</v>
      </c>
      <c r="D158" s="32" t="s">
        <v>407</v>
      </c>
      <c r="E158" s="11" t="s">
        <v>37</v>
      </c>
    </row>
    <row r="159">
      <c r="A159" s="19">
        <v>0.44722222222222224</v>
      </c>
      <c r="B159" s="32" t="s">
        <v>834</v>
      </c>
      <c r="C159" s="33" t="s">
        <v>336</v>
      </c>
      <c r="D159" s="32" t="s">
        <v>833</v>
      </c>
      <c r="E159" s="11" t="s">
        <v>33</v>
      </c>
    </row>
    <row r="160">
      <c r="A160" s="19">
        <v>0.44722222222222224</v>
      </c>
      <c r="B160" s="32" t="s">
        <v>406</v>
      </c>
      <c r="C160" s="33" t="s">
        <v>42</v>
      </c>
      <c r="D160" s="32" t="s">
        <v>407</v>
      </c>
      <c r="E160" s="11" t="s">
        <v>37</v>
      </c>
    </row>
    <row r="161">
      <c r="A161" s="19">
        <v>0.4576388888888889</v>
      </c>
      <c r="B161" s="32" t="s">
        <v>406</v>
      </c>
      <c r="C161" s="33" t="s">
        <v>258</v>
      </c>
      <c r="D161" s="32" t="s">
        <v>834</v>
      </c>
      <c r="E161" s="11" t="s">
        <v>33</v>
      </c>
    </row>
    <row r="162">
      <c r="A162" s="19">
        <v>0.4576388888888889</v>
      </c>
      <c r="B162" s="32" t="s">
        <v>407</v>
      </c>
      <c r="C162" s="33" t="s">
        <v>412</v>
      </c>
      <c r="D162" s="32" t="s">
        <v>654</v>
      </c>
      <c r="E162" s="11" t="s">
        <v>37</v>
      </c>
    </row>
    <row r="163">
      <c r="A163" s="19">
        <v>0.46805555555555556</v>
      </c>
      <c r="B163" s="32" t="s">
        <v>406</v>
      </c>
      <c r="C163" s="33" t="s">
        <v>273</v>
      </c>
      <c r="D163" s="32" t="s">
        <v>833</v>
      </c>
      <c r="E163" s="11" t="s">
        <v>33</v>
      </c>
    </row>
    <row r="164">
      <c r="A164" s="19">
        <v>0.46805555555555556</v>
      </c>
      <c r="B164" s="32" t="s">
        <v>654</v>
      </c>
      <c r="C164" s="33" t="s">
        <v>28</v>
      </c>
      <c r="D164" s="32" t="s">
        <v>834</v>
      </c>
      <c r="E164" s="11" t="s">
        <v>37</v>
      </c>
    </row>
    <row r="165">
      <c r="A165" s="19">
        <v>0.4777777777777778</v>
      </c>
      <c r="B165" s="32" t="s">
        <v>407</v>
      </c>
      <c r="C165" s="33" t="s">
        <v>41</v>
      </c>
      <c r="D165" s="32" t="s">
        <v>833</v>
      </c>
      <c r="E165" s="11" t="s">
        <v>33</v>
      </c>
    </row>
    <row r="166">
      <c r="A166" s="19">
        <v>0.4777777777777778</v>
      </c>
      <c r="B166" s="32" t="s">
        <v>654</v>
      </c>
      <c r="C166" s="33" t="s">
        <v>190</v>
      </c>
      <c r="D166" s="32" t="s">
        <v>406</v>
      </c>
      <c r="E166" s="11" t="s">
        <v>37</v>
      </c>
    </row>
    <row r="167">
      <c r="A167" s="19">
        <v>0.48819444444444443</v>
      </c>
      <c r="B167" s="32" t="s">
        <v>833</v>
      </c>
      <c r="C167" s="33" t="s">
        <v>403</v>
      </c>
      <c r="D167" s="32" t="s">
        <v>654</v>
      </c>
      <c r="E167" s="11" t="s">
        <v>33</v>
      </c>
    </row>
    <row r="168">
      <c r="A168" s="19">
        <v>0.48819444444444443</v>
      </c>
      <c r="B168" s="32" t="s">
        <v>407</v>
      </c>
      <c r="C168" s="33" t="s">
        <v>836</v>
      </c>
      <c r="D168" s="32" t="s">
        <v>834</v>
      </c>
      <c r="E168" s="11" t="s">
        <v>37</v>
      </c>
    </row>
    <row r="169">
      <c r="A169" s="19">
        <v>0.4986111111111111</v>
      </c>
      <c r="B169" s="32" t="s">
        <v>833</v>
      </c>
      <c r="C169" s="35" t="s">
        <v>443</v>
      </c>
      <c r="D169" s="32" t="s">
        <v>834</v>
      </c>
      <c r="E169" s="11" t="s">
        <v>33</v>
      </c>
    </row>
    <row r="170">
      <c r="A170" s="19">
        <v>0.4986111111111111</v>
      </c>
      <c r="B170" s="32" t="s">
        <v>407</v>
      </c>
      <c r="C170" s="35" t="s">
        <v>20</v>
      </c>
      <c r="D170" s="32" t="s">
        <v>406</v>
      </c>
      <c r="E170" s="11" t="s">
        <v>37</v>
      </c>
    </row>
    <row r="171">
      <c r="A171" s="19">
        <v>0.5083333333333333</v>
      </c>
      <c r="B171" s="32" t="s">
        <v>834</v>
      </c>
      <c r="C171" s="35" t="s">
        <v>706</v>
      </c>
      <c r="D171" s="32" t="s">
        <v>406</v>
      </c>
      <c r="E171" s="11" t="s">
        <v>33</v>
      </c>
    </row>
    <row r="172">
      <c r="A172" s="19">
        <v>0.5083333333333333</v>
      </c>
      <c r="B172" s="32" t="s">
        <v>654</v>
      </c>
      <c r="C172" s="35" t="s">
        <v>11</v>
      </c>
      <c r="D172" s="32" t="s">
        <v>407</v>
      </c>
      <c r="E172" s="11" t="s">
        <v>37</v>
      </c>
    </row>
    <row r="173">
      <c r="A173" s="19">
        <v>0.51875</v>
      </c>
      <c r="B173" s="32" t="s">
        <v>833</v>
      </c>
      <c r="C173" s="35" t="s">
        <v>78</v>
      </c>
      <c r="D173" s="32" t="s">
        <v>406</v>
      </c>
      <c r="E173" s="11" t="s">
        <v>33</v>
      </c>
    </row>
    <row r="174">
      <c r="A174" s="19">
        <v>0.51875</v>
      </c>
      <c r="B174" s="32" t="s">
        <v>834</v>
      </c>
      <c r="C174" s="35" t="s">
        <v>837</v>
      </c>
      <c r="D174" s="32" t="s">
        <v>654</v>
      </c>
      <c r="E174" s="11" t="s">
        <v>37</v>
      </c>
    </row>
    <row r="175">
      <c r="A175" s="19">
        <v>0.5291666666666667</v>
      </c>
      <c r="B175" s="32" t="s">
        <v>833</v>
      </c>
      <c r="C175" s="35" t="s">
        <v>412</v>
      </c>
      <c r="D175" s="32" t="s">
        <v>407</v>
      </c>
      <c r="E175" s="11" t="s">
        <v>33</v>
      </c>
    </row>
    <row r="176">
      <c r="A176" s="19">
        <v>0.5291666666666667</v>
      </c>
      <c r="B176" s="32" t="s">
        <v>406</v>
      </c>
      <c r="C176" s="35" t="s">
        <v>14</v>
      </c>
      <c r="D176" s="32" t="s">
        <v>654</v>
      </c>
      <c r="E176" s="11" t="s">
        <v>37</v>
      </c>
    </row>
    <row r="177">
      <c r="A177" s="1"/>
      <c r="B177" s="1" t="s">
        <v>112</v>
      </c>
      <c r="C177" s="2"/>
      <c r="D177" s="3"/>
      <c r="E177" s="4"/>
    </row>
    <row r="178">
      <c r="A178" s="18" t="s">
        <v>1</v>
      </c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A179" s="19">
        <v>0.5416666666666666</v>
      </c>
      <c r="B179" s="32" t="s">
        <v>662</v>
      </c>
      <c r="C179" s="35" t="s">
        <v>28</v>
      </c>
      <c r="D179" s="32" t="s">
        <v>838</v>
      </c>
      <c r="E179" s="11" t="s">
        <v>9</v>
      </c>
    </row>
    <row r="180">
      <c r="A180" s="19">
        <v>0.5416666666666666</v>
      </c>
      <c r="B180" s="32" t="s">
        <v>388</v>
      </c>
      <c r="C180" s="35" t="s">
        <v>195</v>
      </c>
      <c r="D180" s="32" t="s">
        <v>839</v>
      </c>
      <c r="E180" s="11" t="s">
        <v>13</v>
      </c>
    </row>
    <row r="181">
      <c r="A181" s="19">
        <v>0.5513888888888889</v>
      </c>
      <c r="B181" s="32" t="s">
        <v>388</v>
      </c>
      <c r="C181" s="35" t="s">
        <v>16</v>
      </c>
      <c r="D181" s="32" t="s">
        <v>838</v>
      </c>
      <c r="E181" s="11" t="s">
        <v>9</v>
      </c>
    </row>
    <row r="182">
      <c r="A182" s="19">
        <v>0.5513888888888889</v>
      </c>
      <c r="B182" s="32" t="s">
        <v>750</v>
      </c>
      <c r="C182" s="35" t="s">
        <v>87</v>
      </c>
      <c r="D182" s="32" t="s">
        <v>839</v>
      </c>
      <c r="E182" s="11" t="s">
        <v>13</v>
      </c>
      <c r="H182" s="36" t="s">
        <v>663</v>
      </c>
    </row>
    <row r="183">
      <c r="A183" s="19">
        <v>0.5618055555555556</v>
      </c>
      <c r="B183" s="32" t="s">
        <v>750</v>
      </c>
      <c r="C183" s="35" t="s">
        <v>67</v>
      </c>
      <c r="D183" s="32" t="s">
        <v>388</v>
      </c>
      <c r="E183" s="11" t="s">
        <v>9</v>
      </c>
    </row>
    <row r="184">
      <c r="A184" s="19">
        <v>0.5618055555555556</v>
      </c>
      <c r="B184" s="32" t="s">
        <v>839</v>
      </c>
      <c r="C184" s="35" t="s">
        <v>19</v>
      </c>
      <c r="D184" s="32" t="s">
        <v>662</v>
      </c>
      <c r="E184" s="11" t="s">
        <v>13</v>
      </c>
    </row>
    <row r="185">
      <c r="A185" s="19">
        <v>0.5722222222222222</v>
      </c>
      <c r="B185" s="32" t="s">
        <v>750</v>
      </c>
      <c r="C185" s="35" t="s">
        <v>20</v>
      </c>
      <c r="D185" s="32" t="s">
        <v>838</v>
      </c>
      <c r="E185" s="11" t="s">
        <v>9</v>
      </c>
    </row>
    <row r="186">
      <c r="A186" s="19">
        <v>0.5722222222222222</v>
      </c>
      <c r="B186" s="32" t="s">
        <v>662</v>
      </c>
      <c r="C186" s="35" t="s">
        <v>543</v>
      </c>
      <c r="D186" s="32" t="s">
        <v>388</v>
      </c>
      <c r="E186" s="11" t="s">
        <v>13</v>
      </c>
    </row>
    <row r="187">
      <c r="A187" s="19">
        <v>0.5819444444444445</v>
      </c>
      <c r="B187" s="32" t="s">
        <v>839</v>
      </c>
      <c r="C187" s="35" t="s">
        <v>390</v>
      </c>
      <c r="D187" s="32" t="s">
        <v>838</v>
      </c>
      <c r="E187" s="11" t="s">
        <v>9</v>
      </c>
    </row>
    <row r="188">
      <c r="A188" s="19">
        <v>0.5819444444444445</v>
      </c>
      <c r="B188" s="32" t="s">
        <v>662</v>
      </c>
      <c r="C188" s="35" t="s">
        <v>815</v>
      </c>
      <c r="D188" s="32" t="s">
        <v>750</v>
      </c>
      <c r="E188" s="11" t="s">
        <v>13</v>
      </c>
    </row>
    <row r="189">
      <c r="A189" s="19">
        <v>0.5923611111111111</v>
      </c>
      <c r="B189" s="32" t="s">
        <v>838</v>
      </c>
      <c r="C189" s="35" t="s">
        <v>201</v>
      </c>
      <c r="D189" s="32" t="s">
        <v>662</v>
      </c>
      <c r="E189" s="11" t="s">
        <v>9</v>
      </c>
    </row>
    <row r="190">
      <c r="A190" s="19">
        <v>0.5923611111111111</v>
      </c>
      <c r="B190" s="32" t="s">
        <v>839</v>
      </c>
      <c r="C190" s="35" t="s">
        <v>195</v>
      </c>
      <c r="D190" s="32" t="s">
        <v>388</v>
      </c>
      <c r="E190" s="11" t="s">
        <v>13</v>
      </c>
    </row>
    <row r="191">
      <c r="A191" s="19">
        <v>0.6027777777777777</v>
      </c>
      <c r="B191" s="32" t="s">
        <v>838</v>
      </c>
      <c r="C191" s="35" t="s">
        <v>239</v>
      </c>
      <c r="D191" s="32" t="s">
        <v>388</v>
      </c>
      <c r="E191" s="11" t="s">
        <v>9</v>
      </c>
    </row>
    <row r="192">
      <c r="A192" s="19">
        <v>0.6027777777777777</v>
      </c>
      <c r="B192" s="32" t="s">
        <v>839</v>
      </c>
      <c r="C192" s="35" t="s">
        <v>43</v>
      </c>
      <c r="D192" s="32" t="s">
        <v>750</v>
      </c>
      <c r="E192" s="11" t="s">
        <v>13</v>
      </c>
    </row>
    <row r="193">
      <c r="A193" s="19">
        <v>0.6125</v>
      </c>
      <c r="B193" s="32" t="s">
        <v>388</v>
      </c>
      <c r="C193" s="35" t="s">
        <v>65</v>
      </c>
      <c r="D193" s="32" t="s">
        <v>750</v>
      </c>
      <c r="E193" s="11" t="s">
        <v>9</v>
      </c>
    </row>
    <row r="194">
      <c r="A194" s="19">
        <v>0.6125</v>
      </c>
      <c r="B194" s="32" t="s">
        <v>662</v>
      </c>
      <c r="C194" s="35" t="s">
        <v>352</v>
      </c>
      <c r="D194" s="32" t="s">
        <v>839</v>
      </c>
      <c r="E194" s="11" t="s">
        <v>13</v>
      </c>
    </row>
    <row r="195">
      <c r="A195" s="19">
        <v>0.6229166666666667</v>
      </c>
      <c r="B195" s="32" t="s">
        <v>838</v>
      </c>
      <c r="C195" s="35" t="s">
        <v>19</v>
      </c>
      <c r="D195" s="32" t="s">
        <v>750</v>
      </c>
      <c r="E195" s="11" t="s">
        <v>9</v>
      </c>
    </row>
    <row r="196">
      <c r="A196" s="19">
        <v>0.6229166666666667</v>
      </c>
      <c r="B196" s="32" t="s">
        <v>388</v>
      </c>
      <c r="C196" s="35" t="s">
        <v>20</v>
      </c>
      <c r="D196" s="32" t="s">
        <v>662</v>
      </c>
      <c r="E196" s="11" t="s">
        <v>13</v>
      </c>
    </row>
    <row r="197">
      <c r="A197" s="19">
        <v>0.6333333333333333</v>
      </c>
      <c r="B197" s="32" t="s">
        <v>838</v>
      </c>
      <c r="C197" s="35" t="s">
        <v>21</v>
      </c>
      <c r="D197" s="32" t="s">
        <v>839</v>
      </c>
      <c r="E197" s="11" t="s">
        <v>9</v>
      </c>
    </row>
    <row r="198">
      <c r="A198" s="19">
        <v>0.6333333333333333</v>
      </c>
      <c r="B198" s="32" t="s">
        <v>750</v>
      </c>
      <c r="C198" s="35" t="s">
        <v>840</v>
      </c>
      <c r="D198" s="32" t="s">
        <v>662</v>
      </c>
      <c r="E198" s="11" t="s">
        <v>13</v>
      </c>
    </row>
    <row r="199">
      <c r="A199" s="1"/>
      <c r="B199" s="1" t="s">
        <v>112</v>
      </c>
      <c r="C199" s="2"/>
      <c r="D199" s="3"/>
      <c r="E199" s="4"/>
    </row>
    <row r="200">
      <c r="A200" s="18" t="s">
        <v>1</v>
      </c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A201" s="19">
        <v>0.5416666666666666</v>
      </c>
      <c r="B201" s="32" t="s">
        <v>841</v>
      </c>
      <c r="C201" s="33" t="s">
        <v>842</v>
      </c>
      <c r="D201" s="32" t="s">
        <v>843</v>
      </c>
      <c r="E201" s="11" t="s">
        <v>33</v>
      </c>
    </row>
    <row r="202">
      <c r="A202" s="19">
        <v>0.5416666666666666</v>
      </c>
      <c r="B202" s="32" t="s">
        <v>844</v>
      </c>
      <c r="C202" s="33" t="s">
        <v>578</v>
      </c>
      <c r="D202" s="32" t="s">
        <v>845</v>
      </c>
      <c r="E202" s="11" t="s">
        <v>37</v>
      </c>
    </row>
    <row r="203">
      <c r="A203" s="19">
        <v>0.5513888888888889</v>
      </c>
      <c r="B203" s="32" t="s">
        <v>844</v>
      </c>
      <c r="C203" s="33" t="s">
        <v>846</v>
      </c>
      <c r="D203" s="32" t="s">
        <v>843</v>
      </c>
      <c r="E203" s="11" t="s">
        <v>33</v>
      </c>
    </row>
    <row r="204">
      <c r="A204" s="19">
        <v>0.5513888888888889</v>
      </c>
      <c r="B204" s="32" t="s">
        <v>756</v>
      </c>
      <c r="C204" s="33" t="s">
        <v>62</v>
      </c>
      <c r="D204" s="32" t="s">
        <v>845</v>
      </c>
      <c r="E204" s="11" t="s">
        <v>37</v>
      </c>
    </row>
    <row r="205">
      <c r="A205" s="19">
        <v>0.5618055555555556</v>
      </c>
      <c r="B205" s="32" t="s">
        <v>756</v>
      </c>
      <c r="C205" s="33" t="s">
        <v>321</v>
      </c>
      <c r="D205" s="32" t="s">
        <v>844</v>
      </c>
      <c r="E205" s="11" t="s">
        <v>33</v>
      </c>
    </row>
    <row r="206">
      <c r="A206" s="19">
        <v>0.5618055555555556</v>
      </c>
      <c r="B206" s="32" t="s">
        <v>845</v>
      </c>
      <c r="C206" s="33" t="s">
        <v>81</v>
      </c>
      <c r="D206" s="32" t="s">
        <v>841</v>
      </c>
      <c r="E206" s="11" t="s">
        <v>37</v>
      </c>
    </row>
    <row r="207">
      <c r="A207" s="19">
        <v>0.5722222222222222</v>
      </c>
      <c r="B207" s="32" t="s">
        <v>756</v>
      </c>
      <c r="C207" s="33" t="s">
        <v>390</v>
      </c>
      <c r="D207" s="32" t="s">
        <v>843</v>
      </c>
      <c r="E207" s="11" t="s">
        <v>33</v>
      </c>
    </row>
    <row r="208">
      <c r="A208" s="19">
        <v>0.5722222222222222</v>
      </c>
      <c r="B208" s="32" t="s">
        <v>841</v>
      </c>
      <c r="C208" s="33" t="s">
        <v>330</v>
      </c>
      <c r="D208" s="32" t="s">
        <v>844</v>
      </c>
      <c r="E208" s="11" t="s">
        <v>37</v>
      </c>
    </row>
    <row r="209">
      <c r="A209" s="19">
        <v>0.5819444444444445</v>
      </c>
      <c r="B209" s="32" t="s">
        <v>845</v>
      </c>
      <c r="C209" s="33" t="s">
        <v>27</v>
      </c>
      <c r="D209" s="32" t="s">
        <v>843</v>
      </c>
      <c r="E209" s="11" t="s">
        <v>33</v>
      </c>
    </row>
    <row r="210">
      <c r="A210" s="19">
        <v>0.5819444444444445</v>
      </c>
      <c r="B210" s="32" t="s">
        <v>841</v>
      </c>
      <c r="C210" s="33" t="s">
        <v>22</v>
      </c>
      <c r="D210" s="32" t="s">
        <v>756</v>
      </c>
      <c r="E210" s="11" t="s">
        <v>37</v>
      </c>
    </row>
    <row r="211">
      <c r="A211" s="19">
        <v>0.5923611111111111</v>
      </c>
      <c r="B211" s="32" t="s">
        <v>843</v>
      </c>
      <c r="C211" s="33" t="s">
        <v>260</v>
      </c>
      <c r="D211" s="32" t="s">
        <v>841</v>
      </c>
      <c r="E211" s="11" t="s">
        <v>33</v>
      </c>
    </row>
    <row r="212">
      <c r="A212" s="19">
        <v>0.5923611111111111</v>
      </c>
      <c r="B212" s="32" t="s">
        <v>845</v>
      </c>
      <c r="C212" s="33" t="s">
        <v>319</v>
      </c>
      <c r="D212" s="32" t="s">
        <v>844</v>
      </c>
      <c r="E212" s="11" t="s">
        <v>37</v>
      </c>
    </row>
    <row r="213">
      <c r="A213" s="19">
        <v>0.6027777777777777</v>
      </c>
      <c r="B213" s="32" t="s">
        <v>843</v>
      </c>
      <c r="C213" s="33" t="s">
        <v>226</v>
      </c>
      <c r="D213" s="32" t="s">
        <v>844</v>
      </c>
      <c r="E213" s="11" t="s">
        <v>33</v>
      </c>
    </row>
    <row r="214">
      <c r="A214" s="19">
        <v>0.6027777777777777</v>
      </c>
      <c r="B214" s="32" t="s">
        <v>845</v>
      </c>
      <c r="C214" s="33" t="s">
        <v>66</v>
      </c>
      <c r="D214" s="32" t="s">
        <v>756</v>
      </c>
      <c r="E214" s="11" t="s">
        <v>37</v>
      </c>
    </row>
    <row r="215">
      <c r="A215" s="19">
        <v>0.6125</v>
      </c>
      <c r="B215" s="32" t="s">
        <v>844</v>
      </c>
      <c r="C215" s="33" t="s">
        <v>291</v>
      </c>
      <c r="D215" s="32" t="s">
        <v>756</v>
      </c>
      <c r="E215" s="11" t="s">
        <v>33</v>
      </c>
    </row>
    <row r="216">
      <c r="A216" s="19">
        <v>0.6125</v>
      </c>
      <c r="B216" s="32" t="s">
        <v>841</v>
      </c>
      <c r="C216" s="33" t="s">
        <v>70</v>
      </c>
      <c r="D216" s="32" t="s">
        <v>845</v>
      </c>
      <c r="E216" s="11" t="s">
        <v>37</v>
      </c>
    </row>
    <row r="217">
      <c r="A217" s="19">
        <v>0.6229166666666667</v>
      </c>
      <c r="B217" s="32" t="s">
        <v>843</v>
      </c>
      <c r="C217" s="33" t="s">
        <v>319</v>
      </c>
      <c r="D217" s="32" t="s">
        <v>756</v>
      </c>
      <c r="E217" s="11" t="s">
        <v>33</v>
      </c>
    </row>
    <row r="218">
      <c r="A218" s="19">
        <v>0.6229166666666667</v>
      </c>
      <c r="B218" s="32" t="s">
        <v>844</v>
      </c>
      <c r="C218" s="33" t="s">
        <v>847</v>
      </c>
      <c r="D218" s="32" t="s">
        <v>841</v>
      </c>
      <c r="E218" s="11" t="s">
        <v>37</v>
      </c>
    </row>
    <row r="219">
      <c r="A219" s="19">
        <v>0.6333333333333333</v>
      </c>
      <c r="B219" s="32" t="s">
        <v>843</v>
      </c>
      <c r="C219" s="33" t="s">
        <v>88</v>
      </c>
      <c r="D219" s="32" t="s">
        <v>845</v>
      </c>
      <c r="E219" s="11" t="s">
        <v>33</v>
      </c>
    </row>
    <row r="220">
      <c r="A220" s="19">
        <v>0.6333333333333333</v>
      </c>
      <c r="B220" s="32" t="s">
        <v>756</v>
      </c>
      <c r="C220" s="33" t="s">
        <v>66</v>
      </c>
      <c r="D220" s="32" t="s">
        <v>841</v>
      </c>
      <c r="E220" s="11" t="s">
        <v>37</v>
      </c>
    </row>
    <row r="221">
      <c r="A221" s="27"/>
      <c r="B221" s="28" t="s">
        <v>123</v>
      </c>
      <c r="C221" s="2"/>
      <c r="D221" s="3"/>
      <c r="E221" s="29"/>
    </row>
    <row r="222">
      <c r="A222" s="18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9">
        <v>0.6458333333333334</v>
      </c>
      <c r="B223" s="34" t="s">
        <v>848</v>
      </c>
      <c r="C223" s="33" t="s">
        <v>25</v>
      </c>
      <c r="D223" s="34" t="s">
        <v>849</v>
      </c>
      <c r="E223" s="11" t="s">
        <v>9</v>
      </c>
      <c r="H223" s="36"/>
    </row>
    <row r="224">
      <c r="A224" s="19">
        <v>0.6458333333333334</v>
      </c>
      <c r="B224" s="34" t="s">
        <v>850</v>
      </c>
      <c r="C224" s="33" t="s">
        <v>19</v>
      </c>
      <c r="D224" s="34" t="s">
        <v>564</v>
      </c>
      <c r="E224" s="11" t="s">
        <v>13</v>
      </c>
    </row>
    <row r="225">
      <c r="A225" s="19">
        <v>0.6555555555555556</v>
      </c>
      <c r="B225" s="34" t="s">
        <v>850</v>
      </c>
      <c r="C225" s="33" t="s">
        <v>69</v>
      </c>
      <c r="D225" s="34" t="s">
        <v>849</v>
      </c>
      <c r="E225" s="11" t="s">
        <v>9</v>
      </c>
    </row>
    <row r="226">
      <c r="A226" s="19">
        <v>0.6555555555555556</v>
      </c>
      <c r="B226" s="34" t="s">
        <v>851</v>
      </c>
      <c r="C226" s="33" t="s">
        <v>17</v>
      </c>
      <c r="D226" s="34" t="s">
        <v>564</v>
      </c>
      <c r="E226" s="11" t="s">
        <v>13</v>
      </c>
    </row>
    <row r="227">
      <c r="A227" s="19">
        <v>0.6659722222222222</v>
      </c>
      <c r="B227" s="34" t="s">
        <v>851</v>
      </c>
      <c r="C227" s="33" t="s">
        <v>426</v>
      </c>
      <c r="D227" s="34" t="s">
        <v>850</v>
      </c>
      <c r="E227" s="11" t="s">
        <v>9</v>
      </c>
    </row>
    <row r="228">
      <c r="A228" s="19">
        <v>0.6659722222222222</v>
      </c>
      <c r="B228" s="34" t="s">
        <v>564</v>
      </c>
      <c r="C228" s="33" t="s">
        <v>232</v>
      </c>
      <c r="D228" s="34" t="s">
        <v>848</v>
      </c>
      <c r="E228" s="11" t="s">
        <v>13</v>
      </c>
    </row>
    <row r="229">
      <c r="A229" s="19">
        <v>0.6763888888888889</v>
      </c>
      <c r="B229" s="34" t="s">
        <v>851</v>
      </c>
      <c r="C229" s="33" t="s">
        <v>14</v>
      </c>
      <c r="D229" s="34" t="s">
        <v>849</v>
      </c>
      <c r="E229" s="11" t="s">
        <v>9</v>
      </c>
    </row>
    <row r="230">
      <c r="A230" s="19">
        <v>0.6763888888888889</v>
      </c>
      <c r="B230" s="34" t="s">
        <v>848</v>
      </c>
      <c r="C230" s="33" t="s">
        <v>201</v>
      </c>
      <c r="D230" s="34" t="s">
        <v>850</v>
      </c>
      <c r="E230" s="11" t="s">
        <v>13</v>
      </c>
    </row>
    <row r="231">
      <c r="A231" s="19">
        <v>0.6861111111111111</v>
      </c>
      <c r="B231" s="34" t="s">
        <v>564</v>
      </c>
      <c r="C231" s="33" t="s">
        <v>71</v>
      </c>
      <c r="D231" s="34" t="s">
        <v>849</v>
      </c>
      <c r="E231" s="11" t="s">
        <v>9</v>
      </c>
    </row>
    <row r="232">
      <c r="A232" s="19">
        <v>0.6861111111111111</v>
      </c>
      <c r="B232" s="34" t="s">
        <v>848</v>
      </c>
      <c r="C232" s="33" t="s">
        <v>852</v>
      </c>
      <c r="D232" s="34" t="s">
        <v>851</v>
      </c>
      <c r="E232" s="11" t="s">
        <v>13</v>
      </c>
    </row>
    <row r="233">
      <c r="A233" s="19">
        <v>0.6965277777777777</v>
      </c>
      <c r="B233" s="34" t="s">
        <v>849</v>
      </c>
      <c r="C233" s="33" t="s">
        <v>270</v>
      </c>
      <c r="D233" s="34" t="s">
        <v>848</v>
      </c>
      <c r="E233" s="11" t="s">
        <v>9</v>
      </c>
    </row>
    <row r="234">
      <c r="A234" s="19">
        <v>0.6965277777777777</v>
      </c>
      <c r="B234" s="34" t="s">
        <v>564</v>
      </c>
      <c r="C234" s="33" t="s">
        <v>195</v>
      </c>
      <c r="D234" s="34" t="s">
        <v>850</v>
      </c>
      <c r="E234" s="11" t="s">
        <v>13</v>
      </c>
    </row>
    <row r="235">
      <c r="A235" s="19">
        <v>0.7069444444444445</v>
      </c>
      <c r="B235" s="34" t="s">
        <v>849</v>
      </c>
      <c r="C235" s="35" t="s">
        <v>853</v>
      </c>
      <c r="D235" s="34" t="s">
        <v>850</v>
      </c>
      <c r="E235" s="11" t="s">
        <v>9</v>
      </c>
    </row>
    <row r="236">
      <c r="A236" s="19">
        <v>0.7069444444444445</v>
      </c>
      <c r="B236" s="34" t="s">
        <v>564</v>
      </c>
      <c r="C236" s="35" t="s">
        <v>220</v>
      </c>
      <c r="D236" s="34" t="s">
        <v>851</v>
      </c>
      <c r="E236" s="11" t="s">
        <v>13</v>
      </c>
    </row>
    <row r="237">
      <c r="A237" s="19">
        <v>0.7166666666666667</v>
      </c>
      <c r="B237" s="34" t="s">
        <v>850</v>
      </c>
      <c r="C237" s="35" t="s">
        <v>16</v>
      </c>
      <c r="D237" s="34" t="s">
        <v>851</v>
      </c>
      <c r="E237" s="11" t="s">
        <v>9</v>
      </c>
    </row>
    <row r="238">
      <c r="A238" s="19">
        <v>0.7166666666666667</v>
      </c>
      <c r="B238" s="34" t="s">
        <v>848</v>
      </c>
      <c r="C238" s="35" t="s">
        <v>45</v>
      </c>
      <c r="D238" s="34" t="s">
        <v>564</v>
      </c>
      <c r="E238" s="11" t="s">
        <v>13</v>
      </c>
    </row>
    <row r="239">
      <c r="A239" s="19">
        <v>0.7270833333333333</v>
      </c>
      <c r="B239" s="34" t="s">
        <v>849</v>
      </c>
      <c r="C239" s="35" t="s">
        <v>435</v>
      </c>
      <c r="D239" s="34" t="s">
        <v>851</v>
      </c>
      <c r="E239" s="11" t="s">
        <v>9</v>
      </c>
    </row>
    <row r="240">
      <c r="A240" s="19">
        <v>0.7270833333333333</v>
      </c>
      <c r="B240" s="34" t="s">
        <v>850</v>
      </c>
      <c r="C240" s="35" t="s">
        <v>71</v>
      </c>
      <c r="D240" s="34" t="s">
        <v>848</v>
      </c>
      <c r="E240" s="11" t="s">
        <v>13</v>
      </c>
    </row>
    <row r="241">
      <c r="A241" s="19">
        <v>0.7375</v>
      </c>
      <c r="B241" s="34" t="s">
        <v>849</v>
      </c>
      <c r="C241" s="35" t="s">
        <v>27</v>
      </c>
      <c r="D241" s="34" t="s">
        <v>564</v>
      </c>
      <c r="E241" s="11" t="s">
        <v>9</v>
      </c>
    </row>
    <row r="242">
      <c r="A242" s="19">
        <v>0.7375</v>
      </c>
      <c r="B242" s="34" t="s">
        <v>851</v>
      </c>
      <c r="C242" s="35" t="s">
        <v>294</v>
      </c>
      <c r="D242" s="34" t="s">
        <v>848</v>
      </c>
      <c r="E242" s="11" t="s">
        <v>13</v>
      </c>
    </row>
    <row r="243">
      <c r="A243" s="27"/>
      <c r="B243" s="28" t="s">
        <v>123</v>
      </c>
      <c r="C243" s="2"/>
      <c r="D243" s="3"/>
      <c r="E243" s="29"/>
    </row>
    <row r="244">
      <c r="A244" s="18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9">
        <v>0.6458333333333334</v>
      </c>
      <c r="B245" s="34" t="s">
        <v>854</v>
      </c>
      <c r="C245" s="33" t="s">
        <v>14</v>
      </c>
      <c r="D245" s="34" t="s">
        <v>855</v>
      </c>
      <c r="E245" s="11" t="s">
        <v>33</v>
      </c>
    </row>
    <row r="246">
      <c r="A246" s="19">
        <v>0.6458333333333334</v>
      </c>
      <c r="B246" s="34" t="s">
        <v>438</v>
      </c>
      <c r="C246" s="33" t="s">
        <v>62</v>
      </c>
      <c r="D246" s="34" t="s">
        <v>568</v>
      </c>
      <c r="E246" s="11" t="s">
        <v>37</v>
      </c>
    </row>
    <row r="247">
      <c r="A247" s="19">
        <v>0.6555555555555556</v>
      </c>
      <c r="B247" s="34" t="s">
        <v>438</v>
      </c>
      <c r="C247" s="33" t="s">
        <v>286</v>
      </c>
      <c r="D247" s="34" t="s">
        <v>855</v>
      </c>
      <c r="E247" s="11" t="s">
        <v>33</v>
      </c>
    </row>
    <row r="248">
      <c r="A248" s="19">
        <v>0.6555555555555556</v>
      </c>
      <c r="B248" s="34" t="s">
        <v>678</v>
      </c>
      <c r="C248" s="33" t="s">
        <v>28</v>
      </c>
      <c r="D248" s="34" t="s">
        <v>568</v>
      </c>
      <c r="E248" s="11" t="s">
        <v>37</v>
      </c>
    </row>
    <row r="249">
      <c r="A249" s="19">
        <v>0.6659722222222222</v>
      </c>
      <c r="B249" s="34" t="s">
        <v>678</v>
      </c>
      <c r="C249" s="33" t="s">
        <v>196</v>
      </c>
      <c r="D249" s="34" t="s">
        <v>438</v>
      </c>
      <c r="E249" s="11" t="s">
        <v>33</v>
      </c>
    </row>
    <row r="250">
      <c r="A250" s="19">
        <v>0.6659722222222222</v>
      </c>
      <c r="B250" s="34" t="s">
        <v>568</v>
      </c>
      <c r="C250" s="33" t="s">
        <v>297</v>
      </c>
      <c r="D250" s="34" t="s">
        <v>854</v>
      </c>
      <c r="E250" s="11" t="s">
        <v>37</v>
      </c>
      <c r="G250" s="36"/>
    </row>
    <row r="251">
      <c r="A251" s="19">
        <v>0.6763888888888889</v>
      </c>
      <c r="B251" s="34" t="s">
        <v>678</v>
      </c>
      <c r="C251" s="33" t="s">
        <v>215</v>
      </c>
      <c r="D251" s="34" t="s">
        <v>855</v>
      </c>
      <c r="E251" s="11" t="s">
        <v>33</v>
      </c>
    </row>
    <row r="252">
      <c r="A252" s="19">
        <v>0.6763888888888889</v>
      </c>
      <c r="B252" s="34" t="s">
        <v>854</v>
      </c>
      <c r="C252" s="33" t="s">
        <v>217</v>
      </c>
      <c r="D252" s="34" t="s">
        <v>438</v>
      </c>
      <c r="E252" s="11" t="s">
        <v>37</v>
      </c>
    </row>
    <row r="253">
      <c r="A253" s="19">
        <v>0.6861111111111111</v>
      </c>
      <c r="B253" s="34" t="s">
        <v>568</v>
      </c>
      <c r="C253" s="33" t="s">
        <v>62</v>
      </c>
      <c r="D253" s="34" t="s">
        <v>855</v>
      </c>
      <c r="E253" s="11" t="s">
        <v>33</v>
      </c>
    </row>
    <row r="254">
      <c r="A254" s="19">
        <v>0.6861111111111111</v>
      </c>
      <c r="B254" s="34" t="s">
        <v>854</v>
      </c>
      <c r="C254" s="33" t="s">
        <v>78</v>
      </c>
      <c r="D254" s="34" t="s">
        <v>678</v>
      </c>
      <c r="E254" s="11" t="s">
        <v>37</v>
      </c>
    </row>
    <row r="255">
      <c r="A255" s="19">
        <v>0.6965277777777777</v>
      </c>
      <c r="B255" s="34" t="s">
        <v>855</v>
      </c>
      <c r="C255" s="33" t="s">
        <v>43</v>
      </c>
      <c r="D255" s="34" t="s">
        <v>854</v>
      </c>
      <c r="E255" s="11" t="s">
        <v>33</v>
      </c>
    </row>
    <row r="256">
      <c r="A256" s="19">
        <v>0.6965277777777777</v>
      </c>
      <c r="B256" s="34" t="s">
        <v>568</v>
      </c>
      <c r="C256" s="33" t="s">
        <v>285</v>
      </c>
      <c r="D256" s="34" t="s">
        <v>438</v>
      </c>
      <c r="E256" s="11" t="s">
        <v>37</v>
      </c>
    </row>
    <row r="257">
      <c r="A257" s="19">
        <v>0.7069444444444445</v>
      </c>
      <c r="B257" s="34" t="s">
        <v>855</v>
      </c>
      <c r="C257" s="33" t="s">
        <v>282</v>
      </c>
      <c r="D257" s="34" t="s">
        <v>438</v>
      </c>
      <c r="E257" s="11" t="s">
        <v>33</v>
      </c>
    </row>
    <row r="258">
      <c r="A258" s="19">
        <v>0.7069444444444445</v>
      </c>
      <c r="B258" s="34" t="s">
        <v>568</v>
      </c>
      <c r="C258" s="33" t="s">
        <v>297</v>
      </c>
      <c r="D258" s="34" t="s">
        <v>678</v>
      </c>
      <c r="E258" s="11" t="s">
        <v>37</v>
      </c>
    </row>
    <row r="259">
      <c r="A259" s="19">
        <v>0.7166666666666667</v>
      </c>
      <c r="B259" s="34" t="s">
        <v>438</v>
      </c>
      <c r="C259" s="33" t="s">
        <v>260</v>
      </c>
      <c r="D259" s="34" t="s">
        <v>678</v>
      </c>
      <c r="E259" s="11" t="s">
        <v>33</v>
      </c>
    </row>
    <row r="260">
      <c r="A260" s="19">
        <v>0.7166666666666667</v>
      </c>
      <c r="B260" s="34" t="s">
        <v>854</v>
      </c>
      <c r="C260" s="33" t="s">
        <v>17</v>
      </c>
      <c r="D260" s="34" t="s">
        <v>568</v>
      </c>
      <c r="E260" s="11" t="s">
        <v>37</v>
      </c>
    </row>
    <row r="261">
      <c r="A261" s="19">
        <v>0.7270833333333333</v>
      </c>
      <c r="B261" s="34" t="s">
        <v>855</v>
      </c>
      <c r="C261" s="33" t="s">
        <v>83</v>
      </c>
      <c r="D261" s="34" t="s">
        <v>678</v>
      </c>
      <c r="E261" s="11" t="s">
        <v>33</v>
      </c>
    </row>
    <row r="262">
      <c r="A262" s="19">
        <v>0.7270833333333333</v>
      </c>
      <c r="B262" s="34" t="s">
        <v>438</v>
      </c>
      <c r="C262" s="33" t="s">
        <v>190</v>
      </c>
      <c r="D262" s="34" t="s">
        <v>854</v>
      </c>
      <c r="E262" s="11" t="s">
        <v>37</v>
      </c>
    </row>
    <row r="263">
      <c r="A263" s="19">
        <v>0.7375</v>
      </c>
      <c r="B263" s="34" t="s">
        <v>855</v>
      </c>
      <c r="C263" s="33" t="s">
        <v>856</v>
      </c>
      <c r="D263" s="34" t="s">
        <v>568</v>
      </c>
      <c r="E263" s="11" t="s">
        <v>33</v>
      </c>
    </row>
    <row r="264">
      <c r="A264" s="19">
        <v>0.7375</v>
      </c>
      <c r="B264" s="34" t="s">
        <v>678</v>
      </c>
      <c r="C264" s="33" t="s">
        <v>857</v>
      </c>
      <c r="D264" s="34" t="s">
        <v>854</v>
      </c>
      <c r="E264" s="11" t="s">
        <v>37</v>
      </c>
    </row>
    <row r="265">
      <c r="A265" s="27"/>
      <c r="B265" s="28" t="s">
        <v>134</v>
      </c>
      <c r="C265" s="2"/>
      <c r="D265" s="3"/>
      <c r="E265" s="29"/>
    </row>
    <row r="266">
      <c r="A266" s="18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9">
        <v>0.75</v>
      </c>
      <c r="B267" s="34" t="s">
        <v>858</v>
      </c>
      <c r="C267" s="35" t="s">
        <v>49</v>
      </c>
      <c r="D267" s="34" t="s">
        <v>859</v>
      </c>
      <c r="E267" s="11" t="s">
        <v>9</v>
      </c>
    </row>
    <row r="268">
      <c r="A268" s="19">
        <v>0.75</v>
      </c>
      <c r="B268" s="34" t="s">
        <v>573</v>
      </c>
      <c r="C268" s="35" t="s">
        <v>190</v>
      </c>
      <c r="D268" s="34" t="s">
        <v>773</v>
      </c>
      <c r="E268" s="11" t="s">
        <v>13</v>
      </c>
    </row>
    <row r="269">
      <c r="A269" s="19">
        <v>0.7597222222222222</v>
      </c>
      <c r="B269" s="34" t="s">
        <v>573</v>
      </c>
      <c r="C269" s="35" t="s">
        <v>35</v>
      </c>
      <c r="D269" s="34" t="s">
        <v>859</v>
      </c>
      <c r="E269" s="11" t="s">
        <v>9</v>
      </c>
    </row>
    <row r="270">
      <c r="A270" s="19">
        <v>0.7597222222222222</v>
      </c>
      <c r="B270" s="34" t="s">
        <v>860</v>
      </c>
      <c r="C270" s="35" t="s">
        <v>25</v>
      </c>
      <c r="D270" s="34" t="s">
        <v>773</v>
      </c>
      <c r="E270" s="11" t="s">
        <v>13</v>
      </c>
    </row>
    <row r="271">
      <c r="A271" s="19">
        <v>0.7701388888888889</v>
      </c>
      <c r="B271" s="34" t="s">
        <v>860</v>
      </c>
      <c r="C271" s="35" t="s">
        <v>45</v>
      </c>
      <c r="D271" s="34" t="s">
        <v>573</v>
      </c>
      <c r="E271" s="11" t="s">
        <v>9</v>
      </c>
    </row>
    <row r="272">
      <c r="A272" s="19">
        <v>0.7701388888888889</v>
      </c>
      <c r="B272" s="34" t="s">
        <v>773</v>
      </c>
      <c r="C272" s="35" t="s">
        <v>197</v>
      </c>
      <c r="D272" s="34" t="s">
        <v>858</v>
      </c>
      <c r="E272" s="11" t="s">
        <v>13</v>
      </c>
    </row>
    <row r="273">
      <c r="A273" s="19">
        <v>0.7805555555555556</v>
      </c>
      <c r="B273" s="34" t="s">
        <v>860</v>
      </c>
      <c r="C273" s="35" t="s">
        <v>66</v>
      </c>
      <c r="D273" s="34" t="s">
        <v>859</v>
      </c>
      <c r="E273" s="11" t="s">
        <v>9</v>
      </c>
    </row>
    <row r="274">
      <c r="A274" s="19">
        <v>0.7805555555555556</v>
      </c>
      <c r="B274" s="34" t="s">
        <v>858</v>
      </c>
      <c r="C274" s="35" t="s">
        <v>25</v>
      </c>
      <c r="D274" s="34" t="s">
        <v>573</v>
      </c>
      <c r="E274" s="11" t="s">
        <v>13</v>
      </c>
    </row>
    <row r="275">
      <c r="A275" s="19">
        <v>0.7902777777777777</v>
      </c>
      <c r="B275" s="34" t="s">
        <v>773</v>
      </c>
      <c r="C275" s="35" t="s">
        <v>197</v>
      </c>
      <c r="D275" s="34" t="s">
        <v>859</v>
      </c>
      <c r="E275" s="11" t="s">
        <v>9</v>
      </c>
    </row>
    <row r="276">
      <c r="A276" s="19">
        <v>0.7902777777777777</v>
      </c>
      <c r="B276" s="34" t="s">
        <v>858</v>
      </c>
      <c r="C276" s="35" t="s">
        <v>43</v>
      </c>
      <c r="D276" s="34" t="s">
        <v>860</v>
      </c>
      <c r="E276" s="11" t="s">
        <v>13</v>
      </c>
    </row>
    <row r="277">
      <c r="A277" s="19">
        <v>0.8006944444444445</v>
      </c>
      <c r="B277" s="34" t="s">
        <v>859</v>
      </c>
      <c r="C277" s="35" t="s">
        <v>297</v>
      </c>
      <c r="D277" s="34" t="s">
        <v>858</v>
      </c>
      <c r="E277" s="11" t="s">
        <v>9</v>
      </c>
    </row>
    <row r="278">
      <c r="A278" s="19">
        <v>0.8006944444444445</v>
      </c>
      <c r="B278" s="34" t="s">
        <v>773</v>
      </c>
      <c r="C278" s="35" t="s">
        <v>18</v>
      </c>
      <c r="D278" s="34" t="s">
        <v>573</v>
      </c>
      <c r="E278" s="11" t="s">
        <v>13</v>
      </c>
    </row>
    <row r="279">
      <c r="A279" s="19">
        <v>0.8111111111111111</v>
      </c>
      <c r="B279" s="34" t="s">
        <v>859</v>
      </c>
      <c r="C279" s="35" t="s">
        <v>52</v>
      </c>
      <c r="D279" s="34" t="s">
        <v>573</v>
      </c>
      <c r="E279" s="11" t="s">
        <v>9</v>
      </c>
    </row>
    <row r="280">
      <c r="A280" s="19">
        <v>0.8111111111111111</v>
      </c>
      <c r="B280" s="34" t="s">
        <v>773</v>
      </c>
      <c r="C280" s="35" t="s">
        <v>19</v>
      </c>
      <c r="D280" s="34" t="s">
        <v>860</v>
      </c>
      <c r="E280" s="11" t="s">
        <v>13</v>
      </c>
    </row>
    <row r="281">
      <c r="A281" s="19">
        <v>0.8208333333333333</v>
      </c>
      <c r="B281" s="34" t="s">
        <v>573</v>
      </c>
      <c r="C281" s="35" t="s">
        <v>87</v>
      </c>
      <c r="D281" s="34" t="s">
        <v>860</v>
      </c>
      <c r="E281" s="11" t="s">
        <v>9</v>
      </c>
    </row>
    <row r="282">
      <c r="A282" s="19">
        <v>0.8208333333333333</v>
      </c>
      <c r="B282" s="34" t="s">
        <v>858</v>
      </c>
      <c r="C282" s="35" t="s">
        <v>87</v>
      </c>
      <c r="D282" s="34" t="s">
        <v>773</v>
      </c>
      <c r="E282" s="11" t="s">
        <v>13</v>
      </c>
    </row>
    <row r="283">
      <c r="A283" s="19">
        <v>0.83125</v>
      </c>
      <c r="B283" s="34" t="s">
        <v>859</v>
      </c>
      <c r="C283" s="35" t="s">
        <v>509</v>
      </c>
      <c r="D283" s="34" t="s">
        <v>860</v>
      </c>
      <c r="E283" s="11" t="s">
        <v>9</v>
      </c>
    </row>
    <row r="284">
      <c r="A284" s="19">
        <v>0.83125</v>
      </c>
      <c r="B284" s="34" t="s">
        <v>573</v>
      </c>
      <c r="C284" s="35" t="s">
        <v>25</v>
      </c>
      <c r="D284" s="34" t="s">
        <v>858</v>
      </c>
      <c r="E284" s="11" t="s">
        <v>13</v>
      </c>
    </row>
    <row r="285">
      <c r="A285" s="19">
        <v>0.8416666666666667</v>
      </c>
      <c r="B285" s="34" t="s">
        <v>859</v>
      </c>
      <c r="C285" s="35" t="s">
        <v>193</v>
      </c>
      <c r="D285" s="34" t="s">
        <v>773</v>
      </c>
      <c r="E285" s="11" t="s">
        <v>9</v>
      </c>
    </row>
    <row r="286">
      <c r="A286" s="19">
        <v>0.8416666666666667</v>
      </c>
      <c r="B286" s="34" t="s">
        <v>860</v>
      </c>
      <c r="C286" s="35" t="s">
        <v>534</v>
      </c>
      <c r="D286" s="34" t="s">
        <v>858</v>
      </c>
      <c r="E286" s="11" t="s">
        <v>13</v>
      </c>
    </row>
    <row r="287">
      <c r="A287" s="27"/>
      <c r="B287" s="28" t="s">
        <v>134</v>
      </c>
      <c r="C287" s="2"/>
      <c r="D287" s="3"/>
      <c r="E287" s="29"/>
    </row>
    <row r="288">
      <c r="A288" s="18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9">
        <v>0.75</v>
      </c>
      <c r="B289" s="34" t="s">
        <v>861</v>
      </c>
      <c r="C289" s="33" t="s">
        <v>231</v>
      </c>
      <c r="D289" s="34" t="s">
        <v>862</v>
      </c>
      <c r="E289" s="11" t="s">
        <v>33</v>
      </c>
    </row>
    <row r="290">
      <c r="A290" s="19">
        <v>0.75</v>
      </c>
      <c r="B290" s="34" t="s">
        <v>863</v>
      </c>
      <c r="C290" s="33" t="s">
        <v>19</v>
      </c>
      <c r="D290" s="34" t="s">
        <v>864</v>
      </c>
      <c r="E290" s="11" t="s">
        <v>37</v>
      </c>
    </row>
    <row r="291">
      <c r="A291" s="19">
        <v>0.7597222222222222</v>
      </c>
      <c r="B291" s="34" t="s">
        <v>863</v>
      </c>
      <c r="C291" s="33" t="s">
        <v>44</v>
      </c>
      <c r="D291" s="34" t="s">
        <v>862</v>
      </c>
      <c r="E291" s="11" t="s">
        <v>33</v>
      </c>
    </row>
    <row r="292">
      <c r="A292" s="19">
        <v>0.7597222222222222</v>
      </c>
      <c r="B292" s="34" t="s">
        <v>865</v>
      </c>
      <c r="C292" s="33" t="s">
        <v>195</v>
      </c>
      <c r="D292" s="34" t="s">
        <v>864</v>
      </c>
      <c r="E292" s="11" t="s">
        <v>37</v>
      </c>
    </row>
    <row r="293">
      <c r="A293" s="19">
        <v>0.7701388888888889</v>
      </c>
      <c r="B293" s="34" t="s">
        <v>865</v>
      </c>
      <c r="C293" s="33" t="s">
        <v>351</v>
      </c>
      <c r="D293" s="34" t="s">
        <v>863</v>
      </c>
      <c r="E293" s="11" t="s">
        <v>33</v>
      </c>
    </row>
    <row r="294">
      <c r="A294" s="19">
        <v>0.7701388888888889</v>
      </c>
      <c r="B294" s="34" t="s">
        <v>864</v>
      </c>
      <c r="C294" s="33" t="s">
        <v>249</v>
      </c>
      <c r="D294" s="34" t="s">
        <v>861</v>
      </c>
      <c r="E294" s="11" t="s">
        <v>37</v>
      </c>
      <c r="H294" s="36"/>
    </row>
    <row r="295">
      <c r="A295" s="19">
        <v>0.7805555555555556</v>
      </c>
      <c r="B295" s="34" t="s">
        <v>865</v>
      </c>
      <c r="C295" s="33" t="s">
        <v>240</v>
      </c>
      <c r="D295" s="34" t="s">
        <v>862</v>
      </c>
      <c r="E295" s="11" t="s">
        <v>33</v>
      </c>
    </row>
    <row r="296">
      <c r="A296" s="19">
        <v>0.7805555555555556</v>
      </c>
      <c r="B296" s="34" t="s">
        <v>861</v>
      </c>
      <c r="C296" s="33" t="s">
        <v>866</v>
      </c>
      <c r="D296" s="34" t="s">
        <v>863</v>
      </c>
      <c r="E296" s="11" t="s">
        <v>37</v>
      </c>
    </row>
    <row r="297">
      <c r="A297" s="19">
        <v>0.7902777777777777</v>
      </c>
      <c r="B297" s="34" t="s">
        <v>864</v>
      </c>
      <c r="C297" s="33" t="s">
        <v>193</v>
      </c>
      <c r="D297" s="34" t="s">
        <v>862</v>
      </c>
      <c r="E297" s="11" t="s">
        <v>33</v>
      </c>
    </row>
    <row r="298">
      <c r="A298" s="19">
        <v>0.7902777777777777</v>
      </c>
      <c r="B298" s="34" t="s">
        <v>861</v>
      </c>
      <c r="C298" s="33" t="s">
        <v>196</v>
      </c>
      <c r="D298" s="34" t="s">
        <v>865</v>
      </c>
      <c r="E298" s="11" t="s">
        <v>37</v>
      </c>
    </row>
    <row r="299">
      <c r="A299" s="19">
        <v>0.8006944444444445</v>
      </c>
      <c r="B299" s="34" t="s">
        <v>862</v>
      </c>
      <c r="C299" s="33" t="s">
        <v>196</v>
      </c>
      <c r="D299" s="34" t="s">
        <v>861</v>
      </c>
      <c r="E299" s="11" t="s">
        <v>33</v>
      </c>
    </row>
    <row r="300">
      <c r="A300" s="19">
        <v>0.8006944444444445</v>
      </c>
      <c r="B300" s="34" t="s">
        <v>864</v>
      </c>
      <c r="C300" s="33" t="s">
        <v>509</v>
      </c>
      <c r="D300" s="34" t="s">
        <v>863</v>
      </c>
      <c r="E300" s="11" t="s">
        <v>37</v>
      </c>
    </row>
    <row r="301">
      <c r="A301" s="19">
        <v>0.8111111111111111</v>
      </c>
      <c r="B301" s="34" t="s">
        <v>862</v>
      </c>
      <c r="C301" s="33" t="s">
        <v>353</v>
      </c>
      <c r="D301" s="34" t="s">
        <v>863</v>
      </c>
      <c r="E301" s="11" t="s">
        <v>33</v>
      </c>
    </row>
    <row r="302">
      <c r="A302" s="19">
        <v>0.8111111111111111</v>
      </c>
      <c r="B302" s="34" t="s">
        <v>864</v>
      </c>
      <c r="C302" s="33" t="s">
        <v>195</v>
      </c>
      <c r="D302" s="34" t="s">
        <v>865</v>
      </c>
      <c r="E302" s="11" t="s">
        <v>37</v>
      </c>
    </row>
    <row r="303">
      <c r="A303" s="19">
        <v>0.8208333333333333</v>
      </c>
      <c r="B303" s="34" t="s">
        <v>863</v>
      </c>
      <c r="C303" s="33" t="s">
        <v>66</v>
      </c>
      <c r="D303" s="34" t="s">
        <v>865</v>
      </c>
      <c r="E303" s="11" t="s">
        <v>33</v>
      </c>
    </row>
    <row r="304">
      <c r="A304" s="19">
        <v>0.8208333333333333</v>
      </c>
      <c r="B304" s="34" t="s">
        <v>861</v>
      </c>
      <c r="C304" s="33" t="s">
        <v>87</v>
      </c>
      <c r="D304" s="34" t="s">
        <v>864</v>
      </c>
      <c r="E304" s="11" t="s">
        <v>37</v>
      </c>
    </row>
    <row r="305">
      <c r="A305" s="19">
        <v>0.83125</v>
      </c>
      <c r="B305" s="34" t="s">
        <v>862</v>
      </c>
      <c r="C305" s="33" t="s">
        <v>201</v>
      </c>
      <c r="D305" s="34" t="s">
        <v>865</v>
      </c>
      <c r="E305" s="11" t="s">
        <v>33</v>
      </c>
    </row>
    <row r="306">
      <c r="A306" s="19">
        <v>0.83125</v>
      </c>
      <c r="B306" s="34" t="s">
        <v>863</v>
      </c>
      <c r="C306" s="33" t="s">
        <v>651</v>
      </c>
      <c r="D306" s="34" t="s">
        <v>861</v>
      </c>
      <c r="E306" s="11" t="s">
        <v>37</v>
      </c>
    </row>
    <row r="307">
      <c r="A307" s="19">
        <v>0.8416666666666667</v>
      </c>
      <c r="B307" s="34" t="s">
        <v>862</v>
      </c>
      <c r="C307" s="33" t="s">
        <v>22</v>
      </c>
      <c r="D307" s="34" t="s">
        <v>864</v>
      </c>
      <c r="E307" s="11" t="s">
        <v>33</v>
      </c>
    </row>
    <row r="308">
      <c r="A308" s="19">
        <v>0.8416666666666667</v>
      </c>
      <c r="B308" s="34" t="s">
        <v>865</v>
      </c>
      <c r="C308" s="33" t="s">
        <v>87</v>
      </c>
      <c r="D308" s="34" t="s">
        <v>861</v>
      </c>
      <c r="E308" s="11" t="s">
        <v>37</v>
      </c>
    </row>
    <row r="309">
      <c r="A309" s="27"/>
      <c r="B309" s="28" t="s">
        <v>145</v>
      </c>
      <c r="C309" s="2"/>
      <c r="D309" s="3"/>
      <c r="E309" s="29"/>
    </row>
    <row r="310">
      <c r="A310" s="18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9">
        <v>0.8541666666666666</v>
      </c>
      <c r="B311" s="34" t="s">
        <v>867</v>
      </c>
      <c r="C311" s="33" t="s">
        <v>196</v>
      </c>
      <c r="D311" s="34" t="s">
        <v>868</v>
      </c>
      <c r="E311" s="11" t="s">
        <v>9</v>
      </c>
    </row>
    <row r="312">
      <c r="A312" s="19">
        <v>0.8541666666666666</v>
      </c>
      <c r="B312" s="34" t="s">
        <v>869</v>
      </c>
      <c r="C312" s="33" t="s">
        <v>66</v>
      </c>
      <c r="D312" s="34" t="s">
        <v>594</v>
      </c>
      <c r="E312" s="11" t="s">
        <v>13</v>
      </c>
    </row>
    <row r="313">
      <c r="A313" s="19">
        <v>0.8638888888888889</v>
      </c>
      <c r="B313" s="34" t="s">
        <v>869</v>
      </c>
      <c r="C313" s="33" t="s">
        <v>195</v>
      </c>
      <c r="D313" s="34" t="s">
        <v>868</v>
      </c>
      <c r="E313" s="11" t="s">
        <v>9</v>
      </c>
    </row>
    <row r="314">
      <c r="A314" s="19">
        <v>0.8638888888888889</v>
      </c>
      <c r="B314" s="34" t="s">
        <v>595</v>
      </c>
      <c r="C314" s="33" t="s">
        <v>239</v>
      </c>
      <c r="D314" s="34" t="s">
        <v>594</v>
      </c>
      <c r="E314" s="11" t="s">
        <v>13</v>
      </c>
    </row>
    <row r="315">
      <c r="A315" s="19">
        <v>0.8743055555555556</v>
      </c>
      <c r="B315" s="34" t="s">
        <v>595</v>
      </c>
      <c r="C315" s="33" t="s">
        <v>413</v>
      </c>
      <c r="D315" s="34" t="s">
        <v>869</v>
      </c>
      <c r="E315" s="11" t="s">
        <v>9</v>
      </c>
    </row>
    <row r="316">
      <c r="A316" s="19">
        <v>0.8743055555555556</v>
      </c>
      <c r="B316" s="34" t="s">
        <v>594</v>
      </c>
      <c r="C316" s="33" t="s">
        <v>217</v>
      </c>
      <c r="D316" s="34" t="s">
        <v>867</v>
      </c>
      <c r="E316" s="11" t="s">
        <v>13</v>
      </c>
    </row>
    <row r="317">
      <c r="A317" s="19">
        <v>0.8847222222222222</v>
      </c>
      <c r="B317" s="34" t="s">
        <v>595</v>
      </c>
      <c r="C317" s="33" t="s">
        <v>19</v>
      </c>
      <c r="D317" s="34" t="s">
        <v>868</v>
      </c>
      <c r="E317" s="11" t="s">
        <v>9</v>
      </c>
    </row>
    <row r="318">
      <c r="A318" s="19">
        <v>0.8847222222222222</v>
      </c>
      <c r="B318" s="34" t="s">
        <v>867</v>
      </c>
      <c r="C318" s="33" t="s">
        <v>534</v>
      </c>
      <c r="D318" s="34" t="s">
        <v>869</v>
      </c>
      <c r="E318" s="11" t="s">
        <v>13</v>
      </c>
    </row>
    <row r="319">
      <c r="A319" s="19">
        <v>0.8944444444444445</v>
      </c>
      <c r="B319" s="34" t="s">
        <v>594</v>
      </c>
      <c r="C319" s="33" t="s">
        <v>304</v>
      </c>
      <c r="D319" s="34" t="s">
        <v>868</v>
      </c>
      <c r="E319" s="11" t="s">
        <v>9</v>
      </c>
    </row>
    <row r="320">
      <c r="A320" s="19">
        <v>0.8944444444444445</v>
      </c>
      <c r="B320" s="34" t="s">
        <v>867</v>
      </c>
      <c r="C320" s="33" t="s">
        <v>28</v>
      </c>
      <c r="D320" s="34" t="s">
        <v>595</v>
      </c>
      <c r="E320" s="11" t="s">
        <v>13</v>
      </c>
    </row>
    <row r="321">
      <c r="A321" s="19">
        <v>0.9048611111111111</v>
      </c>
      <c r="B321" s="34" t="s">
        <v>868</v>
      </c>
      <c r="C321" s="33" t="s">
        <v>566</v>
      </c>
      <c r="D321" s="34" t="s">
        <v>867</v>
      </c>
      <c r="E321" s="11" t="s">
        <v>9</v>
      </c>
    </row>
    <row r="322">
      <c r="A322" s="19">
        <v>0.9048611111111111</v>
      </c>
      <c r="B322" s="34" t="s">
        <v>594</v>
      </c>
      <c r="C322" s="33" t="s">
        <v>17</v>
      </c>
      <c r="D322" s="34" t="s">
        <v>869</v>
      </c>
      <c r="E322" s="11" t="s">
        <v>13</v>
      </c>
    </row>
    <row r="323">
      <c r="A323" s="19">
        <v>0.9152777777777777</v>
      </c>
      <c r="B323" s="34" t="s">
        <v>868</v>
      </c>
      <c r="C323" s="35" t="s">
        <v>201</v>
      </c>
      <c r="D323" s="34" t="s">
        <v>869</v>
      </c>
      <c r="E323" s="11" t="s">
        <v>9</v>
      </c>
    </row>
    <row r="324">
      <c r="A324" s="19">
        <v>0.9152777777777777</v>
      </c>
      <c r="B324" s="34" t="s">
        <v>594</v>
      </c>
      <c r="C324" s="35" t="s">
        <v>11</v>
      </c>
      <c r="D324" s="34" t="s">
        <v>595</v>
      </c>
      <c r="E324" s="11" t="s">
        <v>13</v>
      </c>
    </row>
    <row r="325">
      <c r="A325" s="19">
        <v>0.925</v>
      </c>
      <c r="B325" s="34" t="s">
        <v>869</v>
      </c>
      <c r="C325" s="35" t="s">
        <v>67</v>
      </c>
      <c r="D325" s="34" t="s">
        <v>595</v>
      </c>
      <c r="E325" s="11" t="s">
        <v>9</v>
      </c>
    </row>
    <row r="326">
      <c r="A326" s="19">
        <v>0.925</v>
      </c>
      <c r="B326" s="34" t="s">
        <v>867</v>
      </c>
      <c r="C326" s="35" t="s">
        <v>68</v>
      </c>
      <c r="D326" s="34" t="s">
        <v>594</v>
      </c>
      <c r="E326" s="11" t="s">
        <v>13</v>
      </c>
    </row>
    <row r="327">
      <c r="A327" s="19">
        <v>0.9354166666666667</v>
      </c>
      <c r="B327" s="34" t="s">
        <v>868</v>
      </c>
      <c r="C327" s="35" t="s">
        <v>270</v>
      </c>
      <c r="D327" s="34" t="s">
        <v>595</v>
      </c>
      <c r="E327" s="11" t="s">
        <v>9</v>
      </c>
    </row>
    <row r="328">
      <c r="A328" s="19">
        <v>0.9354166666666667</v>
      </c>
      <c r="B328" s="34" t="s">
        <v>869</v>
      </c>
      <c r="C328" s="35" t="s">
        <v>47</v>
      </c>
      <c r="D328" s="34" t="s">
        <v>867</v>
      </c>
      <c r="E328" s="11" t="s">
        <v>13</v>
      </c>
    </row>
    <row r="329">
      <c r="A329" s="19">
        <v>0.9458333333333333</v>
      </c>
      <c r="B329" s="34" t="s">
        <v>868</v>
      </c>
      <c r="C329" s="35" t="s">
        <v>196</v>
      </c>
      <c r="D329" s="34" t="s">
        <v>594</v>
      </c>
      <c r="E329" s="11" t="s">
        <v>9</v>
      </c>
    </row>
    <row r="330">
      <c r="A330" s="19">
        <v>0.9458333333333333</v>
      </c>
      <c r="B330" s="34" t="s">
        <v>595</v>
      </c>
      <c r="C330" s="35" t="s">
        <v>7</v>
      </c>
      <c r="D330" s="34" t="s">
        <v>867</v>
      </c>
      <c r="E330" s="11" t="s">
        <v>13</v>
      </c>
    </row>
    <row r="331">
      <c r="A331" s="27"/>
      <c r="B331" s="28" t="s">
        <v>145</v>
      </c>
      <c r="C331" s="2"/>
      <c r="D331" s="3"/>
      <c r="E331" s="29"/>
      <c r="G331" s="36"/>
    </row>
    <row r="332">
      <c r="A332" s="18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9">
        <v>0.8541666666666666</v>
      </c>
      <c r="B333" s="34" t="s">
        <v>870</v>
      </c>
      <c r="C333" s="33" t="s">
        <v>7</v>
      </c>
      <c r="D333" s="34" t="s">
        <v>871</v>
      </c>
      <c r="E333" s="11" t="s">
        <v>33</v>
      </c>
    </row>
    <row r="334">
      <c r="A334" s="19">
        <v>0.8541666666666666</v>
      </c>
      <c r="B334" s="34" t="s">
        <v>476</v>
      </c>
      <c r="C334" s="33" t="s">
        <v>872</v>
      </c>
      <c r="D334" s="34" t="s">
        <v>873</v>
      </c>
      <c r="E334" s="11" t="s">
        <v>37</v>
      </c>
    </row>
    <row r="335">
      <c r="A335" s="19">
        <v>0.8638888888888889</v>
      </c>
      <c r="B335" s="34" t="s">
        <v>476</v>
      </c>
      <c r="C335" s="33" t="s">
        <v>62</v>
      </c>
      <c r="D335" s="34" t="s">
        <v>871</v>
      </c>
      <c r="E335" s="11" t="s">
        <v>33</v>
      </c>
    </row>
    <row r="336">
      <c r="A336" s="19">
        <v>0.8638888888888889</v>
      </c>
      <c r="B336" s="34" t="s">
        <v>874</v>
      </c>
      <c r="C336" s="33" t="s">
        <v>25</v>
      </c>
      <c r="D336" s="34" t="s">
        <v>873</v>
      </c>
      <c r="E336" s="11" t="s">
        <v>37</v>
      </c>
    </row>
    <row r="337">
      <c r="A337" s="19">
        <v>0.8743055555555556</v>
      </c>
      <c r="B337" s="34" t="s">
        <v>874</v>
      </c>
      <c r="C337" s="33" t="s">
        <v>196</v>
      </c>
      <c r="D337" s="34" t="s">
        <v>476</v>
      </c>
      <c r="E337" s="11" t="s">
        <v>33</v>
      </c>
    </row>
    <row r="338">
      <c r="A338" s="19">
        <v>0.8743055555555556</v>
      </c>
      <c r="B338" s="34" t="s">
        <v>873</v>
      </c>
      <c r="C338" s="33" t="s">
        <v>44</v>
      </c>
      <c r="D338" s="34" t="s">
        <v>870</v>
      </c>
      <c r="E338" s="11" t="s">
        <v>37</v>
      </c>
    </row>
    <row r="339">
      <c r="A339" s="19">
        <v>0.8847222222222222</v>
      </c>
      <c r="B339" s="34" t="s">
        <v>874</v>
      </c>
      <c r="C339" s="33" t="s">
        <v>68</v>
      </c>
      <c r="D339" s="34" t="s">
        <v>871</v>
      </c>
      <c r="E339" s="11" t="s">
        <v>33</v>
      </c>
    </row>
    <row r="340">
      <c r="A340" s="19">
        <v>0.8847222222222222</v>
      </c>
      <c r="B340" s="34" t="s">
        <v>870</v>
      </c>
      <c r="C340" s="33" t="s">
        <v>353</v>
      </c>
      <c r="D340" s="34" t="s">
        <v>476</v>
      </c>
      <c r="E340" s="11" t="s">
        <v>37</v>
      </c>
    </row>
    <row r="341">
      <c r="A341" s="19">
        <v>0.8944444444444445</v>
      </c>
      <c r="B341" s="34" t="s">
        <v>873</v>
      </c>
      <c r="C341" s="33" t="s">
        <v>41</v>
      </c>
      <c r="D341" s="34" t="s">
        <v>871</v>
      </c>
      <c r="E341" s="11" t="s">
        <v>33</v>
      </c>
    </row>
    <row r="342">
      <c r="A342" s="19">
        <v>0.8944444444444445</v>
      </c>
      <c r="B342" s="34" t="s">
        <v>870</v>
      </c>
      <c r="C342" s="33" t="s">
        <v>64</v>
      </c>
      <c r="D342" s="34" t="s">
        <v>874</v>
      </c>
      <c r="E342" s="11" t="s">
        <v>37</v>
      </c>
    </row>
    <row r="343">
      <c r="A343" s="19">
        <v>0.9048611111111111</v>
      </c>
      <c r="B343" s="34" t="s">
        <v>871</v>
      </c>
      <c r="C343" s="33" t="s">
        <v>80</v>
      </c>
      <c r="D343" s="34" t="s">
        <v>870</v>
      </c>
      <c r="E343" s="11" t="s">
        <v>33</v>
      </c>
    </row>
    <row r="344">
      <c r="A344" s="19">
        <v>0.9048611111111111</v>
      </c>
      <c r="B344" s="34" t="s">
        <v>873</v>
      </c>
      <c r="C344" s="33" t="s">
        <v>751</v>
      </c>
      <c r="D344" s="34" t="s">
        <v>476</v>
      </c>
      <c r="E344" s="11" t="s">
        <v>37</v>
      </c>
    </row>
    <row r="345">
      <c r="A345" s="19">
        <v>0.9152777777777777</v>
      </c>
      <c r="B345" s="34" t="s">
        <v>871</v>
      </c>
      <c r="C345" s="33" t="s">
        <v>78</v>
      </c>
      <c r="D345" s="34" t="s">
        <v>476</v>
      </c>
      <c r="E345" s="11" t="s">
        <v>33</v>
      </c>
    </row>
    <row r="346">
      <c r="A346" s="19">
        <v>0.9152777777777777</v>
      </c>
      <c r="B346" s="34" t="s">
        <v>873</v>
      </c>
      <c r="C346" s="33" t="s">
        <v>196</v>
      </c>
      <c r="D346" s="34" t="s">
        <v>874</v>
      </c>
      <c r="E346" s="11" t="s">
        <v>37</v>
      </c>
    </row>
    <row r="347">
      <c r="A347" s="19">
        <v>0.925</v>
      </c>
      <c r="B347" s="34" t="s">
        <v>476</v>
      </c>
      <c r="C347" s="33" t="s">
        <v>337</v>
      </c>
      <c r="D347" s="34" t="s">
        <v>874</v>
      </c>
      <c r="E347" s="11" t="s">
        <v>33</v>
      </c>
    </row>
    <row r="348">
      <c r="A348" s="19">
        <v>0.925</v>
      </c>
      <c r="B348" s="34" t="s">
        <v>870</v>
      </c>
      <c r="C348" s="33" t="s">
        <v>578</v>
      </c>
      <c r="D348" s="34" t="s">
        <v>873</v>
      </c>
      <c r="E348" s="11" t="s">
        <v>37</v>
      </c>
    </row>
    <row r="349">
      <c r="A349" s="19">
        <v>0.9354166666666667</v>
      </c>
      <c r="B349" s="34" t="s">
        <v>871</v>
      </c>
      <c r="C349" s="33" t="s">
        <v>49</v>
      </c>
      <c r="D349" s="34" t="s">
        <v>874</v>
      </c>
      <c r="E349" s="11" t="s">
        <v>33</v>
      </c>
    </row>
    <row r="350">
      <c r="A350" s="19">
        <v>0.9354166666666667</v>
      </c>
      <c r="B350" s="34" t="s">
        <v>476</v>
      </c>
      <c r="C350" s="33" t="s">
        <v>875</v>
      </c>
      <c r="D350" s="34" t="s">
        <v>870</v>
      </c>
      <c r="E350" s="11" t="s">
        <v>37</v>
      </c>
    </row>
    <row r="351">
      <c r="A351" s="19">
        <v>0.9458333333333333</v>
      </c>
      <c r="B351" s="34" t="s">
        <v>871</v>
      </c>
      <c r="C351" s="33" t="s">
        <v>260</v>
      </c>
      <c r="D351" s="34" t="s">
        <v>873</v>
      </c>
      <c r="E351" s="11" t="s">
        <v>33</v>
      </c>
    </row>
    <row r="352">
      <c r="A352" s="19">
        <v>0.9458333333333333</v>
      </c>
      <c r="B352" s="34" t="s">
        <v>874</v>
      </c>
      <c r="C352" s="33" t="s">
        <v>7</v>
      </c>
      <c r="D352" s="34" t="s">
        <v>870</v>
      </c>
      <c r="E352" s="11" t="s">
        <v>37</v>
      </c>
    </row>
    <row r="353">
      <c r="A353" s="27"/>
      <c r="B353" s="28" t="s">
        <v>156</v>
      </c>
      <c r="C353" s="2"/>
      <c r="D353" s="3"/>
      <c r="E353" s="29"/>
    </row>
    <row r="354">
      <c r="A354" s="18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9">
        <v>0.9583333333333334</v>
      </c>
      <c r="B355" s="34" t="s">
        <v>356</v>
      </c>
      <c r="C355" s="35" t="s">
        <v>17</v>
      </c>
      <c r="D355" s="34" t="s">
        <v>484</v>
      </c>
      <c r="E355" s="11" t="s">
        <v>9</v>
      </c>
    </row>
    <row r="356">
      <c r="A356" s="19">
        <v>0.9583333333333334</v>
      </c>
      <c r="B356" s="34" t="s">
        <v>876</v>
      </c>
      <c r="C356" s="35" t="s">
        <v>212</v>
      </c>
      <c r="D356" s="34" t="s">
        <v>705</v>
      </c>
      <c r="E356" s="11" t="s">
        <v>13</v>
      </c>
    </row>
    <row r="357">
      <c r="A357" s="19">
        <v>0.9680555555555556</v>
      </c>
      <c r="B357" s="34" t="s">
        <v>876</v>
      </c>
      <c r="C357" s="35" t="s">
        <v>81</v>
      </c>
      <c r="D357" s="34" t="s">
        <v>484</v>
      </c>
      <c r="E357" s="11" t="s">
        <v>9</v>
      </c>
    </row>
    <row r="358">
      <c r="A358" s="19">
        <v>0.9680555555555556</v>
      </c>
      <c r="B358" s="34" t="s">
        <v>605</v>
      </c>
      <c r="C358" s="35" t="s">
        <v>16</v>
      </c>
      <c r="D358" s="34" t="s">
        <v>705</v>
      </c>
      <c r="E358" s="11" t="s">
        <v>13</v>
      </c>
    </row>
    <row r="359">
      <c r="A359" s="19">
        <v>0.9784722222222222</v>
      </c>
      <c r="B359" s="34" t="s">
        <v>605</v>
      </c>
      <c r="C359" s="35" t="s">
        <v>38</v>
      </c>
      <c r="D359" s="34" t="s">
        <v>876</v>
      </c>
      <c r="E359" s="11" t="s">
        <v>9</v>
      </c>
    </row>
    <row r="360">
      <c r="A360" s="19">
        <v>0.9784722222222222</v>
      </c>
      <c r="B360" s="34" t="s">
        <v>705</v>
      </c>
      <c r="C360" s="35" t="s">
        <v>26</v>
      </c>
      <c r="D360" s="34" t="s">
        <v>356</v>
      </c>
      <c r="E360" s="11" t="s">
        <v>13</v>
      </c>
    </row>
    <row r="361">
      <c r="A361" s="19">
        <v>0.9888888888888889</v>
      </c>
      <c r="B361" s="34" t="s">
        <v>605</v>
      </c>
      <c r="C361" s="35" t="s">
        <v>22</v>
      </c>
      <c r="D361" s="34" t="s">
        <v>484</v>
      </c>
      <c r="E361" s="11" t="s">
        <v>9</v>
      </c>
    </row>
    <row r="362">
      <c r="A362" s="19">
        <v>0.9888888888888889</v>
      </c>
      <c r="B362" s="34" t="s">
        <v>356</v>
      </c>
      <c r="C362" s="35" t="s">
        <v>251</v>
      </c>
      <c r="D362" s="34" t="s">
        <v>876</v>
      </c>
      <c r="E362" s="11" t="s">
        <v>13</v>
      </c>
    </row>
    <row r="363">
      <c r="A363" s="19">
        <v>0.9986111111111111</v>
      </c>
      <c r="B363" s="34" t="s">
        <v>705</v>
      </c>
      <c r="C363" s="35" t="s">
        <v>293</v>
      </c>
      <c r="D363" s="34" t="s">
        <v>484</v>
      </c>
      <c r="E363" s="11" t="s">
        <v>9</v>
      </c>
    </row>
    <row r="364">
      <c r="A364" s="19">
        <v>0.9986111111111111</v>
      </c>
      <c r="B364" s="34" t="s">
        <v>356</v>
      </c>
      <c r="C364" s="35" t="s">
        <v>362</v>
      </c>
      <c r="D364" s="34" t="s">
        <v>605</v>
      </c>
      <c r="E364" s="11" t="s">
        <v>13</v>
      </c>
    </row>
    <row r="365">
      <c r="A365" s="19">
        <v>0.009027777777777777</v>
      </c>
      <c r="B365" s="34" t="s">
        <v>484</v>
      </c>
      <c r="C365" s="35" t="s">
        <v>217</v>
      </c>
      <c r="D365" s="34" t="s">
        <v>356</v>
      </c>
      <c r="E365" s="11" t="s">
        <v>9</v>
      </c>
    </row>
    <row r="366">
      <c r="A366" s="19">
        <v>0.009027777777777777</v>
      </c>
      <c r="B366" s="34" t="s">
        <v>705</v>
      </c>
      <c r="C366" s="35" t="s">
        <v>196</v>
      </c>
      <c r="D366" s="34" t="s">
        <v>876</v>
      </c>
      <c r="E366" s="11" t="s">
        <v>13</v>
      </c>
    </row>
    <row r="367">
      <c r="A367" s="19">
        <v>0.019444444444444445</v>
      </c>
      <c r="B367" s="34" t="s">
        <v>484</v>
      </c>
      <c r="C367" s="35" t="s">
        <v>25</v>
      </c>
      <c r="D367" s="34" t="s">
        <v>876</v>
      </c>
      <c r="E367" s="11" t="s">
        <v>9</v>
      </c>
    </row>
    <row r="368">
      <c r="A368" s="19">
        <v>0.019444444444444445</v>
      </c>
      <c r="B368" s="34" t="s">
        <v>705</v>
      </c>
      <c r="C368" s="35" t="s">
        <v>19</v>
      </c>
      <c r="D368" s="34" t="s">
        <v>605</v>
      </c>
      <c r="E368" s="11" t="s">
        <v>13</v>
      </c>
    </row>
    <row r="369">
      <c r="A369" s="19">
        <v>0.029166666666666667</v>
      </c>
      <c r="B369" s="34" t="s">
        <v>876</v>
      </c>
      <c r="C369" s="35" t="s">
        <v>260</v>
      </c>
      <c r="D369" s="34" t="s">
        <v>605</v>
      </c>
      <c r="E369" s="11" t="s">
        <v>9</v>
      </c>
    </row>
    <row r="370">
      <c r="A370" s="19">
        <v>0.029166666666666667</v>
      </c>
      <c r="B370" s="34" t="s">
        <v>356</v>
      </c>
      <c r="C370" s="35" t="s">
        <v>877</v>
      </c>
      <c r="D370" s="34" t="s">
        <v>705</v>
      </c>
      <c r="E370" s="11" t="s">
        <v>13</v>
      </c>
    </row>
    <row r="371">
      <c r="A371" s="19">
        <v>0.03958333333333333</v>
      </c>
      <c r="B371" s="34" t="s">
        <v>484</v>
      </c>
      <c r="C371" s="35" t="s">
        <v>297</v>
      </c>
      <c r="D371" s="34" t="s">
        <v>605</v>
      </c>
      <c r="E371" s="11" t="s">
        <v>9</v>
      </c>
    </row>
    <row r="372">
      <c r="A372" s="19">
        <v>0.03958333333333333</v>
      </c>
      <c r="B372" s="34" t="s">
        <v>876</v>
      </c>
      <c r="C372" s="35" t="s">
        <v>201</v>
      </c>
      <c r="D372" s="34" t="s">
        <v>356</v>
      </c>
      <c r="E372" s="11" t="s">
        <v>13</v>
      </c>
    </row>
    <row r="373">
      <c r="A373" s="19">
        <v>0.05</v>
      </c>
      <c r="B373" s="34" t="s">
        <v>484</v>
      </c>
      <c r="C373" s="35" t="s">
        <v>87</v>
      </c>
      <c r="D373" s="34" t="s">
        <v>705</v>
      </c>
      <c r="E373" s="11" t="s">
        <v>9</v>
      </c>
    </row>
    <row r="374">
      <c r="A374" s="19">
        <v>0.05</v>
      </c>
      <c r="B374" s="34" t="s">
        <v>605</v>
      </c>
      <c r="C374" s="35" t="s">
        <v>16</v>
      </c>
      <c r="D374" s="34" t="s">
        <v>356</v>
      </c>
      <c r="E374" s="11" t="s">
        <v>13</v>
      </c>
    </row>
    <row r="375">
      <c r="B375" s="28" t="s">
        <v>156</v>
      </c>
      <c r="C375" s="2"/>
      <c r="D375" s="3"/>
      <c r="E375" s="29"/>
    </row>
    <row r="376">
      <c r="A376" s="18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9">
        <v>0.9583333333333334</v>
      </c>
      <c r="B377" s="34" t="s">
        <v>878</v>
      </c>
      <c r="C377" s="33" t="s">
        <v>190</v>
      </c>
      <c r="D377" s="34" t="s">
        <v>606</v>
      </c>
      <c r="E377" s="11" t="s">
        <v>33</v>
      </c>
    </row>
    <row r="378">
      <c r="A378" s="19">
        <v>0.9583333333333334</v>
      </c>
      <c r="B378" s="34" t="s">
        <v>708</v>
      </c>
      <c r="C378" s="33" t="s">
        <v>22</v>
      </c>
      <c r="D378" s="34" t="s">
        <v>879</v>
      </c>
      <c r="E378" s="11" t="s">
        <v>37</v>
      </c>
    </row>
    <row r="379">
      <c r="A379" s="19">
        <v>0.9680555555555556</v>
      </c>
      <c r="B379" s="34" t="s">
        <v>708</v>
      </c>
      <c r="C379" s="33" t="s">
        <v>190</v>
      </c>
      <c r="D379" s="34" t="s">
        <v>606</v>
      </c>
      <c r="E379" s="11" t="s">
        <v>33</v>
      </c>
    </row>
    <row r="380">
      <c r="A380" s="19">
        <v>0.9680555555555556</v>
      </c>
      <c r="B380" s="34" t="s">
        <v>880</v>
      </c>
      <c r="C380" s="33" t="s">
        <v>20</v>
      </c>
      <c r="D380" s="34" t="s">
        <v>879</v>
      </c>
      <c r="E380" s="11" t="s">
        <v>37</v>
      </c>
    </row>
    <row r="381">
      <c r="A381" s="19">
        <v>0.9784722222222222</v>
      </c>
      <c r="B381" s="34" t="s">
        <v>880</v>
      </c>
      <c r="C381" s="33" t="s">
        <v>25</v>
      </c>
      <c r="D381" s="34" t="s">
        <v>708</v>
      </c>
      <c r="E381" s="11" t="s">
        <v>33</v>
      </c>
    </row>
    <row r="382">
      <c r="A382" s="19">
        <v>0.9784722222222222</v>
      </c>
      <c r="B382" s="34" t="s">
        <v>879</v>
      </c>
      <c r="C382" s="33" t="s">
        <v>81</v>
      </c>
      <c r="D382" s="34" t="s">
        <v>878</v>
      </c>
      <c r="E382" s="11" t="s">
        <v>37</v>
      </c>
    </row>
    <row r="383">
      <c r="A383" s="19">
        <v>0.9888888888888889</v>
      </c>
      <c r="B383" s="34" t="s">
        <v>880</v>
      </c>
      <c r="C383" s="33" t="s">
        <v>194</v>
      </c>
      <c r="D383" s="34" t="s">
        <v>606</v>
      </c>
      <c r="E383" s="11" t="s">
        <v>33</v>
      </c>
    </row>
    <row r="384">
      <c r="A384" s="19">
        <v>0.9888888888888889</v>
      </c>
      <c r="B384" s="34" t="s">
        <v>878</v>
      </c>
      <c r="C384" s="33" t="s">
        <v>68</v>
      </c>
      <c r="D384" s="34" t="s">
        <v>708</v>
      </c>
      <c r="E384" s="11" t="s">
        <v>37</v>
      </c>
    </row>
    <row r="385">
      <c r="A385" s="19">
        <v>0.9986111111111111</v>
      </c>
      <c r="B385" s="34" t="s">
        <v>879</v>
      </c>
      <c r="C385" s="33" t="s">
        <v>19</v>
      </c>
      <c r="D385" s="34" t="s">
        <v>606</v>
      </c>
      <c r="E385" s="11" t="s">
        <v>33</v>
      </c>
    </row>
    <row r="386">
      <c r="A386" s="19">
        <v>0.9986111111111111</v>
      </c>
      <c r="B386" s="34" t="s">
        <v>878</v>
      </c>
      <c r="C386" s="33" t="s">
        <v>52</v>
      </c>
      <c r="D386" s="34" t="s">
        <v>880</v>
      </c>
      <c r="E386" s="11" t="s">
        <v>37</v>
      </c>
    </row>
    <row r="387">
      <c r="A387" s="19">
        <v>0.009027777777777777</v>
      </c>
      <c r="B387" s="34" t="s">
        <v>606</v>
      </c>
      <c r="C387" s="33" t="s">
        <v>64</v>
      </c>
      <c r="D387" s="34" t="s">
        <v>878</v>
      </c>
      <c r="E387" s="11" t="s">
        <v>33</v>
      </c>
    </row>
    <row r="388">
      <c r="A388" s="19">
        <v>0.009027777777777777</v>
      </c>
      <c r="B388" s="34" t="s">
        <v>879</v>
      </c>
      <c r="C388" s="33" t="s">
        <v>218</v>
      </c>
      <c r="D388" s="34" t="s">
        <v>708</v>
      </c>
      <c r="E388" s="11" t="s">
        <v>37</v>
      </c>
    </row>
    <row r="389">
      <c r="A389" s="19">
        <v>0.019444444444444445</v>
      </c>
      <c r="B389" s="34" t="s">
        <v>606</v>
      </c>
      <c r="C389" s="33" t="s">
        <v>193</v>
      </c>
      <c r="D389" s="34" t="s">
        <v>708</v>
      </c>
      <c r="E389" s="11" t="s">
        <v>33</v>
      </c>
    </row>
    <row r="390">
      <c r="A390" s="19">
        <v>0.019444444444444445</v>
      </c>
      <c r="B390" s="34" t="s">
        <v>879</v>
      </c>
      <c r="C390" s="33" t="s">
        <v>193</v>
      </c>
      <c r="D390" s="34" t="s">
        <v>880</v>
      </c>
      <c r="E390" s="11" t="s">
        <v>37</v>
      </c>
    </row>
    <row r="391">
      <c r="A391" s="19">
        <v>0.029166666666666667</v>
      </c>
      <c r="B391" s="34" t="s">
        <v>708</v>
      </c>
      <c r="C391" s="33" t="s">
        <v>68</v>
      </c>
      <c r="D391" s="34" t="s">
        <v>880</v>
      </c>
      <c r="E391" s="11" t="s">
        <v>33</v>
      </c>
    </row>
    <row r="392">
      <c r="A392" s="19">
        <v>0.029166666666666667</v>
      </c>
      <c r="B392" s="34" t="s">
        <v>878</v>
      </c>
      <c r="C392" s="33" t="s">
        <v>55</v>
      </c>
      <c r="D392" s="34" t="s">
        <v>879</v>
      </c>
      <c r="E392" s="11" t="s">
        <v>37</v>
      </c>
    </row>
    <row r="393">
      <c r="A393" s="19">
        <v>0.03958333333333333</v>
      </c>
      <c r="B393" s="34" t="s">
        <v>606</v>
      </c>
      <c r="C393" s="33" t="s">
        <v>380</v>
      </c>
      <c r="D393" s="34" t="s">
        <v>880</v>
      </c>
      <c r="E393" s="11" t="s">
        <v>33</v>
      </c>
    </row>
    <row r="394">
      <c r="A394" s="19">
        <v>0.03958333333333333</v>
      </c>
      <c r="B394" s="34" t="s">
        <v>708</v>
      </c>
      <c r="C394" s="33" t="s">
        <v>217</v>
      </c>
      <c r="D394" s="34" t="s">
        <v>878</v>
      </c>
      <c r="E394" s="11" t="s">
        <v>37</v>
      </c>
    </row>
    <row r="395">
      <c r="A395" s="19">
        <v>0.05</v>
      </c>
      <c r="B395" s="34" t="s">
        <v>606</v>
      </c>
      <c r="C395" s="33" t="s">
        <v>87</v>
      </c>
      <c r="D395" s="34" t="s">
        <v>879</v>
      </c>
      <c r="E395" s="11" t="s">
        <v>33</v>
      </c>
    </row>
    <row r="396">
      <c r="A396" s="19">
        <v>0.05</v>
      </c>
      <c r="B396" s="34" t="s">
        <v>880</v>
      </c>
      <c r="C396" s="33" t="s">
        <v>413</v>
      </c>
      <c r="D396" s="34" t="s">
        <v>878</v>
      </c>
      <c r="E396" s="11" t="s">
        <v>37</v>
      </c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8">
    <mergeCell ref="A1:E1"/>
    <mergeCell ref="A23:E23"/>
    <mergeCell ref="A45:E45"/>
    <mergeCell ref="A67:E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46"/>
      <c r="B1" s="1" t="s">
        <v>0</v>
      </c>
      <c r="C1" s="2"/>
      <c r="D1" s="3"/>
      <c r="E1" s="29"/>
    </row>
    <row r="2">
      <c r="A2" s="47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19">
        <v>0.0625</v>
      </c>
      <c r="B3" s="32" t="s">
        <v>610</v>
      </c>
      <c r="C3" s="35" t="s">
        <v>19</v>
      </c>
      <c r="D3" s="34" t="s">
        <v>358</v>
      </c>
      <c r="E3" s="11" t="s">
        <v>9</v>
      </c>
    </row>
    <row r="4">
      <c r="A4" s="19">
        <v>0.0625</v>
      </c>
      <c r="B4" s="32" t="s">
        <v>186</v>
      </c>
      <c r="C4" s="35" t="s">
        <v>351</v>
      </c>
      <c r="D4" s="32" t="s">
        <v>803</v>
      </c>
      <c r="E4" s="11" t="s">
        <v>13</v>
      </c>
    </row>
    <row r="5">
      <c r="A5" s="19">
        <v>0.07222222222222222</v>
      </c>
      <c r="B5" s="34" t="s">
        <v>186</v>
      </c>
      <c r="C5" s="35" t="s">
        <v>196</v>
      </c>
      <c r="D5" s="32" t="s">
        <v>358</v>
      </c>
      <c r="E5" s="11" t="s">
        <v>9</v>
      </c>
    </row>
    <row r="6">
      <c r="A6" s="19">
        <v>0.07222222222222222</v>
      </c>
      <c r="B6" s="32" t="s">
        <v>881</v>
      </c>
      <c r="C6" s="35" t="s">
        <v>404</v>
      </c>
      <c r="D6" s="34" t="s">
        <v>803</v>
      </c>
      <c r="E6" s="11" t="s">
        <v>13</v>
      </c>
    </row>
    <row r="7">
      <c r="A7" s="19">
        <v>0.08263888888888889</v>
      </c>
      <c r="B7" s="34" t="s">
        <v>881</v>
      </c>
      <c r="C7" s="35" t="s">
        <v>81</v>
      </c>
      <c r="D7" s="32" t="s">
        <v>186</v>
      </c>
      <c r="E7" s="11" t="s">
        <v>9</v>
      </c>
    </row>
    <row r="8">
      <c r="A8" s="19">
        <v>0.08263888888888889</v>
      </c>
      <c r="B8" s="32" t="s">
        <v>803</v>
      </c>
      <c r="C8" s="35" t="s">
        <v>293</v>
      </c>
      <c r="D8" s="32" t="s">
        <v>610</v>
      </c>
      <c r="E8" s="11" t="s">
        <v>13</v>
      </c>
    </row>
    <row r="9">
      <c r="A9" s="19">
        <v>0.09305555555555556</v>
      </c>
      <c r="B9" s="34" t="s">
        <v>881</v>
      </c>
      <c r="C9" s="35" t="s">
        <v>83</v>
      </c>
      <c r="D9" s="34" t="s">
        <v>358</v>
      </c>
      <c r="E9" s="11" t="s">
        <v>9</v>
      </c>
    </row>
    <row r="10">
      <c r="A10" s="19">
        <v>0.09305555555555556</v>
      </c>
      <c r="B10" s="32" t="s">
        <v>610</v>
      </c>
      <c r="C10" s="35" t="s">
        <v>190</v>
      </c>
      <c r="D10" s="32" t="s">
        <v>186</v>
      </c>
      <c r="E10" s="11" t="s">
        <v>13</v>
      </c>
    </row>
    <row r="11">
      <c r="A11" s="19">
        <v>0.10277777777777777</v>
      </c>
      <c r="B11" s="34" t="s">
        <v>803</v>
      </c>
      <c r="C11" s="35" t="s">
        <v>232</v>
      </c>
      <c r="D11" s="32" t="s">
        <v>358</v>
      </c>
      <c r="E11" s="11" t="s">
        <v>9</v>
      </c>
    </row>
    <row r="12">
      <c r="A12" s="19">
        <v>0.10277777777777777</v>
      </c>
      <c r="B12" s="32" t="s">
        <v>610</v>
      </c>
      <c r="C12" s="35" t="s">
        <v>45</v>
      </c>
      <c r="D12" s="34" t="s">
        <v>881</v>
      </c>
      <c r="E12" s="11" t="s">
        <v>13</v>
      </c>
    </row>
    <row r="13">
      <c r="A13" s="19">
        <v>0.11319444444444444</v>
      </c>
      <c r="B13" s="34" t="s">
        <v>358</v>
      </c>
      <c r="C13" s="35" t="s">
        <v>11</v>
      </c>
      <c r="D13" s="32" t="s">
        <v>610</v>
      </c>
      <c r="E13" s="11" t="s">
        <v>9</v>
      </c>
    </row>
    <row r="14">
      <c r="A14" s="19">
        <v>0.11319444444444444</v>
      </c>
      <c r="B14" s="32" t="s">
        <v>803</v>
      </c>
      <c r="C14" s="35" t="s">
        <v>20</v>
      </c>
      <c r="D14" s="32" t="s">
        <v>186</v>
      </c>
      <c r="E14" s="11" t="s">
        <v>13</v>
      </c>
    </row>
    <row r="15">
      <c r="A15" s="19">
        <v>0.12361111111111112</v>
      </c>
      <c r="B15" s="32" t="s">
        <v>358</v>
      </c>
      <c r="C15" s="35" t="s">
        <v>260</v>
      </c>
      <c r="D15" s="34" t="s">
        <v>186</v>
      </c>
      <c r="E15" s="11" t="s">
        <v>9</v>
      </c>
    </row>
    <row r="16">
      <c r="A16" s="19">
        <v>0.12361111111111112</v>
      </c>
      <c r="B16" s="34" t="s">
        <v>803</v>
      </c>
      <c r="C16" s="35" t="s">
        <v>21</v>
      </c>
      <c r="D16" s="32" t="s">
        <v>881</v>
      </c>
      <c r="E16" s="11" t="s">
        <v>13</v>
      </c>
    </row>
    <row r="17">
      <c r="A17" s="19">
        <v>0.13333333333333333</v>
      </c>
      <c r="B17" s="32" t="s">
        <v>186</v>
      </c>
      <c r="C17" s="35" t="s">
        <v>400</v>
      </c>
      <c r="D17" s="34" t="s">
        <v>881</v>
      </c>
      <c r="E17" s="11" t="s">
        <v>9</v>
      </c>
    </row>
    <row r="18">
      <c r="A18" s="19">
        <v>0.13333333333333333</v>
      </c>
      <c r="B18" s="32" t="s">
        <v>610</v>
      </c>
      <c r="C18" s="35" t="s">
        <v>43</v>
      </c>
      <c r="D18" s="32" t="s">
        <v>803</v>
      </c>
      <c r="E18" s="11" t="s">
        <v>13</v>
      </c>
    </row>
    <row r="19">
      <c r="A19" s="19">
        <v>0.14375</v>
      </c>
      <c r="B19" s="34" t="s">
        <v>358</v>
      </c>
      <c r="C19" s="35" t="s">
        <v>52</v>
      </c>
      <c r="D19" s="34" t="s">
        <v>881</v>
      </c>
      <c r="E19" s="11" t="s">
        <v>9</v>
      </c>
    </row>
    <row r="20">
      <c r="A20" s="19">
        <v>0.14375</v>
      </c>
      <c r="B20" s="32" t="s">
        <v>186</v>
      </c>
      <c r="C20" s="35" t="s">
        <v>195</v>
      </c>
      <c r="D20" s="32" t="s">
        <v>610</v>
      </c>
      <c r="E20" s="11" t="s">
        <v>13</v>
      </c>
    </row>
    <row r="21">
      <c r="A21" s="19">
        <v>0.15416666666666667</v>
      </c>
      <c r="B21" s="32" t="s">
        <v>358</v>
      </c>
      <c r="C21" s="35" t="s">
        <v>291</v>
      </c>
      <c r="D21" s="34" t="s">
        <v>803</v>
      </c>
      <c r="E21" s="11" t="s">
        <v>9</v>
      </c>
    </row>
    <row r="22">
      <c r="A22" s="19">
        <v>0.15416666666666667</v>
      </c>
      <c r="B22" s="34" t="s">
        <v>881</v>
      </c>
      <c r="C22" s="35" t="s">
        <v>14</v>
      </c>
      <c r="D22" s="32" t="s">
        <v>610</v>
      </c>
      <c r="E22" s="11" t="s">
        <v>13</v>
      </c>
    </row>
    <row r="23">
      <c r="A23" s="27"/>
      <c r="B23" s="1" t="s">
        <v>29</v>
      </c>
      <c r="C23" s="2"/>
      <c r="D23" s="3"/>
      <c r="E23" s="48"/>
    </row>
    <row r="24">
      <c r="A24" s="18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9">
        <v>0.0625</v>
      </c>
      <c r="B25" s="32" t="s">
        <v>198</v>
      </c>
      <c r="C25" s="35" t="s">
        <v>190</v>
      </c>
      <c r="D25" s="32" t="s">
        <v>498</v>
      </c>
      <c r="E25" s="11" t="s">
        <v>33</v>
      </c>
    </row>
    <row r="26">
      <c r="A26" s="19">
        <v>0.0625</v>
      </c>
      <c r="B26" s="32" t="s">
        <v>882</v>
      </c>
      <c r="C26" s="35" t="s">
        <v>20</v>
      </c>
      <c r="D26" s="32" t="s">
        <v>883</v>
      </c>
      <c r="E26" s="11" t="s">
        <v>37</v>
      </c>
    </row>
    <row r="27">
      <c r="A27" s="19">
        <v>0.07222222222222222</v>
      </c>
      <c r="B27" s="34" t="s">
        <v>882</v>
      </c>
      <c r="C27" s="35" t="s">
        <v>21</v>
      </c>
      <c r="D27" s="34" t="s">
        <v>498</v>
      </c>
      <c r="E27" s="11" t="s">
        <v>33</v>
      </c>
    </row>
    <row r="28">
      <c r="A28" s="19">
        <v>0.07222222222222222</v>
      </c>
      <c r="B28" s="32" t="s">
        <v>884</v>
      </c>
      <c r="C28" s="35" t="s">
        <v>197</v>
      </c>
      <c r="D28" s="32" t="s">
        <v>883</v>
      </c>
      <c r="E28" s="11" t="s">
        <v>37</v>
      </c>
    </row>
    <row r="29">
      <c r="A29" s="19">
        <v>0.08263888888888889</v>
      </c>
      <c r="B29" s="34" t="s">
        <v>884</v>
      </c>
      <c r="C29" s="35" t="s">
        <v>306</v>
      </c>
      <c r="D29" s="32" t="s">
        <v>882</v>
      </c>
      <c r="E29" s="11" t="s">
        <v>33</v>
      </c>
    </row>
    <row r="30">
      <c r="A30" s="19">
        <v>0.08263888888888889</v>
      </c>
      <c r="B30" s="32" t="s">
        <v>883</v>
      </c>
      <c r="C30" s="35" t="s">
        <v>446</v>
      </c>
      <c r="D30" s="32" t="s">
        <v>198</v>
      </c>
      <c r="E30" s="11" t="s">
        <v>37</v>
      </c>
    </row>
    <row r="31">
      <c r="A31" s="19">
        <v>0.09305555555555556</v>
      </c>
      <c r="B31" s="34" t="s">
        <v>884</v>
      </c>
      <c r="C31" s="35" t="s">
        <v>885</v>
      </c>
      <c r="D31" s="32" t="s">
        <v>498</v>
      </c>
      <c r="E31" s="11" t="s">
        <v>33</v>
      </c>
    </row>
    <row r="32">
      <c r="A32" s="19">
        <v>0.09305555555555556</v>
      </c>
      <c r="B32" s="32" t="s">
        <v>198</v>
      </c>
      <c r="C32" s="35" t="s">
        <v>316</v>
      </c>
      <c r="D32" s="34" t="s">
        <v>882</v>
      </c>
      <c r="E32" s="11" t="s">
        <v>37</v>
      </c>
    </row>
    <row r="33">
      <c r="A33" s="19">
        <v>0.10277777777777777</v>
      </c>
      <c r="B33" s="32" t="s">
        <v>883</v>
      </c>
      <c r="C33" s="35" t="s">
        <v>190</v>
      </c>
      <c r="D33" s="32" t="s">
        <v>498</v>
      </c>
      <c r="E33" s="11" t="s">
        <v>33</v>
      </c>
    </row>
    <row r="34">
      <c r="A34" s="19">
        <v>0.10277777777777777</v>
      </c>
      <c r="B34" s="32" t="s">
        <v>198</v>
      </c>
      <c r="C34" s="35" t="s">
        <v>886</v>
      </c>
      <c r="D34" s="32" t="s">
        <v>884</v>
      </c>
      <c r="E34" s="11" t="s">
        <v>37</v>
      </c>
    </row>
    <row r="35">
      <c r="A35" s="19">
        <v>0.11319444444444444</v>
      </c>
      <c r="B35" s="32" t="s">
        <v>498</v>
      </c>
      <c r="C35" s="35" t="s">
        <v>285</v>
      </c>
      <c r="D35" s="32" t="s">
        <v>198</v>
      </c>
      <c r="E35" s="11" t="s">
        <v>33</v>
      </c>
    </row>
    <row r="36">
      <c r="A36" s="19">
        <v>0.11319444444444444</v>
      </c>
      <c r="B36" s="32" t="s">
        <v>883</v>
      </c>
      <c r="C36" s="35" t="s">
        <v>233</v>
      </c>
      <c r="D36" s="32" t="s">
        <v>882</v>
      </c>
      <c r="E36" s="11" t="s">
        <v>37</v>
      </c>
    </row>
    <row r="37">
      <c r="A37" s="19">
        <v>0.12361111111111112</v>
      </c>
      <c r="B37" s="34" t="s">
        <v>498</v>
      </c>
      <c r="C37" s="35" t="s">
        <v>81</v>
      </c>
      <c r="D37" s="34" t="s">
        <v>882</v>
      </c>
      <c r="E37" s="11" t="s">
        <v>33</v>
      </c>
    </row>
    <row r="38">
      <c r="A38" s="19">
        <v>0.12361111111111112</v>
      </c>
      <c r="B38" s="32" t="s">
        <v>883</v>
      </c>
      <c r="C38" s="35" t="s">
        <v>331</v>
      </c>
      <c r="D38" s="32" t="s">
        <v>884</v>
      </c>
      <c r="E38" s="11" t="s">
        <v>37</v>
      </c>
    </row>
    <row r="39">
      <c r="A39" s="19">
        <v>0.13333333333333333</v>
      </c>
      <c r="B39" s="32" t="s">
        <v>882</v>
      </c>
      <c r="C39" s="35" t="s">
        <v>16</v>
      </c>
      <c r="D39" s="34" t="s">
        <v>884</v>
      </c>
      <c r="E39" s="11" t="s">
        <v>33</v>
      </c>
    </row>
    <row r="40">
      <c r="A40" s="19">
        <v>0.13333333333333333</v>
      </c>
      <c r="B40" s="32" t="s">
        <v>198</v>
      </c>
      <c r="C40" s="35" t="s">
        <v>196</v>
      </c>
      <c r="D40" s="32" t="s">
        <v>883</v>
      </c>
      <c r="E40" s="11" t="s">
        <v>37</v>
      </c>
    </row>
    <row r="41">
      <c r="A41" s="19">
        <v>0.14375</v>
      </c>
      <c r="B41" s="32" t="s">
        <v>498</v>
      </c>
      <c r="C41" s="35" t="s">
        <v>352</v>
      </c>
      <c r="D41" s="34" t="s">
        <v>884</v>
      </c>
      <c r="E41" s="11" t="s">
        <v>33</v>
      </c>
    </row>
    <row r="42">
      <c r="A42" s="19">
        <v>0.14375</v>
      </c>
      <c r="B42" s="34" t="s">
        <v>882</v>
      </c>
      <c r="C42" s="35" t="s">
        <v>50</v>
      </c>
      <c r="D42" s="32" t="s">
        <v>198</v>
      </c>
      <c r="E42" s="11" t="s">
        <v>37</v>
      </c>
    </row>
    <row r="43">
      <c r="A43" s="19">
        <v>0.15416666666666667</v>
      </c>
      <c r="B43" s="32" t="s">
        <v>498</v>
      </c>
      <c r="C43" s="35" t="s">
        <v>197</v>
      </c>
      <c r="D43" s="32" t="s">
        <v>883</v>
      </c>
      <c r="E43" s="11" t="s">
        <v>33</v>
      </c>
    </row>
    <row r="44">
      <c r="A44" s="19">
        <v>0.15416666666666667</v>
      </c>
      <c r="B44" s="32" t="s">
        <v>884</v>
      </c>
      <c r="C44" s="35" t="s">
        <v>215</v>
      </c>
      <c r="D44" s="32" t="s">
        <v>198</v>
      </c>
      <c r="E44" s="11" t="s">
        <v>37</v>
      </c>
    </row>
    <row r="45">
      <c r="A45" s="27"/>
      <c r="B45" s="1" t="s">
        <v>53</v>
      </c>
      <c r="C45" s="2"/>
      <c r="D45" s="3"/>
      <c r="E45" s="14"/>
    </row>
    <row r="46">
      <c r="A46" s="18" t="s">
        <v>1</v>
      </c>
      <c r="B46" s="16" t="s">
        <v>2</v>
      </c>
      <c r="C46" s="16" t="s">
        <v>3</v>
      </c>
      <c r="D46" s="16" t="s">
        <v>4</v>
      </c>
      <c r="E46" s="16" t="s">
        <v>5</v>
      </c>
    </row>
    <row r="47">
      <c r="A47" s="19">
        <v>0.16666666666666666</v>
      </c>
      <c r="B47" s="32" t="s">
        <v>375</v>
      </c>
      <c r="C47" s="35" t="s">
        <v>27</v>
      </c>
      <c r="D47" s="32" t="s">
        <v>210</v>
      </c>
      <c r="E47" s="11" t="s">
        <v>9</v>
      </c>
    </row>
    <row r="48">
      <c r="A48" s="19">
        <v>0.16666666666666666</v>
      </c>
      <c r="B48" s="32" t="s">
        <v>720</v>
      </c>
      <c r="C48" s="35" t="s">
        <v>193</v>
      </c>
      <c r="D48" s="32" t="s">
        <v>887</v>
      </c>
      <c r="E48" s="11" t="s">
        <v>13</v>
      </c>
    </row>
    <row r="49">
      <c r="A49" s="19">
        <v>0.1763888888888889</v>
      </c>
      <c r="B49" s="32" t="s">
        <v>720</v>
      </c>
      <c r="C49" s="35" t="s">
        <v>196</v>
      </c>
      <c r="D49" s="32" t="s">
        <v>210</v>
      </c>
      <c r="E49" s="11" t="s">
        <v>9</v>
      </c>
    </row>
    <row r="50">
      <c r="A50" s="19">
        <v>0.1763888888888889</v>
      </c>
      <c r="B50" s="32" t="s">
        <v>888</v>
      </c>
      <c r="C50" s="35" t="s">
        <v>190</v>
      </c>
      <c r="D50" s="32" t="s">
        <v>887</v>
      </c>
      <c r="E50" s="11" t="s">
        <v>13</v>
      </c>
    </row>
    <row r="51">
      <c r="A51" s="19">
        <v>0.18680555555555556</v>
      </c>
      <c r="B51" s="32" t="s">
        <v>888</v>
      </c>
      <c r="C51" s="35" t="s">
        <v>18</v>
      </c>
      <c r="D51" s="32" t="s">
        <v>720</v>
      </c>
      <c r="E51" s="11" t="s">
        <v>9</v>
      </c>
    </row>
    <row r="52">
      <c r="A52" s="19">
        <v>0.18680555555555556</v>
      </c>
      <c r="B52" s="32" t="s">
        <v>887</v>
      </c>
      <c r="C52" s="35" t="s">
        <v>22</v>
      </c>
      <c r="D52" s="32" t="s">
        <v>375</v>
      </c>
      <c r="E52" s="11" t="s">
        <v>13</v>
      </c>
    </row>
    <row r="53">
      <c r="A53" s="19">
        <v>0.19722222222222222</v>
      </c>
      <c r="B53" s="32" t="s">
        <v>888</v>
      </c>
      <c r="C53" s="35" t="s">
        <v>370</v>
      </c>
      <c r="D53" s="32" t="s">
        <v>210</v>
      </c>
      <c r="E53" s="11" t="s">
        <v>9</v>
      </c>
    </row>
    <row r="54">
      <c r="A54" s="19">
        <v>0.19722222222222222</v>
      </c>
      <c r="B54" s="32" t="s">
        <v>375</v>
      </c>
      <c r="C54" s="35" t="s">
        <v>190</v>
      </c>
      <c r="D54" s="32" t="s">
        <v>720</v>
      </c>
      <c r="E54" s="11" t="s">
        <v>13</v>
      </c>
    </row>
    <row r="55">
      <c r="A55" s="19">
        <v>0.20694444444444443</v>
      </c>
      <c r="B55" s="32" t="s">
        <v>887</v>
      </c>
      <c r="C55" s="35" t="s">
        <v>82</v>
      </c>
      <c r="D55" s="32" t="s">
        <v>210</v>
      </c>
      <c r="E55" s="11" t="s">
        <v>9</v>
      </c>
    </row>
    <row r="56">
      <c r="A56" s="19">
        <v>0.20694444444444443</v>
      </c>
      <c r="B56" s="32" t="s">
        <v>375</v>
      </c>
      <c r="C56" s="35" t="s">
        <v>718</v>
      </c>
      <c r="D56" s="32" t="s">
        <v>888</v>
      </c>
      <c r="E56" s="11" t="s">
        <v>13</v>
      </c>
    </row>
    <row r="57">
      <c r="A57" s="19">
        <v>0.21736111111111112</v>
      </c>
      <c r="B57" s="32" t="s">
        <v>210</v>
      </c>
      <c r="C57" s="35" t="s">
        <v>87</v>
      </c>
      <c r="D57" s="32" t="s">
        <v>375</v>
      </c>
      <c r="E57" s="11" t="s">
        <v>9</v>
      </c>
    </row>
    <row r="58">
      <c r="A58" s="19">
        <v>0.21736111111111112</v>
      </c>
      <c r="B58" s="32" t="s">
        <v>887</v>
      </c>
      <c r="C58" s="35" t="s">
        <v>20</v>
      </c>
      <c r="D58" s="32" t="s">
        <v>720</v>
      </c>
      <c r="E58" s="11" t="s">
        <v>13</v>
      </c>
    </row>
    <row r="59">
      <c r="A59" s="19">
        <v>0.22777777777777777</v>
      </c>
      <c r="B59" s="32" t="s">
        <v>210</v>
      </c>
      <c r="C59" s="35" t="s">
        <v>190</v>
      </c>
      <c r="D59" s="32" t="s">
        <v>720</v>
      </c>
      <c r="E59" s="11" t="s">
        <v>9</v>
      </c>
    </row>
    <row r="60">
      <c r="A60" s="19">
        <v>0.22777777777777777</v>
      </c>
      <c r="B60" s="32" t="s">
        <v>887</v>
      </c>
      <c r="C60" s="35" t="s">
        <v>428</v>
      </c>
      <c r="D60" s="32" t="s">
        <v>888</v>
      </c>
      <c r="E60" s="11" t="s">
        <v>13</v>
      </c>
    </row>
    <row r="61">
      <c r="A61" s="19">
        <v>0.2375</v>
      </c>
      <c r="B61" s="32" t="s">
        <v>720</v>
      </c>
      <c r="C61" s="35" t="s">
        <v>22</v>
      </c>
      <c r="D61" s="32" t="s">
        <v>888</v>
      </c>
      <c r="E61" s="11" t="s">
        <v>9</v>
      </c>
    </row>
    <row r="62">
      <c r="A62" s="19">
        <v>0.2375</v>
      </c>
      <c r="B62" s="32" t="s">
        <v>375</v>
      </c>
      <c r="C62" s="35" t="s">
        <v>17</v>
      </c>
      <c r="D62" s="32" t="s">
        <v>887</v>
      </c>
      <c r="E62" s="11" t="s">
        <v>13</v>
      </c>
    </row>
    <row r="63">
      <c r="A63" s="19">
        <v>0.24791666666666667</v>
      </c>
      <c r="B63" s="32" t="s">
        <v>210</v>
      </c>
      <c r="C63" s="35" t="s">
        <v>71</v>
      </c>
      <c r="D63" s="32" t="s">
        <v>888</v>
      </c>
      <c r="E63" s="11" t="s">
        <v>9</v>
      </c>
    </row>
    <row r="64">
      <c r="A64" s="19">
        <v>0.24791666666666667</v>
      </c>
      <c r="B64" s="32" t="s">
        <v>720</v>
      </c>
      <c r="C64" s="35" t="s">
        <v>285</v>
      </c>
      <c r="D64" s="32" t="s">
        <v>375</v>
      </c>
      <c r="E64" s="11" t="s">
        <v>13</v>
      </c>
    </row>
    <row r="65">
      <c r="A65" s="19">
        <v>0.25833333333333336</v>
      </c>
      <c r="B65" s="32" t="s">
        <v>210</v>
      </c>
      <c r="C65" s="35" t="s">
        <v>16</v>
      </c>
      <c r="D65" s="32" t="s">
        <v>887</v>
      </c>
      <c r="E65" s="11" t="s">
        <v>9</v>
      </c>
    </row>
    <row r="66">
      <c r="A66" s="19">
        <v>0.25833333333333336</v>
      </c>
      <c r="B66" s="32" t="s">
        <v>888</v>
      </c>
      <c r="C66" s="35" t="s">
        <v>770</v>
      </c>
      <c r="D66" s="32" t="s">
        <v>375</v>
      </c>
      <c r="E66" s="11" t="s">
        <v>13</v>
      </c>
    </row>
    <row r="67">
      <c r="A67" s="1" t="s">
        <v>53</v>
      </c>
      <c r="B67" s="2"/>
      <c r="C67" s="2"/>
      <c r="D67" s="2"/>
      <c r="E67" s="3"/>
    </row>
    <row r="68">
      <c r="A68" s="18" t="s">
        <v>1</v>
      </c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19">
        <v>0.16666666666666666</v>
      </c>
      <c r="B69" s="32" t="s">
        <v>162</v>
      </c>
      <c r="C69" s="35" t="s">
        <v>31</v>
      </c>
      <c r="D69" s="32" t="s">
        <v>889</v>
      </c>
      <c r="E69" s="11" t="s">
        <v>33</v>
      </c>
    </row>
    <row r="70">
      <c r="A70" s="19">
        <v>0.16666666666666666</v>
      </c>
      <c r="B70" s="32" t="s">
        <v>890</v>
      </c>
      <c r="C70" s="35" t="s">
        <v>340</v>
      </c>
      <c r="D70" s="32" t="s">
        <v>891</v>
      </c>
      <c r="E70" s="11" t="s">
        <v>37</v>
      </c>
    </row>
    <row r="71">
      <c r="A71" s="19">
        <v>0.1763888888888889</v>
      </c>
      <c r="B71" s="32" t="s">
        <v>890</v>
      </c>
      <c r="C71" s="35" t="s">
        <v>218</v>
      </c>
      <c r="D71" s="32" t="s">
        <v>889</v>
      </c>
      <c r="E71" s="11" t="s">
        <v>33</v>
      </c>
    </row>
    <row r="72">
      <c r="A72" s="19">
        <v>0.1763888888888889</v>
      </c>
      <c r="B72" s="32" t="s">
        <v>892</v>
      </c>
      <c r="C72" s="35" t="s">
        <v>194</v>
      </c>
      <c r="D72" s="32" t="s">
        <v>891</v>
      </c>
      <c r="E72" s="11" t="s">
        <v>37</v>
      </c>
    </row>
    <row r="73">
      <c r="A73" s="19">
        <v>0.18680555555555556</v>
      </c>
      <c r="B73" s="32" t="s">
        <v>892</v>
      </c>
      <c r="C73" s="35" t="s">
        <v>19</v>
      </c>
      <c r="D73" s="32" t="s">
        <v>890</v>
      </c>
      <c r="E73" s="11" t="s">
        <v>33</v>
      </c>
    </row>
    <row r="74">
      <c r="A74" s="19">
        <v>0.18680555555555556</v>
      </c>
      <c r="B74" s="32" t="s">
        <v>891</v>
      </c>
      <c r="C74" s="35" t="s">
        <v>260</v>
      </c>
      <c r="D74" s="32" t="s">
        <v>162</v>
      </c>
      <c r="E74" s="11" t="s">
        <v>37</v>
      </c>
    </row>
    <row r="75">
      <c r="A75" s="19">
        <v>0.19722222222222222</v>
      </c>
      <c r="B75" s="32" t="s">
        <v>892</v>
      </c>
      <c r="C75" s="35" t="s">
        <v>82</v>
      </c>
      <c r="D75" s="32" t="s">
        <v>889</v>
      </c>
      <c r="E75" s="11" t="s">
        <v>33</v>
      </c>
    </row>
    <row r="76">
      <c r="A76" s="19">
        <v>0.19722222222222222</v>
      </c>
      <c r="B76" s="32" t="s">
        <v>162</v>
      </c>
      <c r="C76" s="35" t="s">
        <v>338</v>
      </c>
      <c r="D76" s="32" t="s">
        <v>890</v>
      </c>
      <c r="E76" s="11" t="s">
        <v>37</v>
      </c>
    </row>
    <row r="77">
      <c r="A77" s="19">
        <v>0.20694444444444443</v>
      </c>
      <c r="B77" s="32" t="s">
        <v>891</v>
      </c>
      <c r="C77" s="35" t="s">
        <v>19</v>
      </c>
      <c r="D77" s="32" t="s">
        <v>889</v>
      </c>
      <c r="E77" s="11" t="s">
        <v>33</v>
      </c>
    </row>
    <row r="78">
      <c r="A78" s="19">
        <v>0.20694444444444443</v>
      </c>
      <c r="B78" s="32" t="s">
        <v>162</v>
      </c>
      <c r="C78" s="35" t="s">
        <v>41</v>
      </c>
      <c r="D78" s="32" t="s">
        <v>892</v>
      </c>
      <c r="E78" s="11" t="s">
        <v>37</v>
      </c>
    </row>
    <row r="79">
      <c r="A79" s="19">
        <v>0.21736111111111112</v>
      </c>
      <c r="B79" s="32" t="s">
        <v>889</v>
      </c>
      <c r="C79" s="35" t="s">
        <v>82</v>
      </c>
      <c r="D79" s="32" t="s">
        <v>162</v>
      </c>
      <c r="E79" s="11" t="s">
        <v>33</v>
      </c>
    </row>
    <row r="80">
      <c r="A80" s="19">
        <v>0.21736111111111112</v>
      </c>
      <c r="B80" s="32" t="s">
        <v>891</v>
      </c>
      <c r="C80" s="35" t="s">
        <v>195</v>
      </c>
      <c r="D80" s="32" t="s">
        <v>890</v>
      </c>
      <c r="E80" s="11" t="s">
        <v>37</v>
      </c>
    </row>
    <row r="81">
      <c r="A81" s="19">
        <v>0.22777777777777777</v>
      </c>
      <c r="B81" s="32" t="s">
        <v>889</v>
      </c>
      <c r="C81" s="35" t="s">
        <v>68</v>
      </c>
      <c r="D81" s="32" t="s">
        <v>890</v>
      </c>
      <c r="E81" s="11" t="s">
        <v>33</v>
      </c>
    </row>
    <row r="82">
      <c r="A82" s="19">
        <v>0.22777777777777777</v>
      </c>
      <c r="B82" s="32" t="s">
        <v>891</v>
      </c>
      <c r="C82" s="35" t="s">
        <v>21</v>
      </c>
      <c r="D82" s="32" t="s">
        <v>892</v>
      </c>
      <c r="E82" s="11" t="s">
        <v>37</v>
      </c>
    </row>
    <row r="83">
      <c r="A83" s="19">
        <v>0.2375</v>
      </c>
      <c r="B83" s="32" t="s">
        <v>890</v>
      </c>
      <c r="C83" s="35" t="s">
        <v>258</v>
      </c>
      <c r="D83" s="32" t="s">
        <v>892</v>
      </c>
      <c r="E83" s="11" t="s">
        <v>33</v>
      </c>
    </row>
    <row r="84">
      <c r="A84" s="19">
        <v>0.2375</v>
      </c>
      <c r="B84" s="32" t="s">
        <v>162</v>
      </c>
      <c r="C84" s="35" t="s">
        <v>19</v>
      </c>
      <c r="D84" s="32" t="s">
        <v>891</v>
      </c>
      <c r="E84" s="11" t="s">
        <v>37</v>
      </c>
    </row>
    <row r="85">
      <c r="A85" s="19">
        <v>0.24791666666666667</v>
      </c>
      <c r="B85" s="32" t="s">
        <v>889</v>
      </c>
      <c r="C85" s="35" t="s">
        <v>893</v>
      </c>
      <c r="D85" s="32" t="s">
        <v>892</v>
      </c>
      <c r="E85" s="11" t="s">
        <v>33</v>
      </c>
    </row>
    <row r="86">
      <c r="A86" s="19">
        <v>0.24791666666666667</v>
      </c>
      <c r="B86" s="32" t="s">
        <v>890</v>
      </c>
      <c r="C86" s="35" t="s">
        <v>197</v>
      </c>
      <c r="D86" s="32" t="s">
        <v>162</v>
      </c>
      <c r="E86" s="11" t="s">
        <v>37</v>
      </c>
    </row>
    <row r="87">
      <c r="A87" s="19">
        <v>0.25833333333333336</v>
      </c>
      <c r="B87" s="32" t="s">
        <v>889</v>
      </c>
      <c r="C87" s="35" t="s">
        <v>19</v>
      </c>
      <c r="D87" s="32" t="s">
        <v>891</v>
      </c>
      <c r="E87" s="11" t="s">
        <v>33</v>
      </c>
    </row>
    <row r="88">
      <c r="A88" s="19">
        <v>0.25833333333333336</v>
      </c>
      <c r="B88" s="32" t="s">
        <v>892</v>
      </c>
      <c r="C88" s="35" t="s">
        <v>20</v>
      </c>
      <c r="D88" s="32" t="s">
        <v>162</v>
      </c>
      <c r="E88" s="49" t="s">
        <v>37</v>
      </c>
    </row>
    <row r="89">
      <c r="A89" s="1"/>
      <c r="B89" s="1" t="s">
        <v>90</v>
      </c>
      <c r="C89" s="2"/>
      <c r="D89" s="2"/>
      <c r="E89" s="2"/>
    </row>
    <row r="90">
      <c r="A90" s="18" t="s">
        <v>1</v>
      </c>
      <c r="B90" s="16" t="s">
        <v>2</v>
      </c>
      <c r="C90" s="16" t="s">
        <v>3</v>
      </c>
      <c r="D90" s="16" t="s">
        <v>4</v>
      </c>
      <c r="E90" s="16" t="s">
        <v>5</v>
      </c>
    </row>
    <row r="91">
      <c r="A91" s="19">
        <v>0.3333333333333333</v>
      </c>
      <c r="B91" s="32" t="s">
        <v>894</v>
      </c>
      <c r="C91" s="35" t="s">
        <v>17</v>
      </c>
      <c r="D91" s="32" t="s">
        <v>895</v>
      </c>
      <c r="E91" s="11" t="s">
        <v>9</v>
      </c>
    </row>
    <row r="92">
      <c r="A92" s="19">
        <v>0.3333333333333333</v>
      </c>
      <c r="B92" s="32" t="s">
        <v>896</v>
      </c>
      <c r="C92" s="35" t="s">
        <v>11</v>
      </c>
      <c r="D92" s="32" t="s">
        <v>897</v>
      </c>
      <c r="E92" s="11" t="s">
        <v>13</v>
      </c>
    </row>
    <row r="93">
      <c r="A93" s="19">
        <v>0.34305555555555556</v>
      </c>
      <c r="B93" s="32" t="s">
        <v>896</v>
      </c>
      <c r="C93" s="37" t="s">
        <v>285</v>
      </c>
      <c r="D93" s="32" t="s">
        <v>895</v>
      </c>
      <c r="E93" s="11" t="s">
        <v>9</v>
      </c>
    </row>
    <row r="94">
      <c r="A94" s="19">
        <v>0.34305555555555556</v>
      </c>
      <c r="B94" s="32" t="s">
        <v>732</v>
      </c>
      <c r="C94" s="35" t="s">
        <v>842</v>
      </c>
      <c r="D94" s="32" t="s">
        <v>897</v>
      </c>
      <c r="E94" s="11" t="s">
        <v>13</v>
      </c>
    </row>
    <row r="95">
      <c r="A95" s="19">
        <v>0.35347222222222224</v>
      </c>
      <c r="B95" s="32" t="s">
        <v>732</v>
      </c>
      <c r="C95" s="35" t="s">
        <v>28</v>
      </c>
      <c r="D95" s="32" t="s">
        <v>896</v>
      </c>
      <c r="E95" s="11" t="s">
        <v>9</v>
      </c>
    </row>
    <row r="96">
      <c r="A96" s="19">
        <v>0.35347222222222224</v>
      </c>
      <c r="B96" s="32" t="s">
        <v>897</v>
      </c>
      <c r="C96" s="35" t="s">
        <v>19</v>
      </c>
      <c r="D96" s="32" t="s">
        <v>894</v>
      </c>
      <c r="E96" s="11" t="s">
        <v>13</v>
      </c>
    </row>
    <row r="97">
      <c r="A97" s="19">
        <v>0.3638888888888889</v>
      </c>
      <c r="B97" s="32" t="s">
        <v>732</v>
      </c>
      <c r="C97" s="35" t="s">
        <v>411</v>
      </c>
      <c r="D97" s="32" t="s">
        <v>895</v>
      </c>
      <c r="E97" s="11" t="s">
        <v>9</v>
      </c>
    </row>
    <row r="98">
      <c r="A98" s="19">
        <v>0.3638888888888889</v>
      </c>
      <c r="B98" s="32" t="s">
        <v>894</v>
      </c>
      <c r="C98" s="35" t="s">
        <v>217</v>
      </c>
      <c r="D98" s="32" t="s">
        <v>896</v>
      </c>
      <c r="E98" s="11" t="s">
        <v>13</v>
      </c>
    </row>
    <row r="99">
      <c r="A99" s="19">
        <v>0.3736111111111111</v>
      </c>
      <c r="B99" s="32" t="s">
        <v>897</v>
      </c>
      <c r="C99" s="35" t="s">
        <v>354</v>
      </c>
      <c r="D99" s="32" t="s">
        <v>895</v>
      </c>
      <c r="E99" s="11" t="s">
        <v>9</v>
      </c>
    </row>
    <row r="100">
      <c r="A100" s="19">
        <v>0.3736111111111111</v>
      </c>
      <c r="B100" s="32" t="s">
        <v>894</v>
      </c>
      <c r="C100" s="35" t="s">
        <v>78</v>
      </c>
      <c r="D100" s="32" t="s">
        <v>732</v>
      </c>
      <c r="E100" s="11" t="s">
        <v>13</v>
      </c>
    </row>
    <row r="101">
      <c r="A101" s="19">
        <v>0.3840277777777778</v>
      </c>
      <c r="B101" s="32" t="s">
        <v>895</v>
      </c>
      <c r="C101" s="35" t="s">
        <v>543</v>
      </c>
      <c r="D101" s="32" t="s">
        <v>894</v>
      </c>
      <c r="E101" s="11" t="s">
        <v>9</v>
      </c>
    </row>
    <row r="102">
      <c r="A102" s="19">
        <v>0.3840277777777778</v>
      </c>
      <c r="B102" s="32" t="s">
        <v>897</v>
      </c>
      <c r="C102" s="35" t="s">
        <v>71</v>
      </c>
      <c r="D102" s="32" t="s">
        <v>896</v>
      </c>
      <c r="E102" s="11" t="s">
        <v>13</v>
      </c>
    </row>
    <row r="103">
      <c r="A103" s="19">
        <v>0.39444444444444443</v>
      </c>
      <c r="B103" s="32" t="s">
        <v>895</v>
      </c>
      <c r="C103" s="35" t="s">
        <v>289</v>
      </c>
      <c r="D103" s="32" t="s">
        <v>896</v>
      </c>
      <c r="E103" s="11" t="s">
        <v>9</v>
      </c>
    </row>
    <row r="104">
      <c r="A104" s="19">
        <v>0.39444444444444443</v>
      </c>
      <c r="B104" s="32" t="s">
        <v>897</v>
      </c>
      <c r="C104" s="35" t="s">
        <v>250</v>
      </c>
      <c r="D104" s="32" t="s">
        <v>732</v>
      </c>
      <c r="E104" s="11" t="s">
        <v>13</v>
      </c>
    </row>
    <row r="105">
      <c r="A105" s="19">
        <v>0.4041666666666667</v>
      </c>
      <c r="B105" s="32" t="s">
        <v>896</v>
      </c>
      <c r="C105" s="35" t="s">
        <v>88</v>
      </c>
      <c r="D105" s="32" t="s">
        <v>732</v>
      </c>
      <c r="E105" s="11" t="s">
        <v>9</v>
      </c>
    </row>
    <row r="106">
      <c r="A106" s="19">
        <v>0.4041666666666667</v>
      </c>
      <c r="B106" s="32" t="s">
        <v>894</v>
      </c>
      <c r="C106" s="35" t="s">
        <v>19</v>
      </c>
      <c r="D106" s="32" t="s">
        <v>897</v>
      </c>
      <c r="E106" s="11" t="s">
        <v>13</v>
      </c>
    </row>
    <row r="107">
      <c r="A107" s="19">
        <v>0.41458333333333336</v>
      </c>
      <c r="B107" s="32" t="s">
        <v>895</v>
      </c>
      <c r="C107" s="35" t="s">
        <v>55</v>
      </c>
      <c r="D107" s="32" t="s">
        <v>732</v>
      </c>
      <c r="E107" s="11" t="s">
        <v>9</v>
      </c>
      <c r="G107" s="50"/>
    </row>
    <row r="108">
      <c r="A108" s="19">
        <v>0.41458333333333336</v>
      </c>
      <c r="B108" s="32" t="s">
        <v>896</v>
      </c>
      <c r="C108" s="35" t="s">
        <v>68</v>
      </c>
      <c r="D108" s="32" t="s">
        <v>894</v>
      </c>
      <c r="E108" s="11" t="s">
        <v>13</v>
      </c>
    </row>
    <row r="109">
      <c r="A109" s="19">
        <v>0.425</v>
      </c>
      <c r="B109" s="32" t="s">
        <v>895</v>
      </c>
      <c r="C109" s="35" t="s">
        <v>16</v>
      </c>
      <c r="D109" s="32" t="s">
        <v>897</v>
      </c>
      <c r="E109" s="11" t="s">
        <v>9</v>
      </c>
    </row>
    <row r="110">
      <c r="A110" s="19">
        <v>0.425</v>
      </c>
      <c r="B110" s="32" t="s">
        <v>732</v>
      </c>
      <c r="C110" s="35" t="s">
        <v>65</v>
      </c>
      <c r="D110" s="32" t="s">
        <v>894</v>
      </c>
      <c r="E110" s="11" t="s">
        <v>13</v>
      </c>
    </row>
    <row r="111">
      <c r="A111" s="1"/>
      <c r="B111" s="1" t="s">
        <v>90</v>
      </c>
      <c r="C111" s="2"/>
      <c r="D111" s="2"/>
      <c r="E111" s="2"/>
    </row>
    <row r="112">
      <c r="A112" s="18" t="s">
        <v>1</v>
      </c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A113" s="22">
        <v>0.3333333333333333</v>
      </c>
      <c r="B113" s="32" t="s">
        <v>898</v>
      </c>
      <c r="C113" s="35" t="s">
        <v>17</v>
      </c>
      <c r="D113" s="32" t="s">
        <v>899</v>
      </c>
      <c r="E113" s="11" t="s">
        <v>33</v>
      </c>
    </row>
    <row r="114">
      <c r="A114" s="23">
        <v>0.3333333333333333</v>
      </c>
      <c r="B114" s="32" t="s">
        <v>900</v>
      </c>
      <c r="C114" s="35" t="s">
        <v>218</v>
      </c>
      <c r="D114" s="32" t="s">
        <v>901</v>
      </c>
      <c r="E114" s="11" t="s">
        <v>37</v>
      </c>
    </row>
    <row r="115">
      <c r="A115" s="23">
        <v>0.34305555555555556</v>
      </c>
      <c r="B115" s="32" t="s">
        <v>900</v>
      </c>
      <c r="C115" s="35" t="s">
        <v>19</v>
      </c>
      <c r="D115" s="32" t="s">
        <v>899</v>
      </c>
      <c r="E115" s="11" t="s">
        <v>33</v>
      </c>
    </row>
    <row r="116">
      <c r="A116" s="23">
        <v>0.34305555555555556</v>
      </c>
      <c r="B116" s="32" t="s">
        <v>902</v>
      </c>
      <c r="C116" s="35" t="s">
        <v>49</v>
      </c>
      <c r="D116" s="32" t="s">
        <v>901</v>
      </c>
      <c r="E116" s="11" t="s">
        <v>37</v>
      </c>
    </row>
    <row r="117">
      <c r="A117" s="23">
        <v>0.35347222222222224</v>
      </c>
      <c r="B117" s="32" t="s">
        <v>902</v>
      </c>
      <c r="C117" s="35" t="s">
        <v>82</v>
      </c>
      <c r="D117" s="32" t="s">
        <v>900</v>
      </c>
      <c r="E117" s="11" t="s">
        <v>33</v>
      </c>
    </row>
    <row r="118">
      <c r="A118" s="23">
        <v>0.35347222222222224</v>
      </c>
      <c r="B118" s="32" t="s">
        <v>901</v>
      </c>
      <c r="C118" s="35" t="s">
        <v>17</v>
      </c>
      <c r="D118" s="32" t="s">
        <v>898</v>
      </c>
      <c r="E118" s="11" t="s">
        <v>37</v>
      </c>
    </row>
    <row r="119">
      <c r="A119" s="23">
        <v>0.3638888888888889</v>
      </c>
      <c r="B119" s="32" t="s">
        <v>902</v>
      </c>
      <c r="C119" s="35" t="s">
        <v>218</v>
      </c>
      <c r="D119" s="32" t="s">
        <v>899</v>
      </c>
      <c r="E119" s="11" t="s">
        <v>33</v>
      </c>
    </row>
    <row r="120">
      <c r="A120" s="23">
        <v>0.3638888888888889</v>
      </c>
      <c r="B120" s="32" t="s">
        <v>898</v>
      </c>
      <c r="C120" s="35" t="s">
        <v>285</v>
      </c>
      <c r="D120" s="32" t="s">
        <v>900</v>
      </c>
      <c r="E120" s="11" t="s">
        <v>37</v>
      </c>
    </row>
    <row r="121">
      <c r="A121" s="23">
        <v>0.3736111111111111</v>
      </c>
      <c r="B121" s="32" t="s">
        <v>901</v>
      </c>
      <c r="C121" s="35" t="s">
        <v>472</v>
      </c>
      <c r="D121" s="32" t="s">
        <v>899</v>
      </c>
      <c r="E121" s="11" t="s">
        <v>33</v>
      </c>
    </row>
    <row r="122">
      <c r="A122" s="23">
        <v>0.3736111111111111</v>
      </c>
      <c r="B122" s="32" t="s">
        <v>898</v>
      </c>
      <c r="C122" s="35" t="s">
        <v>21</v>
      </c>
      <c r="D122" s="32" t="s">
        <v>902</v>
      </c>
      <c r="E122" s="11" t="s">
        <v>37</v>
      </c>
    </row>
    <row r="123">
      <c r="A123" s="23">
        <v>0.3840277777777778</v>
      </c>
      <c r="B123" s="32" t="s">
        <v>899</v>
      </c>
      <c r="C123" s="35" t="s">
        <v>87</v>
      </c>
      <c r="D123" s="32" t="s">
        <v>898</v>
      </c>
      <c r="E123" s="11" t="s">
        <v>33</v>
      </c>
    </row>
    <row r="124">
      <c r="A124" s="23">
        <v>0.3840277777777778</v>
      </c>
      <c r="B124" s="32" t="s">
        <v>901</v>
      </c>
      <c r="C124" s="35" t="s">
        <v>22</v>
      </c>
      <c r="D124" s="32" t="s">
        <v>900</v>
      </c>
      <c r="E124" s="11" t="s">
        <v>37</v>
      </c>
    </row>
    <row r="125">
      <c r="A125" s="23">
        <v>0.39444444444444443</v>
      </c>
      <c r="B125" s="32" t="s">
        <v>899</v>
      </c>
      <c r="C125" s="35" t="s">
        <v>195</v>
      </c>
      <c r="D125" s="32" t="s">
        <v>900</v>
      </c>
      <c r="E125" s="11" t="s">
        <v>33</v>
      </c>
    </row>
    <row r="126">
      <c r="A126" s="23">
        <v>0.39444444444444443</v>
      </c>
      <c r="B126" s="32" t="s">
        <v>901</v>
      </c>
      <c r="C126" s="35" t="s">
        <v>201</v>
      </c>
      <c r="D126" s="32" t="s">
        <v>902</v>
      </c>
      <c r="E126" s="11" t="s">
        <v>37</v>
      </c>
    </row>
    <row r="127">
      <c r="A127" s="23">
        <v>0.4041666666666667</v>
      </c>
      <c r="B127" s="32" t="s">
        <v>900</v>
      </c>
      <c r="C127" s="35" t="s">
        <v>47</v>
      </c>
      <c r="D127" s="32" t="s">
        <v>902</v>
      </c>
      <c r="E127" s="11" t="s">
        <v>33</v>
      </c>
    </row>
    <row r="128">
      <c r="A128" s="23">
        <v>0.4041666666666667</v>
      </c>
      <c r="B128" s="32" t="s">
        <v>898</v>
      </c>
      <c r="C128" s="35" t="s">
        <v>83</v>
      </c>
      <c r="D128" s="32" t="s">
        <v>901</v>
      </c>
      <c r="E128" s="11" t="s">
        <v>37</v>
      </c>
    </row>
    <row r="129">
      <c r="A129" s="23">
        <v>0.41458333333333336</v>
      </c>
      <c r="B129" s="32" t="s">
        <v>899</v>
      </c>
      <c r="C129" s="35" t="s">
        <v>218</v>
      </c>
      <c r="D129" s="32" t="s">
        <v>902</v>
      </c>
      <c r="E129" s="11" t="s">
        <v>33</v>
      </c>
    </row>
    <row r="130">
      <c r="A130" s="23">
        <v>0.41458333333333336</v>
      </c>
      <c r="B130" s="32" t="s">
        <v>900</v>
      </c>
      <c r="C130" s="35" t="s">
        <v>270</v>
      </c>
      <c r="D130" s="32" t="s">
        <v>898</v>
      </c>
      <c r="E130" s="11" t="s">
        <v>37</v>
      </c>
    </row>
    <row r="131">
      <c r="A131" s="23">
        <v>0.425</v>
      </c>
      <c r="B131" s="32" t="s">
        <v>899</v>
      </c>
      <c r="C131" s="35" t="s">
        <v>87</v>
      </c>
      <c r="D131" s="32" t="s">
        <v>901</v>
      </c>
      <c r="E131" s="11" t="s">
        <v>33</v>
      </c>
    </row>
    <row r="132">
      <c r="A132" s="23">
        <v>0.425</v>
      </c>
      <c r="B132" s="32" t="s">
        <v>902</v>
      </c>
      <c r="C132" s="35" t="s">
        <v>405</v>
      </c>
      <c r="D132" s="32" t="s">
        <v>898</v>
      </c>
      <c r="E132" s="11" t="s">
        <v>37</v>
      </c>
    </row>
    <row r="133">
      <c r="A133" s="1"/>
      <c r="B133" s="1" t="s">
        <v>101</v>
      </c>
      <c r="C133" s="2"/>
      <c r="D133" s="2"/>
      <c r="E133" s="2"/>
    </row>
    <row r="134">
      <c r="A134" s="18" t="s">
        <v>1</v>
      </c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A135" s="19">
        <v>0.4375</v>
      </c>
      <c r="B135" s="32" t="s">
        <v>530</v>
      </c>
      <c r="C135" s="33" t="s">
        <v>22</v>
      </c>
      <c r="D135" s="32" t="s">
        <v>903</v>
      </c>
      <c r="E135" s="11" t="s">
        <v>9</v>
      </c>
    </row>
    <row r="136">
      <c r="A136" s="19">
        <v>0.4375</v>
      </c>
      <c r="B136" s="32" t="s">
        <v>904</v>
      </c>
      <c r="C136" s="33" t="s">
        <v>260</v>
      </c>
      <c r="D136" s="32" t="s">
        <v>832</v>
      </c>
      <c r="E136" s="11" t="s">
        <v>13</v>
      </c>
    </row>
    <row r="137">
      <c r="A137" s="19">
        <v>0.44722222222222224</v>
      </c>
      <c r="B137" s="32" t="s">
        <v>904</v>
      </c>
      <c r="C137" s="33" t="s">
        <v>286</v>
      </c>
      <c r="D137" s="32" t="s">
        <v>903</v>
      </c>
      <c r="E137" s="11" t="s">
        <v>9</v>
      </c>
    </row>
    <row r="138">
      <c r="A138" s="19">
        <v>0.44722222222222224</v>
      </c>
      <c r="B138" s="32" t="s">
        <v>905</v>
      </c>
      <c r="C138" s="33" t="s">
        <v>201</v>
      </c>
      <c r="D138" s="32" t="s">
        <v>832</v>
      </c>
      <c r="E138" s="11" t="s">
        <v>13</v>
      </c>
    </row>
    <row r="139">
      <c r="A139" s="19">
        <v>0.4576388888888889</v>
      </c>
      <c r="B139" s="32" t="s">
        <v>905</v>
      </c>
      <c r="C139" s="33" t="s">
        <v>370</v>
      </c>
      <c r="D139" s="32" t="s">
        <v>904</v>
      </c>
      <c r="E139" s="11" t="s">
        <v>9</v>
      </c>
    </row>
    <row r="140">
      <c r="A140" s="19">
        <v>0.4576388888888889</v>
      </c>
      <c r="B140" s="32" t="s">
        <v>832</v>
      </c>
      <c r="C140" s="33" t="s">
        <v>251</v>
      </c>
      <c r="D140" s="32" t="s">
        <v>530</v>
      </c>
      <c r="E140" s="11" t="s">
        <v>13</v>
      </c>
    </row>
    <row r="141">
      <c r="A141" s="19">
        <v>0.46805555555555556</v>
      </c>
      <c r="B141" s="32" t="s">
        <v>905</v>
      </c>
      <c r="C141" s="33" t="s">
        <v>195</v>
      </c>
      <c r="D141" s="32" t="s">
        <v>903</v>
      </c>
      <c r="E141" s="11" t="s">
        <v>9</v>
      </c>
    </row>
    <row r="142">
      <c r="A142" s="19">
        <v>0.46805555555555556</v>
      </c>
      <c r="B142" s="32" t="s">
        <v>530</v>
      </c>
      <c r="C142" s="33" t="s">
        <v>270</v>
      </c>
      <c r="D142" s="32" t="s">
        <v>904</v>
      </c>
      <c r="E142" s="11" t="s">
        <v>13</v>
      </c>
    </row>
    <row r="143">
      <c r="A143" s="19">
        <v>0.4777777777777778</v>
      </c>
      <c r="B143" s="32" t="s">
        <v>832</v>
      </c>
      <c r="C143" s="33" t="s">
        <v>69</v>
      </c>
      <c r="D143" s="32" t="s">
        <v>903</v>
      </c>
      <c r="E143" s="11" t="s">
        <v>9</v>
      </c>
    </row>
    <row r="144">
      <c r="A144" s="19">
        <v>0.4777777777777778</v>
      </c>
      <c r="B144" s="32" t="s">
        <v>530</v>
      </c>
      <c r="C144" s="33" t="s">
        <v>239</v>
      </c>
      <c r="D144" s="32" t="s">
        <v>905</v>
      </c>
      <c r="E144" s="11" t="s">
        <v>13</v>
      </c>
    </row>
    <row r="145">
      <c r="A145" s="19">
        <v>0.48819444444444443</v>
      </c>
      <c r="B145" s="32" t="s">
        <v>903</v>
      </c>
      <c r="C145" s="33" t="s">
        <v>270</v>
      </c>
      <c r="D145" s="32" t="s">
        <v>530</v>
      </c>
      <c r="E145" s="11" t="s">
        <v>9</v>
      </c>
    </row>
    <row r="146">
      <c r="A146" s="19">
        <v>0.48819444444444443</v>
      </c>
      <c r="B146" s="32" t="s">
        <v>832</v>
      </c>
      <c r="C146" s="33" t="s">
        <v>196</v>
      </c>
      <c r="D146" s="32" t="s">
        <v>904</v>
      </c>
      <c r="E146" s="11" t="s">
        <v>13</v>
      </c>
    </row>
    <row r="147">
      <c r="A147" s="19">
        <v>0.4986111111111111</v>
      </c>
      <c r="B147" s="32" t="s">
        <v>903</v>
      </c>
      <c r="C147" s="35" t="s">
        <v>906</v>
      </c>
      <c r="D147" s="32" t="s">
        <v>904</v>
      </c>
      <c r="E147" s="11" t="s">
        <v>9</v>
      </c>
    </row>
    <row r="148">
      <c r="A148" s="19">
        <v>0.4986111111111111</v>
      </c>
      <c r="B148" s="32" t="s">
        <v>832</v>
      </c>
      <c r="C148" s="35" t="s">
        <v>201</v>
      </c>
      <c r="D148" s="32" t="s">
        <v>905</v>
      </c>
      <c r="E148" s="11" t="s">
        <v>13</v>
      </c>
    </row>
    <row r="149">
      <c r="A149" s="19">
        <v>0.5083333333333333</v>
      </c>
      <c r="B149" s="32" t="s">
        <v>904</v>
      </c>
      <c r="C149" s="35" t="s">
        <v>249</v>
      </c>
      <c r="D149" s="32" t="s">
        <v>905</v>
      </c>
      <c r="E149" s="11" t="s">
        <v>9</v>
      </c>
    </row>
    <row r="150">
      <c r="A150" s="19">
        <v>0.5083333333333333</v>
      </c>
      <c r="B150" s="32" t="s">
        <v>530</v>
      </c>
      <c r="C150" s="35" t="s">
        <v>11</v>
      </c>
      <c r="D150" s="32" t="s">
        <v>832</v>
      </c>
      <c r="E150" s="11" t="s">
        <v>13</v>
      </c>
    </row>
    <row r="151">
      <c r="A151" s="19">
        <v>0.51875</v>
      </c>
      <c r="B151" s="32" t="s">
        <v>903</v>
      </c>
      <c r="C151" s="35" t="s">
        <v>81</v>
      </c>
      <c r="D151" s="32" t="s">
        <v>905</v>
      </c>
      <c r="E151" s="11" t="s">
        <v>9</v>
      </c>
    </row>
    <row r="152">
      <c r="A152" s="19">
        <v>0.51875</v>
      </c>
      <c r="B152" s="32" t="s">
        <v>904</v>
      </c>
      <c r="C152" s="35" t="s">
        <v>509</v>
      </c>
      <c r="D152" s="32" t="s">
        <v>530</v>
      </c>
      <c r="E152" s="11" t="s">
        <v>13</v>
      </c>
    </row>
    <row r="153">
      <c r="A153" s="19">
        <v>0.5291666666666667</v>
      </c>
      <c r="B153" s="32" t="s">
        <v>903</v>
      </c>
      <c r="C153" s="35" t="s">
        <v>232</v>
      </c>
      <c r="D153" s="32" t="s">
        <v>832</v>
      </c>
      <c r="E153" s="11" t="s">
        <v>9</v>
      </c>
    </row>
    <row r="154">
      <c r="A154" s="19">
        <v>0.5291666666666667</v>
      </c>
      <c r="B154" s="32" t="s">
        <v>905</v>
      </c>
      <c r="C154" s="35" t="s">
        <v>68</v>
      </c>
      <c r="D154" s="32" t="s">
        <v>530</v>
      </c>
      <c r="E154" s="11" t="s">
        <v>13</v>
      </c>
    </row>
    <row r="155">
      <c r="A155" s="1"/>
      <c r="B155" s="1" t="s">
        <v>101</v>
      </c>
      <c r="C155" s="2"/>
      <c r="D155" s="2"/>
      <c r="E155" s="2"/>
    </row>
    <row r="156">
      <c r="A156" s="18" t="s">
        <v>1</v>
      </c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A157" s="19">
        <v>0.4375</v>
      </c>
      <c r="B157" s="32" t="s">
        <v>907</v>
      </c>
      <c r="C157" s="35" t="s">
        <v>218</v>
      </c>
      <c r="D157" s="32" t="s">
        <v>908</v>
      </c>
      <c r="E157" s="11" t="s">
        <v>33</v>
      </c>
    </row>
    <row r="158">
      <c r="A158" s="19">
        <v>0.4375</v>
      </c>
      <c r="B158" s="32" t="s">
        <v>909</v>
      </c>
      <c r="C158" s="35" t="s">
        <v>17</v>
      </c>
      <c r="D158" s="32" t="s">
        <v>910</v>
      </c>
      <c r="E158" s="11" t="s">
        <v>37</v>
      </c>
    </row>
    <row r="159">
      <c r="A159" s="19">
        <v>0.44722222222222224</v>
      </c>
      <c r="B159" s="32" t="s">
        <v>909</v>
      </c>
      <c r="C159" s="35" t="s">
        <v>82</v>
      </c>
      <c r="D159" s="32" t="s">
        <v>908</v>
      </c>
      <c r="E159" s="11" t="s">
        <v>33</v>
      </c>
    </row>
    <row r="160">
      <c r="A160" s="19">
        <v>0.44722222222222224</v>
      </c>
      <c r="B160" s="32" t="s">
        <v>911</v>
      </c>
      <c r="C160" s="35" t="s">
        <v>912</v>
      </c>
      <c r="D160" s="32" t="s">
        <v>910</v>
      </c>
      <c r="E160" s="11" t="s">
        <v>37</v>
      </c>
    </row>
    <row r="161">
      <c r="A161" s="19">
        <v>0.4576388888888889</v>
      </c>
      <c r="B161" s="32" t="s">
        <v>911</v>
      </c>
      <c r="C161" s="35" t="s">
        <v>190</v>
      </c>
      <c r="D161" s="32" t="s">
        <v>909</v>
      </c>
      <c r="E161" s="11" t="s">
        <v>33</v>
      </c>
    </row>
    <row r="162">
      <c r="A162" s="19">
        <v>0.4576388888888889</v>
      </c>
      <c r="B162" s="32" t="s">
        <v>910</v>
      </c>
      <c r="C162" s="35" t="s">
        <v>770</v>
      </c>
      <c r="D162" s="32" t="s">
        <v>907</v>
      </c>
      <c r="E162" s="11" t="s">
        <v>37</v>
      </c>
    </row>
    <row r="163">
      <c r="A163" s="19">
        <v>0.46805555555555556</v>
      </c>
      <c r="B163" s="32" t="s">
        <v>911</v>
      </c>
      <c r="C163" s="35" t="s">
        <v>27</v>
      </c>
      <c r="D163" s="32" t="s">
        <v>908</v>
      </c>
      <c r="E163" s="11" t="s">
        <v>33</v>
      </c>
    </row>
    <row r="164">
      <c r="A164" s="19">
        <v>0.46805555555555556</v>
      </c>
      <c r="B164" s="32" t="s">
        <v>907</v>
      </c>
      <c r="C164" s="35" t="s">
        <v>283</v>
      </c>
      <c r="D164" s="32" t="s">
        <v>909</v>
      </c>
      <c r="E164" s="11" t="s">
        <v>37</v>
      </c>
    </row>
    <row r="165">
      <c r="A165" s="19">
        <v>0.4777777777777778</v>
      </c>
      <c r="B165" s="32" t="s">
        <v>910</v>
      </c>
      <c r="C165" s="35" t="s">
        <v>38</v>
      </c>
      <c r="D165" s="32" t="s">
        <v>908</v>
      </c>
      <c r="E165" s="11" t="s">
        <v>33</v>
      </c>
    </row>
    <row r="166">
      <c r="A166" s="19">
        <v>0.4777777777777778</v>
      </c>
      <c r="B166" s="32" t="s">
        <v>907</v>
      </c>
      <c r="C166" s="35" t="s">
        <v>69</v>
      </c>
      <c r="D166" s="32" t="s">
        <v>911</v>
      </c>
      <c r="E166" s="11" t="s">
        <v>37</v>
      </c>
    </row>
    <row r="167">
      <c r="A167" s="19">
        <v>0.48819444444444443</v>
      </c>
      <c r="B167" s="32" t="s">
        <v>908</v>
      </c>
      <c r="C167" s="35" t="s">
        <v>69</v>
      </c>
      <c r="D167" s="32" t="s">
        <v>907</v>
      </c>
      <c r="E167" s="11" t="s">
        <v>33</v>
      </c>
    </row>
    <row r="168">
      <c r="A168" s="19">
        <v>0.48819444444444443</v>
      </c>
      <c r="B168" s="32" t="s">
        <v>910</v>
      </c>
      <c r="C168" s="35" t="s">
        <v>913</v>
      </c>
      <c r="D168" s="32" t="s">
        <v>909</v>
      </c>
      <c r="E168" s="11" t="s">
        <v>37</v>
      </c>
    </row>
    <row r="169">
      <c r="A169" s="19">
        <v>0.4986111111111111</v>
      </c>
      <c r="B169" s="32" t="s">
        <v>908</v>
      </c>
      <c r="C169" s="35" t="s">
        <v>35</v>
      </c>
      <c r="D169" s="32" t="s">
        <v>909</v>
      </c>
      <c r="E169" s="11" t="s">
        <v>33</v>
      </c>
    </row>
    <row r="170">
      <c r="A170" s="19">
        <v>0.4986111111111111</v>
      </c>
      <c r="B170" s="32" t="s">
        <v>910</v>
      </c>
      <c r="C170" s="35" t="s">
        <v>66</v>
      </c>
      <c r="D170" s="32" t="s">
        <v>911</v>
      </c>
      <c r="E170" s="11" t="s">
        <v>37</v>
      </c>
    </row>
    <row r="171">
      <c r="A171" s="19">
        <v>0.5083333333333333</v>
      </c>
      <c r="B171" s="32" t="s">
        <v>909</v>
      </c>
      <c r="C171" s="35" t="s">
        <v>62</v>
      </c>
      <c r="D171" s="32" t="s">
        <v>911</v>
      </c>
      <c r="E171" s="11" t="s">
        <v>33</v>
      </c>
    </row>
    <row r="172">
      <c r="A172" s="19">
        <v>0.5083333333333333</v>
      </c>
      <c r="B172" s="32" t="s">
        <v>907</v>
      </c>
      <c r="C172" s="35" t="s">
        <v>404</v>
      </c>
      <c r="D172" s="32" t="s">
        <v>910</v>
      </c>
      <c r="E172" s="11" t="s">
        <v>37</v>
      </c>
    </row>
    <row r="173">
      <c r="A173" s="19">
        <v>0.51875</v>
      </c>
      <c r="B173" s="32" t="s">
        <v>908</v>
      </c>
      <c r="C173" s="35" t="s">
        <v>286</v>
      </c>
      <c r="D173" s="32" t="s">
        <v>911</v>
      </c>
      <c r="E173" s="11" t="s">
        <v>33</v>
      </c>
      <c r="K173" s="36"/>
    </row>
    <row r="174">
      <c r="A174" s="19">
        <v>0.51875</v>
      </c>
      <c r="B174" s="32" t="s">
        <v>909</v>
      </c>
      <c r="C174" s="35" t="s">
        <v>282</v>
      </c>
      <c r="D174" s="32" t="s">
        <v>907</v>
      </c>
      <c r="E174" s="11" t="s">
        <v>37</v>
      </c>
    </row>
    <row r="175">
      <c r="A175" s="19">
        <v>0.5291666666666667</v>
      </c>
      <c r="B175" s="32" t="s">
        <v>908</v>
      </c>
      <c r="C175" s="35" t="s">
        <v>45</v>
      </c>
      <c r="D175" s="32" t="s">
        <v>910</v>
      </c>
      <c r="E175" s="11" t="s">
        <v>33</v>
      </c>
    </row>
    <row r="176">
      <c r="A176" s="19">
        <v>0.5291666666666667</v>
      </c>
      <c r="B176" s="32" t="s">
        <v>911</v>
      </c>
      <c r="C176" s="35" t="s">
        <v>695</v>
      </c>
      <c r="D176" s="32" t="s">
        <v>907</v>
      </c>
      <c r="E176" s="11" t="s">
        <v>37</v>
      </c>
    </row>
    <row r="177">
      <c r="A177" s="1"/>
      <c r="B177" s="1" t="s">
        <v>112</v>
      </c>
      <c r="C177" s="2"/>
      <c r="D177" s="2"/>
      <c r="E177" s="2"/>
    </row>
    <row r="178">
      <c r="A178" s="18" t="s">
        <v>1</v>
      </c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A179" s="19">
        <v>0.5416666666666666</v>
      </c>
      <c r="B179" s="32" t="s">
        <v>594</v>
      </c>
      <c r="C179" s="35" t="s">
        <v>319</v>
      </c>
      <c r="D179" s="32" t="s">
        <v>914</v>
      </c>
      <c r="E179" s="11" t="s">
        <v>9</v>
      </c>
    </row>
    <row r="180">
      <c r="A180" s="19">
        <v>0.5416666666666666</v>
      </c>
      <c r="B180" s="32" t="s">
        <v>915</v>
      </c>
      <c r="C180" s="35" t="s">
        <v>836</v>
      </c>
      <c r="D180" s="32" t="s">
        <v>897</v>
      </c>
      <c r="E180" s="11" t="s">
        <v>13</v>
      </c>
    </row>
    <row r="181">
      <c r="A181" s="19">
        <v>0.5513888888888889</v>
      </c>
      <c r="B181" s="32" t="s">
        <v>915</v>
      </c>
      <c r="C181" s="35" t="s">
        <v>566</v>
      </c>
      <c r="D181" s="32" t="s">
        <v>914</v>
      </c>
      <c r="E181" s="11" t="s">
        <v>9</v>
      </c>
    </row>
    <row r="182">
      <c r="A182" s="19">
        <v>0.5513888888888889</v>
      </c>
      <c r="B182" s="32" t="s">
        <v>662</v>
      </c>
      <c r="C182" s="35" t="s">
        <v>260</v>
      </c>
      <c r="D182" s="32" t="s">
        <v>897</v>
      </c>
      <c r="E182" s="11" t="s">
        <v>13</v>
      </c>
    </row>
    <row r="183">
      <c r="A183" s="19">
        <v>0.5618055555555556</v>
      </c>
      <c r="B183" s="32" t="s">
        <v>662</v>
      </c>
      <c r="C183" s="35" t="s">
        <v>66</v>
      </c>
      <c r="D183" s="32" t="s">
        <v>915</v>
      </c>
      <c r="E183" s="11" t="s">
        <v>9</v>
      </c>
    </row>
    <row r="184">
      <c r="A184" s="19">
        <v>0.5618055555555556</v>
      </c>
      <c r="B184" s="32" t="s">
        <v>897</v>
      </c>
      <c r="C184" s="35" t="s">
        <v>87</v>
      </c>
      <c r="D184" s="32" t="s">
        <v>594</v>
      </c>
      <c r="E184" s="11" t="s">
        <v>13</v>
      </c>
    </row>
    <row r="185">
      <c r="A185" s="19">
        <v>0.5722222222222222</v>
      </c>
      <c r="B185" s="32" t="s">
        <v>662</v>
      </c>
      <c r="C185" s="35" t="s">
        <v>68</v>
      </c>
      <c r="D185" s="32" t="s">
        <v>914</v>
      </c>
      <c r="E185" s="11" t="s">
        <v>9</v>
      </c>
    </row>
    <row r="186">
      <c r="A186" s="19">
        <v>0.5722222222222222</v>
      </c>
      <c r="B186" s="32" t="s">
        <v>594</v>
      </c>
      <c r="C186" s="35" t="s">
        <v>16</v>
      </c>
      <c r="D186" s="32" t="s">
        <v>915</v>
      </c>
      <c r="E186" s="11" t="s">
        <v>13</v>
      </c>
    </row>
    <row r="187">
      <c r="A187" s="19">
        <v>0.5819444444444445</v>
      </c>
      <c r="B187" s="32" t="s">
        <v>897</v>
      </c>
      <c r="C187" s="35" t="s">
        <v>190</v>
      </c>
      <c r="D187" s="32" t="s">
        <v>914</v>
      </c>
      <c r="E187" s="11" t="s">
        <v>9</v>
      </c>
    </row>
    <row r="188">
      <c r="A188" s="19">
        <v>0.5819444444444445</v>
      </c>
      <c r="B188" s="32" t="s">
        <v>594</v>
      </c>
      <c r="C188" s="35" t="s">
        <v>35</v>
      </c>
      <c r="D188" s="32" t="s">
        <v>662</v>
      </c>
      <c r="E188" s="11" t="s">
        <v>13</v>
      </c>
    </row>
    <row r="189">
      <c r="A189" s="19">
        <v>0.5923611111111111</v>
      </c>
      <c r="B189" s="32" t="s">
        <v>914</v>
      </c>
      <c r="C189" s="35" t="s">
        <v>218</v>
      </c>
      <c r="D189" s="32" t="s">
        <v>594</v>
      </c>
      <c r="E189" s="11" t="s">
        <v>9</v>
      </c>
    </row>
    <row r="190">
      <c r="A190" s="19">
        <v>0.5923611111111111</v>
      </c>
      <c r="B190" s="32" t="s">
        <v>897</v>
      </c>
      <c r="C190" s="35" t="s">
        <v>239</v>
      </c>
      <c r="D190" s="32" t="s">
        <v>915</v>
      </c>
      <c r="E190" s="11" t="s">
        <v>13</v>
      </c>
    </row>
    <row r="191">
      <c r="A191" s="19">
        <v>0.6027777777777777</v>
      </c>
      <c r="B191" s="32" t="s">
        <v>914</v>
      </c>
      <c r="C191" s="35" t="s">
        <v>218</v>
      </c>
      <c r="D191" s="32" t="s">
        <v>915</v>
      </c>
      <c r="E191" s="11" t="s">
        <v>9</v>
      </c>
    </row>
    <row r="192">
      <c r="A192" s="19">
        <v>0.6027777777777777</v>
      </c>
      <c r="B192" s="32" t="s">
        <v>897</v>
      </c>
      <c r="C192" s="35" t="s">
        <v>11</v>
      </c>
      <c r="D192" s="32" t="s">
        <v>662</v>
      </c>
      <c r="E192" s="11" t="s">
        <v>13</v>
      </c>
    </row>
    <row r="193">
      <c r="A193" s="19">
        <v>0.6125</v>
      </c>
      <c r="B193" s="32" t="s">
        <v>915</v>
      </c>
      <c r="C193" s="35" t="s">
        <v>28</v>
      </c>
      <c r="D193" s="32" t="s">
        <v>662</v>
      </c>
      <c r="E193" s="11" t="s">
        <v>9</v>
      </c>
    </row>
    <row r="194">
      <c r="A194" s="19">
        <v>0.6125</v>
      </c>
      <c r="B194" s="32" t="s">
        <v>594</v>
      </c>
      <c r="C194" s="35" t="s">
        <v>17</v>
      </c>
      <c r="D194" s="32" t="s">
        <v>897</v>
      </c>
      <c r="E194" s="11" t="s">
        <v>13</v>
      </c>
    </row>
    <row r="195">
      <c r="A195" s="19">
        <v>0.6229166666666667</v>
      </c>
      <c r="B195" s="32" t="s">
        <v>914</v>
      </c>
      <c r="C195" s="35" t="s">
        <v>81</v>
      </c>
      <c r="D195" s="32" t="s">
        <v>662</v>
      </c>
      <c r="E195" s="11" t="s">
        <v>9</v>
      </c>
    </row>
    <row r="196">
      <c r="A196" s="19">
        <v>0.6229166666666667</v>
      </c>
      <c r="B196" s="32" t="s">
        <v>915</v>
      </c>
      <c r="C196" s="35" t="s">
        <v>87</v>
      </c>
      <c r="D196" s="32" t="s">
        <v>594</v>
      </c>
      <c r="E196" s="11" t="s">
        <v>13</v>
      </c>
    </row>
    <row r="197">
      <c r="A197" s="19">
        <v>0.6333333333333333</v>
      </c>
      <c r="B197" s="32" t="s">
        <v>914</v>
      </c>
      <c r="C197" s="35" t="s">
        <v>87</v>
      </c>
      <c r="D197" s="32" t="s">
        <v>897</v>
      </c>
      <c r="E197" s="11" t="s">
        <v>9</v>
      </c>
    </row>
    <row r="198">
      <c r="A198" s="19">
        <v>0.6333333333333333</v>
      </c>
      <c r="B198" s="32" t="s">
        <v>662</v>
      </c>
      <c r="C198" s="35" t="s">
        <v>42</v>
      </c>
      <c r="D198" s="32" t="s">
        <v>594</v>
      </c>
      <c r="E198" s="11" t="s">
        <v>13</v>
      </c>
    </row>
    <row r="199">
      <c r="A199" s="1"/>
      <c r="B199" s="1" t="s">
        <v>112</v>
      </c>
      <c r="C199" s="2"/>
      <c r="D199" s="2"/>
      <c r="E199" s="2"/>
    </row>
    <row r="200">
      <c r="A200" s="18" t="s">
        <v>1</v>
      </c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A201" s="19">
        <v>0.5416666666666666</v>
      </c>
      <c r="B201" s="32" t="s">
        <v>916</v>
      </c>
      <c r="C201" s="35" t="s">
        <v>578</v>
      </c>
      <c r="D201" s="32" t="s">
        <v>917</v>
      </c>
      <c r="E201" s="11" t="s">
        <v>33</v>
      </c>
    </row>
    <row r="202">
      <c r="A202" s="19">
        <v>0.5416666666666666</v>
      </c>
      <c r="B202" s="32" t="s">
        <v>841</v>
      </c>
      <c r="C202" s="35" t="s">
        <v>212</v>
      </c>
      <c r="D202" s="32" t="s">
        <v>918</v>
      </c>
      <c r="E202" s="11" t="s">
        <v>37</v>
      </c>
    </row>
    <row r="203">
      <c r="A203" s="19">
        <v>0.5513888888888889</v>
      </c>
      <c r="B203" s="32" t="s">
        <v>841</v>
      </c>
      <c r="C203" s="35" t="s">
        <v>260</v>
      </c>
      <c r="D203" s="32" t="s">
        <v>917</v>
      </c>
      <c r="E203" s="11" t="s">
        <v>33</v>
      </c>
    </row>
    <row r="204">
      <c r="A204" s="19">
        <v>0.5513888888888889</v>
      </c>
      <c r="B204" s="32" t="s">
        <v>756</v>
      </c>
      <c r="C204" s="35" t="s">
        <v>195</v>
      </c>
      <c r="D204" s="32" t="s">
        <v>918</v>
      </c>
      <c r="E204" s="11" t="s">
        <v>37</v>
      </c>
    </row>
    <row r="205">
      <c r="A205" s="19">
        <v>0.5618055555555556</v>
      </c>
      <c r="B205" s="32" t="s">
        <v>756</v>
      </c>
      <c r="C205" s="35" t="s">
        <v>87</v>
      </c>
      <c r="D205" s="32" t="s">
        <v>841</v>
      </c>
      <c r="E205" s="11" t="s">
        <v>33</v>
      </c>
    </row>
    <row r="206">
      <c r="A206" s="19">
        <v>0.5618055555555556</v>
      </c>
      <c r="B206" s="32" t="s">
        <v>918</v>
      </c>
      <c r="C206" s="35" t="s">
        <v>282</v>
      </c>
      <c r="D206" s="32" t="s">
        <v>916</v>
      </c>
      <c r="E206" s="11" t="s">
        <v>37</v>
      </c>
    </row>
    <row r="207">
      <c r="A207" s="19">
        <v>0.5722222222222222</v>
      </c>
      <c r="B207" s="32" t="s">
        <v>756</v>
      </c>
      <c r="C207" s="35" t="s">
        <v>64</v>
      </c>
      <c r="D207" s="32" t="s">
        <v>917</v>
      </c>
      <c r="E207" s="11" t="s">
        <v>33</v>
      </c>
    </row>
    <row r="208">
      <c r="A208" s="19">
        <v>0.5722222222222222</v>
      </c>
      <c r="B208" s="32" t="s">
        <v>916</v>
      </c>
      <c r="C208" s="35" t="s">
        <v>919</v>
      </c>
      <c r="D208" s="32" t="s">
        <v>841</v>
      </c>
      <c r="E208" s="11" t="s">
        <v>37</v>
      </c>
    </row>
    <row r="209">
      <c r="A209" s="19">
        <v>0.5819444444444445</v>
      </c>
      <c r="B209" s="32" t="s">
        <v>918</v>
      </c>
      <c r="C209" s="35" t="s">
        <v>193</v>
      </c>
      <c r="D209" s="32" t="s">
        <v>917</v>
      </c>
      <c r="E209" s="11" t="s">
        <v>33</v>
      </c>
    </row>
    <row r="210">
      <c r="A210" s="19">
        <v>0.5819444444444445</v>
      </c>
      <c r="B210" s="32" t="s">
        <v>916</v>
      </c>
      <c r="C210" s="35" t="s">
        <v>19</v>
      </c>
      <c r="D210" s="32" t="s">
        <v>756</v>
      </c>
      <c r="E210" s="11" t="s">
        <v>37</v>
      </c>
    </row>
    <row r="211">
      <c r="A211" s="19">
        <v>0.5923611111111111</v>
      </c>
      <c r="B211" s="32" t="s">
        <v>917</v>
      </c>
      <c r="C211" s="35" t="s">
        <v>400</v>
      </c>
      <c r="D211" s="32" t="s">
        <v>916</v>
      </c>
      <c r="E211" s="11" t="s">
        <v>33</v>
      </c>
    </row>
    <row r="212">
      <c r="A212" s="19">
        <v>0.5923611111111111</v>
      </c>
      <c r="B212" s="32" t="s">
        <v>918</v>
      </c>
      <c r="C212" s="35" t="s">
        <v>27</v>
      </c>
      <c r="D212" s="32" t="s">
        <v>841</v>
      </c>
      <c r="E212" s="11" t="s">
        <v>37</v>
      </c>
      <c r="H212" s="36"/>
    </row>
    <row r="213">
      <c r="A213" s="19">
        <v>0.6027777777777777</v>
      </c>
      <c r="B213" s="32" t="s">
        <v>917</v>
      </c>
      <c r="C213" s="35" t="s">
        <v>218</v>
      </c>
      <c r="D213" s="32" t="s">
        <v>841</v>
      </c>
      <c r="E213" s="11" t="s">
        <v>33</v>
      </c>
    </row>
    <row r="214">
      <c r="A214" s="19">
        <v>0.6027777777777777</v>
      </c>
      <c r="B214" s="32" t="s">
        <v>918</v>
      </c>
      <c r="C214" s="35" t="s">
        <v>190</v>
      </c>
      <c r="D214" s="32" t="s">
        <v>756</v>
      </c>
      <c r="E214" s="11" t="s">
        <v>37</v>
      </c>
    </row>
    <row r="215">
      <c r="A215" s="19">
        <v>0.6125</v>
      </c>
      <c r="B215" s="32" t="s">
        <v>841</v>
      </c>
      <c r="C215" s="35" t="s">
        <v>260</v>
      </c>
      <c r="D215" s="32" t="s">
        <v>756</v>
      </c>
      <c r="E215" s="11" t="s">
        <v>33</v>
      </c>
    </row>
    <row r="216">
      <c r="A216" s="19">
        <v>0.6125</v>
      </c>
      <c r="B216" s="32" t="s">
        <v>916</v>
      </c>
      <c r="C216" s="35" t="s">
        <v>17</v>
      </c>
      <c r="D216" s="32" t="s">
        <v>918</v>
      </c>
      <c r="E216" s="11" t="s">
        <v>37</v>
      </c>
    </row>
    <row r="217">
      <c r="A217" s="19">
        <v>0.6229166666666667</v>
      </c>
      <c r="B217" s="32" t="s">
        <v>917</v>
      </c>
      <c r="C217" s="35" t="s">
        <v>81</v>
      </c>
      <c r="D217" s="32" t="s">
        <v>756</v>
      </c>
      <c r="E217" s="11" t="s">
        <v>33</v>
      </c>
    </row>
    <row r="218">
      <c r="A218" s="19">
        <v>0.6229166666666667</v>
      </c>
      <c r="B218" s="32" t="s">
        <v>841</v>
      </c>
      <c r="C218" s="35" t="s">
        <v>81</v>
      </c>
      <c r="D218" s="32" t="s">
        <v>916</v>
      </c>
      <c r="E218" s="11" t="s">
        <v>37</v>
      </c>
    </row>
    <row r="219">
      <c r="A219" s="19">
        <v>0.6333333333333333</v>
      </c>
      <c r="B219" s="32" t="s">
        <v>917</v>
      </c>
      <c r="C219" s="35" t="s">
        <v>66</v>
      </c>
      <c r="D219" s="32" t="s">
        <v>918</v>
      </c>
      <c r="E219" s="11" t="s">
        <v>33</v>
      </c>
    </row>
    <row r="220">
      <c r="A220" s="19">
        <v>0.6333333333333333</v>
      </c>
      <c r="B220" s="32" t="s">
        <v>756</v>
      </c>
      <c r="C220" s="35" t="s">
        <v>250</v>
      </c>
      <c r="D220" s="32" t="s">
        <v>916</v>
      </c>
      <c r="E220" s="11" t="s">
        <v>37</v>
      </c>
    </row>
    <row r="221">
      <c r="A221" s="27"/>
      <c r="B221" s="28" t="s">
        <v>123</v>
      </c>
      <c r="C221" s="2"/>
      <c r="D221" s="3"/>
      <c r="E221" s="29"/>
    </row>
    <row r="222">
      <c r="A222" s="18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9">
        <v>0.6458333333333334</v>
      </c>
      <c r="B223" s="34" t="s">
        <v>920</v>
      </c>
      <c r="C223" s="33" t="s">
        <v>195</v>
      </c>
      <c r="D223" s="34" t="s">
        <v>760</v>
      </c>
      <c r="E223" s="11" t="s">
        <v>9</v>
      </c>
    </row>
    <row r="224">
      <c r="A224" s="19">
        <v>0.6458333333333334</v>
      </c>
      <c r="B224" s="34" t="s">
        <v>850</v>
      </c>
      <c r="C224" s="33" t="s">
        <v>196</v>
      </c>
      <c r="D224" s="34" t="s">
        <v>921</v>
      </c>
      <c r="E224" s="11" t="s">
        <v>13</v>
      </c>
    </row>
    <row r="225">
      <c r="A225" s="19">
        <v>0.6555555555555556</v>
      </c>
      <c r="B225" s="34" t="s">
        <v>850</v>
      </c>
      <c r="C225" s="33" t="s">
        <v>52</v>
      </c>
      <c r="D225" s="34" t="s">
        <v>760</v>
      </c>
      <c r="E225" s="11" t="s">
        <v>9</v>
      </c>
    </row>
    <row r="226">
      <c r="A226" s="19">
        <v>0.6555555555555556</v>
      </c>
      <c r="B226" s="34" t="s">
        <v>922</v>
      </c>
      <c r="C226" s="33" t="s">
        <v>190</v>
      </c>
      <c r="D226" s="34" t="s">
        <v>921</v>
      </c>
      <c r="E226" s="11" t="s">
        <v>13</v>
      </c>
    </row>
    <row r="227">
      <c r="A227" s="19">
        <v>0.6659722222222222</v>
      </c>
      <c r="B227" s="34" t="s">
        <v>922</v>
      </c>
      <c r="C227" s="33" t="s">
        <v>201</v>
      </c>
      <c r="D227" s="34" t="s">
        <v>850</v>
      </c>
      <c r="E227" s="11" t="s">
        <v>9</v>
      </c>
    </row>
    <row r="228">
      <c r="A228" s="19">
        <v>0.6659722222222222</v>
      </c>
      <c r="B228" s="34" t="s">
        <v>921</v>
      </c>
      <c r="C228" s="33" t="s">
        <v>27</v>
      </c>
      <c r="D228" s="34" t="s">
        <v>920</v>
      </c>
      <c r="E228" s="11" t="s">
        <v>13</v>
      </c>
    </row>
    <row r="229">
      <c r="A229" s="19">
        <v>0.6763888888888889</v>
      </c>
      <c r="B229" s="34" t="s">
        <v>922</v>
      </c>
      <c r="C229" s="33" t="s">
        <v>369</v>
      </c>
      <c r="D229" s="34" t="s">
        <v>760</v>
      </c>
      <c r="E229" s="11" t="s">
        <v>9</v>
      </c>
    </row>
    <row r="230">
      <c r="A230" s="19">
        <v>0.6763888888888889</v>
      </c>
      <c r="B230" s="34" t="s">
        <v>920</v>
      </c>
      <c r="C230" s="33" t="s">
        <v>282</v>
      </c>
      <c r="D230" s="34" t="s">
        <v>850</v>
      </c>
      <c r="E230" s="11" t="s">
        <v>13</v>
      </c>
    </row>
    <row r="231">
      <c r="A231" s="19">
        <v>0.6861111111111111</v>
      </c>
      <c r="B231" s="34" t="s">
        <v>921</v>
      </c>
      <c r="C231" s="33" t="s">
        <v>239</v>
      </c>
      <c r="D231" s="34" t="s">
        <v>760</v>
      </c>
      <c r="E231" s="11" t="s">
        <v>9</v>
      </c>
    </row>
    <row r="232">
      <c r="A232" s="19">
        <v>0.6861111111111111</v>
      </c>
      <c r="B232" s="34" t="s">
        <v>920</v>
      </c>
      <c r="C232" s="33" t="s">
        <v>78</v>
      </c>
      <c r="D232" s="34" t="s">
        <v>922</v>
      </c>
      <c r="E232" s="11" t="s">
        <v>13</v>
      </c>
    </row>
    <row r="233">
      <c r="A233" s="19">
        <v>0.6965277777777777</v>
      </c>
      <c r="B233" s="34" t="s">
        <v>760</v>
      </c>
      <c r="C233" s="33" t="s">
        <v>86</v>
      </c>
      <c r="D233" s="34" t="s">
        <v>920</v>
      </c>
      <c r="E233" s="11" t="s">
        <v>9</v>
      </c>
    </row>
    <row r="234">
      <c r="A234" s="19">
        <v>0.6965277777777777</v>
      </c>
      <c r="B234" s="34" t="s">
        <v>921</v>
      </c>
      <c r="C234" s="33" t="s">
        <v>16</v>
      </c>
      <c r="D234" s="34" t="s">
        <v>850</v>
      </c>
      <c r="E234" s="11" t="s">
        <v>13</v>
      </c>
    </row>
    <row r="235">
      <c r="A235" s="19">
        <v>0.7069444444444445</v>
      </c>
      <c r="B235" s="34" t="s">
        <v>760</v>
      </c>
      <c r="C235" s="35" t="s">
        <v>71</v>
      </c>
      <c r="D235" s="34" t="s">
        <v>850</v>
      </c>
      <c r="E235" s="11" t="s">
        <v>9</v>
      </c>
    </row>
    <row r="236">
      <c r="A236" s="19">
        <v>0.7069444444444445</v>
      </c>
      <c r="B236" s="34" t="s">
        <v>921</v>
      </c>
      <c r="C236" s="35" t="s">
        <v>251</v>
      </c>
      <c r="D236" s="34" t="s">
        <v>922</v>
      </c>
      <c r="E236" s="11" t="s">
        <v>13</v>
      </c>
    </row>
    <row r="237">
      <c r="A237" s="19">
        <v>0.7166666666666667</v>
      </c>
      <c r="B237" s="34" t="s">
        <v>850</v>
      </c>
      <c r="C237" s="35" t="s">
        <v>64</v>
      </c>
      <c r="D237" s="34" t="s">
        <v>922</v>
      </c>
      <c r="E237" s="11" t="s">
        <v>9</v>
      </c>
    </row>
    <row r="238">
      <c r="A238" s="19">
        <v>0.7166666666666667</v>
      </c>
      <c r="B238" s="34" t="s">
        <v>920</v>
      </c>
      <c r="C238" s="35" t="s">
        <v>260</v>
      </c>
      <c r="D238" s="34" t="s">
        <v>921</v>
      </c>
      <c r="E238" s="11" t="s">
        <v>13</v>
      </c>
    </row>
    <row r="239">
      <c r="A239" s="19">
        <v>0.7270833333333333</v>
      </c>
      <c r="B239" s="34" t="s">
        <v>760</v>
      </c>
      <c r="C239" s="35" t="s">
        <v>215</v>
      </c>
      <c r="D239" s="34" t="s">
        <v>922</v>
      </c>
      <c r="E239" s="11" t="s">
        <v>9</v>
      </c>
    </row>
    <row r="240">
      <c r="A240" s="19">
        <v>0.7270833333333333</v>
      </c>
      <c r="B240" s="34" t="s">
        <v>850</v>
      </c>
      <c r="C240" s="35" t="s">
        <v>27</v>
      </c>
      <c r="D240" s="34" t="s">
        <v>920</v>
      </c>
      <c r="E240" s="11" t="s">
        <v>13</v>
      </c>
    </row>
    <row r="241">
      <c r="A241" s="19">
        <v>0.7375</v>
      </c>
      <c r="B241" s="34" t="s">
        <v>760</v>
      </c>
      <c r="C241" s="35" t="s">
        <v>751</v>
      </c>
      <c r="D241" s="34" t="s">
        <v>921</v>
      </c>
      <c r="E241" s="11" t="s">
        <v>9</v>
      </c>
    </row>
    <row r="242">
      <c r="A242" s="19">
        <v>0.7375</v>
      </c>
      <c r="B242" s="34" t="s">
        <v>922</v>
      </c>
      <c r="C242" s="35" t="s">
        <v>218</v>
      </c>
      <c r="D242" s="34" t="s">
        <v>920</v>
      </c>
      <c r="E242" s="11" t="s">
        <v>13</v>
      </c>
    </row>
    <row r="243">
      <c r="A243" s="27"/>
      <c r="B243" s="28" t="s">
        <v>123</v>
      </c>
      <c r="C243" s="2"/>
      <c r="D243" s="3"/>
      <c r="E243" s="29"/>
    </row>
    <row r="244">
      <c r="A244" s="18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9">
        <v>0.6458333333333334</v>
      </c>
      <c r="B245" s="34" t="s">
        <v>923</v>
      </c>
      <c r="C245" s="35" t="s">
        <v>354</v>
      </c>
      <c r="D245" s="34" t="s">
        <v>924</v>
      </c>
      <c r="E245" s="11" t="s">
        <v>33</v>
      </c>
    </row>
    <row r="246">
      <c r="A246" s="19">
        <v>0.6458333333333334</v>
      </c>
      <c r="B246" s="34" t="s">
        <v>439</v>
      </c>
      <c r="C246" s="35" t="s">
        <v>38</v>
      </c>
      <c r="D246" s="34" t="s">
        <v>925</v>
      </c>
      <c r="E246" s="11" t="s">
        <v>37</v>
      </c>
    </row>
    <row r="247">
      <c r="A247" s="19">
        <v>0.6555555555555556</v>
      </c>
      <c r="B247" s="34" t="s">
        <v>439</v>
      </c>
      <c r="C247" s="35" t="s">
        <v>337</v>
      </c>
      <c r="D247" s="34" t="s">
        <v>924</v>
      </c>
      <c r="E247" s="11" t="s">
        <v>33</v>
      </c>
    </row>
    <row r="248">
      <c r="A248" s="19">
        <v>0.6555555555555556</v>
      </c>
      <c r="B248" s="34" t="s">
        <v>763</v>
      </c>
      <c r="C248" s="35" t="s">
        <v>68</v>
      </c>
      <c r="D248" s="34" t="s">
        <v>925</v>
      </c>
      <c r="E248" s="11" t="s">
        <v>37</v>
      </c>
    </row>
    <row r="249">
      <c r="A249" s="19">
        <v>0.6659722222222222</v>
      </c>
      <c r="B249" s="34" t="s">
        <v>763</v>
      </c>
      <c r="C249" s="35" t="s">
        <v>337</v>
      </c>
      <c r="D249" s="34" t="s">
        <v>439</v>
      </c>
      <c r="E249" s="11" t="s">
        <v>33</v>
      </c>
    </row>
    <row r="250">
      <c r="A250" s="19">
        <v>0.6659722222222222</v>
      </c>
      <c r="B250" s="34" t="s">
        <v>925</v>
      </c>
      <c r="C250" s="35" t="s">
        <v>81</v>
      </c>
      <c r="D250" s="34" t="s">
        <v>923</v>
      </c>
      <c r="E250" s="11" t="s">
        <v>37</v>
      </c>
    </row>
    <row r="251">
      <c r="A251" s="19">
        <v>0.6763888888888889</v>
      </c>
      <c r="B251" s="34" t="s">
        <v>763</v>
      </c>
      <c r="C251" s="35" t="s">
        <v>370</v>
      </c>
      <c r="D251" s="34" t="s">
        <v>924</v>
      </c>
      <c r="E251" s="11" t="s">
        <v>33</v>
      </c>
    </row>
    <row r="252">
      <c r="A252" s="19">
        <v>0.6763888888888889</v>
      </c>
      <c r="B252" s="34" t="s">
        <v>923</v>
      </c>
      <c r="C252" s="35" t="s">
        <v>926</v>
      </c>
      <c r="D252" s="34" t="s">
        <v>439</v>
      </c>
      <c r="E252" s="11" t="s">
        <v>37</v>
      </c>
    </row>
    <row r="253">
      <c r="A253" s="19">
        <v>0.6861111111111111</v>
      </c>
      <c r="B253" s="34" t="s">
        <v>925</v>
      </c>
      <c r="C253" s="35" t="s">
        <v>64</v>
      </c>
      <c r="D253" s="34" t="s">
        <v>924</v>
      </c>
      <c r="E253" s="11" t="s">
        <v>33</v>
      </c>
    </row>
    <row r="254">
      <c r="A254" s="19">
        <v>0.6861111111111111</v>
      </c>
      <c r="B254" s="34" t="s">
        <v>923</v>
      </c>
      <c r="C254" s="35" t="s">
        <v>35</v>
      </c>
      <c r="D254" s="34" t="s">
        <v>763</v>
      </c>
      <c r="E254" s="11" t="s">
        <v>37</v>
      </c>
    </row>
    <row r="255">
      <c r="A255" s="19">
        <v>0.6965277777777777</v>
      </c>
      <c r="B255" s="34" t="s">
        <v>924</v>
      </c>
      <c r="C255" s="35" t="s">
        <v>69</v>
      </c>
      <c r="D255" s="34" t="s">
        <v>923</v>
      </c>
      <c r="E255" s="11" t="s">
        <v>33</v>
      </c>
    </row>
    <row r="256">
      <c r="A256" s="19">
        <v>0.6965277777777777</v>
      </c>
      <c r="B256" s="34" t="s">
        <v>925</v>
      </c>
      <c r="C256" s="35" t="s">
        <v>64</v>
      </c>
      <c r="D256" s="34" t="s">
        <v>439</v>
      </c>
      <c r="E256" s="11" t="s">
        <v>37</v>
      </c>
    </row>
    <row r="257">
      <c r="A257" s="19">
        <v>0.7069444444444445</v>
      </c>
      <c r="B257" s="34" t="s">
        <v>924</v>
      </c>
      <c r="C257" s="35" t="s">
        <v>86</v>
      </c>
      <c r="D257" s="34" t="s">
        <v>439</v>
      </c>
      <c r="E257" s="11" t="s">
        <v>33</v>
      </c>
    </row>
    <row r="258">
      <c r="A258" s="19">
        <v>0.7069444444444445</v>
      </c>
      <c r="B258" s="34" t="s">
        <v>925</v>
      </c>
      <c r="C258" s="35" t="s">
        <v>81</v>
      </c>
      <c r="D258" s="34" t="s">
        <v>763</v>
      </c>
      <c r="E258" s="11" t="s">
        <v>37</v>
      </c>
    </row>
    <row r="259">
      <c r="A259" s="19">
        <v>0.7166666666666667</v>
      </c>
      <c r="B259" s="34" t="s">
        <v>439</v>
      </c>
      <c r="C259" s="35" t="s">
        <v>472</v>
      </c>
      <c r="D259" s="34" t="s">
        <v>763</v>
      </c>
      <c r="E259" s="11" t="s">
        <v>33</v>
      </c>
    </row>
    <row r="260">
      <c r="A260" s="19">
        <v>0.7166666666666667</v>
      </c>
      <c r="B260" s="34" t="s">
        <v>923</v>
      </c>
      <c r="C260" s="35" t="s">
        <v>544</v>
      </c>
      <c r="D260" s="34" t="s">
        <v>925</v>
      </c>
      <c r="E260" s="11" t="s">
        <v>37</v>
      </c>
    </row>
    <row r="261">
      <c r="A261" s="19">
        <v>0.7270833333333333</v>
      </c>
      <c r="B261" s="34" t="s">
        <v>924</v>
      </c>
      <c r="C261" s="35" t="s">
        <v>47</v>
      </c>
      <c r="D261" s="34" t="s">
        <v>763</v>
      </c>
      <c r="E261" s="11" t="s">
        <v>33</v>
      </c>
    </row>
    <row r="262">
      <c r="A262" s="19">
        <v>0.7270833333333333</v>
      </c>
      <c r="B262" s="34" t="s">
        <v>439</v>
      </c>
      <c r="C262" s="35" t="s">
        <v>14</v>
      </c>
      <c r="D262" s="34" t="s">
        <v>923</v>
      </c>
      <c r="E262" s="11" t="s">
        <v>37</v>
      </c>
    </row>
    <row r="263">
      <c r="A263" s="19">
        <v>0.7375</v>
      </c>
      <c r="B263" s="34" t="s">
        <v>924</v>
      </c>
      <c r="C263" s="35" t="s">
        <v>190</v>
      </c>
      <c r="D263" s="34" t="s">
        <v>925</v>
      </c>
      <c r="E263" s="11" t="s">
        <v>33</v>
      </c>
    </row>
    <row r="264">
      <c r="A264" s="19">
        <v>0.7375</v>
      </c>
      <c r="B264" s="34" t="s">
        <v>763</v>
      </c>
      <c r="C264" s="35" t="s">
        <v>282</v>
      </c>
      <c r="D264" s="34" t="s">
        <v>923</v>
      </c>
      <c r="E264" s="11" t="s">
        <v>37</v>
      </c>
    </row>
    <row r="265">
      <c r="A265" s="27"/>
      <c r="B265" s="28" t="s">
        <v>134</v>
      </c>
      <c r="C265" s="2"/>
      <c r="D265" s="3"/>
      <c r="E265" s="29"/>
    </row>
    <row r="266">
      <c r="A266" s="18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9">
        <v>0.75</v>
      </c>
      <c r="B267" s="34" t="s">
        <v>927</v>
      </c>
      <c r="C267" s="35" t="s">
        <v>21</v>
      </c>
      <c r="D267" s="34" t="s">
        <v>928</v>
      </c>
      <c r="E267" s="11" t="s">
        <v>9</v>
      </c>
    </row>
    <row r="268">
      <c r="A268" s="19">
        <v>0.75</v>
      </c>
      <c r="B268" s="34" t="s">
        <v>573</v>
      </c>
      <c r="C268" s="35" t="s">
        <v>72</v>
      </c>
      <c r="D268" s="34" t="s">
        <v>929</v>
      </c>
      <c r="E268" s="11" t="s">
        <v>13</v>
      </c>
    </row>
    <row r="269">
      <c r="A269" s="19">
        <v>0.7597222222222222</v>
      </c>
      <c r="B269" s="34" t="s">
        <v>573</v>
      </c>
      <c r="C269" s="35" t="s">
        <v>238</v>
      </c>
      <c r="D269" s="34" t="s">
        <v>928</v>
      </c>
      <c r="E269" s="11" t="s">
        <v>9</v>
      </c>
    </row>
    <row r="270">
      <c r="A270" s="19">
        <v>0.7597222222222222</v>
      </c>
      <c r="B270" s="34" t="s">
        <v>858</v>
      </c>
      <c r="C270" s="35" t="s">
        <v>267</v>
      </c>
      <c r="D270" s="34" t="s">
        <v>929</v>
      </c>
      <c r="E270" s="11" t="s">
        <v>13</v>
      </c>
    </row>
    <row r="271">
      <c r="A271" s="19">
        <v>0.7701388888888889</v>
      </c>
      <c r="B271" s="34" t="s">
        <v>858</v>
      </c>
      <c r="C271" s="35" t="s">
        <v>561</v>
      </c>
      <c r="D271" s="34" t="s">
        <v>573</v>
      </c>
      <c r="E271" s="11" t="s">
        <v>9</v>
      </c>
    </row>
    <row r="272">
      <c r="A272" s="19">
        <v>0.7701388888888889</v>
      </c>
      <c r="B272" s="34" t="s">
        <v>929</v>
      </c>
      <c r="C272" s="35" t="s">
        <v>270</v>
      </c>
      <c r="D272" s="34" t="s">
        <v>927</v>
      </c>
      <c r="E272" s="11" t="s">
        <v>13</v>
      </c>
    </row>
    <row r="273">
      <c r="A273" s="19">
        <v>0.7805555555555556</v>
      </c>
      <c r="B273" s="34" t="s">
        <v>858</v>
      </c>
      <c r="C273" s="35" t="s">
        <v>62</v>
      </c>
      <c r="D273" s="34" t="s">
        <v>928</v>
      </c>
      <c r="E273" s="11" t="s">
        <v>9</v>
      </c>
    </row>
    <row r="274">
      <c r="A274" s="19">
        <v>0.7805555555555556</v>
      </c>
      <c r="B274" s="34" t="s">
        <v>927</v>
      </c>
      <c r="C274" s="35" t="s">
        <v>195</v>
      </c>
      <c r="D274" s="34" t="s">
        <v>573</v>
      </c>
      <c r="E274" s="11" t="s">
        <v>13</v>
      </c>
    </row>
    <row r="275">
      <c r="A275" s="19">
        <v>0.7902777777777777</v>
      </c>
      <c r="B275" s="34" t="s">
        <v>929</v>
      </c>
      <c r="C275" s="35" t="s">
        <v>11</v>
      </c>
      <c r="D275" s="34" t="s">
        <v>928</v>
      </c>
      <c r="E275" s="11" t="s">
        <v>9</v>
      </c>
    </row>
    <row r="276">
      <c r="A276" s="19">
        <v>0.7902777777777777</v>
      </c>
      <c r="B276" s="34" t="s">
        <v>927</v>
      </c>
      <c r="C276" s="35" t="s">
        <v>218</v>
      </c>
      <c r="D276" s="34" t="s">
        <v>858</v>
      </c>
      <c r="E276" s="11" t="s">
        <v>13</v>
      </c>
    </row>
    <row r="277">
      <c r="A277" s="19">
        <v>0.8006944444444445</v>
      </c>
      <c r="B277" s="34" t="s">
        <v>928</v>
      </c>
      <c r="C277" s="35" t="s">
        <v>404</v>
      </c>
      <c r="D277" s="34" t="s">
        <v>927</v>
      </c>
      <c r="E277" s="11" t="s">
        <v>9</v>
      </c>
    </row>
    <row r="278">
      <c r="A278" s="19">
        <v>0.8006944444444445</v>
      </c>
      <c r="B278" s="34" t="s">
        <v>929</v>
      </c>
      <c r="C278" s="35" t="s">
        <v>22</v>
      </c>
      <c r="D278" s="34" t="s">
        <v>573</v>
      </c>
      <c r="E278" s="11" t="s">
        <v>13</v>
      </c>
    </row>
    <row r="279">
      <c r="A279" s="19">
        <v>0.8111111111111111</v>
      </c>
      <c r="B279" s="34" t="s">
        <v>928</v>
      </c>
      <c r="C279" s="35" t="s">
        <v>500</v>
      </c>
      <c r="D279" s="34" t="s">
        <v>573</v>
      </c>
      <c r="E279" s="11" t="s">
        <v>9</v>
      </c>
    </row>
    <row r="280">
      <c r="A280" s="19">
        <v>0.8111111111111111</v>
      </c>
      <c r="B280" s="34" t="s">
        <v>929</v>
      </c>
      <c r="C280" s="35" t="s">
        <v>370</v>
      </c>
      <c r="D280" s="34" t="s">
        <v>858</v>
      </c>
      <c r="E280" s="11" t="s">
        <v>13</v>
      </c>
    </row>
    <row r="281">
      <c r="A281" s="19">
        <v>0.8208333333333333</v>
      </c>
      <c r="B281" s="34" t="s">
        <v>573</v>
      </c>
      <c r="C281" s="35" t="s">
        <v>196</v>
      </c>
      <c r="D281" s="34" t="s">
        <v>858</v>
      </c>
      <c r="E281" s="11" t="s">
        <v>9</v>
      </c>
    </row>
    <row r="282">
      <c r="A282" s="19">
        <v>0.8208333333333333</v>
      </c>
      <c r="B282" s="34" t="s">
        <v>927</v>
      </c>
      <c r="C282" s="35" t="s">
        <v>19</v>
      </c>
      <c r="D282" s="34" t="s">
        <v>929</v>
      </c>
      <c r="E282" s="11" t="s">
        <v>13</v>
      </c>
    </row>
    <row r="283">
      <c r="A283" s="19">
        <v>0.83125</v>
      </c>
      <c r="B283" s="34" t="s">
        <v>928</v>
      </c>
      <c r="C283" s="35" t="s">
        <v>260</v>
      </c>
      <c r="D283" s="34" t="s">
        <v>858</v>
      </c>
      <c r="E283" s="11" t="s">
        <v>9</v>
      </c>
    </row>
    <row r="284">
      <c r="A284" s="19">
        <v>0.83125</v>
      </c>
      <c r="B284" s="34" t="s">
        <v>573</v>
      </c>
      <c r="C284" s="35" t="s">
        <v>81</v>
      </c>
      <c r="D284" s="34" t="s">
        <v>927</v>
      </c>
      <c r="E284" s="11" t="s">
        <v>13</v>
      </c>
    </row>
    <row r="285">
      <c r="A285" s="19">
        <v>0.8416666666666667</v>
      </c>
      <c r="B285" s="34" t="s">
        <v>928</v>
      </c>
      <c r="C285" s="35" t="s">
        <v>81</v>
      </c>
      <c r="D285" s="34" t="s">
        <v>929</v>
      </c>
      <c r="E285" s="11" t="s">
        <v>9</v>
      </c>
    </row>
    <row r="286">
      <c r="A286" s="19">
        <v>0.8416666666666667</v>
      </c>
      <c r="B286" s="34" t="s">
        <v>858</v>
      </c>
      <c r="C286" s="35" t="s">
        <v>26</v>
      </c>
      <c r="D286" s="34" t="s">
        <v>927</v>
      </c>
      <c r="E286" s="11" t="s">
        <v>13</v>
      </c>
    </row>
    <row r="287">
      <c r="A287" s="27"/>
      <c r="B287" s="28" t="s">
        <v>134</v>
      </c>
      <c r="C287" s="2"/>
      <c r="D287" s="3"/>
      <c r="E287" s="29"/>
    </row>
    <row r="288">
      <c r="A288" s="18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9">
        <v>0.75</v>
      </c>
      <c r="B289" s="34" t="s">
        <v>930</v>
      </c>
      <c r="C289" s="35" t="s">
        <v>282</v>
      </c>
      <c r="D289" s="34" t="s">
        <v>931</v>
      </c>
      <c r="E289" s="11" t="s">
        <v>33</v>
      </c>
    </row>
    <row r="290">
      <c r="A290" s="19">
        <v>0.75</v>
      </c>
      <c r="B290" s="34" t="s">
        <v>580</v>
      </c>
      <c r="C290" s="35" t="s">
        <v>544</v>
      </c>
      <c r="D290" s="34" t="s">
        <v>932</v>
      </c>
      <c r="E290" s="11" t="s">
        <v>37</v>
      </c>
    </row>
    <row r="291">
      <c r="A291" s="19">
        <v>0.7597222222222222</v>
      </c>
      <c r="B291" s="34" t="s">
        <v>580</v>
      </c>
      <c r="C291" s="35" t="s">
        <v>933</v>
      </c>
      <c r="D291" s="34" t="s">
        <v>931</v>
      </c>
      <c r="E291" s="11" t="s">
        <v>33</v>
      </c>
    </row>
    <row r="292">
      <c r="A292" s="19">
        <v>0.7597222222222222</v>
      </c>
      <c r="B292" s="34" t="s">
        <v>934</v>
      </c>
      <c r="C292" s="35" t="s">
        <v>58</v>
      </c>
      <c r="D292" s="34" t="s">
        <v>932</v>
      </c>
      <c r="E292" s="11" t="s">
        <v>37</v>
      </c>
    </row>
    <row r="293">
      <c r="A293" s="19">
        <v>0.7701388888888889</v>
      </c>
      <c r="B293" s="34" t="s">
        <v>934</v>
      </c>
      <c r="C293" s="35" t="s">
        <v>579</v>
      </c>
      <c r="D293" s="34" t="s">
        <v>580</v>
      </c>
      <c r="E293" s="11" t="s">
        <v>33</v>
      </c>
    </row>
    <row r="294">
      <c r="A294" s="19">
        <v>0.7701388888888889</v>
      </c>
      <c r="B294" s="34" t="s">
        <v>932</v>
      </c>
      <c r="C294" s="35" t="s">
        <v>260</v>
      </c>
      <c r="D294" s="34" t="s">
        <v>930</v>
      </c>
      <c r="E294" s="11" t="s">
        <v>37</v>
      </c>
    </row>
    <row r="295">
      <c r="A295" s="19">
        <v>0.7805555555555556</v>
      </c>
      <c r="B295" s="34" t="s">
        <v>934</v>
      </c>
      <c r="C295" s="35" t="s">
        <v>875</v>
      </c>
      <c r="D295" s="34" t="s">
        <v>931</v>
      </c>
      <c r="E295" s="11" t="s">
        <v>33</v>
      </c>
    </row>
    <row r="296">
      <c r="A296" s="19">
        <v>0.7805555555555556</v>
      </c>
      <c r="B296" s="34" t="s">
        <v>930</v>
      </c>
      <c r="C296" s="35" t="s">
        <v>81</v>
      </c>
      <c r="D296" s="34" t="s">
        <v>580</v>
      </c>
      <c r="E296" s="11" t="s">
        <v>37</v>
      </c>
    </row>
    <row r="297">
      <c r="A297" s="19">
        <v>0.7902777777777777</v>
      </c>
      <c r="B297" s="34" t="s">
        <v>932</v>
      </c>
      <c r="C297" s="35" t="s">
        <v>14</v>
      </c>
      <c r="D297" s="34" t="s">
        <v>931</v>
      </c>
      <c r="E297" s="11" t="s">
        <v>33</v>
      </c>
    </row>
    <row r="298">
      <c r="A298" s="19">
        <v>0.7902777777777777</v>
      </c>
      <c r="B298" s="34" t="s">
        <v>930</v>
      </c>
      <c r="C298" s="35" t="s">
        <v>243</v>
      </c>
      <c r="D298" s="34" t="s">
        <v>934</v>
      </c>
      <c r="E298" s="11" t="s">
        <v>37</v>
      </c>
    </row>
    <row r="299">
      <c r="A299" s="19">
        <v>0.8006944444444445</v>
      </c>
      <c r="B299" s="34" t="s">
        <v>931</v>
      </c>
      <c r="C299" s="35" t="s">
        <v>836</v>
      </c>
      <c r="D299" s="34" t="s">
        <v>930</v>
      </c>
      <c r="E299" s="51" t="str">
        <f>HYPERLINK("https://youtu.be/H4oqRkCcgXk?t=4437","channel 3")</f>
        <v>channel 3</v>
      </c>
    </row>
    <row r="300">
      <c r="A300" s="19">
        <v>0.8006944444444445</v>
      </c>
      <c r="B300" s="34" t="s">
        <v>932</v>
      </c>
      <c r="C300" s="35" t="s">
        <v>935</v>
      </c>
      <c r="D300" s="34" t="s">
        <v>580</v>
      </c>
      <c r="E300" s="11" t="s">
        <v>37</v>
      </c>
    </row>
    <row r="301">
      <c r="A301" s="19">
        <v>0.8111111111111111</v>
      </c>
      <c r="B301" s="34" t="s">
        <v>931</v>
      </c>
      <c r="C301" s="35" t="s">
        <v>936</v>
      </c>
      <c r="D301" s="34" t="s">
        <v>580</v>
      </c>
      <c r="E301" s="11" t="s">
        <v>33</v>
      </c>
    </row>
    <row r="302">
      <c r="A302" s="19">
        <v>0.8111111111111111</v>
      </c>
      <c r="B302" s="34" t="s">
        <v>932</v>
      </c>
      <c r="C302" s="35" t="s">
        <v>428</v>
      </c>
      <c r="D302" s="34" t="s">
        <v>934</v>
      </c>
      <c r="E302" s="11" t="s">
        <v>37</v>
      </c>
    </row>
    <row r="303">
      <c r="A303" s="19">
        <v>0.8208333333333333</v>
      </c>
      <c r="B303" s="34" t="s">
        <v>580</v>
      </c>
      <c r="C303" s="35" t="s">
        <v>937</v>
      </c>
      <c r="D303" s="34" t="s">
        <v>934</v>
      </c>
      <c r="E303" s="11" t="s">
        <v>33</v>
      </c>
    </row>
    <row r="304">
      <c r="A304" s="19">
        <v>0.8208333333333333</v>
      </c>
      <c r="B304" s="34" t="s">
        <v>930</v>
      </c>
      <c r="C304" s="35" t="s">
        <v>938</v>
      </c>
      <c r="D304" s="34" t="s">
        <v>932</v>
      </c>
      <c r="E304" s="11" t="s">
        <v>37</v>
      </c>
    </row>
    <row r="305">
      <c r="A305" s="19">
        <v>0.83125</v>
      </c>
      <c r="B305" s="34" t="s">
        <v>931</v>
      </c>
      <c r="C305" s="35" t="s">
        <v>835</v>
      </c>
      <c r="D305" s="34" t="s">
        <v>934</v>
      </c>
      <c r="E305" s="11" t="s">
        <v>33</v>
      </c>
    </row>
    <row r="306">
      <c r="A306" s="19">
        <v>0.83125</v>
      </c>
      <c r="B306" s="34" t="s">
        <v>580</v>
      </c>
      <c r="C306" s="35" t="s">
        <v>17</v>
      </c>
      <c r="D306" s="34" t="s">
        <v>930</v>
      </c>
      <c r="E306" s="11" t="s">
        <v>37</v>
      </c>
    </row>
    <row r="307">
      <c r="A307" s="19">
        <v>0.8416666666666667</v>
      </c>
      <c r="B307" s="34" t="s">
        <v>931</v>
      </c>
      <c r="C307" s="35" t="s">
        <v>426</v>
      </c>
      <c r="D307" s="34" t="s">
        <v>932</v>
      </c>
      <c r="E307" s="11" t="s">
        <v>33</v>
      </c>
    </row>
    <row r="308">
      <c r="A308" s="19">
        <v>0.8416666666666667</v>
      </c>
      <c r="B308" s="34" t="s">
        <v>934</v>
      </c>
      <c r="C308" s="35" t="s">
        <v>89</v>
      </c>
      <c r="D308" s="34" t="s">
        <v>930</v>
      </c>
      <c r="E308" s="11" t="s">
        <v>37</v>
      </c>
    </row>
    <row r="309">
      <c r="A309" s="27"/>
      <c r="B309" s="28" t="s">
        <v>145</v>
      </c>
      <c r="C309" s="2"/>
      <c r="D309" s="3"/>
      <c r="E309" s="29"/>
    </row>
    <row r="310">
      <c r="A310" s="18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9">
        <v>0.8541666666666666</v>
      </c>
      <c r="B311" s="34" t="s">
        <v>415</v>
      </c>
      <c r="C311" s="33" t="s">
        <v>220</v>
      </c>
      <c r="D311" s="34" t="s">
        <v>939</v>
      </c>
      <c r="E311" s="11" t="s">
        <v>9</v>
      </c>
    </row>
    <row r="312">
      <c r="A312" s="19">
        <v>0.8541666666666666</v>
      </c>
      <c r="B312" s="34" t="s">
        <v>418</v>
      </c>
      <c r="C312" s="33" t="s">
        <v>416</v>
      </c>
      <c r="D312" s="41" t="s">
        <v>940</v>
      </c>
      <c r="E312" s="11" t="s">
        <v>13</v>
      </c>
    </row>
    <row r="313">
      <c r="A313" s="19">
        <v>0.8638888888888889</v>
      </c>
      <c r="B313" s="34" t="s">
        <v>418</v>
      </c>
      <c r="C313" s="33" t="s">
        <v>273</v>
      </c>
      <c r="D313" s="34" t="s">
        <v>939</v>
      </c>
      <c r="E313" s="11" t="s">
        <v>9</v>
      </c>
    </row>
    <row r="314">
      <c r="A314" s="19">
        <v>0.8638888888888889</v>
      </c>
      <c r="B314" s="34" t="s">
        <v>941</v>
      </c>
      <c r="C314" s="33" t="s">
        <v>273</v>
      </c>
      <c r="D314" s="34" t="s">
        <v>940</v>
      </c>
      <c r="E314" s="11" t="s">
        <v>13</v>
      </c>
    </row>
    <row r="315">
      <c r="A315" s="19">
        <v>0.8743055555555556</v>
      </c>
      <c r="B315" s="34" t="s">
        <v>941</v>
      </c>
      <c r="C315" s="33" t="s">
        <v>58</v>
      </c>
      <c r="D315" s="34" t="s">
        <v>418</v>
      </c>
      <c r="E315" s="11" t="s">
        <v>9</v>
      </c>
    </row>
    <row r="316">
      <c r="A316" s="19">
        <v>0.8743055555555556</v>
      </c>
      <c r="B316" s="34" t="s">
        <v>940</v>
      </c>
      <c r="C316" s="33" t="s">
        <v>212</v>
      </c>
      <c r="D316" s="34" t="s">
        <v>415</v>
      </c>
      <c r="E316" s="11" t="s">
        <v>13</v>
      </c>
    </row>
    <row r="317">
      <c r="A317" s="19">
        <v>0.8847222222222222</v>
      </c>
      <c r="B317" s="34" t="s">
        <v>941</v>
      </c>
      <c r="C317" s="33" t="s">
        <v>197</v>
      </c>
      <c r="D317" s="34" t="s">
        <v>939</v>
      </c>
      <c r="E317" s="11" t="s">
        <v>9</v>
      </c>
    </row>
    <row r="318">
      <c r="A318" s="19">
        <v>0.8847222222222222</v>
      </c>
      <c r="B318" s="34" t="s">
        <v>415</v>
      </c>
      <c r="C318" s="33" t="s">
        <v>81</v>
      </c>
      <c r="D318" s="34" t="s">
        <v>418</v>
      </c>
      <c r="E318" s="11" t="s">
        <v>13</v>
      </c>
    </row>
    <row r="319">
      <c r="A319" s="19">
        <v>0.8944444444444445</v>
      </c>
      <c r="B319" s="34" t="s">
        <v>940</v>
      </c>
      <c r="C319" s="33" t="s">
        <v>205</v>
      </c>
      <c r="D319" s="34" t="s">
        <v>939</v>
      </c>
      <c r="E319" s="11" t="s">
        <v>9</v>
      </c>
    </row>
    <row r="320">
      <c r="A320" s="19">
        <v>0.8944444444444445</v>
      </c>
      <c r="B320" s="34" t="s">
        <v>415</v>
      </c>
      <c r="C320" s="33" t="s">
        <v>201</v>
      </c>
      <c r="D320" s="34" t="s">
        <v>941</v>
      </c>
      <c r="E320" s="11" t="s">
        <v>13</v>
      </c>
    </row>
    <row r="321">
      <c r="A321" s="19">
        <v>0.9048611111111111</v>
      </c>
      <c r="B321" s="34" t="s">
        <v>939</v>
      </c>
      <c r="C321" s="33" t="s">
        <v>354</v>
      </c>
      <c r="D321" s="34" t="s">
        <v>415</v>
      </c>
      <c r="E321" s="11" t="s">
        <v>9</v>
      </c>
    </row>
    <row r="322">
      <c r="A322" s="19">
        <v>0.9048611111111111</v>
      </c>
      <c r="B322" s="34" t="s">
        <v>940</v>
      </c>
      <c r="C322" s="33" t="s">
        <v>329</v>
      </c>
      <c r="D322" s="34" t="s">
        <v>418</v>
      </c>
      <c r="E322" s="11" t="s">
        <v>13</v>
      </c>
    </row>
    <row r="323">
      <c r="A323" s="19">
        <v>0.9152777777777777</v>
      </c>
      <c r="B323" s="34" t="s">
        <v>939</v>
      </c>
      <c r="C323" s="35" t="s">
        <v>446</v>
      </c>
      <c r="D323" s="34" t="s">
        <v>418</v>
      </c>
      <c r="E323" s="11" t="s">
        <v>9</v>
      </c>
    </row>
    <row r="324">
      <c r="A324" s="19">
        <v>0.9152777777777777</v>
      </c>
      <c r="B324" s="34" t="s">
        <v>940</v>
      </c>
      <c r="C324" s="35" t="s">
        <v>14</v>
      </c>
      <c r="D324" s="34" t="s">
        <v>941</v>
      </c>
      <c r="E324" s="11" t="s">
        <v>13</v>
      </c>
    </row>
    <row r="325">
      <c r="A325" s="19">
        <v>0.925</v>
      </c>
      <c r="B325" s="34" t="s">
        <v>418</v>
      </c>
      <c r="C325" s="35" t="s">
        <v>16</v>
      </c>
      <c r="D325" s="34" t="s">
        <v>941</v>
      </c>
      <c r="E325" s="11" t="s">
        <v>9</v>
      </c>
    </row>
    <row r="326">
      <c r="A326" s="19">
        <v>0.925</v>
      </c>
      <c r="B326" s="34" t="s">
        <v>415</v>
      </c>
      <c r="C326" s="35" t="s">
        <v>790</v>
      </c>
      <c r="D326" s="34" t="s">
        <v>940</v>
      </c>
      <c r="E326" s="11" t="s">
        <v>13</v>
      </c>
    </row>
    <row r="327">
      <c r="A327" s="19">
        <v>0.9354166666666667</v>
      </c>
      <c r="B327" s="34" t="s">
        <v>939</v>
      </c>
      <c r="C327" s="35" t="s">
        <v>836</v>
      </c>
      <c r="D327" s="34" t="s">
        <v>941</v>
      </c>
      <c r="E327" s="11" t="s">
        <v>9</v>
      </c>
    </row>
    <row r="328">
      <c r="A328" s="19">
        <v>0.9354166666666667</v>
      </c>
      <c r="B328" s="34" t="s">
        <v>418</v>
      </c>
      <c r="C328" s="35" t="s">
        <v>533</v>
      </c>
      <c r="D328" s="34" t="s">
        <v>415</v>
      </c>
      <c r="E328" s="11" t="s">
        <v>13</v>
      </c>
    </row>
    <row r="329">
      <c r="A329" s="19">
        <v>0.9458333333333333</v>
      </c>
      <c r="B329" s="34" t="s">
        <v>939</v>
      </c>
      <c r="C329" s="35" t="s">
        <v>55</v>
      </c>
      <c r="D329" s="34" t="s">
        <v>940</v>
      </c>
      <c r="E329" s="11" t="s">
        <v>9</v>
      </c>
    </row>
    <row r="330">
      <c r="A330" s="19">
        <v>0.9458333333333333</v>
      </c>
      <c r="B330" s="34" t="s">
        <v>941</v>
      </c>
      <c r="C330" s="35" t="s">
        <v>21</v>
      </c>
      <c r="D330" s="34" t="s">
        <v>415</v>
      </c>
      <c r="E330" s="11" t="s">
        <v>13</v>
      </c>
    </row>
    <row r="331">
      <c r="A331" s="27"/>
      <c r="B331" s="28" t="s">
        <v>145</v>
      </c>
      <c r="C331" s="2"/>
      <c r="D331" s="3"/>
      <c r="E331" s="29"/>
    </row>
    <row r="332">
      <c r="A332" s="18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9">
        <v>0.8541666666666666</v>
      </c>
      <c r="B333" s="34" t="s">
        <v>942</v>
      </c>
      <c r="C333" s="35" t="s">
        <v>943</v>
      </c>
      <c r="D333" s="34" t="s">
        <v>944</v>
      </c>
      <c r="E333" s="11" t="s">
        <v>33</v>
      </c>
    </row>
    <row r="334">
      <c r="A334" s="19">
        <v>0.8541666666666666</v>
      </c>
      <c r="B334" s="34" t="s">
        <v>945</v>
      </c>
      <c r="C334" s="35" t="s">
        <v>572</v>
      </c>
      <c r="D334" s="34" t="s">
        <v>946</v>
      </c>
      <c r="E334" s="11" t="s">
        <v>37</v>
      </c>
    </row>
    <row r="335">
      <c r="A335" s="19">
        <v>0.8638888888888889</v>
      </c>
      <c r="B335" s="34" t="s">
        <v>945</v>
      </c>
      <c r="C335" s="35" t="s">
        <v>947</v>
      </c>
      <c r="D335" s="34" t="s">
        <v>944</v>
      </c>
      <c r="E335" s="11" t="s">
        <v>33</v>
      </c>
    </row>
    <row r="336">
      <c r="A336" s="19">
        <v>0.8638888888888889</v>
      </c>
      <c r="B336" s="34" t="s">
        <v>948</v>
      </c>
      <c r="C336" s="35" t="s">
        <v>201</v>
      </c>
      <c r="D336" s="34" t="s">
        <v>946</v>
      </c>
      <c r="E336" s="11" t="s">
        <v>37</v>
      </c>
    </row>
    <row r="337">
      <c r="A337" s="19">
        <v>0.8743055555555556</v>
      </c>
      <c r="B337" s="34" t="s">
        <v>948</v>
      </c>
      <c r="C337" s="35" t="s">
        <v>949</v>
      </c>
      <c r="D337" s="34" t="s">
        <v>945</v>
      </c>
      <c r="E337" s="11" t="s">
        <v>33</v>
      </c>
    </row>
    <row r="338">
      <c r="A338" s="19">
        <v>0.8743055555555556</v>
      </c>
      <c r="B338" s="34" t="s">
        <v>946</v>
      </c>
      <c r="C338" s="35" t="s">
        <v>66</v>
      </c>
      <c r="D338" s="34" t="s">
        <v>942</v>
      </c>
      <c r="E338" s="11" t="s">
        <v>37</v>
      </c>
    </row>
    <row r="339">
      <c r="A339" s="19">
        <v>0.8847222222222222</v>
      </c>
      <c r="B339" s="34" t="s">
        <v>948</v>
      </c>
      <c r="C339" s="35" t="s">
        <v>87</v>
      </c>
      <c r="D339" s="34" t="s">
        <v>944</v>
      </c>
      <c r="E339" s="11" t="s">
        <v>33</v>
      </c>
    </row>
    <row r="340">
      <c r="A340" s="19">
        <v>0.8847222222222222</v>
      </c>
      <c r="B340" s="34" t="s">
        <v>942</v>
      </c>
      <c r="C340" s="35" t="s">
        <v>240</v>
      </c>
      <c r="D340" s="34" t="s">
        <v>945</v>
      </c>
      <c r="E340" s="11" t="s">
        <v>37</v>
      </c>
    </row>
    <row r="341">
      <c r="A341" s="19">
        <v>0.8944444444444445</v>
      </c>
      <c r="B341" s="34" t="s">
        <v>946</v>
      </c>
      <c r="C341" s="35" t="s">
        <v>495</v>
      </c>
      <c r="D341" s="34" t="s">
        <v>944</v>
      </c>
      <c r="E341" s="11" t="s">
        <v>33</v>
      </c>
    </row>
    <row r="342">
      <c r="A342" s="19">
        <v>0.8944444444444445</v>
      </c>
      <c r="B342" s="34" t="s">
        <v>942</v>
      </c>
      <c r="C342" s="35" t="s">
        <v>330</v>
      </c>
      <c r="D342" s="34" t="s">
        <v>948</v>
      </c>
      <c r="E342" s="11" t="s">
        <v>37</v>
      </c>
    </row>
    <row r="343">
      <c r="A343" s="19">
        <v>0.9048611111111111</v>
      </c>
      <c r="B343" s="34" t="s">
        <v>944</v>
      </c>
      <c r="C343" s="35" t="s">
        <v>51</v>
      </c>
      <c r="D343" s="34" t="s">
        <v>942</v>
      </c>
      <c r="E343" s="11" t="s">
        <v>33</v>
      </c>
    </row>
    <row r="344">
      <c r="A344" s="19">
        <v>0.9048611111111111</v>
      </c>
      <c r="B344" s="34" t="s">
        <v>946</v>
      </c>
      <c r="C344" s="35" t="s">
        <v>64</v>
      </c>
      <c r="D344" s="34" t="s">
        <v>945</v>
      </c>
      <c r="E344" s="11" t="s">
        <v>37</v>
      </c>
    </row>
    <row r="345">
      <c r="A345" s="19">
        <v>0.9152777777777777</v>
      </c>
      <c r="B345" s="34" t="s">
        <v>944</v>
      </c>
      <c r="C345" s="35" t="s">
        <v>243</v>
      </c>
      <c r="D345" s="34" t="s">
        <v>945</v>
      </c>
      <c r="E345" s="11" t="s">
        <v>33</v>
      </c>
    </row>
    <row r="346">
      <c r="A346" s="19">
        <v>0.9152777777777777</v>
      </c>
      <c r="B346" s="34" t="s">
        <v>946</v>
      </c>
      <c r="C346" s="35" t="s">
        <v>370</v>
      </c>
      <c r="D346" s="34" t="s">
        <v>948</v>
      </c>
      <c r="E346" s="11" t="s">
        <v>37</v>
      </c>
    </row>
    <row r="347">
      <c r="A347" s="19">
        <v>0.925</v>
      </c>
      <c r="B347" s="34" t="s">
        <v>945</v>
      </c>
      <c r="C347" s="35" t="s">
        <v>273</v>
      </c>
      <c r="D347" s="34" t="s">
        <v>948</v>
      </c>
      <c r="E347" s="11" t="s">
        <v>33</v>
      </c>
    </row>
    <row r="348">
      <c r="A348" s="19">
        <v>0.925</v>
      </c>
      <c r="B348" s="34" t="s">
        <v>942</v>
      </c>
      <c r="C348" s="35" t="s">
        <v>22</v>
      </c>
      <c r="D348" s="34" t="s">
        <v>946</v>
      </c>
      <c r="E348" s="11" t="s">
        <v>37</v>
      </c>
    </row>
    <row r="349">
      <c r="A349" s="19">
        <v>0.9354166666666667</v>
      </c>
      <c r="B349" s="34" t="s">
        <v>944</v>
      </c>
      <c r="C349" s="35" t="s">
        <v>68</v>
      </c>
      <c r="D349" s="34" t="s">
        <v>948</v>
      </c>
      <c r="E349" s="11" t="s">
        <v>33</v>
      </c>
    </row>
    <row r="350">
      <c r="A350" s="19">
        <v>0.9354166666666667</v>
      </c>
      <c r="B350" s="34" t="s">
        <v>945</v>
      </c>
      <c r="C350" s="35" t="s">
        <v>950</v>
      </c>
      <c r="D350" s="34" t="s">
        <v>942</v>
      </c>
      <c r="E350" s="11" t="s">
        <v>37</v>
      </c>
    </row>
    <row r="351">
      <c r="A351" s="19">
        <v>0.9458333333333333</v>
      </c>
      <c r="B351" s="34" t="s">
        <v>944</v>
      </c>
      <c r="C351" s="35" t="s">
        <v>68</v>
      </c>
      <c r="D351" s="34" t="s">
        <v>946</v>
      </c>
      <c r="E351" s="11" t="s">
        <v>33</v>
      </c>
    </row>
    <row r="352">
      <c r="A352" s="19">
        <v>0.9458333333333333</v>
      </c>
      <c r="B352" s="34" t="s">
        <v>948</v>
      </c>
      <c r="C352" s="35" t="s">
        <v>19</v>
      </c>
      <c r="D352" s="34" t="s">
        <v>942</v>
      </c>
      <c r="E352" s="11" t="s">
        <v>37</v>
      </c>
    </row>
    <row r="353">
      <c r="A353" s="27"/>
      <c r="B353" s="28" t="s">
        <v>156</v>
      </c>
      <c r="C353" s="2"/>
      <c r="D353" s="3"/>
      <c r="E353" s="29"/>
    </row>
    <row r="354">
      <c r="A354" s="18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9">
        <v>0.9583333333333334</v>
      </c>
      <c r="B355" s="34" t="s">
        <v>356</v>
      </c>
      <c r="C355" s="35" t="s">
        <v>190</v>
      </c>
      <c r="D355" s="34" t="s">
        <v>484</v>
      </c>
      <c r="E355" s="11" t="s">
        <v>9</v>
      </c>
    </row>
    <row r="356">
      <c r="A356" s="19">
        <v>0.9583333333333334</v>
      </c>
      <c r="B356" s="34" t="s">
        <v>795</v>
      </c>
      <c r="C356" s="35" t="s">
        <v>68</v>
      </c>
      <c r="D356" s="34" t="s">
        <v>705</v>
      </c>
      <c r="E356" s="11" t="s">
        <v>13</v>
      </c>
    </row>
    <row r="357">
      <c r="A357" s="19">
        <v>0.9680555555555556</v>
      </c>
      <c r="B357" s="34" t="s">
        <v>795</v>
      </c>
      <c r="C357" s="35" t="s">
        <v>87</v>
      </c>
      <c r="D357" s="34" t="s">
        <v>484</v>
      </c>
      <c r="E357" s="11" t="s">
        <v>9</v>
      </c>
    </row>
    <row r="358">
      <c r="A358" s="19">
        <v>0.9680555555555556</v>
      </c>
      <c r="B358" s="34" t="s">
        <v>349</v>
      </c>
      <c r="C358" s="35" t="s">
        <v>81</v>
      </c>
      <c r="D358" s="34" t="s">
        <v>705</v>
      </c>
      <c r="E358" s="11" t="s">
        <v>13</v>
      </c>
    </row>
    <row r="359">
      <c r="A359" s="19">
        <v>0.9784722222222222</v>
      </c>
      <c r="B359" s="34" t="s">
        <v>349</v>
      </c>
      <c r="C359" s="35" t="s">
        <v>194</v>
      </c>
      <c r="D359" s="34" t="s">
        <v>795</v>
      </c>
      <c r="E359" s="11" t="s">
        <v>9</v>
      </c>
    </row>
    <row r="360">
      <c r="A360" s="19">
        <v>0.9784722222222222</v>
      </c>
      <c r="B360" s="34" t="s">
        <v>705</v>
      </c>
      <c r="C360" s="35" t="s">
        <v>951</v>
      </c>
      <c r="D360" s="34" t="s">
        <v>356</v>
      </c>
      <c r="E360" s="11" t="s">
        <v>13</v>
      </c>
    </row>
    <row r="361">
      <c r="A361" s="19">
        <v>0.9888888888888889</v>
      </c>
      <c r="B361" s="34" t="s">
        <v>349</v>
      </c>
      <c r="C361" s="35" t="s">
        <v>197</v>
      </c>
      <c r="D361" s="34" t="s">
        <v>484</v>
      </c>
      <c r="E361" s="11" t="s">
        <v>9</v>
      </c>
    </row>
    <row r="362">
      <c r="A362" s="19">
        <v>0.9888888888888889</v>
      </c>
      <c r="B362" s="34" t="s">
        <v>356</v>
      </c>
      <c r="C362" s="35" t="s">
        <v>952</v>
      </c>
      <c r="D362" s="34" t="s">
        <v>795</v>
      </c>
      <c r="E362" s="11" t="s">
        <v>13</v>
      </c>
    </row>
    <row r="363">
      <c r="A363" s="19">
        <v>0.9986111111111111</v>
      </c>
      <c r="B363" s="34" t="s">
        <v>705</v>
      </c>
      <c r="C363" s="35" t="s">
        <v>215</v>
      </c>
      <c r="D363" s="34" t="s">
        <v>484</v>
      </c>
      <c r="E363" s="11" t="s">
        <v>9</v>
      </c>
    </row>
    <row r="364">
      <c r="A364" s="19">
        <v>0.9986111111111111</v>
      </c>
      <c r="B364" s="34" t="s">
        <v>356</v>
      </c>
      <c r="C364" s="35" t="s">
        <v>43</v>
      </c>
      <c r="D364" s="34" t="s">
        <v>349</v>
      </c>
      <c r="E364" s="11" t="s">
        <v>13</v>
      </c>
    </row>
    <row r="365">
      <c r="A365" s="19">
        <v>0.009027777777777777</v>
      </c>
      <c r="B365" s="34" t="s">
        <v>484</v>
      </c>
      <c r="C365" s="35" t="s">
        <v>87</v>
      </c>
      <c r="D365" s="34" t="s">
        <v>356</v>
      </c>
      <c r="E365" s="11" t="s">
        <v>9</v>
      </c>
    </row>
    <row r="366">
      <c r="A366" s="19">
        <v>0.009027777777777777</v>
      </c>
      <c r="B366" s="34" t="s">
        <v>705</v>
      </c>
      <c r="C366" s="35" t="s">
        <v>196</v>
      </c>
      <c r="D366" s="34" t="s">
        <v>795</v>
      </c>
      <c r="E366" s="11" t="s">
        <v>13</v>
      </c>
    </row>
    <row r="367">
      <c r="A367" s="19">
        <v>0.019444444444444445</v>
      </c>
      <c r="B367" s="34" t="s">
        <v>484</v>
      </c>
      <c r="C367" s="35" t="s">
        <v>19</v>
      </c>
      <c r="D367" s="34" t="s">
        <v>795</v>
      </c>
      <c r="E367" s="11" t="s">
        <v>9</v>
      </c>
    </row>
    <row r="368">
      <c r="A368" s="19">
        <v>0.019444444444444445</v>
      </c>
      <c r="B368" s="34" t="s">
        <v>705</v>
      </c>
      <c r="C368" s="35" t="s">
        <v>16</v>
      </c>
      <c r="D368" s="34" t="s">
        <v>349</v>
      </c>
      <c r="E368" s="11" t="s">
        <v>13</v>
      </c>
    </row>
    <row r="369">
      <c r="A369" s="19">
        <v>0.029166666666666667</v>
      </c>
      <c r="B369" s="34" t="s">
        <v>795</v>
      </c>
      <c r="C369" s="35" t="s">
        <v>16</v>
      </c>
      <c r="D369" s="34" t="s">
        <v>349</v>
      </c>
      <c r="E369" s="11" t="s">
        <v>9</v>
      </c>
    </row>
    <row r="370">
      <c r="A370" s="19">
        <v>0.029166666666666667</v>
      </c>
      <c r="B370" s="34" t="s">
        <v>356</v>
      </c>
      <c r="C370" s="35" t="s">
        <v>87</v>
      </c>
      <c r="D370" s="34" t="s">
        <v>705</v>
      </c>
      <c r="E370" s="11" t="s">
        <v>13</v>
      </c>
    </row>
    <row r="371">
      <c r="A371" s="19">
        <v>0.03958333333333333</v>
      </c>
      <c r="B371" s="34" t="s">
        <v>484</v>
      </c>
      <c r="C371" s="35" t="s">
        <v>291</v>
      </c>
      <c r="D371" s="34" t="s">
        <v>349</v>
      </c>
      <c r="E371" s="11" t="s">
        <v>9</v>
      </c>
    </row>
    <row r="372">
      <c r="A372" s="19">
        <v>0.03958333333333333</v>
      </c>
      <c r="B372" s="34" t="s">
        <v>795</v>
      </c>
      <c r="C372" s="35" t="s">
        <v>87</v>
      </c>
      <c r="D372" s="34" t="s">
        <v>356</v>
      </c>
      <c r="E372" s="11" t="s">
        <v>13</v>
      </c>
    </row>
    <row r="373">
      <c r="A373" s="19">
        <v>0.05</v>
      </c>
      <c r="B373" s="34" t="s">
        <v>484</v>
      </c>
      <c r="C373" s="35" t="s">
        <v>953</v>
      </c>
      <c r="D373" s="34" t="s">
        <v>705</v>
      </c>
      <c r="E373" s="11" t="s">
        <v>9</v>
      </c>
    </row>
    <row r="374">
      <c r="A374" s="19">
        <v>0.05</v>
      </c>
      <c r="B374" s="34" t="s">
        <v>349</v>
      </c>
      <c r="C374" s="35" t="s">
        <v>232</v>
      </c>
      <c r="D374" s="34" t="s">
        <v>356</v>
      </c>
      <c r="E374" s="11" t="s">
        <v>13</v>
      </c>
    </row>
    <row r="375">
      <c r="B375" s="28" t="s">
        <v>156</v>
      </c>
      <c r="C375" s="2"/>
      <c r="D375" s="3"/>
      <c r="E375" s="29"/>
    </row>
    <row r="376">
      <c r="A376" s="18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9">
        <v>0.9583333333333334</v>
      </c>
      <c r="B377" s="34" t="s">
        <v>954</v>
      </c>
      <c r="C377" s="35" t="s">
        <v>196</v>
      </c>
      <c r="D377" s="34" t="s">
        <v>490</v>
      </c>
      <c r="E377" s="11" t="s">
        <v>33</v>
      </c>
    </row>
    <row r="378">
      <c r="A378" s="19">
        <v>0.9583333333333334</v>
      </c>
      <c r="B378" s="34" t="s">
        <v>607</v>
      </c>
      <c r="C378" s="35" t="s">
        <v>25</v>
      </c>
      <c r="D378" s="34" t="s">
        <v>800</v>
      </c>
      <c r="E378" s="11" t="s">
        <v>37</v>
      </c>
    </row>
    <row r="379">
      <c r="A379" s="19">
        <v>0.9680555555555556</v>
      </c>
      <c r="B379" s="34" t="s">
        <v>607</v>
      </c>
      <c r="C379" s="35" t="s">
        <v>400</v>
      </c>
      <c r="D379" s="34" t="s">
        <v>490</v>
      </c>
      <c r="E379" s="11" t="s">
        <v>33</v>
      </c>
    </row>
    <row r="380">
      <c r="A380" s="19">
        <v>0.9680555555555556</v>
      </c>
      <c r="B380" s="34" t="s">
        <v>955</v>
      </c>
      <c r="C380" s="35" t="s">
        <v>752</v>
      </c>
      <c r="D380" s="34" t="s">
        <v>800</v>
      </c>
      <c r="E380" s="11" t="s">
        <v>37</v>
      </c>
    </row>
    <row r="381">
      <c r="A381" s="19">
        <v>0.9784722222222222</v>
      </c>
      <c r="B381" s="34" t="s">
        <v>955</v>
      </c>
      <c r="C381" s="35" t="s">
        <v>17</v>
      </c>
      <c r="D381" s="34" t="s">
        <v>607</v>
      </c>
      <c r="E381" s="11" t="s">
        <v>33</v>
      </c>
    </row>
    <row r="382">
      <c r="A382" s="19">
        <v>0.9784722222222222</v>
      </c>
      <c r="B382" s="34" t="s">
        <v>800</v>
      </c>
      <c r="C382" s="35" t="s">
        <v>460</v>
      </c>
      <c r="D382" s="34" t="s">
        <v>954</v>
      </c>
      <c r="E382" s="11" t="s">
        <v>37</v>
      </c>
    </row>
    <row r="383">
      <c r="A383" s="19">
        <v>0.9888888888888889</v>
      </c>
      <c r="B383" s="34" t="s">
        <v>955</v>
      </c>
      <c r="C383" s="35" t="s">
        <v>259</v>
      </c>
      <c r="D383" s="34" t="s">
        <v>490</v>
      </c>
      <c r="E383" s="11" t="s">
        <v>33</v>
      </c>
    </row>
    <row r="384">
      <c r="A384" s="19">
        <v>0.9888888888888889</v>
      </c>
      <c r="B384" s="34" t="s">
        <v>954</v>
      </c>
      <c r="C384" s="35" t="s">
        <v>282</v>
      </c>
      <c r="D384" s="34" t="s">
        <v>607</v>
      </c>
      <c r="E384" s="11" t="s">
        <v>37</v>
      </c>
    </row>
    <row r="385">
      <c r="A385" s="19">
        <v>0.9986111111111111</v>
      </c>
      <c r="B385" s="34" t="s">
        <v>800</v>
      </c>
      <c r="C385" s="35" t="s">
        <v>84</v>
      </c>
      <c r="D385" s="34" t="s">
        <v>490</v>
      </c>
      <c r="E385" s="11" t="s">
        <v>33</v>
      </c>
    </row>
    <row r="386">
      <c r="A386" s="19">
        <v>0.9986111111111111</v>
      </c>
      <c r="B386" s="34" t="s">
        <v>954</v>
      </c>
      <c r="C386" s="35" t="s">
        <v>193</v>
      </c>
      <c r="D386" s="34" t="s">
        <v>955</v>
      </c>
      <c r="E386" s="11" t="s">
        <v>37</v>
      </c>
    </row>
    <row r="387">
      <c r="A387" s="19">
        <v>0.009027777777777777</v>
      </c>
      <c r="B387" s="34" t="s">
        <v>490</v>
      </c>
      <c r="C387" s="35" t="s">
        <v>542</v>
      </c>
      <c r="D387" s="34" t="s">
        <v>954</v>
      </c>
      <c r="E387" s="11" t="s">
        <v>33</v>
      </c>
    </row>
    <row r="388">
      <c r="A388" s="19">
        <v>0.009027777777777777</v>
      </c>
      <c r="B388" s="34" t="s">
        <v>800</v>
      </c>
      <c r="C388" s="35" t="s">
        <v>7</v>
      </c>
      <c r="D388" s="34" t="s">
        <v>607</v>
      </c>
      <c r="E388" s="11" t="s">
        <v>37</v>
      </c>
    </row>
    <row r="389">
      <c r="A389" s="19">
        <v>0.019444444444444445</v>
      </c>
      <c r="B389" s="34" t="s">
        <v>490</v>
      </c>
      <c r="C389" s="35" t="s">
        <v>68</v>
      </c>
      <c r="D389" s="34" t="s">
        <v>607</v>
      </c>
      <c r="E389" s="11" t="s">
        <v>33</v>
      </c>
    </row>
    <row r="390">
      <c r="A390" s="19">
        <v>0.019444444444444445</v>
      </c>
      <c r="B390" s="34" t="s">
        <v>800</v>
      </c>
      <c r="C390" s="35" t="s">
        <v>43</v>
      </c>
      <c r="D390" s="34" t="s">
        <v>955</v>
      </c>
      <c r="E390" s="11" t="s">
        <v>37</v>
      </c>
    </row>
    <row r="391">
      <c r="A391" s="19">
        <v>0.029166666666666667</v>
      </c>
      <c r="B391" s="34" t="s">
        <v>607</v>
      </c>
      <c r="C391" s="35" t="s">
        <v>260</v>
      </c>
      <c r="D391" s="34" t="s">
        <v>955</v>
      </c>
      <c r="E391" s="11" t="s">
        <v>33</v>
      </c>
    </row>
    <row r="392">
      <c r="A392" s="19">
        <v>0.029166666666666667</v>
      </c>
      <c r="B392" s="34" t="s">
        <v>954</v>
      </c>
      <c r="C392" s="35" t="s">
        <v>354</v>
      </c>
      <c r="D392" s="34" t="s">
        <v>800</v>
      </c>
      <c r="E392" s="11" t="s">
        <v>37</v>
      </c>
    </row>
    <row r="393">
      <c r="A393" s="19">
        <v>0.03958333333333333</v>
      </c>
      <c r="B393" s="34" t="s">
        <v>490</v>
      </c>
      <c r="C393" s="35" t="s">
        <v>352</v>
      </c>
      <c r="D393" s="34" t="s">
        <v>955</v>
      </c>
      <c r="E393" s="11" t="s">
        <v>33</v>
      </c>
    </row>
    <row r="394">
      <c r="A394" s="19">
        <v>0.03958333333333333</v>
      </c>
      <c r="B394" s="34" t="s">
        <v>607</v>
      </c>
      <c r="C394" s="35" t="s">
        <v>238</v>
      </c>
      <c r="D394" s="34" t="s">
        <v>954</v>
      </c>
      <c r="E394" s="11" t="s">
        <v>37</v>
      </c>
    </row>
    <row r="395">
      <c r="A395" s="19">
        <v>0.05</v>
      </c>
      <c r="B395" s="34" t="s">
        <v>490</v>
      </c>
      <c r="C395" s="35" t="s">
        <v>72</v>
      </c>
      <c r="D395" s="34" t="s">
        <v>800</v>
      </c>
      <c r="E395" s="11" t="s">
        <v>33</v>
      </c>
    </row>
    <row r="396">
      <c r="A396" s="19">
        <v>0.05</v>
      </c>
      <c r="B396" s="34" t="s">
        <v>955</v>
      </c>
      <c r="C396" s="35" t="s">
        <v>201</v>
      </c>
      <c r="D396" s="34" t="s">
        <v>954</v>
      </c>
      <c r="E396" s="11" t="s">
        <v>37</v>
      </c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8">
    <mergeCell ref="B1:D1"/>
    <mergeCell ref="B23:D23"/>
    <mergeCell ref="B45:D45"/>
    <mergeCell ref="A67:E67"/>
    <mergeCell ref="B89:E89"/>
    <mergeCell ref="B111:E111"/>
    <mergeCell ref="B133:E133"/>
    <mergeCell ref="B309:D309"/>
    <mergeCell ref="B331:D331"/>
    <mergeCell ref="B353:D353"/>
    <mergeCell ref="B375:D375"/>
    <mergeCell ref="B155:E155"/>
    <mergeCell ref="B177:E177"/>
    <mergeCell ref="B199:E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7"/>
    <hyperlink r:id="rId97" ref="E108"/>
    <hyperlink r:id="rId98" ref="E109"/>
    <hyperlink r:id="rId99" ref="E110"/>
    <hyperlink r:id="rId100" ref="E113"/>
    <hyperlink r:id="rId101" ref="E114"/>
    <hyperlink r:id="rId102" ref="E115"/>
    <hyperlink r:id="rId103" ref="E116"/>
    <hyperlink r:id="rId104" ref="E117"/>
    <hyperlink r:id="rId105" ref="E118"/>
    <hyperlink r:id="rId106" ref="E119"/>
    <hyperlink r:id="rId107" ref="E120"/>
    <hyperlink r:id="rId108" ref="E121"/>
    <hyperlink r:id="rId109" ref="E122"/>
    <hyperlink r:id="rId110" ref="E123"/>
    <hyperlink r:id="rId111" ref="E124"/>
    <hyperlink r:id="rId112" ref="E125"/>
    <hyperlink r:id="rId113" ref="E126"/>
    <hyperlink r:id="rId114" ref="E127"/>
    <hyperlink r:id="rId115" ref="E128"/>
    <hyperlink r:id="rId116" ref="E129"/>
    <hyperlink r:id="rId117" ref="E130"/>
    <hyperlink r:id="rId118" ref="E131"/>
    <hyperlink r:id="rId119" ref="E132"/>
    <hyperlink r:id="rId120" ref="E135"/>
    <hyperlink r:id="rId121" ref="E136"/>
    <hyperlink r:id="rId122" ref="E137"/>
    <hyperlink r:id="rId123" ref="E138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300"/>
    <hyperlink r:id="rId271" ref="E301"/>
    <hyperlink r:id="rId272" ref="E302"/>
    <hyperlink r:id="rId273" ref="E303"/>
    <hyperlink r:id="rId274" ref="E304"/>
    <hyperlink r:id="rId275" ref="E305"/>
    <hyperlink r:id="rId276" ref="E306"/>
    <hyperlink r:id="rId277" ref="E307"/>
    <hyperlink r:id="rId278" ref="E308"/>
    <hyperlink r:id="rId279" ref="E311"/>
    <hyperlink r:id="rId280" ref="E312"/>
    <hyperlink r:id="rId281" ref="E313"/>
    <hyperlink r:id="rId282" ref="E314"/>
    <hyperlink r:id="rId283" ref="E315"/>
    <hyperlink r:id="rId284" ref="E316"/>
    <hyperlink r:id="rId285" ref="E317"/>
    <hyperlink r:id="rId286" ref="E318"/>
    <hyperlink r:id="rId287" ref="E319"/>
    <hyperlink r:id="rId288" ref="E320"/>
    <hyperlink r:id="rId289" ref="E321"/>
    <hyperlink r:id="rId290" ref="E322"/>
    <hyperlink r:id="rId291" ref="E323"/>
    <hyperlink r:id="rId292" ref="E324"/>
    <hyperlink r:id="rId293" ref="E325"/>
    <hyperlink r:id="rId294" ref="E326"/>
    <hyperlink r:id="rId295" ref="E327"/>
    <hyperlink r:id="rId296" ref="E328"/>
    <hyperlink r:id="rId297" ref="E329"/>
    <hyperlink r:id="rId298" ref="E330"/>
    <hyperlink r:id="rId299" ref="E333"/>
    <hyperlink r:id="rId300" ref="E334"/>
    <hyperlink r:id="rId301" ref="E335"/>
    <hyperlink r:id="rId302" ref="E336"/>
    <hyperlink r:id="rId303" ref="E337"/>
    <hyperlink r:id="rId304" ref="E338"/>
    <hyperlink r:id="rId305" ref="E339"/>
    <hyperlink r:id="rId306" ref="E340"/>
    <hyperlink r:id="rId307" ref="E341"/>
    <hyperlink r:id="rId308" ref="E342"/>
    <hyperlink r:id="rId309" ref="E343"/>
    <hyperlink r:id="rId310" ref="E344"/>
    <hyperlink r:id="rId311" ref="E345"/>
    <hyperlink r:id="rId312" ref="E346"/>
    <hyperlink r:id="rId313" ref="E347"/>
    <hyperlink r:id="rId314" ref="E348"/>
    <hyperlink r:id="rId315" ref="E349"/>
    <hyperlink r:id="rId316" ref="E350"/>
    <hyperlink r:id="rId317" ref="E351"/>
    <hyperlink r:id="rId318" ref="E352"/>
    <hyperlink r:id="rId319" ref="E355"/>
    <hyperlink r:id="rId320" ref="E356"/>
    <hyperlink r:id="rId321" ref="E357"/>
    <hyperlink r:id="rId322" ref="E358"/>
    <hyperlink r:id="rId323" ref="E359"/>
    <hyperlink r:id="rId324" ref="E360"/>
    <hyperlink r:id="rId325" ref="E361"/>
    <hyperlink r:id="rId326" ref="E362"/>
    <hyperlink r:id="rId327" ref="E363"/>
    <hyperlink r:id="rId328" ref="E364"/>
    <hyperlink r:id="rId329" ref="E365"/>
    <hyperlink r:id="rId330" ref="E366"/>
    <hyperlink r:id="rId331" ref="E367"/>
    <hyperlink r:id="rId332" ref="E368"/>
    <hyperlink r:id="rId333" ref="E369"/>
    <hyperlink r:id="rId334" ref="E370"/>
    <hyperlink r:id="rId335" ref="E371"/>
    <hyperlink r:id="rId336" ref="E372"/>
    <hyperlink r:id="rId337" ref="E373"/>
    <hyperlink r:id="rId338" ref="E374"/>
    <hyperlink r:id="rId339" ref="E377"/>
    <hyperlink r:id="rId340" ref="E378"/>
    <hyperlink r:id="rId341" ref="E379"/>
    <hyperlink r:id="rId342" ref="E380"/>
    <hyperlink r:id="rId343" ref="E381"/>
    <hyperlink r:id="rId344" ref="E382"/>
    <hyperlink r:id="rId345" ref="E383"/>
    <hyperlink r:id="rId346" ref="E384"/>
    <hyperlink r:id="rId347" ref="E385"/>
    <hyperlink r:id="rId348" ref="E386"/>
    <hyperlink r:id="rId349" ref="E387"/>
    <hyperlink r:id="rId350" ref="E388"/>
    <hyperlink r:id="rId351" ref="E389"/>
    <hyperlink r:id="rId352" ref="E390"/>
    <hyperlink r:id="rId353" ref="E391"/>
    <hyperlink r:id="rId354" ref="E392"/>
    <hyperlink r:id="rId355" ref="E393"/>
    <hyperlink r:id="rId356" ref="E394"/>
    <hyperlink r:id="rId357" ref="E395"/>
    <hyperlink r:id="rId358" ref="E396"/>
  </hyperlinks>
  <drawing r:id="rId359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46"/>
      <c r="B1" s="1" t="s">
        <v>0</v>
      </c>
      <c r="C1" s="2"/>
      <c r="D1" s="3"/>
      <c r="E1" s="29"/>
    </row>
    <row r="2">
      <c r="A2" s="47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19">
        <v>0.0625</v>
      </c>
      <c r="B3" s="32" t="s">
        <v>956</v>
      </c>
      <c r="C3" s="33" t="s">
        <v>405</v>
      </c>
      <c r="D3" s="34" t="s">
        <v>957</v>
      </c>
      <c r="E3" s="11" t="s">
        <v>9</v>
      </c>
    </row>
    <row r="4">
      <c r="A4" s="19">
        <v>0.0625</v>
      </c>
      <c r="B4" s="32" t="s">
        <v>10</v>
      </c>
      <c r="C4" s="33" t="s">
        <v>87</v>
      </c>
      <c r="D4" s="32" t="s">
        <v>958</v>
      </c>
      <c r="E4" s="11" t="s">
        <v>13</v>
      </c>
    </row>
    <row r="5">
      <c r="A5" s="19">
        <v>0.07222222222222222</v>
      </c>
      <c r="B5" s="34" t="s">
        <v>10</v>
      </c>
      <c r="C5" s="33" t="s">
        <v>295</v>
      </c>
      <c r="D5" s="32" t="s">
        <v>957</v>
      </c>
      <c r="E5" s="11" t="s">
        <v>9</v>
      </c>
    </row>
    <row r="6">
      <c r="A6" s="19">
        <v>0.07222222222222222</v>
      </c>
      <c r="B6" s="32" t="s">
        <v>959</v>
      </c>
      <c r="C6" s="33" t="s">
        <v>11</v>
      </c>
      <c r="D6" s="34" t="s">
        <v>958</v>
      </c>
      <c r="E6" s="11" t="s">
        <v>13</v>
      </c>
    </row>
    <row r="7">
      <c r="A7" s="19">
        <v>0.08263888888888889</v>
      </c>
      <c r="B7" s="34" t="s">
        <v>959</v>
      </c>
      <c r="C7" s="33" t="s">
        <v>212</v>
      </c>
      <c r="D7" s="32" t="s">
        <v>10</v>
      </c>
      <c r="E7" s="11" t="s">
        <v>9</v>
      </c>
    </row>
    <row r="8">
      <c r="A8" s="19">
        <v>0.08263888888888889</v>
      </c>
      <c r="B8" s="32" t="s">
        <v>958</v>
      </c>
      <c r="C8" s="33" t="s">
        <v>285</v>
      </c>
      <c r="D8" s="45" t="s">
        <v>956</v>
      </c>
      <c r="E8" s="11" t="s">
        <v>13</v>
      </c>
    </row>
    <row r="9">
      <c r="A9" s="19">
        <v>0.09305555555555556</v>
      </c>
      <c r="B9" s="34" t="s">
        <v>959</v>
      </c>
      <c r="C9" s="33" t="s">
        <v>81</v>
      </c>
      <c r="D9" s="34" t="s">
        <v>957</v>
      </c>
      <c r="E9" s="11" t="s">
        <v>9</v>
      </c>
    </row>
    <row r="10">
      <c r="A10" s="19">
        <v>0.09305555555555556</v>
      </c>
      <c r="B10" s="32" t="s">
        <v>956</v>
      </c>
      <c r="C10" s="33" t="s">
        <v>201</v>
      </c>
      <c r="D10" s="32" t="s">
        <v>10</v>
      </c>
      <c r="E10" s="11" t="s">
        <v>13</v>
      </c>
    </row>
    <row r="11">
      <c r="A11" s="19">
        <v>0.10277777777777777</v>
      </c>
      <c r="B11" s="34" t="s">
        <v>958</v>
      </c>
      <c r="C11" s="33" t="s">
        <v>66</v>
      </c>
      <c r="D11" s="32" t="s">
        <v>957</v>
      </c>
      <c r="E11" s="11" t="s">
        <v>9</v>
      </c>
    </row>
    <row r="12">
      <c r="A12" s="19">
        <v>0.10277777777777777</v>
      </c>
      <c r="B12" s="32" t="s">
        <v>956</v>
      </c>
      <c r="C12" s="33" t="s">
        <v>249</v>
      </c>
      <c r="D12" s="34" t="s">
        <v>959</v>
      </c>
      <c r="E12" s="11" t="s">
        <v>13</v>
      </c>
    </row>
    <row r="13">
      <c r="A13" s="19">
        <v>0.11319444444444444</v>
      </c>
      <c r="B13" s="34" t="s">
        <v>957</v>
      </c>
      <c r="C13" s="33" t="s">
        <v>16</v>
      </c>
      <c r="D13" s="32" t="s">
        <v>956</v>
      </c>
      <c r="E13" s="11" t="s">
        <v>9</v>
      </c>
    </row>
    <row r="14">
      <c r="A14" s="19">
        <v>0.11319444444444444</v>
      </c>
      <c r="B14" s="32" t="s">
        <v>958</v>
      </c>
      <c r="C14" s="33" t="s">
        <v>196</v>
      </c>
      <c r="D14" s="32" t="s">
        <v>10</v>
      </c>
      <c r="E14" s="11" t="s">
        <v>13</v>
      </c>
    </row>
    <row r="15">
      <c r="A15" s="19">
        <v>0.12361111111111112</v>
      </c>
      <c r="B15" s="32" t="s">
        <v>957</v>
      </c>
      <c r="C15" s="35" t="s">
        <v>21</v>
      </c>
      <c r="D15" s="34" t="s">
        <v>10</v>
      </c>
      <c r="E15" s="11" t="s">
        <v>9</v>
      </c>
    </row>
    <row r="16">
      <c r="A16" s="19">
        <v>0.12361111111111112</v>
      </c>
      <c r="B16" s="34" t="s">
        <v>958</v>
      </c>
      <c r="C16" s="35" t="s">
        <v>11</v>
      </c>
      <c r="D16" s="32" t="s">
        <v>959</v>
      </c>
      <c r="E16" s="11" t="s">
        <v>13</v>
      </c>
    </row>
    <row r="17">
      <c r="A17" s="19">
        <v>0.13333333333333333</v>
      </c>
      <c r="B17" s="32" t="s">
        <v>10</v>
      </c>
      <c r="C17" s="35" t="s">
        <v>273</v>
      </c>
      <c r="D17" s="34" t="s">
        <v>959</v>
      </c>
      <c r="E17" s="11" t="s">
        <v>9</v>
      </c>
    </row>
    <row r="18">
      <c r="A18" s="19">
        <v>0.13333333333333333</v>
      </c>
      <c r="B18" s="32" t="s">
        <v>956</v>
      </c>
      <c r="C18" s="35" t="s">
        <v>38</v>
      </c>
      <c r="D18" s="32" t="s">
        <v>958</v>
      </c>
      <c r="E18" s="11" t="s">
        <v>13</v>
      </c>
    </row>
    <row r="19">
      <c r="A19" s="19">
        <v>0.14375</v>
      </c>
      <c r="B19" s="34" t="s">
        <v>957</v>
      </c>
      <c r="C19" s="35" t="s">
        <v>534</v>
      </c>
      <c r="D19" s="34" t="s">
        <v>959</v>
      </c>
      <c r="E19" s="11" t="s">
        <v>9</v>
      </c>
    </row>
    <row r="20">
      <c r="A20" s="19">
        <v>0.14375</v>
      </c>
      <c r="B20" s="32" t="s">
        <v>10</v>
      </c>
      <c r="C20" s="35" t="s">
        <v>195</v>
      </c>
      <c r="D20" s="32" t="s">
        <v>956</v>
      </c>
      <c r="E20" s="11" t="s">
        <v>13</v>
      </c>
    </row>
    <row r="21">
      <c r="A21" s="19">
        <v>0.15416666666666667</v>
      </c>
      <c r="B21" s="32" t="s">
        <v>957</v>
      </c>
      <c r="C21" s="35" t="s">
        <v>62</v>
      </c>
      <c r="D21" s="34" t="s">
        <v>958</v>
      </c>
      <c r="E21" s="11" t="s">
        <v>9</v>
      </c>
    </row>
    <row r="22">
      <c r="A22" s="19">
        <v>0.15416666666666667</v>
      </c>
      <c r="B22" s="34" t="s">
        <v>959</v>
      </c>
      <c r="C22" s="35" t="s">
        <v>380</v>
      </c>
      <c r="D22" s="32" t="s">
        <v>956</v>
      </c>
      <c r="E22" s="11" t="s">
        <v>13</v>
      </c>
    </row>
    <row r="23">
      <c r="A23" s="27"/>
      <c r="B23" s="1" t="s">
        <v>29</v>
      </c>
      <c r="C23" s="2"/>
      <c r="D23" s="3"/>
      <c r="E23" s="48"/>
    </row>
    <row r="24">
      <c r="A24" s="18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9">
        <v>0.0625</v>
      </c>
      <c r="B25" s="32" t="s">
        <v>960</v>
      </c>
      <c r="C25" s="33" t="s">
        <v>20</v>
      </c>
      <c r="D25" s="32" t="s">
        <v>173</v>
      </c>
      <c r="E25" s="11" t="s">
        <v>33</v>
      </c>
    </row>
    <row r="26">
      <c r="A26" s="19">
        <v>0.0625</v>
      </c>
      <c r="B26" s="32" t="s">
        <v>961</v>
      </c>
      <c r="C26" s="33" t="s">
        <v>66</v>
      </c>
      <c r="D26" s="32" t="s">
        <v>613</v>
      </c>
      <c r="E26" s="11" t="s">
        <v>37</v>
      </c>
    </row>
    <row r="27">
      <c r="A27" s="19">
        <v>0.07222222222222222</v>
      </c>
      <c r="B27" s="34" t="s">
        <v>961</v>
      </c>
      <c r="C27" s="33" t="s">
        <v>24</v>
      </c>
      <c r="D27" s="34" t="s">
        <v>173</v>
      </c>
      <c r="E27" s="11" t="s">
        <v>33</v>
      </c>
    </row>
    <row r="28">
      <c r="A28" s="19">
        <v>0.07222222222222222</v>
      </c>
      <c r="B28" s="32" t="s">
        <v>962</v>
      </c>
      <c r="C28" s="33" t="s">
        <v>81</v>
      </c>
      <c r="D28" s="32" t="s">
        <v>613</v>
      </c>
      <c r="E28" s="11" t="s">
        <v>37</v>
      </c>
    </row>
    <row r="29">
      <c r="A29" s="19">
        <v>0.08263888888888889</v>
      </c>
      <c r="B29" s="34" t="s">
        <v>962</v>
      </c>
      <c r="C29" s="33" t="s">
        <v>260</v>
      </c>
      <c r="D29" s="32" t="s">
        <v>961</v>
      </c>
      <c r="E29" s="11" t="s">
        <v>33</v>
      </c>
    </row>
    <row r="30">
      <c r="A30" s="19">
        <v>0.08263888888888889</v>
      </c>
      <c r="B30" s="32" t="s">
        <v>613</v>
      </c>
      <c r="C30" s="33" t="s">
        <v>17</v>
      </c>
      <c r="D30" s="32" t="s">
        <v>960</v>
      </c>
      <c r="E30" s="11" t="s">
        <v>37</v>
      </c>
    </row>
    <row r="31">
      <c r="A31" s="19">
        <v>0.09305555555555556</v>
      </c>
      <c r="B31" s="34" t="s">
        <v>962</v>
      </c>
      <c r="C31" s="33" t="s">
        <v>25</v>
      </c>
      <c r="D31" s="32" t="s">
        <v>173</v>
      </c>
      <c r="E31" s="11" t="s">
        <v>33</v>
      </c>
    </row>
    <row r="32">
      <c r="A32" s="19">
        <v>0.09305555555555556</v>
      </c>
      <c r="B32" s="32" t="s">
        <v>960</v>
      </c>
      <c r="C32" s="33" t="s">
        <v>614</v>
      </c>
      <c r="D32" s="34" t="s">
        <v>961</v>
      </c>
      <c r="E32" s="11" t="s">
        <v>37</v>
      </c>
    </row>
    <row r="33">
      <c r="A33" s="19">
        <v>0.10277777777777777</v>
      </c>
      <c r="B33" s="32" t="s">
        <v>613</v>
      </c>
      <c r="C33" s="33" t="s">
        <v>62</v>
      </c>
      <c r="D33" s="32" t="s">
        <v>173</v>
      </c>
      <c r="E33" s="11" t="s">
        <v>33</v>
      </c>
    </row>
    <row r="34">
      <c r="A34" s="19">
        <v>0.10277777777777777</v>
      </c>
      <c r="B34" s="32" t="s">
        <v>960</v>
      </c>
      <c r="C34" s="33" t="s">
        <v>20</v>
      </c>
      <c r="D34" s="32" t="s">
        <v>962</v>
      </c>
      <c r="E34" s="11" t="s">
        <v>37</v>
      </c>
    </row>
    <row r="35">
      <c r="A35" s="19">
        <v>0.11319444444444444</v>
      </c>
      <c r="B35" s="32" t="s">
        <v>173</v>
      </c>
      <c r="C35" s="33" t="s">
        <v>11</v>
      </c>
      <c r="D35" s="32" t="s">
        <v>960</v>
      </c>
      <c r="E35" s="11" t="s">
        <v>33</v>
      </c>
    </row>
    <row r="36">
      <c r="A36" s="19">
        <v>0.11319444444444444</v>
      </c>
      <c r="B36" s="32" t="s">
        <v>613</v>
      </c>
      <c r="C36" s="33" t="s">
        <v>534</v>
      </c>
      <c r="D36" s="32" t="s">
        <v>961</v>
      </c>
      <c r="E36" s="11" t="s">
        <v>37</v>
      </c>
    </row>
    <row r="37">
      <c r="A37" s="19">
        <v>0.12361111111111112</v>
      </c>
      <c r="B37" s="34" t="s">
        <v>173</v>
      </c>
      <c r="C37" s="33" t="s">
        <v>14</v>
      </c>
      <c r="D37" s="34" t="s">
        <v>961</v>
      </c>
      <c r="E37" s="11" t="s">
        <v>33</v>
      </c>
    </row>
    <row r="38">
      <c r="A38" s="19">
        <v>0.12361111111111112</v>
      </c>
      <c r="B38" s="32" t="s">
        <v>613</v>
      </c>
      <c r="C38" s="33" t="s">
        <v>43</v>
      </c>
      <c r="D38" s="32" t="s">
        <v>962</v>
      </c>
      <c r="E38" s="11" t="s">
        <v>37</v>
      </c>
    </row>
    <row r="39">
      <c r="A39" s="19">
        <v>0.13333333333333333</v>
      </c>
      <c r="B39" s="32" t="s">
        <v>961</v>
      </c>
      <c r="C39" s="33" t="s">
        <v>472</v>
      </c>
      <c r="D39" s="34" t="s">
        <v>962</v>
      </c>
      <c r="E39" s="11" t="s">
        <v>33</v>
      </c>
    </row>
    <row r="40">
      <c r="A40" s="19">
        <v>0.13333333333333333</v>
      </c>
      <c r="B40" s="32" t="s">
        <v>960</v>
      </c>
      <c r="C40" s="33" t="s">
        <v>18</v>
      </c>
      <c r="D40" s="32" t="s">
        <v>613</v>
      </c>
      <c r="E40" s="11" t="s">
        <v>37</v>
      </c>
    </row>
    <row r="41">
      <c r="A41" s="19">
        <v>0.14375</v>
      </c>
      <c r="B41" s="32" t="s">
        <v>173</v>
      </c>
      <c r="C41" s="33" t="s">
        <v>220</v>
      </c>
      <c r="D41" s="34" t="s">
        <v>962</v>
      </c>
      <c r="E41" s="11" t="s">
        <v>33</v>
      </c>
    </row>
    <row r="42">
      <c r="A42" s="19">
        <v>0.14375</v>
      </c>
      <c r="B42" s="34" t="s">
        <v>961</v>
      </c>
      <c r="C42" s="33" t="s">
        <v>62</v>
      </c>
      <c r="D42" s="32" t="s">
        <v>960</v>
      </c>
      <c r="E42" s="11" t="s">
        <v>37</v>
      </c>
    </row>
    <row r="43">
      <c r="A43" s="19">
        <v>0.15416666666666667</v>
      </c>
      <c r="B43" s="32" t="s">
        <v>173</v>
      </c>
      <c r="C43" s="33" t="s">
        <v>65</v>
      </c>
      <c r="D43" s="32" t="s">
        <v>613</v>
      </c>
      <c r="E43" s="11" t="s">
        <v>33</v>
      </c>
    </row>
    <row r="44">
      <c r="A44" s="19">
        <v>0.15416666666666667</v>
      </c>
      <c r="B44" s="32" t="s">
        <v>962</v>
      </c>
      <c r="C44" s="33" t="s">
        <v>66</v>
      </c>
      <c r="D44" s="32" t="s">
        <v>960</v>
      </c>
      <c r="E44" s="11" t="s">
        <v>37</v>
      </c>
    </row>
    <row r="45">
      <c r="A45" s="27"/>
      <c r="B45" s="1" t="s">
        <v>53</v>
      </c>
      <c r="C45" s="2"/>
      <c r="D45" s="3"/>
      <c r="E45" s="14"/>
    </row>
    <row r="46">
      <c r="A46" s="18" t="s">
        <v>1</v>
      </c>
      <c r="B46" s="16" t="s">
        <v>2</v>
      </c>
      <c r="C46" s="16" t="s">
        <v>3</v>
      </c>
      <c r="D46" s="16" t="s">
        <v>4</v>
      </c>
      <c r="E46" s="16" t="s">
        <v>5</v>
      </c>
    </row>
    <row r="47">
      <c r="A47" s="19">
        <v>0.16666666666666666</v>
      </c>
      <c r="B47" s="32" t="s">
        <v>963</v>
      </c>
      <c r="C47" s="35" t="s">
        <v>17</v>
      </c>
      <c r="D47" s="32" t="s">
        <v>964</v>
      </c>
      <c r="E47" s="11" t="s">
        <v>9</v>
      </c>
    </row>
    <row r="48">
      <c r="A48" s="19">
        <v>0.16666666666666666</v>
      </c>
      <c r="B48" s="32" t="s">
        <v>795</v>
      </c>
      <c r="C48" s="35" t="s">
        <v>25</v>
      </c>
      <c r="D48" s="32" t="s">
        <v>965</v>
      </c>
      <c r="E48" s="11" t="s">
        <v>13</v>
      </c>
    </row>
    <row r="49">
      <c r="A49" s="19">
        <v>0.1763888888888889</v>
      </c>
      <c r="B49" s="32" t="s">
        <v>795</v>
      </c>
      <c r="C49" s="35" t="s">
        <v>43</v>
      </c>
      <c r="D49" s="32" t="s">
        <v>964</v>
      </c>
      <c r="E49" s="11" t="s">
        <v>9</v>
      </c>
    </row>
    <row r="50">
      <c r="A50" s="19">
        <v>0.1763888888888889</v>
      </c>
      <c r="B50" s="32" t="s">
        <v>966</v>
      </c>
      <c r="C50" s="35" t="s">
        <v>18</v>
      </c>
      <c r="D50" s="32" t="s">
        <v>965</v>
      </c>
      <c r="E50" s="11" t="s">
        <v>13</v>
      </c>
    </row>
    <row r="51">
      <c r="A51" s="19">
        <v>0.18680555555555556</v>
      </c>
      <c r="B51" s="32" t="s">
        <v>966</v>
      </c>
      <c r="C51" s="35" t="s">
        <v>282</v>
      </c>
      <c r="D51" s="32" t="s">
        <v>795</v>
      </c>
      <c r="E51" s="11" t="s">
        <v>9</v>
      </c>
    </row>
    <row r="52">
      <c r="A52" s="19">
        <v>0.18680555555555556</v>
      </c>
      <c r="B52" s="32" t="s">
        <v>965</v>
      </c>
      <c r="C52" s="35" t="s">
        <v>17</v>
      </c>
      <c r="D52" s="32" t="s">
        <v>963</v>
      </c>
      <c r="E52" s="11" t="s">
        <v>13</v>
      </c>
    </row>
    <row r="53">
      <c r="A53" s="19">
        <v>0.19722222222222222</v>
      </c>
      <c r="B53" s="32" t="s">
        <v>966</v>
      </c>
      <c r="C53" s="35" t="s">
        <v>260</v>
      </c>
      <c r="D53" s="32" t="s">
        <v>964</v>
      </c>
      <c r="E53" s="11" t="s">
        <v>9</v>
      </c>
    </row>
    <row r="54">
      <c r="A54" s="19">
        <v>0.19722222222222222</v>
      </c>
      <c r="B54" s="32" t="s">
        <v>963</v>
      </c>
      <c r="C54" s="35" t="s">
        <v>239</v>
      </c>
      <c r="D54" s="32" t="s">
        <v>795</v>
      </c>
      <c r="E54" s="11" t="s">
        <v>13</v>
      </c>
    </row>
    <row r="55">
      <c r="A55" s="19">
        <v>0.20694444444444443</v>
      </c>
      <c r="B55" s="32" t="s">
        <v>965</v>
      </c>
      <c r="C55" s="35" t="s">
        <v>190</v>
      </c>
      <c r="D55" s="32" t="s">
        <v>964</v>
      </c>
      <c r="E55" s="11" t="s">
        <v>9</v>
      </c>
    </row>
    <row r="56">
      <c r="A56" s="19">
        <v>0.20694444444444443</v>
      </c>
      <c r="B56" s="32" t="s">
        <v>963</v>
      </c>
      <c r="C56" s="35" t="s">
        <v>52</v>
      </c>
      <c r="D56" s="32" t="s">
        <v>966</v>
      </c>
      <c r="E56" s="11" t="s">
        <v>13</v>
      </c>
    </row>
    <row r="57">
      <c r="A57" s="19">
        <v>0.21736111111111112</v>
      </c>
      <c r="B57" s="32" t="s">
        <v>964</v>
      </c>
      <c r="C57" s="35" t="s">
        <v>68</v>
      </c>
      <c r="D57" s="32" t="s">
        <v>963</v>
      </c>
      <c r="E57" s="11" t="s">
        <v>9</v>
      </c>
    </row>
    <row r="58">
      <c r="A58" s="19">
        <v>0.21736111111111112</v>
      </c>
      <c r="B58" s="32" t="s">
        <v>965</v>
      </c>
      <c r="C58" s="35" t="s">
        <v>261</v>
      </c>
      <c r="D58" s="32" t="s">
        <v>795</v>
      </c>
      <c r="E58" s="11" t="s">
        <v>13</v>
      </c>
    </row>
    <row r="59">
      <c r="A59" s="19">
        <v>0.22777777777777777</v>
      </c>
      <c r="B59" s="32" t="s">
        <v>964</v>
      </c>
      <c r="C59" s="35" t="s">
        <v>190</v>
      </c>
      <c r="D59" s="32" t="s">
        <v>795</v>
      </c>
      <c r="E59" s="11" t="s">
        <v>9</v>
      </c>
    </row>
    <row r="60">
      <c r="A60" s="19">
        <v>0.22777777777777777</v>
      </c>
      <c r="B60" s="32" t="s">
        <v>965</v>
      </c>
      <c r="C60" s="35" t="s">
        <v>566</v>
      </c>
      <c r="D60" s="32" t="s">
        <v>966</v>
      </c>
      <c r="E60" s="11" t="s">
        <v>13</v>
      </c>
    </row>
    <row r="61">
      <c r="A61" s="19">
        <v>0.2375</v>
      </c>
      <c r="B61" s="32" t="s">
        <v>795</v>
      </c>
      <c r="C61" s="35" t="s">
        <v>18</v>
      </c>
      <c r="D61" s="32" t="s">
        <v>966</v>
      </c>
      <c r="E61" s="11" t="s">
        <v>9</v>
      </c>
    </row>
    <row r="62">
      <c r="A62" s="19">
        <v>0.2375</v>
      </c>
      <c r="B62" s="32" t="s">
        <v>963</v>
      </c>
      <c r="C62" s="35" t="s">
        <v>80</v>
      </c>
      <c r="D62" s="32" t="s">
        <v>965</v>
      </c>
      <c r="E62" s="11" t="s">
        <v>13</v>
      </c>
    </row>
    <row r="63">
      <c r="A63" s="19">
        <v>0.24791666666666667</v>
      </c>
      <c r="B63" s="32" t="s">
        <v>964</v>
      </c>
      <c r="C63" s="35" t="s">
        <v>534</v>
      </c>
      <c r="D63" s="32" t="s">
        <v>966</v>
      </c>
      <c r="E63" s="11" t="s">
        <v>9</v>
      </c>
    </row>
    <row r="64">
      <c r="A64" s="19">
        <v>0.24791666666666667</v>
      </c>
      <c r="B64" s="32" t="s">
        <v>795</v>
      </c>
      <c r="C64" s="35" t="s">
        <v>193</v>
      </c>
      <c r="D64" s="32" t="s">
        <v>963</v>
      </c>
      <c r="E64" s="11" t="s">
        <v>13</v>
      </c>
    </row>
    <row r="65">
      <c r="A65" s="19">
        <v>0.25833333333333336</v>
      </c>
      <c r="B65" s="32" t="s">
        <v>964</v>
      </c>
      <c r="C65" s="35" t="s">
        <v>534</v>
      </c>
      <c r="D65" s="32" t="s">
        <v>965</v>
      </c>
      <c r="E65" s="11" t="s">
        <v>9</v>
      </c>
    </row>
    <row r="66">
      <c r="A66" s="19">
        <v>0.25833333333333336</v>
      </c>
      <c r="B66" s="32" t="s">
        <v>966</v>
      </c>
      <c r="C66" s="35" t="s">
        <v>533</v>
      </c>
      <c r="D66" s="32" t="s">
        <v>963</v>
      </c>
      <c r="E66" s="11" t="s">
        <v>13</v>
      </c>
    </row>
    <row r="67">
      <c r="A67" s="27"/>
      <c r="B67" s="1" t="s">
        <v>53</v>
      </c>
      <c r="C67" s="2"/>
      <c r="D67" s="3"/>
      <c r="E67" s="4"/>
    </row>
    <row r="68">
      <c r="A68" s="18" t="s">
        <v>1</v>
      </c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19">
        <v>0.16666666666666666</v>
      </c>
      <c r="B69" s="32" t="s">
        <v>967</v>
      </c>
      <c r="C69" s="33" t="s">
        <v>17</v>
      </c>
      <c r="D69" s="32" t="s">
        <v>968</v>
      </c>
      <c r="E69" s="11" t="s">
        <v>33</v>
      </c>
    </row>
    <row r="70">
      <c r="A70" s="19">
        <v>0.16666666666666666</v>
      </c>
      <c r="B70" s="32" t="s">
        <v>969</v>
      </c>
      <c r="C70" s="33" t="s">
        <v>64</v>
      </c>
      <c r="D70" s="32" t="s">
        <v>970</v>
      </c>
      <c r="E70" s="11" t="s">
        <v>37</v>
      </c>
    </row>
    <row r="71">
      <c r="A71" s="19">
        <v>0.1763888888888889</v>
      </c>
      <c r="B71" s="32" t="s">
        <v>969</v>
      </c>
      <c r="C71" s="33" t="s">
        <v>68</v>
      </c>
      <c r="D71" s="32" t="s">
        <v>968</v>
      </c>
      <c r="E71" s="11" t="s">
        <v>33</v>
      </c>
    </row>
    <row r="72">
      <c r="A72" s="19">
        <v>0.1763888888888889</v>
      </c>
      <c r="B72" s="32" t="s">
        <v>971</v>
      </c>
      <c r="C72" s="33" t="s">
        <v>282</v>
      </c>
      <c r="D72" s="32" t="s">
        <v>970</v>
      </c>
      <c r="E72" s="11" t="s">
        <v>37</v>
      </c>
    </row>
    <row r="73">
      <c r="A73" s="19">
        <v>0.18680555555555556</v>
      </c>
      <c r="B73" s="32" t="s">
        <v>971</v>
      </c>
      <c r="C73" s="33" t="s">
        <v>195</v>
      </c>
      <c r="D73" s="32" t="s">
        <v>969</v>
      </c>
      <c r="E73" s="11" t="s">
        <v>33</v>
      </c>
    </row>
    <row r="74">
      <c r="A74" s="19">
        <v>0.18680555555555556</v>
      </c>
      <c r="B74" s="32" t="s">
        <v>970</v>
      </c>
      <c r="C74" s="33" t="s">
        <v>17</v>
      </c>
      <c r="D74" s="32" t="s">
        <v>967</v>
      </c>
      <c r="E74" s="11" t="s">
        <v>37</v>
      </c>
    </row>
    <row r="75">
      <c r="A75" s="19">
        <v>0.19722222222222222</v>
      </c>
      <c r="B75" s="32" t="s">
        <v>971</v>
      </c>
      <c r="C75" s="33" t="s">
        <v>45</v>
      </c>
      <c r="D75" s="32" t="s">
        <v>968</v>
      </c>
      <c r="E75" s="11" t="s">
        <v>33</v>
      </c>
    </row>
    <row r="76">
      <c r="A76" s="19">
        <v>0.19722222222222222</v>
      </c>
      <c r="B76" s="32" t="s">
        <v>967</v>
      </c>
      <c r="C76" s="33" t="s">
        <v>14</v>
      </c>
      <c r="D76" s="32" t="s">
        <v>969</v>
      </c>
      <c r="E76" s="11" t="s">
        <v>37</v>
      </c>
    </row>
    <row r="77">
      <c r="A77" s="19">
        <v>0.20694444444444443</v>
      </c>
      <c r="B77" s="32" t="s">
        <v>970</v>
      </c>
      <c r="C77" s="33" t="s">
        <v>190</v>
      </c>
      <c r="D77" s="32" t="s">
        <v>968</v>
      </c>
      <c r="E77" s="11" t="s">
        <v>33</v>
      </c>
    </row>
    <row r="78">
      <c r="A78" s="19">
        <v>0.20694444444444443</v>
      </c>
      <c r="B78" s="32" t="s">
        <v>967</v>
      </c>
      <c r="C78" s="33" t="s">
        <v>58</v>
      </c>
      <c r="D78" s="32" t="s">
        <v>971</v>
      </c>
      <c r="E78" s="11" t="s">
        <v>37</v>
      </c>
    </row>
    <row r="79">
      <c r="A79" s="19">
        <v>0.21736111111111112</v>
      </c>
      <c r="B79" s="32" t="s">
        <v>968</v>
      </c>
      <c r="C79" s="33" t="s">
        <v>207</v>
      </c>
      <c r="D79" s="32" t="s">
        <v>967</v>
      </c>
      <c r="E79" s="11" t="s">
        <v>33</v>
      </c>
    </row>
    <row r="80">
      <c r="A80" s="19">
        <v>0.21736111111111112</v>
      </c>
      <c r="B80" s="32" t="s">
        <v>970</v>
      </c>
      <c r="C80" s="33" t="s">
        <v>328</v>
      </c>
      <c r="D80" s="32" t="s">
        <v>969</v>
      </c>
      <c r="E80" s="11" t="s">
        <v>37</v>
      </c>
    </row>
    <row r="81">
      <c r="A81" s="19">
        <v>0.22777777777777777</v>
      </c>
      <c r="B81" s="32" t="s">
        <v>968</v>
      </c>
      <c r="C81" s="33" t="s">
        <v>18</v>
      </c>
      <c r="D81" s="32" t="s">
        <v>969</v>
      </c>
      <c r="E81" s="11" t="s">
        <v>33</v>
      </c>
    </row>
    <row r="82">
      <c r="A82" s="19">
        <v>0.22777777777777777</v>
      </c>
      <c r="B82" s="32" t="s">
        <v>970</v>
      </c>
      <c r="C82" s="33" t="s">
        <v>949</v>
      </c>
      <c r="D82" s="32" t="s">
        <v>971</v>
      </c>
      <c r="E82" s="11" t="s">
        <v>37</v>
      </c>
    </row>
    <row r="83">
      <c r="A83" s="19">
        <v>0.2375</v>
      </c>
      <c r="B83" s="32" t="s">
        <v>969</v>
      </c>
      <c r="C83" s="33" t="s">
        <v>239</v>
      </c>
      <c r="D83" s="32" t="s">
        <v>971</v>
      </c>
      <c r="E83" s="11" t="s">
        <v>33</v>
      </c>
    </row>
    <row r="84">
      <c r="A84" s="19">
        <v>0.2375</v>
      </c>
      <c r="B84" s="32" t="s">
        <v>967</v>
      </c>
      <c r="C84" s="33" t="s">
        <v>282</v>
      </c>
      <c r="D84" s="32" t="s">
        <v>970</v>
      </c>
      <c r="E84" s="11" t="s">
        <v>37</v>
      </c>
    </row>
    <row r="85">
      <c r="A85" s="19">
        <v>0.24791666666666667</v>
      </c>
      <c r="B85" s="32" t="s">
        <v>968</v>
      </c>
      <c r="C85" s="33" t="s">
        <v>20</v>
      </c>
      <c r="D85" s="32" t="s">
        <v>971</v>
      </c>
      <c r="E85" s="11" t="s">
        <v>33</v>
      </c>
    </row>
    <row r="86">
      <c r="A86" s="19">
        <v>0.24791666666666667</v>
      </c>
      <c r="B86" s="32" t="s">
        <v>969</v>
      </c>
      <c r="C86" s="33" t="s">
        <v>28</v>
      </c>
      <c r="D86" s="32" t="s">
        <v>967</v>
      </c>
      <c r="E86" s="11" t="s">
        <v>37</v>
      </c>
    </row>
    <row r="87">
      <c r="A87" s="19">
        <v>0.25833333333333336</v>
      </c>
      <c r="B87" s="32" t="s">
        <v>968</v>
      </c>
      <c r="C87" s="33" t="s">
        <v>22</v>
      </c>
      <c r="D87" s="32" t="s">
        <v>970</v>
      </c>
      <c r="E87" s="11" t="s">
        <v>33</v>
      </c>
    </row>
    <row r="88">
      <c r="A88" s="19">
        <v>0.25833333333333336</v>
      </c>
      <c r="B88" s="32" t="s">
        <v>971</v>
      </c>
      <c r="C88" s="33" t="s">
        <v>284</v>
      </c>
      <c r="D88" s="32" t="s">
        <v>967</v>
      </c>
      <c r="E88" s="11" t="s">
        <v>37</v>
      </c>
    </row>
    <row r="89">
      <c r="B89" s="1" t="s">
        <v>90</v>
      </c>
      <c r="C89" s="2"/>
      <c r="D89" s="3"/>
      <c r="E89" s="4"/>
    </row>
    <row r="90">
      <c r="A90" s="18" t="s">
        <v>1</v>
      </c>
      <c r="B90" s="16" t="s">
        <v>2</v>
      </c>
      <c r="C90" s="16" t="s">
        <v>3</v>
      </c>
      <c r="D90" s="16" t="s">
        <v>4</v>
      </c>
      <c r="E90" s="16" t="s">
        <v>5</v>
      </c>
    </row>
    <row r="91">
      <c r="A91" s="19">
        <v>0.3333333333333333</v>
      </c>
      <c r="B91" s="32" t="s">
        <v>636</v>
      </c>
      <c r="C91" s="35" t="s">
        <v>972</v>
      </c>
      <c r="D91" s="32" t="s">
        <v>633</v>
      </c>
      <c r="E91" s="11" t="s">
        <v>9</v>
      </c>
    </row>
    <row r="92">
      <c r="A92" s="19">
        <v>0.3333333333333333</v>
      </c>
      <c r="B92" s="32" t="s">
        <v>894</v>
      </c>
      <c r="C92" s="35" t="s">
        <v>218</v>
      </c>
      <c r="D92" s="32" t="s">
        <v>973</v>
      </c>
      <c r="E92" s="11" t="s">
        <v>13</v>
      </c>
    </row>
    <row r="93">
      <c r="A93" s="19">
        <v>0.34305555555555556</v>
      </c>
      <c r="B93" s="32" t="s">
        <v>894</v>
      </c>
      <c r="C93" s="35" t="s">
        <v>35</v>
      </c>
      <c r="D93" s="32" t="s">
        <v>633</v>
      </c>
      <c r="E93" s="11" t="s">
        <v>9</v>
      </c>
    </row>
    <row r="94">
      <c r="A94" s="19">
        <v>0.34305555555555556</v>
      </c>
      <c r="B94" s="32" t="s">
        <v>974</v>
      </c>
      <c r="C94" s="35" t="s">
        <v>45</v>
      </c>
      <c r="D94" s="32" t="s">
        <v>973</v>
      </c>
      <c r="E94" s="11" t="s">
        <v>13</v>
      </c>
    </row>
    <row r="95">
      <c r="A95" s="19">
        <v>0.35347222222222224</v>
      </c>
      <c r="B95" s="32" t="s">
        <v>974</v>
      </c>
      <c r="C95" s="35" t="s">
        <v>22</v>
      </c>
      <c r="D95" s="32" t="s">
        <v>894</v>
      </c>
      <c r="E95" s="11" t="s">
        <v>9</v>
      </c>
    </row>
    <row r="96">
      <c r="A96" s="19">
        <v>0.35347222222222224</v>
      </c>
      <c r="B96" s="32" t="s">
        <v>973</v>
      </c>
      <c r="C96" s="35" t="s">
        <v>45</v>
      </c>
      <c r="D96" s="32" t="s">
        <v>636</v>
      </c>
      <c r="E96" s="11" t="s">
        <v>13</v>
      </c>
    </row>
    <row r="97">
      <c r="A97" s="19">
        <v>0.3638888888888889</v>
      </c>
      <c r="B97" s="32" t="s">
        <v>974</v>
      </c>
      <c r="C97" s="35" t="s">
        <v>947</v>
      </c>
      <c r="D97" s="32" t="s">
        <v>633</v>
      </c>
      <c r="E97" s="11" t="s">
        <v>9</v>
      </c>
    </row>
    <row r="98">
      <c r="A98" s="19">
        <v>0.3638888888888889</v>
      </c>
      <c r="B98" s="32" t="s">
        <v>636</v>
      </c>
      <c r="C98" s="35" t="s">
        <v>19</v>
      </c>
      <c r="D98" s="32" t="s">
        <v>894</v>
      </c>
      <c r="E98" s="11" t="s">
        <v>13</v>
      </c>
    </row>
    <row r="99">
      <c r="A99" s="19">
        <v>0.3736111111111111</v>
      </c>
      <c r="B99" s="32" t="s">
        <v>973</v>
      </c>
      <c r="C99" s="35" t="s">
        <v>47</v>
      </c>
      <c r="D99" s="32" t="s">
        <v>633</v>
      </c>
      <c r="E99" s="11" t="s">
        <v>9</v>
      </c>
    </row>
    <row r="100">
      <c r="A100" s="19">
        <v>0.3736111111111111</v>
      </c>
      <c r="B100" s="32" t="s">
        <v>636</v>
      </c>
      <c r="C100" s="35" t="s">
        <v>68</v>
      </c>
      <c r="D100" s="32" t="s">
        <v>974</v>
      </c>
      <c r="E100" s="11" t="s">
        <v>13</v>
      </c>
    </row>
    <row r="101">
      <c r="A101" s="19">
        <v>0.3840277777777778</v>
      </c>
      <c r="B101" s="32" t="s">
        <v>633</v>
      </c>
      <c r="C101" s="35" t="s">
        <v>631</v>
      </c>
      <c r="D101" s="32" t="s">
        <v>636</v>
      </c>
      <c r="E101" s="11" t="s">
        <v>9</v>
      </c>
    </row>
    <row r="102">
      <c r="A102" s="19">
        <v>0.3840277777777778</v>
      </c>
      <c r="B102" s="32" t="s">
        <v>973</v>
      </c>
      <c r="C102" s="35" t="s">
        <v>17</v>
      </c>
      <c r="D102" s="32" t="s">
        <v>894</v>
      </c>
      <c r="E102" s="11" t="s">
        <v>13</v>
      </c>
    </row>
    <row r="103">
      <c r="A103" s="19">
        <v>0.39444444444444443</v>
      </c>
      <c r="B103" s="32" t="s">
        <v>633</v>
      </c>
      <c r="C103" s="35" t="s">
        <v>190</v>
      </c>
      <c r="D103" s="32" t="s">
        <v>894</v>
      </c>
      <c r="E103" s="11" t="s">
        <v>9</v>
      </c>
    </row>
    <row r="104">
      <c r="A104" s="19">
        <v>0.39444444444444443</v>
      </c>
      <c r="B104" s="32" t="s">
        <v>973</v>
      </c>
      <c r="C104" s="35" t="s">
        <v>354</v>
      </c>
      <c r="D104" s="32" t="s">
        <v>974</v>
      </c>
      <c r="E104" s="11" t="s">
        <v>13</v>
      </c>
    </row>
    <row r="105">
      <c r="A105" s="19">
        <v>0.4041666666666667</v>
      </c>
      <c r="B105" s="32" t="s">
        <v>894</v>
      </c>
      <c r="C105" s="35" t="s">
        <v>362</v>
      </c>
      <c r="D105" s="32" t="s">
        <v>974</v>
      </c>
      <c r="E105" s="11" t="s">
        <v>9</v>
      </c>
    </row>
    <row r="106">
      <c r="A106" s="19">
        <v>0.4041666666666667</v>
      </c>
      <c r="B106" s="32" t="s">
        <v>636</v>
      </c>
      <c r="C106" s="35" t="s">
        <v>578</v>
      </c>
      <c r="D106" s="32" t="s">
        <v>973</v>
      </c>
      <c r="E106" s="11" t="s">
        <v>13</v>
      </c>
    </row>
    <row r="107">
      <c r="A107" s="19">
        <v>0.41458333333333336</v>
      </c>
      <c r="B107" s="32" t="s">
        <v>633</v>
      </c>
      <c r="C107" s="35" t="s">
        <v>232</v>
      </c>
      <c r="D107" s="32" t="s">
        <v>974</v>
      </c>
      <c r="E107" s="11" t="s">
        <v>9</v>
      </c>
    </row>
    <row r="108">
      <c r="A108" s="19">
        <v>0.41458333333333336</v>
      </c>
      <c r="B108" s="32" t="s">
        <v>894</v>
      </c>
      <c r="C108" s="35" t="s">
        <v>43</v>
      </c>
      <c r="D108" s="32" t="s">
        <v>636</v>
      </c>
      <c r="E108" s="11" t="s">
        <v>13</v>
      </c>
    </row>
    <row r="109">
      <c r="A109" s="19">
        <v>0.425</v>
      </c>
      <c r="B109" s="32" t="s">
        <v>633</v>
      </c>
      <c r="C109" s="35" t="s">
        <v>55</v>
      </c>
      <c r="D109" s="32" t="s">
        <v>973</v>
      </c>
      <c r="E109" s="11" t="s">
        <v>9</v>
      </c>
    </row>
    <row r="110">
      <c r="A110" s="19">
        <v>0.425</v>
      </c>
      <c r="B110" s="32" t="s">
        <v>974</v>
      </c>
      <c r="C110" s="35" t="s">
        <v>239</v>
      </c>
      <c r="D110" s="32" t="s">
        <v>636</v>
      </c>
      <c r="E110" s="11" t="s">
        <v>13</v>
      </c>
    </row>
    <row r="111">
      <c r="A111" s="27"/>
      <c r="B111" s="1" t="s">
        <v>90</v>
      </c>
      <c r="C111" s="2"/>
      <c r="D111" s="3"/>
      <c r="E111" s="4"/>
    </row>
    <row r="112">
      <c r="A112" s="18" t="s">
        <v>1</v>
      </c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A113" s="22">
        <v>0.3333333333333333</v>
      </c>
      <c r="B113" s="32" t="s">
        <v>975</v>
      </c>
      <c r="C113" s="35" t="s">
        <v>687</v>
      </c>
      <c r="D113" s="32" t="s">
        <v>976</v>
      </c>
      <c r="E113" s="11" t="s">
        <v>33</v>
      </c>
    </row>
    <row r="114">
      <c r="A114" s="23">
        <v>0.3333333333333333</v>
      </c>
      <c r="B114" s="32" t="s">
        <v>977</v>
      </c>
      <c r="C114" s="35" t="s">
        <v>41</v>
      </c>
      <c r="D114" s="32" t="s">
        <v>978</v>
      </c>
      <c r="E114" s="11" t="s">
        <v>37</v>
      </c>
    </row>
    <row r="115">
      <c r="A115" s="23">
        <v>0.34305555555555556</v>
      </c>
      <c r="B115" s="32" t="s">
        <v>977</v>
      </c>
      <c r="C115" s="35" t="s">
        <v>44</v>
      </c>
      <c r="D115" s="32" t="s">
        <v>976</v>
      </c>
      <c r="E115" s="11" t="s">
        <v>33</v>
      </c>
    </row>
    <row r="116">
      <c r="A116" s="23">
        <v>0.34305555555555556</v>
      </c>
      <c r="B116" s="32" t="s">
        <v>902</v>
      </c>
      <c r="C116" s="35" t="s">
        <v>190</v>
      </c>
      <c r="D116" s="32" t="s">
        <v>978</v>
      </c>
      <c r="E116" s="11" t="s">
        <v>37</v>
      </c>
    </row>
    <row r="117">
      <c r="A117" s="23">
        <v>0.35347222222222224</v>
      </c>
      <c r="B117" s="32" t="s">
        <v>902</v>
      </c>
      <c r="C117" s="35" t="s">
        <v>72</v>
      </c>
      <c r="D117" s="32" t="s">
        <v>977</v>
      </c>
      <c r="E117" s="11" t="s">
        <v>33</v>
      </c>
    </row>
    <row r="118">
      <c r="A118" s="23">
        <v>0.35347222222222224</v>
      </c>
      <c r="B118" s="32" t="s">
        <v>978</v>
      </c>
      <c r="C118" s="35" t="s">
        <v>11</v>
      </c>
      <c r="D118" s="32" t="s">
        <v>975</v>
      </c>
      <c r="E118" s="11" t="s">
        <v>37</v>
      </c>
    </row>
    <row r="119">
      <c r="A119" s="23">
        <v>0.3638888888888889</v>
      </c>
      <c r="B119" s="32" t="s">
        <v>902</v>
      </c>
      <c r="C119" s="35" t="s">
        <v>81</v>
      </c>
      <c r="D119" s="32" t="s">
        <v>976</v>
      </c>
      <c r="E119" s="11" t="s">
        <v>33</v>
      </c>
    </row>
    <row r="120">
      <c r="A120" s="23">
        <v>0.3638888888888889</v>
      </c>
      <c r="B120" s="32" t="s">
        <v>975</v>
      </c>
      <c r="C120" s="35" t="s">
        <v>979</v>
      </c>
      <c r="D120" s="32" t="s">
        <v>977</v>
      </c>
      <c r="E120" s="11" t="s">
        <v>37</v>
      </c>
    </row>
    <row r="121">
      <c r="A121" s="23">
        <v>0.3736111111111111</v>
      </c>
      <c r="B121" s="32" t="s">
        <v>978</v>
      </c>
      <c r="C121" s="35" t="s">
        <v>980</v>
      </c>
      <c r="D121" s="32" t="s">
        <v>976</v>
      </c>
      <c r="E121" s="11" t="s">
        <v>33</v>
      </c>
    </row>
    <row r="122">
      <c r="A122" s="23">
        <v>0.3736111111111111</v>
      </c>
      <c r="B122" s="32" t="s">
        <v>975</v>
      </c>
      <c r="C122" s="35" t="s">
        <v>25</v>
      </c>
      <c r="D122" s="32" t="s">
        <v>902</v>
      </c>
      <c r="E122" s="11" t="s">
        <v>37</v>
      </c>
    </row>
    <row r="123">
      <c r="A123" s="23">
        <v>0.3840277777777778</v>
      </c>
      <c r="B123" s="32" t="s">
        <v>976</v>
      </c>
      <c r="C123" s="35" t="s">
        <v>190</v>
      </c>
      <c r="D123" s="32" t="s">
        <v>975</v>
      </c>
      <c r="E123" s="11" t="s">
        <v>33</v>
      </c>
    </row>
    <row r="124">
      <c r="A124" s="23">
        <v>0.3840277777777778</v>
      </c>
      <c r="B124" s="32" t="s">
        <v>978</v>
      </c>
      <c r="C124" s="35" t="s">
        <v>17</v>
      </c>
      <c r="D124" s="32" t="s">
        <v>977</v>
      </c>
      <c r="E124" s="11" t="s">
        <v>37</v>
      </c>
    </row>
    <row r="125">
      <c r="A125" s="23">
        <v>0.39444444444444443</v>
      </c>
      <c r="B125" s="32" t="s">
        <v>976</v>
      </c>
      <c r="C125" s="35" t="s">
        <v>725</v>
      </c>
      <c r="D125" s="32" t="s">
        <v>977</v>
      </c>
      <c r="E125" s="11" t="s">
        <v>33</v>
      </c>
    </row>
    <row r="126">
      <c r="A126" s="23">
        <v>0.39444444444444443</v>
      </c>
      <c r="B126" s="32" t="s">
        <v>978</v>
      </c>
      <c r="C126" s="35" t="s">
        <v>195</v>
      </c>
      <c r="D126" s="32" t="s">
        <v>902</v>
      </c>
      <c r="E126" s="11" t="s">
        <v>37</v>
      </c>
    </row>
    <row r="127">
      <c r="A127" s="23">
        <v>0.4041666666666667</v>
      </c>
      <c r="B127" s="32" t="s">
        <v>977</v>
      </c>
      <c r="C127" s="35" t="s">
        <v>201</v>
      </c>
      <c r="D127" s="32" t="s">
        <v>902</v>
      </c>
      <c r="E127" s="11" t="s">
        <v>33</v>
      </c>
    </row>
    <row r="128">
      <c r="A128" s="23">
        <v>0.4041666666666667</v>
      </c>
      <c r="B128" s="32" t="s">
        <v>975</v>
      </c>
      <c r="C128" s="35" t="s">
        <v>509</v>
      </c>
      <c r="D128" s="32" t="s">
        <v>978</v>
      </c>
      <c r="E128" s="11" t="s">
        <v>37</v>
      </c>
    </row>
    <row r="129">
      <c r="A129" s="23">
        <v>0.41458333333333336</v>
      </c>
      <c r="B129" s="32" t="s">
        <v>976</v>
      </c>
      <c r="C129" s="35" t="s">
        <v>48</v>
      </c>
      <c r="D129" s="32" t="s">
        <v>902</v>
      </c>
      <c r="E129" s="11" t="s">
        <v>33</v>
      </c>
    </row>
    <row r="130">
      <c r="A130" s="23">
        <v>0.41458333333333336</v>
      </c>
      <c r="B130" s="32" t="s">
        <v>977</v>
      </c>
      <c r="C130" s="35" t="s">
        <v>43</v>
      </c>
      <c r="D130" s="32" t="s">
        <v>975</v>
      </c>
      <c r="E130" s="11" t="s">
        <v>37</v>
      </c>
    </row>
    <row r="131">
      <c r="A131" s="23">
        <v>0.425</v>
      </c>
      <c r="B131" s="32" t="s">
        <v>976</v>
      </c>
      <c r="C131" s="35" t="s">
        <v>21</v>
      </c>
      <c r="D131" s="32" t="s">
        <v>978</v>
      </c>
      <c r="E131" s="11" t="s">
        <v>33</v>
      </c>
    </row>
    <row r="132">
      <c r="A132" s="23">
        <v>0.425</v>
      </c>
      <c r="B132" s="32" t="s">
        <v>902</v>
      </c>
      <c r="C132" s="35" t="s">
        <v>354</v>
      </c>
      <c r="D132" s="32" t="s">
        <v>975</v>
      </c>
      <c r="E132" s="11" t="s">
        <v>37</v>
      </c>
    </row>
    <row r="133">
      <c r="A133" s="27"/>
      <c r="B133" s="1" t="s">
        <v>101</v>
      </c>
      <c r="C133" s="2"/>
      <c r="D133" s="3"/>
      <c r="E133" s="4"/>
    </row>
    <row r="134">
      <c r="A134" s="18" t="s">
        <v>1</v>
      </c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A135" s="19">
        <v>0.4375</v>
      </c>
      <c r="B135" s="32" t="s">
        <v>528</v>
      </c>
      <c r="C135" s="33" t="s">
        <v>11</v>
      </c>
      <c r="D135" s="32" t="s">
        <v>981</v>
      </c>
      <c r="E135" s="11" t="s">
        <v>9</v>
      </c>
    </row>
    <row r="136">
      <c r="A136" s="19">
        <v>0.4375</v>
      </c>
      <c r="B136" s="32" t="s">
        <v>982</v>
      </c>
      <c r="C136" s="33" t="s">
        <v>270</v>
      </c>
      <c r="D136" s="32" t="s">
        <v>983</v>
      </c>
      <c r="E136" s="11" t="s">
        <v>13</v>
      </c>
    </row>
    <row r="137">
      <c r="A137" s="19">
        <v>0.44722222222222224</v>
      </c>
      <c r="B137" s="32" t="s">
        <v>982</v>
      </c>
      <c r="C137" s="33" t="s">
        <v>289</v>
      </c>
      <c r="D137" s="32" t="s">
        <v>981</v>
      </c>
      <c r="E137" s="11" t="s">
        <v>9</v>
      </c>
    </row>
    <row r="138">
      <c r="A138" s="19">
        <v>0.44722222222222224</v>
      </c>
      <c r="B138" s="32" t="s">
        <v>740</v>
      </c>
      <c r="C138" s="33" t="s">
        <v>62</v>
      </c>
      <c r="D138" s="32" t="s">
        <v>983</v>
      </c>
      <c r="E138" s="11" t="s">
        <v>13</v>
      </c>
    </row>
    <row r="139">
      <c r="A139" s="19">
        <v>0.4576388888888889</v>
      </c>
      <c r="B139" s="32" t="s">
        <v>740</v>
      </c>
      <c r="C139" s="33" t="s">
        <v>43</v>
      </c>
      <c r="D139" s="32" t="s">
        <v>982</v>
      </c>
      <c r="E139" s="11" t="s">
        <v>9</v>
      </c>
    </row>
    <row r="140">
      <c r="A140" s="19">
        <v>0.4576388888888889</v>
      </c>
      <c r="B140" s="32" t="s">
        <v>983</v>
      </c>
      <c r="C140" s="33" t="s">
        <v>260</v>
      </c>
      <c r="D140" s="32" t="s">
        <v>528</v>
      </c>
      <c r="E140" s="11" t="s">
        <v>13</v>
      </c>
    </row>
    <row r="141">
      <c r="A141" s="19">
        <v>0.46805555555555556</v>
      </c>
      <c r="B141" s="32" t="s">
        <v>740</v>
      </c>
      <c r="C141" s="33" t="s">
        <v>17</v>
      </c>
      <c r="D141" s="32" t="s">
        <v>981</v>
      </c>
      <c r="E141" s="11" t="s">
        <v>9</v>
      </c>
    </row>
    <row r="142">
      <c r="A142" s="19">
        <v>0.46805555555555556</v>
      </c>
      <c r="B142" s="32" t="s">
        <v>528</v>
      </c>
      <c r="C142" s="33" t="s">
        <v>24</v>
      </c>
      <c r="D142" s="32" t="s">
        <v>982</v>
      </c>
      <c r="E142" s="11" t="s">
        <v>13</v>
      </c>
    </row>
    <row r="143">
      <c r="A143" s="19">
        <v>0.4777777777777778</v>
      </c>
      <c r="B143" s="32" t="s">
        <v>983</v>
      </c>
      <c r="C143" s="33" t="s">
        <v>984</v>
      </c>
      <c r="D143" s="32" t="s">
        <v>981</v>
      </c>
      <c r="E143" s="11" t="s">
        <v>9</v>
      </c>
    </row>
    <row r="144">
      <c r="A144" s="19">
        <v>0.4777777777777778</v>
      </c>
      <c r="B144" s="32" t="s">
        <v>528</v>
      </c>
      <c r="C144" s="33" t="s">
        <v>31</v>
      </c>
      <c r="D144" s="32" t="s">
        <v>740</v>
      </c>
      <c r="E144" s="11" t="s">
        <v>13</v>
      </c>
    </row>
    <row r="145">
      <c r="A145" s="19">
        <v>0.48819444444444443</v>
      </c>
      <c r="B145" s="32" t="s">
        <v>981</v>
      </c>
      <c r="C145" s="33" t="s">
        <v>218</v>
      </c>
      <c r="D145" s="32" t="s">
        <v>528</v>
      </c>
      <c r="E145" s="11" t="s">
        <v>9</v>
      </c>
    </row>
    <row r="146">
      <c r="A146" s="19">
        <v>0.48819444444444443</v>
      </c>
      <c r="B146" s="32" t="s">
        <v>983</v>
      </c>
      <c r="C146" s="33" t="s">
        <v>22</v>
      </c>
      <c r="D146" s="32" t="s">
        <v>982</v>
      </c>
      <c r="E146" s="11" t="s">
        <v>13</v>
      </c>
    </row>
    <row r="147">
      <c r="A147" s="19">
        <v>0.4986111111111111</v>
      </c>
      <c r="B147" s="32" t="s">
        <v>981</v>
      </c>
      <c r="C147" s="35" t="s">
        <v>82</v>
      </c>
      <c r="D147" s="32" t="s">
        <v>982</v>
      </c>
      <c r="E147" s="11" t="s">
        <v>9</v>
      </c>
    </row>
    <row r="148">
      <c r="A148" s="19">
        <v>0.4986111111111111</v>
      </c>
      <c r="B148" s="32" t="s">
        <v>983</v>
      </c>
      <c r="C148" s="35" t="s">
        <v>286</v>
      </c>
      <c r="D148" s="32" t="s">
        <v>740</v>
      </c>
      <c r="E148" s="11" t="s">
        <v>13</v>
      </c>
    </row>
    <row r="149">
      <c r="A149" s="19">
        <v>0.5083333333333333</v>
      </c>
      <c r="B149" s="32" t="s">
        <v>982</v>
      </c>
      <c r="C149" s="35" t="s">
        <v>218</v>
      </c>
      <c r="D149" s="32" t="s">
        <v>740</v>
      </c>
      <c r="E149" s="11" t="s">
        <v>9</v>
      </c>
    </row>
    <row r="150">
      <c r="A150" s="19">
        <v>0.5083333333333333</v>
      </c>
      <c r="B150" s="32" t="s">
        <v>528</v>
      </c>
      <c r="C150" s="35" t="s">
        <v>21</v>
      </c>
      <c r="D150" s="32" t="s">
        <v>983</v>
      </c>
      <c r="E150" s="11" t="s">
        <v>13</v>
      </c>
    </row>
    <row r="151">
      <c r="A151" s="19">
        <v>0.51875</v>
      </c>
      <c r="B151" s="32" t="s">
        <v>981</v>
      </c>
      <c r="C151" s="35" t="s">
        <v>65</v>
      </c>
      <c r="D151" s="32" t="s">
        <v>740</v>
      </c>
      <c r="E151" s="11" t="s">
        <v>9</v>
      </c>
    </row>
    <row r="152">
      <c r="A152" s="19">
        <v>0.51875</v>
      </c>
      <c r="B152" s="32" t="s">
        <v>982</v>
      </c>
      <c r="C152" s="35" t="s">
        <v>220</v>
      </c>
      <c r="D152" s="32" t="s">
        <v>528</v>
      </c>
      <c r="E152" s="11" t="s">
        <v>13</v>
      </c>
    </row>
    <row r="153">
      <c r="A153" s="19">
        <v>0.5291666666666667</v>
      </c>
      <c r="B153" s="32" t="s">
        <v>981</v>
      </c>
      <c r="C153" s="35" t="s">
        <v>389</v>
      </c>
      <c r="D153" s="32" t="s">
        <v>983</v>
      </c>
      <c r="E153" s="11" t="s">
        <v>9</v>
      </c>
    </row>
    <row r="154">
      <c r="A154" s="19">
        <v>0.5291666666666667</v>
      </c>
      <c r="B154" s="32" t="s">
        <v>740</v>
      </c>
      <c r="C154" s="35" t="s">
        <v>244</v>
      </c>
      <c r="D154" s="32" t="s">
        <v>528</v>
      </c>
      <c r="E154" s="11" t="s">
        <v>13</v>
      </c>
    </row>
    <row r="155">
      <c r="A155" s="27"/>
      <c r="B155" s="1" t="s">
        <v>101</v>
      </c>
      <c r="C155" s="2"/>
      <c r="D155" s="3"/>
      <c r="E155" s="4"/>
    </row>
    <row r="156">
      <c r="A156" s="18" t="s">
        <v>1</v>
      </c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A157" s="19">
        <v>0.4375</v>
      </c>
      <c r="B157" s="32" t="s">
        <v>985</v>
      </c>
      <c r="C157" s="33" t="s">
        <v>986</v>
      </c>
      <c r="D157" s="32" t="s">
        <v>987</v>
      </c>
      <c r="E157" s="11" t="s">
        <v>33</v>
      </c>
    </row>
    <row r="158">
      <c r="A158" s="19">
        <v>0.4375</v>
      </c>
      <c r="B158" s="32" t="s">
        <v>988</v>
      </c>
      <c r="C158" s="33" t="s">
        <v>195</v>
      </c>
      <c r="D158" s="32" t="s">
        <v>538</v>
      </c>
      <c r="E158" s="11" t="s">
        <v>37</v>
      </c>
    </row>
    <row r="159">
      <c r="A159" s="19">
        <v>0.44722222222222224</v>
      </c>
      <c r="B159" s="32" t="s">
        <v>988</v>
      </c>
      <c r="C159" s="33" t="s">
        <v>49</v>
      </c>
      <c r="D159" s="32" t="s">
        <v>987</v>
      </c>
      <c r="E159" s="11" t="s">
        <v>33</v>
      </c>
    </row>
    <row r="160">
      <c r="A160" s="19">
        <v>0.44722222222222224</v>
      </c>
      <c r="B160" s="32" t="s">
        <v>652</v>
      </c>
      <c r="C160" s="33" t="s">
        <v>857</v>
      </c>
      <c r="D160" s="32" t="s">
        <v>538</v>
      </c>
      <c r="E160" s="11" t="s">
        <v>37</v>
      </c>
    </row>
    <row r="161">
      <c r="A161" s="19">
        <v>0.4576388888888889</v>
      </c>
      <c r="B161" s="32" t="s">
        <v>652</v>
      </c>
      <c r="C161" s="33" t="s">
        <v>651</v>
      </c>
      <c r="D161" s="32" t="s">
        <v>988</v>
      </c>
      <c r="E161" s="11" t="s">
        <v>33</v>
      </c>
    </row>
    <row r="162">
      <c r="A162" s="19">
        <v>0.4576388888888889</v>
      </c>
      <c r="B162" s="32" t="s">
        <v>538</v>
      </c>
      <c r="C162" s="33" t="s">
        <v>282</v>
      </c>
      <c r="D162" s="32" t="s">
        <v>985</v>
      </c>
      <c r="E162" s="11" t="s">
        <v>37</v>
      </c>
    </row>
    <row r="163">
      <c r="A163" s="19">
        <v>0.46805555555555556</v>
      </c>
      <c r="B163" s="32" t="s">
        <v>652</v>
      </c>
      <c r="C163" s="33" t="s">
        <v>446</v>
      </c>
      <c r="D163" s="32" t="s">
        <v>987</v>
      </c>
      <c r="E163" s="11" t="s">
        <v>33</v>
      </c>
    </row>
    <row r="164">
      <c r="A164" s="19">
        <v>0.46805555555555556</v>
      </c>
      <c r="B164" s="32" t="s">
        <v>985</v>
      </c>
      <c r="C164" s="33" t="s">
        <v>217</v>
      </c>
      <c r="D164" s="32" t="s">
        <v>988</v>
      </c>
      <c r="E164" s="11" t="s">
        <v>37</v>
      </c>
    </row>
    <row r="165">
      <c r="A165" s="19">
        <v>0.4777777777777778</v>
      </c>
      <c r="B165" s="32" t="s">
        <v>538</v>
      </c>
      <c r="C165" s="33" t="s">
        <v>500</v>
      </c>
      <c r="D165" s="32" t="s">
        <v>987</v>
      </c>
      <c r="E165" s="11" t="s">
        <v>33</v>
      </c>
    </row>
    <row r="166">
      <c r="A166" s="19">
        <v>0.4777777777777778</v>
      </c>
      <c r="B166" s="32" t="s">
        <v>985</v>
      </c>
      <c r="C166" s="33" t="s">
        <v>212</v>
      </c>
      <c r="D166" s="32" t="s">
        <v>652</v>
      </c>
      <c r="E166" s="11" t="s">
        <v>37</v>
      </c>
    </row>
    <row r="167">
      <c r="A167" s="19">
        <v>0.48819444444444443</v>
      </c>
      <c r="B167" s="32" t="s">
        <v>987</v>
      </c>
      <c r="C167" s="33" t="s">
        <v>273</v>
      </c>
      <c r="D167" s="32" t="s">
        <v>985</v>
      </c>
      <c r="E167" s="11" t="s">
        <v>33</v>
      </c>
    </row>
    <row r="168">
      <c r="A168" s="19">
        <v>0.48819444444444443</v>
      </c>
      <c r="B168" s="32" t="s">
        <v>538</v>
      </c>
      <c r="C168" s="33" t="s">
        <v>215</v>
      </c>
      <c r="D168" s="32" t="s">
        <v>988</v>
      </c>
      <c r="E168" s="11" t="s">
        <v>37</v>
      </c>
    </row>
    <row r="169">
      <c r="A169" s="19">
        <v>0.4986111111111111</v>
      </c>
      <c r="B169" s="32" t="s">
        <v>987</v>
      </c>
      <c r="C169" s="35" t="s">
        <v>78</v>
      </c>
      <c r="D169" s="32" t="s">
        <v>988</v>
      </c>
      <c r="E169" s="11" t="s">
        <v>33</v>
      </c>
    </row>
    <row r="170">
      <c r="A170" s="19">
        <v>0.4986111111111111</v>
      </c>
      <c r="B170" s="32" t="s">
        <v>538</v>
      </c>
      <c r="C170" s="35" t="s">
        <v>578</v>
      </c>
      <c r="D170" s="32" t="s">
        <v>652</v>
      </c>
      <c r="E170" s="11" t="s">
        <v>37</v>
      </c>
    </row>
    <row r="171">
      <c r="A171" s="19">
        <v>0.5083333333333333</v>
      </c>
      <c r="B171" s="32" t="s">
        <v>988</v>
      </c>
      <c r="C171" s="35" t="s">
        <v>7</v>
      </c>
      <c r="D171" s="32" t="s">
        <v>652</v>
      </c>
      <c r="E171" s="11" t="s">
        <v>33</v>
      </c>
    </row>
    <row r="172">
      <c r="A172" s="19">
        <v>0.5083333333333333</v>
      </c>
      <c r="B172" s="32" t="s">
        <v>985</v>
      </c>
      <c r="C172" s="35" t="s">
        <v>83</v>
      </c>
      <c r="D172" s="32" t="s">
        <v>538</v>
      </c>
      <c r="E172" s="11" t="s">
        <v>37</v>
      </c>
    </row>
    <row r="173">
      <c r="A173" s="19">
        <v>0.51875</v>
      </c>
      <c r="B173" s="32" t="s">
        <v>987</v>
      </c>
      <c r="C173" s="35" t="s">
        <v>506</v>
      </c>
      <c r="D173" s="32" t="s">
        <v>652</v>
      </c>
      <c r="E173" s="11" t="s">
        <v>33</v>
      </c>
    </row>
    <row r="174">
      <c r="A174" s="19">
        <v>0.51875</v>
      </c>
      <c r="B174" s="32" t="s">
        <v>988</v>
      </c>
      <c r="C174" s="35" t="s">
        <v>38</v>
      </c>
      <c r="D174" s="32" t="s">
        <v>985</v>
      </c>
      <c r="E174" s="11" t="s">
        <v>37</v>
      </c>
    </row>
    <row r="175">
      <c r="A175" s="19">
        <v>0.5291666666666667</v>
      </c>
      <c r="B175" s="32" t="s">
        <v>987</v>
      </c>
      <c r="C175" s="35" t="s">
        <v>542</v>
      </c>
      <c r="D175" s="32" t="s">
        <v>538</v>
      </c>
      <c r="E175" s="11" t="s">
        <v>33</v>
      </c>
    </row>
    <row r="176">
      <c r="A176" s="19">
        <v>0.5291666666666667</v>
      </c>
      <c r="B176" s="32" t="s">
        <v>652</v>
      </c>
      <c r="C176" s="35" t="s">
        <v>193</v>
      </c>
      <c r="D176" s="32" t="s">
        <v>985</v>
      </c>
      <c r="E176" s="11" t="s">
        <v>37</v>
      </c>
    </row>
    <row r="177">
      <c r="A177" s="27"/>
      <c r="B177" s="1" t="s">
        <v>112</v>
      </c>
      <c r="C177" s="2"/>
      <c r="D177" s="3"/>
      <c r="E177" s="4"/>
    </row>
    <row r="178">
      <c r="A178" s="18" t="s">
        <v>1</v>
      </c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A179" s="19">
        <v>0.5416666666666666</v>
      </c>
      <c r="B179" s="32" t="s">
        <v>989</v>
      </c>
      <c r="C179" s="35" t="s">
        <v>17</v>
      </c>
      <c r="D179" s="32" t="s">
        <v>529</v>
      </c>
      <c r="E179" s="11" t="s">
        <v>9</v>
      </c>
    </row>
    <row r="180">
      <c r="A180" s="19">
        <v>0.5416666666666666</v>
      </c>
      <c r="B180" s="32" t="s">
        <v>990</v>
      </c>
      <c r="C180" s="35" t="s">
        <v>283</v>
      </c>
      <c r="D180" s="32" t="s">
        <v>729</v>
      </c>
      <c r="E180" s="11" t="s">
        <v>13</v>
      </c>
    </row>
    <row r="181">
      <c r="A181" s="19">
        <v>0.5513888888888889</v>
      </c>
      <c r="B181" s="32" t="s">
        <v>990</v>
      </c>
      <c r="C181" s="35" t="s">
        <v>413</v>
      </c>
      <c r="D181" s="32" t="s">
        <v>529</v>
      </c>
      <c r="E181" s="11" t="s">
        <v>9</v>
      </c>
    </row>
    <row r="182">
      <c r="A182" s="19">
        <v>0.5513888888888889</v>
      </c>
      <c r="B182" s="32" t="s">
        <v>991</v>
      </c>
      <c r="C182" s="35" t="s">
        <v>212</v>
      </c>
      <c r="D182" s="32" t="s">
        <v>729</v>
      </c>
      <c r="E182" s="11" t="s">
        <v>13</v>
      </c>
    </row>
    <row r="183">
      <c r="A183" s="19">
        <v>0.5618055555555556</v>
      </c>
      <c r="B183" s="32" t="s">
        <v>991</v>
      </c>
      <c r="C183" s="35" t="s">
        <v>76</v>
      </c>
      <c r="D183" s="32" t="s">
        <v>990</v>
      </c>
      <c r="E183" s="11" t="s">
        <v>9</v>
      </c>
    </row>
    <row r="184">
      <c r="A184" s="19">
        <v>0.5618055555555556</v>
      </c>
      <c r="B184" s="32" t="s">
        <v>729</v>
      </c>
      <c r="C184" s="35" t="s">
        <v>992</v>
      </c>
      <c r="D184" s="32" t="s">
        <v>989</v>
      </c>
      <c r="E184" s="11" t="s">
        <v>13</v>
      </c>
    </row>
    <row r="185">
      <c r="A185" s="19">
        <v>0.5722222222222222</v>
      </c>
      <c r="B185" s="32" t="s">
        <v>991</v>
      </c>
      <c r="C185" s="35" t="s">
        <v>190</v>
      </c>
      <c r="D185" s="32" t="s">
        <v>529</v>
      </c>
      <c r="E185" s="11" t="s">
        <v>9</v>
      </c>
    </row>
    <row r="186">
      <c r="A186" s="19">
        <v>0.5722222222222222</v>
      </c>
      <c r="B186" s="32" t="s">
        <v>989</v>
      </c>
      <c r="C186" s="35" t="s">
        <v>45</v>
      </c>
      <c r="D186" s="32" t="s">
        <v>990</v>
      </c>
      <c r="E186" s="11" t="s">
        <v>13</v>
      </c>
    </row>
    <row r="187">
      <c r="A187" s="19">
        <v>0.5819444444444445</v>
      </c>
      <c r="B187" s="32" t="s">
        <v>729</v>
      </c>
      <c r="C187" s="35" t="s">
        <v>87</v>
      </c>
      <c r="D187" s="32" t="s">
        <v>529</v>
      </c>
      <c r="E187" s="11" t="s">
        <v>9</v>
      </c>
    </row>
    <row r="188">
      <c r="A188" s="19">
        <v>0.5819444444444445</v>
      </c>
      <c r="B188" s="32" t="s">
        <v>989</v>
      </c>
      <c r="C188" s="35" t="s">
        <v>11</v>
      </c>
      <c r="D188" s="32" t="s">
        <v>991</v>
      </c>
      <c r="E188" s="11" t="s">
        <v>13</v>
      </c>
    </row>
    <row r="189">
      <c r="A189" s="19">
        <v>0.5923611111111111</v>
      </c>
      <c r="B189" s="32" t="s">
        <v>529</v>
      </c>
      <c r="C189" s="35" t="s">
        <v>78</v>
      </c>
      <c r="D189" s="32" t="s">
        <v>989</v>
      </c>
      <c r="E189" s="11" t="s">
        <v>9</v>
      </c>
    </row>
    <row r="190">
      <c r="A190" s="19">
        <v>0.5923611111111111</v>
      </c>
      <c r="B190" s="32" t="s">
        <v>729</v>
      </c>
      <c r="C190" s="35" t="s">
        <v>354</v>
      </c>
      <c r="D190" s="32" t="s">
        <v>990</v>
      </c>
      <c r="E190" s="11" t="s">
        <v>13</v>
      </c>
    </row>
    <row r="191">
      <c r="A191" s="19">
        <v>0.6027777777777777</v>
      </c>
      <c r="B191" s="32" t="s">
        <v>529</v>
      </c>
      <c r="C191" s="35" t="s">
        <v>993</v>
      </c>
      <c r="D191" s="32" t="s">
        <v>990</v>
      </c>
      <c r="E191" s="11" t="s">
        <v>9</v>
      </c>
    </row>
    <row r="192">
      <c r="A192" s="19">
        <v>0.6027777777777777</v>
      </c>
      <c r="B192" s="32" t="s">
        <v>729</v>
      </c>
      <c r="C192" s="35" t="s">
        <v>190</v>
      </c>
      <c r="D192" s="32" t="s">
        <v>991</v>
      </c>
      <c r="E192" s="11" t="s">
        <v>13</v>
      </c>
    </row>
    <row r="193">
      <c r="A193" s="19">
        <v>0.6125</v>
      </c>
      <c r="B193" s="32" t="s">
        <v>990</v>
      </c>
      <c r="C193" s="35" t="s">
        <v>43</v>
      </c>
      <c r="D193" s="32" t="s">
        <v>991</v>
      </c>
      <c r="E193" s="11" t="s">
        <v>9</v>
      </c>
    </row>
    <row r="194">
      <c r="A194" s="19">
        <v>0.6125</v>
      </c>
      <c r="B194" s="32" t="s">
        <v>989</v>
      </c>
      <c r="C194" s="35" t="s">
        <v>494</v>
      </c>
      <c r="D194" s="32" t="s">
        <v>729</v>
      </c>
      <c r="E194" s="11" t="s">
        <v>13</v>
      </c>
    </row>
    <row r="195">
      <c r="A195" s="19">
        <v>0.6229166666666667</v>
      </c>
      <c r="B195" s="32" t="s">
        <v>529</v>
      </c>
      <c r="C195" s="35" t="s">
        <v>251</v>
      </c>
      <c r="D195" s="32" t="s">
        <v>991</v>
      </c>
      <c r="E195" s="11" t="s">
        <v>9</v>
      </c>
    </row>
    <row r="196">
      <c r="A196" s="19">
        <v>0.6229166666666667</v>
      </c>
      <c r="B196" s="32" t="s">
        <v>990</v>
      </c>
      <c r="C196" s="35" t="s">
        <v>195</v>
      </c>
      <c r="D196" s="32" t="s">
        <v>989</v>
      </c>
      <c r="E196" s="11" t="s">
        <v>13</v>
      </c>
    </row>
    <row r="197">
      <c r="A197" s="19">
        <v>0.6333333333333333</v>
      </c>
      <c r="B197" s="32" t="s">
        <v>529</v>
      </c>
      <c r="C197" s="35" t="s">
        <v>64</v>
      </c>
      <c r="D197" s="32" t="s">
        <v>729</v>
      </c>
      <c r="E197" s="11" t="s">
        <v>9</v>
      </c>
    </row>
    <row r="198">
      <c r="A198" s="19">
        <v>0.6333333333333333</v>
      </c>
      <c r="B198" s="32" t="s">
        <v>991</v>
      </c>
      <c r="C198" s="35" t="s">
        <v>212</v>
      </c>
      <c r="D198" s="32" t="s">
        <v>989</v>
      </c>
      <c r="E198" s="11" t="s">
        <v>13</v>
      </c>
    </row>
    <row r="199">
      <c r="A199" s="27"/>
      <c r="B199" s="1" t="s">
        <v>112</v>
      </c>
      <c r="C199" s="2"/>
      <c r="D199" s="3"/>
      <c r="E199" s="4"/>
    </row>
    <row r="200">
      <c r="A200" s="18" t="s">
        <v>1</v>
      </c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A201" s="19">
        <v>0.5416666666666666</v>
      </c>
      <c r="B201" s="32" t="s">
        <v>994</v>
      </c>
      <c r="C201" s="33" t="s">
        <v>428</v>
      </c>
      <c r="D201" s="32" t="s">
        <v>995</v>
      </c>
      <c r="E201" s="11" t="s">
        <v>33</v>
      </c>
    </row>
    <row r="202">
      <c r="A202" s="19">
        <v>0.5416666666666666</v>
      </c>
      <c r="B202" s="32" t="s">
        <v>996</v>
      </c>
      <c r="C202" s="33" t="s">
        <v>201</v>
      </c>
      <c r="D202" s="32" t="s">
        <v>997</v>
      </c>
      <c r="E202" s="11" t="s">
        <v>37</v>
      </c>
    </row>
    <row r="203">
      <c r="A203" s="19">
        <v>0.5513888888888889</v>
      </c>
      <c r="B203" s="32" t="s">
        <v>996</v>
      </c>
      <c r="C203" s="33" t="s">
        <v>231</v>
      </c>
      <c r="D203" s="32" t="s">
        <v>995</v>
      </c>
      <c r="E203" s="11" t="s">
        <v>33</v>
      </c>
    </row>
    <row r="204">
      <c r="A204" s="19">
        <v>0.5513888888888889</v>
      </c>
      <c r="B204" s="32" t="s">
        <v>420</v>
      </c>
      <c r="C204" s="33" t="s">
        <v>190</v>
      </c>
      <c r="D204" s="32" t="s">
        <v>997</v>
      </c>
      <c r="E204" s="11" t="s">
        <v>37</v>
      </c>
    </row>
    <row r="205">
      <c r="A205" s="19">
        <v>0.5618055555555556</v>
      </c>
      <c r="B205" s="32" t="s">
        <v>420</v>
      </c>
      <c r="C205" s="33" t="s">
        <v>815</v>
      </c>
      <c r="D205" s="32" t="s">
        <v>996</v>
      </c>
      <c r="E205" s="11" t="s">
        <v>33</v>
      </c>
    </row>
    <row r="206">
      <c r="A206" s="19">
        <v>0.5618055555555556</v>
      </c>
      <c r="B206" s="32" t="s">
        <v>997</v>
      </c>
      <c r="C206" s="33" t="s">
        <v>16</v>
      </c>
      <c r="D206" s="32" t="s">
        <v>994</v>
      </c>
      <c r="E206" s="11" t="s">
        <v>37</v>
      </c>
    </row>
    <row r="207">
      <c r="A207" s="19">
        <v>0.5722222222222222</v>
      </c>
      <c r="B207" s="32" t="s">
        <v>420</v>
      </c>
      <c r="C207" s="33" t="s">
        <v>27</v>
      </c>
      <c r="D207" s="32" t="s">
        <v>995</v>
      </c>
      <c r="E207" s="11" t="s">
        <v>33</v>
      </c>
    </row>
    <row r="208">
      <c r="A208" s="19">
        <v>0.5722222222222222</v>
      </c>
      <c r="B208" s="32" t="s">
        <v>994</v>
      </c>
      <c r="C208" s="33" t="s">
        <v>47</v>
      </c>
      <c r="D208" s="32" t="s">
        <v>996</v>
      </c>
      <c r="E208" s="11" t="s">
        <v>37</v>
      </c>
    </row>
    <row r="209">
      <c r="A209" s="19">
        <v>0.5819444444444445</v>
      </c>
      <c r="B209" s="32" t="s">
        <v>997</v>
      </c>
      <c r="C209" s="33" t="s">
        <v>69</v>
      </c>
      <c r="D209" s="32" t="s">
        <v>995</v>
      </c>
      <c r="E209" s="11" t="s">
        <v>33</v>
      </c>
    </row>
    <row r="210">
      <c r="A210" s="19">
        <v>0.5819444444444445</v>
      </c>
      <c r="B210" s="32" t="s">
        <v>994</v>
      </c>
      <c r="C210" s="33" t="s">
        <v>26</v>
      </c>
      <c r="D210" s="32" t="s">
        <v>420</v>
      </c>
      <c r="E210" s="11" t="s">
        <v>37</v>
      </c>
    </row>
    <row r="211">
      <c r="A211" s="19">
        <v>0.5923611111111111</v>
      </c>
      <c r="B211" s="32" t="s">
        <v>995</v>
      </c>
      <c r="C211" s="33" t="s">
        <v>722</v>
      </c>
      <c r="D211" s="32" t="s">
        <v>994</v>
      </c>
      <c r="E211" s="11" t="s">
        <v>33</v>
      </c>
    </row>
    <row r="212">
      <c r="A212" s="19">
        <v>0.5923611111111111</v>
      </c>
      <c r="B212" s="32" t="s">
        <v>997</v>
      </c>
      <c r="C212" s="33" t="s">
        <v>220</v>
      </c>
      <c r="D212" s="32" t="s">
        <v>996</v>
      </c>
      <c r="E212" s="11" t="s">
        <v>37</v>
      </c>
    </row>
    <row r="213">
      <c r="A213" s="19">
        <v>0.6027777777777777</v>
      </c>
      <c r="B213" s="32" t="s">
        <v>995</v>
      </c>
      <c r="C213" s="35" t="s">
        <v>28</v>
      </c>
      <c r="D213" s="32" t="s">
        <v>996</v>
      </c>
      <c r="E213" s="11" t="s">
        <v>33</v>
      </c>
    </row>
    <row r="214">
      <c r="A214" s="19">
        <v>0.6027777777777777</v>
      </c>
      <c r="B214" s="32" t="s">
        <v>997</v>
      </c>
      <c r="C214" s="35" t="s">
        <v>78</v>
      </c>
      <c r="D214" s="32" t="s">
        <v>420</v>
      </c>
      <c r="E214" s="11" t="s">
        <v>37</v>
      </c>
    </row>
    <row r="215">
      <c r="A215" s="19">
        <v>0.6125</v>
      </c>
      <c r="B215" s="32" t="s">
        <v>996</v>
      </c>
      <c r="C215" s="35" t="s">
        <v>578</v>
      </c>
      <c r="D215" s="32" t="s">
        <v>420</v>
      </c>
      <c r="E215" s="11" t="s">
        <v>33</v>
      </c>
    </row>
    <row r="216">
      <c r="A216" s="19">
        <v>0.6125</v>
      </c>
      <c r="B216" s="32" t="s">
        <v>994</v>
      </c>
      <c r="C216" s="35" t="s">
        <v>28</v>
      </c>
      <c r="D216" s="32" t="s">
        <v>997</v>
      </c>
      <c r="E216" s="11" t="s">
        <v>37</v>
      </c>
    </row>
    <row r="217">
      <c r="A217" s="19">
        <v>0.6229166666666667</v>
      </c>
      <c r="B217" s="32" t="s">
        <v>995</v>
      </c>
      <c r="C217" s="35" t="s">
        <v>270</v>
      </c>
      <c r="D217" s="32" t="s">
        <v>420</v>
      </c>
      <c r="E217" s="11" t="s">
        <v>33</v>
      </c>
    </row>
    <row r="218">
      <c r="A218" s="19">
        <v>0.6229166666666667</v>
      </c>
      <c r="B218" s="32" t="s">
        <v>996</v>
      </c>
      <c r="C218" s="35" t="s">
        <v>45</v>
      </c>
      <c r="D218" s="32" t="s">
        <v>994</v>
      </c>
      <c r="E218" s="11" t="s">
        <v>37</v>
      </c>
    </row>
    <row r="219">
      <c r="A219" s="19">
        <v>0.6333333333333333</v>
      </c>
      <c r="B219" s="32" t="s">
        <v>995</v>
      </c>
      <c r="C219" s="35" t="s">
        <v>294</v>
      </c>
      <c r="D219" s="32" t="s">
        <v>997</v>
      </c>
      <c r="E219" s="11" t="s">
        <v>33</v>
      </c>
    </row>
    <row r="220">
      <c r="A220" s="19">
        <v>0.6333333333333333</v>
      </c>
      <c r="B220" s="32" t="s">
        <v>420</v>
      </c>
      <c r="C220" s="35" t="s">
        <v>11</v>
      </c>
      <c r="D220" s="32" t="s">
        <v>994</v>
      </c>
      <c r="E220" s="11" t="s">
        <v>37</v>
      </c>
    </row>
    <row r="221">
      <c r="A221" s="27"/>
      <c r="B221" s="28" t="s">
        <v>123</v>
      </c>
      <c r="C221" s="2"/>
      <c r="D221" s="3"/>
      <c r="E221" s="29"/>
    </row>
    <row r="222">
      <c r="A222" s="18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9">
        <v>0.6458333333333334</v>
      </c>
      <c r="B223" s="34" t="s">
        <v>848</v>
      </c>
      <c r="C223" s="33" t="s">
        <v>26</v>
      </c>
      <c r="D223" s="34" t="s">
        <v>673</v>
      </c>
      <c r="E223" s="11" t="s">
        <v>9</v>
      </c>
    </row>
    <row r="224">
      <c r="A224" s="19">
        <v>0.6458333333333334</v>
      </c>
      <c r="B224" s="34" t="s">
        <v>998</v>
      </c>
      <c r="C224" s="33" t="s">
        <v>87</v>
      </c>
      <c r="D224" s="34" t="s">
        <v>999</v>
      </c>
      <c r="E224" s="11" t="s">
        <v>13</v>
      </c>
    </row>
    <row r="225">
      <c r="A225" s="19">
        <v>0.6555555555555556</v>
      </c>
      <c r="B225" s="34" t="s">
        <v>998</v>
      </c>
      <c r="C225" s="33" t="s">
        <v>218</v>
      </c>
      <c r="D225" s="34" t="s">
        <v>673</v>
      </c>
      <c r="E225" s="11" t="s">
        <v>9</v>
      </c>
    </row>
    <row r="226">
      <c r="A226" s="19">
        <v>0.6555555555555556</v>
      </c>
      <c r="B226" s="34" t="s">
        <v>1000</v>
      </c>
      <c r="C226" s="33" t="s">
        <v>626</v>
      </c>
      <c r="D226" s="34" t="s">
        <v>999</v>
      </c>
      <c r="E226" s="11" t="s">
        <v>13</v>
      </c>
    </row>
    <row r="227">
      <c r="A227" s="19">
        <v>0.6659722222222222</v>
      </c>
      <c r="B227" s="34" t="s">
        <v>1000</v>
      </c>
      <c r="C227" s="37" t="s">
        <v>533</v>
      </c>
      <c r="D227" s="34" t="s">
        <v>998</v>
      </c>
      <c r="E227" s="11" t="s">
        <v>9</v>
      </c>
    </row>
    <row r="228">
      <c r="A228" s="19">
        <v>0.6659722222222222</v>
      </c>
      <c r="B228" s="34" t="s">
        <v>999</v>
      </c>
      <c r="C228" s="33" t="s">
        <v>190</v>
      </c>
      <c r="D228" s="34" t="s">
        <v>848</v>
      </c>
      <c r="E228" s="11" t="s">
        <v>13</v>
      </c>
    </row>
    <row r="229">
      <c r="A229" s="19">
        <v>0.6763888888888889</v>
      </c>
      <c r="B229" s="34" t="s">
        <v>1000</v>
      </c>
      <c r="C229" s="33" t="s">
        <v>239</v>
      </c>
      <c r="D229" s="34" t="s">
        <v>673</v>
      </c>
      <c r="E229" s="11" t="s">
        <v>9</v>
      </c>
    </row>
    <row r="230">
      <c r="A230" s="19">
        <v>0.6763888888888889</v>
      </c>
      <c r="B230" s="34" t="s">
        <v>848</v>
      </c>
      <c r="C230" s="33" t="s">
        <v>472</v>
      </c>
      <c r="D230" s="34" t="s">
        <v>998</v>
      </c>
      <c r="E230" s="11" t="s">
        <v>13</v>
      </c>
    </row>
    <row r="231">
      <c r="A231" s="19">
        <v>0.6861111111111111</v>
      </c>
      <c r="B231" s="34" t="s">
        <v>999</v>
      </c>
      <c r="C231" s="33" t="s">
        <v>69</v>
      </c>
      <c r="D231" s="34" t="s">
        <v>673</v>
      </c>
      <c r="E231" s="11" t="s">
        <v>9</v>
      </c>
    </row>
    <row r="232">
      <c r="A232" s="19">
        <v>0.6861111111111111</v>
      </c>
      <c r="B232" s="34" t="s">
        <v>848</v>
      </c>
      <c r="C232" s="33" t="s">
        <v>481</v>
      </c>
      <c r="D232" s="34" t="s">
        <v>1000</v>
      </c>
      <c r="E232" s="11" t="s">
        <v>13</v>
      </c>
    </row>
    <row r="233">
      <c r="A233" s="19">
        <v>0.6965277777777777</v>
      </c>
      <c r="B233" s="34" t="s">
        <v>673</v>
      </c>
      <c r="C233" s="33" t="s">
        <v>71</v>
      </c>
      <c r="D233" s="34" t="s">
        <v>848</v>
      </c>
      <c r="E233" s="11" t="s">
        <v>9</v>
      </c>
    </row>
    <row r="234">
      <c r="A234" s="19">
        <v>0.6965277777777777</v>
      </c>
      <c r="B234" s="34" t="s">
        <v>999</v>
      </c>
      <c r="C234" s="33" t="s">
        <v>14</v>
      </c>
      <c r="D234" s="34" t="s">
        <v>998</v>
      </c>
      <c r="E234" s="11" t="s">
        <v>13</v>
      </c>
    </row>
    <row r="235">
      <c r="A235" s="19">
        <v>0.7069444444444445</v>
      </c>
      <c r="B235" s="34" t="s">
        <v>673</v>
      </c>
      <c r="C235" s="35" t="s">
        <v>249</v>
      </c>
      <c r="D235" s="34" t="s">
        <v>998</v>
      </c>
      <c r="E235" s="11" t="s">
        <v>9</v>
      </c>
    </row>
    <row r="236">
      <c r="A236" s="19">
        <v>0.7069444444444445</v>
      </c>
      <c r="B236" s="34" t="s">
        <v>999</v>
      </c>
      <c r="C236" s="35" t="s">
        <v>278</v>
      </c>
      <c r="D236" s="34" t="s">
        <v>1000</v>
      </c>
      <c r="E236" s="11" t="s">
        <v>13</v>
      </c>
    </row>
    <row r="237">
      <c r="A237" s="19">
        <v>0.7166666666666667</v>
      </c>
      <c r="B237" s="34" t="s">
        <v>998</v>
      </c>
      <c r="C237" s="35" t="s">
        <v>21</v>
      </c>
      <c r="D237" s="34" t="s">
        <v>1000</v>
      </c>
      <c r="E237" s="11" t="s">
        <v>9</v>
      </c>
    </row>
    <row r="238">
      <c r="A238" s="19">
        <v>0.7166666666666667</v>
      </c>
      <c r="B238" s="34" t="s">
        <v>848</v>
      </c>
      <c r="C238" s="35" t="s">
        <v>35</v>
      </c>
      <c r="D238" s="34" t="s">
        <v>999</v>
      </c>
      <c r="E238" s="11" t="s">
        <v>13</v>
      </c>
    </row>
    <row r="239">
      <c r="A239" s="19">
        <v>0.7270833333333333</v>
      </c>
      <c r="B239" s="34" t="s">
        <v>673</v>
      </c>
      <c r="C239" s="35" t="s">
        <v>16</v>
      </c>
      <c r="D239" s="34" t="s">
        <v>1000</v>
      </c>
      <c r="E239" s="11" t="s">
        <v>9</v>
      </c>
    </row>
    <row r="240">
      <c r="A240" s="19">
        <v>0.7270833333333333</v>
      </c>
      <c r="B240" s="34" t="s">
        <v>998</v>
      </c>
      <c r="C240" s="35" t="s">
        <v>1001</v>
      </c>
      <c r="D240" s="34" t="s">
        <v>848</v>
      </c>
      <c r="E240" s="11" t="s">
        <v>13</v>
      </c>
    </row>
    <row r="241">
      <c r="A241" s="19">
        <v>0.7375</v>
      </c>
      <c r="B241" s="34" t="s">
        <v>673</v>
      </c>
      <c r="C241" s="35" t="s">
        <v>285</v>
      </c>
      <c r="D241" s="34" t="s">
        <v>999</v>
      </c>
      <c r="E241" s="11" t="s">
        <v>9</v>
      </c>
    </row>
    <row r="242">
      <c r="A242" s="19">
        <v>0.7375</v>
      </c>
      <c r="B242" s="34" t="s">
        <v>1000</v>
      </c>
      <c r="C242" s="35" t="s">
        <v>244</v>
      </c>
      <c r="D242" s="34" t="s">
        <v>848</v>
      </c>
      <c r="E242" s="11" t="s">
        <v>13</v>
      </c>
    </row>
    <row r="243">
      <c r="A243" s="27"/>
      <c r="B243" s="28" t="s">
        <v>123</v>
      </c>
      <c r="C243" s="2"/>
      <c r="D243" s="3"/>
      <c r="E243" s="29"/>
    </row>
    <row r="244">
      <c r="A244" s="18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9">
        <v>0.6458333333333334</v>
      </c>
      <c r="B245" s="34" t="s">
        <v>768</v>
      </c>
      <c r="C245" s="33" t="s">
        <v>218</v>
      </c>
      <c r="D245" s="34" t="s">
        <v>1002</v>
      </c>
      <c r="E245" s="11" t="s">
        <v>33</v>
      </c>
    </row>
    <row r="246">
      <c r="A246" s="19">
        <v>0.6458333333333334</v>
      </c>
      <c r="B246" s="34" t="s">
        <v>678</v>
      </c>
      <c r="C246" s="33" t="s">
        <v>544</v>
      </c>
      <c r="D246" s="34" t="s">
        <v>925</v>
      </c>
      <c r="E246" s="11" t="s">
        <v>37</v>
      </c>
    </row>
    <row r="247">
      <c r="A247" s="19">
        <v>0.6555555555555556</v>
      </c>
      <c r="B247" s="34" t="s">
        <v>678</v>
      </c>
      <c r="C247" s="33" t="s">
        <v>14</v>
      </c>
      <c r="D247" s="34" t="s">
        <v>1002</v>
      </c>
      <c r="E247" s="11" t="s">
        <v>33</v>
      </c>
    </row>
    <row r="248">
      <c r="A248" s="19">
        <v>0.6555555555555556</v>
      </c>
      <c r="B248" s="34" t="s">
        <v>1003</v>
      </c>
      <c r="C248" s="33" t="s">
        <v>18</v>
      </c>
      <c r="D248" s="34" t="s">
        <v>925</v>
      </c>
      <c r="E248" s="11" t="s">
        <v>37</v>
      </c>
    </row>
    <row r="249">
      <c r="A249" s="19">
        <v>0.6659722222222222</v>
      </c>
      <c r="B249" s="34" t="s">
        <v>1003</v>
      </c>
      <c r="C249" s="33" t="s">
        <v>1004</v>
      </c>
      <c r="D249" s="34" t="s">
        <v>678</v>
      </c>
      <c r="E249" s="11" t="s">
        <v>33</v>
      </c>
    </row>
    <row r="250">
      <c r="A250" s="19">
        <v>0.6659722222222222</v>
      </c>
      <c r="B250" s="34" t="s">
        <v>925</v>
      </c>
      <c r="C250" s="33" t="s">
        <v>18</v>
      </c>
      <c r="D250" s="34" t="s">
        <v>768</v>
      </c>
      <c r="E250" s="11" t="s">
        <v>37</v>
      </c>
    </row>
    <row r="251">
      <c r="A251" s="19">
        <v>0.6763888888888889</v>
      </c>
      <c r="B251" s="34" t="s">
        <v>1003</v>
      </c>
      <c r="C251" s="33" t="s">
        <v>1005</v>
      </c>
      <c r="D251" s="34" t="s">
        <v>1002</v>
      </c>
      <c r="E251" s="11" t="s">
        <v>33</v>
      </c>
    </row>
    <row r="252">
      <c r="A252" s="19">
        <v>0.6763888888888889</v>
      </c>
      <c r="B252" s="34" t="s">
        <v>768</v>
      </c>
      <c r="C252" s="33" t="s">
        <v>64</v>
      </c>
      <c r="D252" s="34" t="s">
        <v>678</v>
      </c>
      <c r="E252" s="11" t="s">
        <v>37</v>
      </c>
    </row>
    <row r="253">
      <c r="A253" s="19">
        <v>0.6861111111111111</v>
      </c>
      <c r="B253" s="34" t="s">
        <v>925</v>
      </c>
      <c r="C253" s="33" t="s">
        <v>443</v>
      </c>
      <c r="D253" s="34" t="s">
        <v>1002</v>
      </c>
      <c r="E253" s="11" t="s">
        <v>33</v>
      </c>
    </row>
    <row r="254">
      <c r="A254" s="19">
        <v>0.6861111111111111</v>
      </c>
      <c r="B254" s="34" t="s">
        <v>768</v>
      </c>
      <c r="C254" s="33" t="s">
        <v>566</v>
      </c>
      <c r="D254" s="34" t="s">
        <v>1003</v>
      </c>
      <c r="E254" s="11" t="s">
        <v>37</v>
      </c>
    </row>
    <row r="255">
      <c r="A255" s="19">
        <v>0.6965277777777777</v>
      </c>
      <c r="B255" s="34" t="s">
        <v>1002</v>
      </c>
      <c r="C255" s="33" t="s">
        <v>249</v>
      </c>
      <c r="D255" s="34" t="s">
        <v>768</v>
      </c>
      <c r="E255" s="11" t="s">
        <v>33</v>
      </c>
    </row>
    <row r="256">
      <c r="A256" s="19">
        <v>0.6965277777777777</v>
      </c>
      <c r="B256" s="34" t="s">
        <v>925</v>
      </c>
      <c r="C256" s="33" t="s">
        <v>25</v>
      </c>
      <c r="D256" s="34" t="s">
        <v>678</v>
      </c>
      <c r="E256" s="11" t="s">
        <v>37</v>
      </c>
    </row>
    <row r="257">
      <c r="A257" s="19">
        <v>0.7069444444444445</v>
      </c>
      <c r="B257" s="34" t="s">
        <v>1002</v>
      </c>
      <c r="C257" s="35" t="s">
        <v>83</v>
      </c>
      <c r="D257" s="34" t="s">
        <v>678</v>
      </c>
      <c r="E257" s="11" t="s">
        <v>33</v>
      </c>
    </row>
    <row r="258">
      <c r="A258" s="19">
        <v>0.7069444444444445</v>
      </c>
      <c r="B258" s="34" t="s">
        <v>925</v>
      </c>
      <c r="C258" s="35" t="s">
        <v>319</v>
      </c>
      <c r="D258" s="34" t="s">
        <v>1003</v>
      </c>
      <c r="E258" s="11" t="s">
        <v>37</v>
      </c>
    </row>
    <row r="259">
      <c r="A259" s="19">
        <v>0.7166666666666667</v>
      </c>
      <c r="B259" s="34" t="s">
        <v>678</v>
      </c>
      <c r="C259" s="35" t="s">
        <v>16</v>
      </c>
      <c r="D259" s="34" t="s">
        <v>1003</v>
      </c>
      <c r="E259" s="11" t="s">
        <v>33</v>
      </c>
    </row>
    <row r="260">
      <c r="A260" s="19">
        <v>0.7166666666666667</v>
      </c>
      <c r="B260" s="34" t="s">
        <v>768</v>
      </c>
      <c r="C260" s="35" t="s">
        <v>283</v>
      </c>
      <c r="D260" s="34" t="s">
        <v>925</v>
      </c>
      <c r="E260" s="11" t="s">
        <v>37</v>
      </c>
    </row>
    <row r="261">
      <c r="A261" s="19">
        <v>0.7270833333333333</v>
      </c>
      <c r="B261" s="34" t="s">
        <v>1002</v>
      </c>
      <c r="C261" s="35" t="s">
        <v>435</v>
      </c>
      <c r="D261" s="34" t="s">
        <v>1003</v>
      </c>
      <c r="E261" s="11" t="s">
        <v>33</v>
      </c>
    </row>
    <row r="262">
      <c r="A262" s="19">
        <v>0.7270833333333333</v>
      </c>
      <c r="B262" s="34" t="s">
        <v>678</v>
      </c>
      <c r="C262" s="35" t="s">
        <v>317</v>
      </c>
      <c r="D262" s="34" t="s">
        <v>768</v>
      </c>
      <c r="E262" s="11" t="s">
        <v>37</v>
      </c>
    </row>
    <row r="263">
      <c r="A263" s="19">
        <v>0.7375</v>
      </c>
      <c r="B263" s="34" t="s">
        <v>1002</v>
      </c>
      <c r="C263" s="35" t="s">
        <v>291</v>
      </c>
      <c r="D263" s="34" t="s">
        <v>925</v>
      </c>
      <c r="E263" s="11" t="s">
        <v>33</v>
      </c>
    </row>
    <row r="264">
      <c r="A264" s="19">
        <v>0.7375</v>
      </c>
      <c r="B264" s="34" t="s">
        <v>1003</v>
      </c>
      <c r="C264" s="35" t="s">
        <v>52</v>
      </c>
      <c r="D264" s="34" t="s">
        <v>768</v>
      </c>
      <c r="E264" s="11" t="s">
        <v>37</v>
      </c>
    </row>
    <row r="265">
      <c r="A265" s="27"/>
      <c r="B265" s="28" t="s">
        <v>134</v>
      </c>
      <c r="C265" s="2"/>
      <c r="D265" s="3"/>
      <c r="E265" s="29"/>
    </row>
    <row r="266">
      <c r="A266" s="18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9">
        <v>0.75</v>
      </c>
      <c r="B267" s="34" t="s">
        <v>1006</v>
      </c>
      <c r="C267" s="35" t="s">
        <v>16</v>
      </c>
      <c r="D267" s="34" t="s">
        <v>773</v>
      </c>
      <c r="E267" s="11" t="s">
        <v>9</v>
      </c>
    </row>
    <row r="268">
      <c r="A268" s="19">
        <v>0.75</v>
      </c>
      <c r="B268" s="34" t="s">
        <v>573</v>
      </c>
      <c r="C268" s="35" t="s">
        <v>218</v>
      </c>
      <c r="D268" s="34" t="s">
        <v>1007</v>
      </c>
      <c r="E268" s="11" t="s">
        <v>13</v>
      </c>
    </row>
    <row r="269">
      <c r="A269" s="19">
        <v>0.7597222222222222</v>
      </c>
      <c r="B269" s="34" t="s">
        <v>573</v>
      </c>
      <c r="C269" s="35" t="s">
        <v>31</v>
      </c>
      <c r="D269" s="34" t="s">
        <v>773</v>
      </c>
      <c r="E269" s="11" t="s">
        <v>9</v>
      </c>
    </row>
    <row r="270">
      <c r="A270" s="19">
        <v>0.7597222222222222</v>
      </c>
      <c r="B270" s="34" t="s">
        <v>1008</v>
      </c>
      <c r="C270" s="35" t="s">
        <v>14</v>
      </c>
      <c r="D270" s="34" t="s">
        <v>1007</v>
      </c>
      <c r="E270" s="11" t="s">
        <v>13</v>
      </c>
    </row>
    <row r="271">
      <c r="A271" s="19">
        <v>0.7701388888888889</v>
      </c>
      <c r="B271" s="34" t="s">
        <v>1008</v>
      </c>
      <c r="C271" s="35" t="s">
        <v>370</v>
      </c>
      <c r="D271" s="34" t="s">
        <v>573</v>
      </c>
      <c r="E271" s="11" t="s">
        <v>9</v>
      </c>
    </row>
    <row r="272">
      <c r="A272" s="19">
        <v>0.7701388888888889</v>
      </c>
      <c r="B272" s="34" t="s">
        <v>1007</v>
      </c>
      <c r="C272" s="35" t="s">
        <v>201</v>
      </c>
      <c r="D272" s="34" t="s">
        <v>1006</v>
      </c>
      <c r="E272" s="11" t="s">
        <v>13</v>
      </c>
    </row>
    <row r="273">
      <c r="A273" s="19">
        <v>0.7805555555555556</v>
      </c>
      <c r="B273" s="34" t="s">
        <v>1008</v>
      </c>
      <c r="C273" s="35" t="s">
        <v>82</v>
      </c>
      <c r="D273" s="34" t="s">
        <v>773</v>
      </c>
      <c r="E273" s="11" t="s">
        <v>9</v>
      </c>
    </row>
    <row r="274">
      <c r="A274" s="19">
        <v>0.7805555555555556</v>
      </c>
      <c r="B274" s="34" t="s">
        <v>1006</v>
      </c>
      <c r="C274" s="35" t="s">
        <v>28</v>
      </c>
      <c r="D274" s="34" t="s">
        <v>573</v>
      </c>
      <c r="E274" s="11" t="s">
        <v>13</v>
      </c>
    </row>
    <row r="275">
      <c r="A275" s="19">
        <v>0.7902777777777777</v>
      </c>
      <c r="B275" s="34" t="s">
        <v>1007</v>
      </c>
      <c r="C275" s="35" t="s">
        <v>570</v>
      </c>
      <c r="D275" s="34" t="s">
        <v>773</v>
      </c>
      <c r="E275" s="11" t="s">
        <v>9</v>
      </c>
    </row>
    <row r="276">
      <c r="A276" s="19">
        <v>0.7902777777777777</v>
      </c>
      <c r="B276" s="34" t="s">
        <v>1006</v>
      </c>
      <c r="C276" s="35" t="s">
        <v>201</v>
      </c>
      <c r="D276" s="34" t="s">
        <v>1008</v>
      </c>
      <c r="E276" s="11" t="s">
        <v>13</v>
      </c>
    </row>
    <row r="277">
      <c r="A277" s="19">
        <v>0.8006944444444445</v>
      </c>
      <c r="B277" s="34" t="s">
        <v>773</v>
      </c>
      <c r="C277" s="35" t="s">
        <v>217</v>
      </c>
      <c r="D277" s="34" t="s">
        <v>1006</v>
      </c>
      <c r="E277" s="11" t="s">
        <v>9</v>
      </c>
    </row>
    <row r="278">
      <c r="A278" s="19">
        <v>0.8006944444444445</v>
      </c>
      <c r="B278" s="34" t="s">
        <v>1007</v>
      </c>
      <c r="C278" s="35" t="s">
        <v>239</v>
      </c>
      <c r="D278" s="34" t="s">
        <v>573</v>
      </c>
      <c r="E278" s="11" t="s">
        <v>13</v>
      </c>
    </row>
    <row r="279">
      <c r="A279" s="19">
        <v>0.8111111111111111</v>
      </c>
      <c r="B279" s="34" t="s">
        <v>773</v>
      </c>
      <c r="C279" s="35" t="s">
        <v>20</v>
      </c>
      <c r="D279" s="34" t="s">
        <v>573</v>
      </c>
      <c r="E279" s="11" t="s">
        <v>9</v>
      </c>
    </row>
    <row r="280">
      <c r="A280" s="19">
        <v>0.8111111111111111</v>
      </c>
      <c r="B280" s="34" t="s">
        <v>1007</v>
      </c>
      <c r="C280" s="35" t="s">
        <v>21</v>
      </c>
      <c r="D280" s="34" t="s">
        <v>1008</v>
      </c>
      <c r="E280" s="11" t="s">
        <v>13</v>
      </c>
    </row>
    <row r="281">
      <c r="A281" s="19">
        <v>0.8208333333333333</v>
      </c>
      <c r="B281" s="34" t="s">
        <v>573</v>
      </c>
      <c r="C281" s="35" t="s">
        <v>88</v>
      </c>
      <c r="D281" s="34" t="s">
        <v>1008</v>
      </c>
      <c r="E281" s="11" t="s">
        <v>9</v>
      </c>
    </row>
    <row r="282">
      <c r="A282" s="19">
        <v>0.8208333333333333</v>
      </c>
      <c r="B282" s="34" t="s">
        <v>1006</v>
      </c>
      <c r="C282" s="35" t="s">
        <v>48</v>
      </c>
      <c r="D282" s="34" t="s">
        <v>1007</v>
      </c>
      <c r="E282" s="11" t="s">
        <v>13</v>
      </c>
    </row>
    <row r="283">
      <c r="A283" s="19">
        <v>0.83125</v>
      </c>
      <c r="B283" s="34" t="s">
        <v>773</v>
      </c>
      <c r="C283" s="35" t="s">
        <v>68</v>
      </c>
      <c r="D283" s="34" t="s">
        <v>1008</v>
      </c>
      <c r="E283" s="11" t="s">
        <v>9</v>
      </c>
    </row>
    <row r="284">
      <c r="A284" s="19">
        <v>0.83125</v>
      </c>
      <c r="B284" s="34" t="s">
        <v>573</v>
      </c>
      <c r="C284" s="35" t="s">
        <v>17</v>
      </c>
      <c r="D284" s="34" t="s">
        <v>1006</v>
      </c>
      <c r="E284" s="11" t="s">
        <v>13</v>
      </c>
    </row>
    <row r="285">
      <c r="A285" s="19">
        <v>0.8416666666666667</v>
      </c>
      <c r="B285" s="34" t="s">
        <v>773</v>
      </c>
      <c r="C285" s="35" t="s">
        <v>66</v>
      </c>
      <c r="D285" s="34" t="s">
        <v>1007</v>
      </c>
      <c r="E285" s="11" t="s">
        <v>9</v>
      </c>
    </row>
    <row r="286">
      <c r="A286" s="19">
        <v>0.8416666666666667</v>
      </c>
      <c r="B286" s="34" t="s">
        <v>1008</v>
      </c>
      <c r="C286" s="35" t="s">
        <v>194</v>
      </c>
      <c r="D286" s="34" t="s">
        <v>1006</v>
      </c>
      <c r="E286" s="11" t="s">
        <v>13</v>
      </c>
    </row>
    <row r="287">
      <c r="A287" s="27"/>
      <c r="B287" s="28" t="s">
        <v>134</v>
      </c>
      <c r="C287" s="2"/>
      <c r="D287" s="3"/>
      <c r="E287" s="29"/>
    </row>
    <row r="288">
      <c r="A288" s="18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9">
        <v>0.75</v>
      </c>
      <c r="B289" s="34" t="s">
        <v>586</v>
      </c>
      <c r="C289" s="33" t="s">
        <v>443</v>
      </c>
      <c r="D289" s="34" t="s">
        <v>1009</v>
      </c>
      <c r="E289" s="11" t="s">
        <v>33</v>
      </c>
    </row>
    <row r="290">
      <c r="A290" s="19">
        <v>0.75</v>
      </c>
      <c r="B290" s="34" t="s">
        <v>690</v>
      </c>
      <c r="C290" s="33" t="s">
        <v>270</v>
      </c>
      <c r="D290" s="34" t="s">
        <v>1010</v>
      </c>
      <c r="E290" s="11" t="s">
        <v>37</v>
      </c>
    </row>
    <row r="291">
      <c r="A291" s="19">
        <v>0.7597222222222222</v>
      </c>
      <c r="B291" s="34" t="s">
        <v>690</v>
      </c>
      <c r="C291" s="33" t="s">
        <v>1011</v>
      </c>
      <c r="D291" s="34" t="s">
        <v>1009</v>
      </c>
      <c r="E291" s="11" t="s">
        <v>33</v>
      </c>
    </row>
    <row r="292">
      <c r="A292" s="19">
        <v>0.7597222222222222</v>
      </c>
      <c r="B292" s="34" t="s">
        <v>1012</v>
      </c>
      <c r="C292" s="33" t="s">
        <v>578</v>
      </c>
      <c r="D292" s="34" t="s">
        <v>1010</v>
      </c>
      <c r="E292" s="11" t="s">
        <v>37</v>
      </c>
    </row>
    <row r="293">
      <c r="A293" s="19">
        <v>0.7701388888888889</v>
      </c>
      <c r="B293" s="34" t="s">
        <v>1012</v>
      </c>
      <c r="C293" s="33" t="s">
        <v>446</v>
      </c>
      <c r="D293" s="34" t="s">
        <v>690</v>
      </c>
      <c r="E293" s="11" t="s">
        <v>33</v>
      </c>
    </row>
    <row r="294">
      <c r="A294" s="19">
        <v>0.7701388888888889</v>
      </c>
      <c r="B294" s="34" t="s">
        <v>1010</v>
      </c>
      <c r="C294" s="33" t="s">
        <v>370</v>
      </c>
      <c r="D294" s="34" t="s">
        <v>586</v>
      </c>
      <c r="E294" s="11" t="s">
        <v>37</v>
      </c>
    </row>
    <row r="295">
      <c r="A295" s="19">
        <v>0.7805555555555556</v>
      </c>
      <c r="B295" s="34" t="s">
        <v>1012</v>
      </c>
      <c r="C295" s="33" t="s">
        <v>561</v>
      </c>
      <c r="D295" s="34" t="s">
        <v>1009</v>
      </c>
      <c r="E295" s="11" t="s">
        <v>33</v>
      </c>
    </row>
    <row r="296">
      <c r="A296" s="19">
        <v>0.7805555555555556</v>
      </c>
      <c r="B296" s="34" t="s">
        <v>586</v>
      </c>
      <c r="C296" s="33" t="s">
        <v>47</v>
      </c>
      <c r="D296" s="34" t="s">
        <v>690</v>
      </c>
      <c r="E296" s="11" t="s">
        <v>37</v>
      </c>
    </row>
    <row r="297">
      <c r="A297" s="19">
        <v>0.7902777777777777</v>
      </c>
      <c r="B297" s="34" t="s">
        <v>1010</v>
      </c>
      <c r="C297" s="33" t="s">
        <v>413</v>
      </c>
      <c r="D297" s="34" t="s">
        <v>1009</v>
      </c>
      <c r="E297" s="11" t="s">
        <v>33</v>
      </c>
    </row>
    <row r="298">
      <c r="A298" s="19">
        <v>0.7902777777777777</v>
      </c>
      <c r="B298" s="34" t="s">
        <v>586</v>
      </c>
      <c r="C298" s="33" t="s">
        <v>24</v>
      </c>
      <c r="D298" s="34" t="s">
        <v>1012</v>
      </c>
      <c r="E298" s="11" t="s">
        <v>37</v>
      </c>
    </row>
    <row r="299">
      <c r="A299" s="19">
        <v>0.8006944444444445</v>
      </c>
      <c r="B299" s="34" t="s">
        <v>1009</v>
      </c>
      <c r="C299" s="33" t="s">
        <v>52</v>
      </c>
      <c r="D299" s="34" t="s">
        <v>586</v>
      </c>
      <c r="E299" s="11" t="s">
        <v>33</v>
      </c>
    </row>
    <row r="300">
      <c r="A300" s="19">
        <v>0.8006944444444445</v>
      </c>
      <c r="B300" s="34" t="s">
        <v>1010</v>
      </c>
      <c r="C300" s="33" t="s">
        <v>276</v>
      </c>
      <c r="D300" s="34" t="s">
        <v>690</v>
      </c>
      <c r="E300" s="11" t="s">
        <v>37</v>
      </c>
    </row>
    <row r="301">
      <c r="A301" s="19">
        <v>0.8111111111111111</v>
      </c>
      <c r="B301" s="34" t="s">
        <v>1009</v>
      </c>
      <c r="C301" s="35" t="s">
        <v>64</v>
      </c>
      <c r="D301" s="34" t="s">
        <v>690</v>
      </c>
      <c r="E301" s="11" t="s">
        <v>33</v>
      </c>
    </row>
    <row r="302">
      <c r="A302" s="19">
        <v>0.8111111111111111</v>
      </c>
      <c r="B302" s="34" t="s">
        <v>1010</v>
      </c>
      <c r="C302" s="35" t="s">
        <v>404</v>
      </c>
      <c r="D302" s="34" t="s">
        <v>1012</v>
      </c>
      <c r="E302" s="11" t="s">
        <v>37</v>
      </c>
    </row>
    <row r="303">
      <c r="A303" s="19">
        <v>0.8208333333333333</v>
      </c>
      <c r="B303" s="34" t="s">
        <v>690</v>
      </c>
      <c r="C303" s="35" t="s">
        <v>566</v>
      </c>
      <c r="D303" s="34" t="s">
        <v>1012</v>
      </c>
      <c r="E303" s="11" t="s">
        <v>33</v>
      </c>
    </row>
    <row r="304">
      <c r="A304" s="19">
        <v>0.8208333333333333</v>
      </c>
      <c r="B304" s="34" t="s">
        <v>586</v>
      </c>
      <c r="C304" s="35" t="s">
        <v>196</v>
      </c>
      <c r="D304" s="34" t="s">
        <v>1010</v>
      </c>
      <c r="E304" s="11" t="s">
        <v>37</v>
      </c>
    </row>
    <row r="305">
      <c r="A305" s="19">
        <v>0.83125</v>
      </c>
      <c r="B305" s="34" t="s">
        <v>1009</v>
      </c>
      <c r="C305" s="35" t="s">
        <v>718</v>
      </c>
      <c r="D305" s="34" t="s">
        <v>1012</v>
      </c>
      <c r="E305" s="11" t="s">
        <v>33</v>
      </c>
    </row>
    <row r="306">
      <c r="A306" s="19">
        <v>0.83125</v>
      </c>
      <c r="B306" s="34" t="s">
        <v>690</v>
      </c>
      <c r="C306" s="35" t="s">
        <v>190</v>
      </c>
      <c r="D306" s="34" t="s">
        <v>586</v>
      </c>
      <c r="E306" s="11" t="s">
        <v>37</v>
      </c>
    </row>
    <row r="307">
      <c r="A307" s="19">
        <v>0.8416666666666667</v>
      </c>
      <c r="B307" s="34" t="s">
        <v>1009</v>
      </c>
      <c r="C307" s="35" t="s">
        <v>1013</v>
      </c>
      <c r="D307" s="34" t="s">
        <v>1010</v>
      </c>
      <c r="E307" s="11" t="s">
        <v>33</v>
      </c>
    </row>
    <row r="308">
      <c r="A308" s="19">
        <v>0.8416666666666667</v>
      </c>
      <c r="B308" s="34" t="s">
        <v>1012</v>
      </c>
      <c r="C308" s="35" t="s">
        <v>68</v>
      </c>
      <c r="D308" s="34" t="s">
        <v>586</v>
      </c>
      <c r="E308" s="11" t="s">
        <v>37</v>
      </c>
    </row>
    <row r="309">
      <c r="A309" s="27"/>
      <c r="B309" s="28" t="s">
        <v>145</v>
      </c>
      <c r="C309" s="2"/>
      <c r="D309" s="3"/>
      <c r="E309" s="29"/>
    </row>
    <row r="310">
      <c r="A310" s="18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9">
        <v>0.8541666666666666</v>
      </c>
      <c r="B311" s="34" t="s">
        <v>1014</v>
      </c>
      <c r="C311" s="33" t="s">
        <v>285</v>
      </c>
      <c r="D311" s="34" t="s">
        <v>594</v>
      </c>
      <c r="E311" s="11" t="s">
        <v>9</v>
      </c>
    </row>
    <row r="312">
      <c r="A312" s="19">
        <v>0.8541666666666666</v>
      </c>
      <c r="B312" s="34" t="s">
        <v>1015</v>
      </c>
      <c r="C312" s="33" t="s">
        <v>69</v>
      </c>
      <c r="D312" s="34" t="s">
        <v>1016</v>
      </c>
      <c r="E312" s="11" t="s">
        <v>13</v>
      </c>
    </row>
    <row r="313">
      <c r="A313" s="19">
        <v>0.8638888888888889</v>
      </c>
      <c r="B313" s="34" t="s">
        <v>1015</v>
      </c>
      <c r="C313" s="33" t="s">
        <v>82</v>
      </c>
      <c r="D313" s="34" t="s">
        <v>594</v>
      </c>
      <c r="E313" s="11" t="s">
        <v>9</v>
      </c>
    </row>
    <row r="314">
      <c r="A314" s="19">
        <v>0.8638888888888889</v>
      </c>
      <c r="B314" s="34" t="s">
        <v>1017</v>
      </c>
      <c r="C314" s="33" t="s">
        <v>55</v>
      </c>
      <c r="D314" s="34" t="s">
        <v>1016</v>
      </c>
      <c r="E314" s="11" t="s">
        <v>13</v>
      </c>
    </row>
    <row r="315">
      <c r="A315" s="19">
        <v>0.8743055555555556</v>
      </c>
      <c r="B315" s="34" t="s">
        <v>1017</v>
      </c>
      <c r="C315" s="33" t="s">
        <v>1018</v>
      </c>
      <c r="D315" s="34" t="s">
        <v>1015</v>
      </c>
      <c r="E315" s="11" t="s">
        <v>9</v>
      </c>
    </row>
    <row r="316">
      <c r="A316" s="19">
        <v>0.8743055555555556</v>
      </c>
      <c r="B316" s="34" t="s">
        <v>1016</v>
      </c>
      <c r="C316" s="33" t="s">
        <v>16</v>
      </c>
      <c r="D316" s="34" t="s">
        <v>1014</v>
      </c>
      <c r="E316" s="11" t="s">
        <v>13</v>
      </c>
    </row>
    <row r="317">
      <c r="A317" s="19">
        <v>0.8847222222222222</v>
      </c>
      <c r="B317" s="34" t="s">
        <v>1017</v>
      </c>
      <c r="C317" s="33" t="s">
        <v>231</v>
      </c>
      <c r="D317" s="34" t="s">
        <v>594</v>
      </c>
      <c r="E317" s="11" t="s">
        <v>9</v>
      </c>
    </row>
    <row r="318">
      <c r="A318" s="19">
        <v>0.8847222222222222</v>
      </c>
      <c r="B318" s="34" t="s">
        <v>1014</v>
      </c>
      <c r="C318" s="33" t="s">
        <v>579</v>
      </c>
      <c r="D318" s="34" t="s">
        <v>1015</v>
      </c>
      <c r="E318" s="11" t="s">
        <v>13</v>
      </c>
    </row>
    <row r="319">
      <c r="A319" s="19">
        <v>0.8944444444444445</v>
      </c>
      <c r="B319" s="34" t="s">
        <v>1016</v>
      </c>
      <c r="C319" s="33" t="s">
        <v>284</v>
      </c>
      <c r="D319" s="34" t="s">
        <v>594</v>
      </c>
      <c r="E319" s="11" t="s">
        <v>9</v>
      </c>
    </row>
    <row r="320">
      <c r="A320" s="19">
        <v>0.8944444444444445</v>
      </c>
      <c r="B320" s="34" t="s">
        <v>1014</v>
      </c>
      <c r="C320" s="33" t="s">
        <v>1019</v>
      </c>
      <c r="D320" s="34" t="s">
        <v>1017</v>
      </c>
      <c r="E320" s="51" t="str">
        <f>HYPERLINK("https://youtu.be/fU6rUT6dB08?t=3708","channel 2")</f>
        <v>channel 2</v>
      </c>
    </row>
    <row r="321">
      <c r="A321" s="19">
        <v>0.9048611111111111</v>
      </c>
      <c r="B321" s="34" t="s">
        <v>594</v>
      </c>
      <c r="C321" s="33" t="s">
        <v>195</v>
      </c>
      <c r="D321" s="34" t="s">
        <v>1014</v>
      </c>
      <c r="E321" s="11" t="s">
        <v>9</v>
      </c>
    </row>
    <row r="322">
      <c r="A322" s="19">
        <v>0.9048611111111111</v>
      </c>
      <c r="B322" s="34" t="s">
        <v>1016</v>
      </c>
      <c r="C322" s="33" t="s">
        <v>239</v>
      </c>
      <c r="D322" s="34" t="s">
        <v>1015</v>
      </c>
      <c r="E322" s="11" t="s">
        <v>13</v>
      </c>
    </row>
    <row r="323">
      <c r="A323" s="19">
        <v>0.9152777777777777</v>
      </c>
      <c r="B323" s="34" t="s">
        <v>594</v>
      </c>
      <c r="C323" s="35" t="s">
        <v>35</v>
      </c>
      <c r="D323" s="34" t="s">
        <v>1015</v>
      </c>
      <c r="E323" s="11" t="s">
        <v>9</v>
      </c>
    </row>
    <row r="324">
      <c r="A324" s="19">
        <v>0.9152777777777777</v>
      </c>
      <c r="B324" s="34" t="s">
        <v>1016</v>
      </c>
      <c r="C324" s="35" t="s">
        <v>11</v>
      </c>
      <c r="D324" s="34" t="s">
        <v>1017</v>
      </c>
      <c r="E324" s="11" t="s">
        <v>13</v>
      </c>
    </row>
    <row r="325">
      <c r="A325" s="19">
        <v>0.925</v>
      </c>
      <c r="B325" s="34" t="s">
        <v>1015</v>
      </c>
      <c r="C325" s="35" t="s">
        <v>21</v>
      </c>
      <c r="D325" s="34" t="s">
        <v>1017</v>
      </c>
      <c r="E325" s="11" t="s">
        <v>9</v>
      </c>
    </row>
    <row r="326">
      <c r="A326" s="19">
        <v>0.925</v>
      </c>
      <c r="B326" s="34" t="s">
        <v>1014</v>
      </c>
      <c r="C326" s="35" t="s">
        <v>824</v>
      </c>
      <c r="D326" s="34" t="s">
        <v>1016</v>
      </c>
      <c r="E326" s="11" t="s">
        <v>13</v>
      </c>
    </row>
    <row r="327">
      <c r="A327" s="19">
        <v>0.9354166666666667</v>
      </c>
      <c r="B327" s="34" t="s">
        <v>594</v>
      </c>
      <c r="C327" s="35" t="s">
        <v>82</v>
      </c>
      <c r="D327" s="34" t="s">
        <v>1017</v>
      </c>
      <c r="E327" s="11" t="s">
        <v>9</v>
      </c>
    </row>
    <row r="328">
      <c r="A328" s="19">
        <v>0.9354166666666667</v>
      </c>
      <c r="B328" s="34" t="s">
        <v>1015</v>
      </c>
      <c r="C328" s="35" t="s">
        <v>587</v>
      </c>
      <c r="D328" s="34" t="s">
        <v>1014</v>
      </c>
      <c r="E328" s="11" t="s">
        <v>13</v>
      </c>
    </row>
    <row r="329">
      <c r="A329" s="19">
        <v>0.9458333333333333</v>
      </c>
      <c r="B329" s="34" t="s">
        <v>594</v>
      </c>
      <c r="C329" s="35" t="s">
        <v>16</v>
      </c>
      <c r="D329" s="34" t="s">
        <v>1016</v>
      </c>
      <c r="E329" s="11" t="s">
        <v>9</v>
      </c>
    </row>
    <row r="330">
      <c r="A330" s="19">
        <v>0.9458333333333333</v>
      </c>
      <c r="B330" s="34" t="s">
        <v>1017</v>
      </c>
      <c r="C330" s="35" t="s">
        <v>520</v>
      </c>
      <c r="D330" s="34" t="s">
        <v>1014</v>
      </c>
      <c r="E330" s="11" t="s">
        <v>13</v>
      </c>
    </row>
    <row r="331">
      <c r="A331" s="27"/>
      <c r="B331" s="28" t="s">
        <v>145</v>
      </c>
      <c r="C331" s="2"/>
      <c r="D331" s="3"/>
      <c r="E331" s="29"/>
    </row>
    <row r="332">
      <c r="A332" s="18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9">
        <v>0.8541666666666666</v>
      </c>
      <c r="B333" s="34" t="s">
        <v>600</v>
      </c>
      <c r="C333" s="33" t="s">
        <v>306</v>
      </c>
      <c r="D333" s="34" t="s">
        <v>782</v>
      </c>
      <c r="E333" s="11" t="s">
        <v>33</v>
      </c>
    </row>
    <row r="334">
      <c r="A334" s="19">
        <v>0.8541666666666666</v>
      </c>
      <c r="B334" s="34" t="s">
        <v>1020</v>
      </c>
      <c r="C334" s="33" t="s">
        <v>19</v>
      </c>
      <c r="D334" s="34" t="s">
        <v>511</v>
      </c>
      <c r="E334" s="11" t="s">
        <v>37</v>
      </c>
    </row>
    <row r="335">
      <c r="A335" s="19">
        <v>0.8638888888888889</v>
      </c>
      <c r="B335" s="34" t="s">
        <v>1020</v>
      </c>
      <c r="C335" s="33" t="s">
        <v>65</v>
      </c>
      <c r="D335" s="34" t="s">
        <v>782</v>
      </c>
      <c r="E335" s="11" t="s">
        <v>33</v>
      </c>
    </row>
    <row r="336">
      <c r="A336" s="19">
        <v>0.8638888888888889</v>
      </c>
      <c r="B336" s="34" t="s">
        <v>871</v>
      </c>
      <c r="C336" s="33" t="s">
        <v>544</v>
      </c>
      <c r="D336" s="34" t="s">
        <v>511</v>
      </c>
      <c r="E336" s="11" t="s">
        <v>37</v>
      </c>
    </row>
    <row r="337">
      <c r="A337" s="19">
        <v>0.8743055555555556</v>
      </c>
      <c r="B337" s="34" t="s">
        <v>871</v>
      </c>
      <c r="C337" s="33" t="s">
        <v>239</v>
      </c>
      <c r="D337" s="34" t="s">
        <v>1020</v>
      </c>
      <c r="E337" s="11" t="s">
        <v>33</v>
      </c>
    </row>
    <row r="338">
      <c r="A338" s="19">
        <v>0.8743055555555556</v>
      </c>
      <c r="B338" s="34" t="s">
        <v>511</v>
      </c>
      <c r="C338" s="33" t="s">
        <v>428</v>
      </c>
      <c r="D338" s="34" t="s">
        <v>600</v>
      </c>
      <c r="E338" s="11" t="s">
        <v>37</v>
      </c>
    </row>
    <row r="339">
      <c r="A339" s="19">
        <v>0.8847222222222222</v>
      </c>
      <c r="B339" s="34" t="s">
        <v>871</v>
      </c>
      <c r="C339" s="33" t="s">
        <v>50</v>
      </c>
      <c r="D339" s="34" t="s">
        <v>782</v>
      </c>
      <c r="E339" s="11" t="s">
        <v>33</v>
      </c>
    </row>
    <row r="340">
      <c r="A340" s="19">
        <v>0.8847222222222222</v>
      </c>
      <c r="B340" s="34" t="s">
        <v>600</v>
      </c>
      <c r="C340" s="33" t="s">
        <v>212</v>
      </c>
      <c r="D340" s="34" t="s">
        <v>1020</v>
      </c>
      <c r="E340" s="11" t="s">
        <v>37</v>
      </c>
    </row>
    <row r="341">
      <c r="A341" s="19">
        <v>0.8944444444444445</v>
      </c>
      <c r="B341" s="34" t="s">
        <v>511</v>
      </c>
      <c r="C341" s="33" t="s">
        <v>389</v>
      </c>
      <c r="D341" s="34" t="s">
        <v>782</v>
      </c>
      <c r="E341" s="11" t="s">
        <v>33</v>
      </c>
    </row>
    <row r="342">
      <c r="A342" s="19">
        <v>0.8944444444444445</v>
      </c>
      <c r="B342" s="34" t="s">
        <v>600</v>
      </c>
      <c r="C342" s="33" t="s">
        <v>14</v>
      </c>
      <c r="D342" s="34" t="s">
        <v>871</v>
      </c>
      <c r="E342" s="11" t="s">
        <v>37</v>
      </c>
    </row>
    <row r="343">
      <c r="A343" s="19">
        <v>0.9048611111111111</v>
      </c>
      <c r="B343" s="34" t="s">
        <v>782</v>
      </c>
      <c r="C343" s="33" t="s">
        <v>543</v>
      </c>
      <c r="D343" s="34" t="s">
        <v>600</v>
      </c>
      <c r="E343" s="11" t="s">
        <v>33</v>
      </c>
    </row>
    <row r="344">
      <c r="A344" s="19">
        <v>0.9048611111111111</v>
      </c>
      <c r="B344" s="34" t="s">
        <v>511</v>
      </c>
      <c r="C344" s="33" t="s">
        <v>260</v>
      </c>
      <c r="D344" s="34" t="s">
        <v>1020</v>
      </c>
      <c r="E344" s="11" t="s">
        <v>37</v>
      </c>
    </row>
    <row r="345">
      <c r="A345" s="19">
        <v>0.9152777777777777</v>
      </c>
      <c r="B345" s="34" t="s">
        <v>782</v>
      </c>
      <c r="C345" s="35" t="s">
        <v>1021</v>
      </c>
      <c r="D345" s="34" t="s">
        <v>1020</v>
      </c>
      <c r="E345" s="11" t="s">
        <v>33</v>
      </c>
    </row>
    <row r="346">
      <c r="A346" s="19">
        <v>0.9152777777777777</v>
      </c>
      <c r="B346" s="34" t="s">
        <v>511</v>
      </c>
      <c r="C346" s="35" t="s">
        <v>47</v>
      </c>
      <c r="D346" s="34" t="s">
        <v>871</v>
      </c>
      <c r="E346" s="11" t="s">
        <v>37</v>
      </c>
    </row>
    <row r="347">
      <c r="A347" s="19">
        <v>0.925</v>
      </c>
      <c r="B347" s="34" t="s">
        <v>1020</v>
      </c>
      <c r="C347" s="35" t="s">
        <v>578</v>
      </c>
      <c r="D347" s="34" t="s">
        <v>871</v>
      </c>
      <c r="E347" s="11" t="s">
        <v>33</v>
      </c>
    </row>
    <row r="348">
      <c r="A348" s="19">
        <v>0.925</v>
      </c>
      <c r="B348" s="34" t="s">
        <v>600</v>
      </c>
      <c r="C348" s="35" t="s">
        <v>1022</v>
      </c>
      <c r="D348" s="34" t="s">
        <v>511</v>
      </c>
      <c r="E348" s="11" t="s">
        <v>37</v>
      </c>
    </row>
    <row r="349">
      <c r="A349" s="19">
        <v>0.9354166666666667</v>
      </c>
      <c r="B349" s="34" t="s">
        <v>782</v>
      </c>
      <c r="C349" s="35" t="s">
        <v>426</v>
      </c>
      <c r="D349" s="34" t="s">
        <v>871</v>
      </c>
      <c r="E349" s="11" t="s">
        <v>33</v>
      </c>
    </row>
    <row r="350">
      <c r="A350" s="19">
        <v>0.9354166666666667</v>
      </c>
      <c r="B350" s="34" t="s">
        <v>1020</v>
      </c>
      <c r="C350" s="35" t="s">
        <v>260</v>
      </c>
      <c r="D350" s="34" t="s">
        <v>600</v>
      </c>
      <c r="E350" s="11" t="s">
        <v>37</v>
      </c>
    </row>
    <row r="351">
      <c r="A351" s="19">
        <v>0.9458333333333333</v>
      </c>
      <c r="B351" s="34" t="s">
        <v>782</v>
      </c>
      <c r="C351" s="35" t="s">
        <v>718</v>
      </c>
      <c r="D351" s="34" t="s">
        <v>511</v>
      </c>
      <c r="E351" s="11" t="s">
        <v>33</v>
      </c>
    </row>
    <row r="352">
      <c r="A352" s="19">
        <v>0.9458333333333333</v>
      </c>
      <c r="B352" s="34" t="s">
        <v>871</v>
      </c>
      <c r="C352" s="35" t="s">
        <v>218</v>
      </c>
      <c r="D352" s="34" t="s">
        <v>600</v>
      </c>
      <c r="E352" s="11" t="s">
        <v>37</v>
      </c>
    </row>
    <row r="353">
      <c r="A353" s="27"/>
      <c r="B353" s="28" t="s">
        <v>156</v>
      </c>
      <c r="C353" s="2"/>
      <c r="D353" s="3"/>
      <c r="E353" s="29"/>
    </row>
    <row r="354">
      <c r="A354" s="18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9">
        <v>0.9583333333333334</v>
      </c>
      <c r="B355" s="34" t="s">
        <v>704</v>
      </c>
      <c r="C355" s="35" t="s">
        <v>243</v>
      </c>
      <c r="D355" s="34" t="s">
        <v>56</v>
      </c>
      <c r="E355" s="11" t="s">
        <v>9</v>
      </c>
    </row>
    <row r="356">
      <c r="A356" s="19">
        <v>0.9583333333333334</v>
      </c>
      <c r="B356" s="34" t="s">
        <v>1023</v>
      </c>
      <c r="C356" s="35" t="s">
        <v>31</v>
      </c>
      <c r="D356" s="34" t="s">
        <v>613</v>
      </c>
      <c r="E356" s="11" t="s">
        <v>13</v>
      </c>
    </row>
    <row r="357">
      <c r="A357" s="19">
        <v>0.9680555555555556</v>
      </c>
      <c r="B357" s="34" t="s">
        <v>1023</v>
      </c>
      <c r="C357" s="35" t="s">
        <v>270</v>
      </c>
      <c r="D357" s="34" t="s">
        <v>56</v>
      </c>
      <c r="E357" s="11" t="s">
        <v>9</v>
      </c>
    </row>
    <row r="358">
      <c r="A358" s="19">
        <v>0.9680555555555556</v>
      </c>
      <c r="B358" s="34" t="s">
        <v>1024</v>
      </c>
      <c r="C358" s="35" t="s">
        <v>362</v>
      </c>
      <c r="D358" s="34" t="s">
        <v>613</v>
      </c>
      <c r="E358" s="11" t="s">
        <v>13</v>
      </c>
    </row>
    <row r="359">
      <c r="A359" s="19">
        <v>0.9784722222222222</v>
      </c>
      <c r="B359" s="34" t="s">
        <v>1024</v>
      </c>
      <c r="C359" s="35" t="s">
        <v>260</v>
      </c>
      <c r="D359" s="34" t="s">
        <v>1023</v>
      </c>
      <c r="E359" s="11" t="s">
        <v>9</v>
      </c>
    </row>
    <row r="360">
      <c r="A360" s="19">
        <v>0.9784722222222222</v>
      </c>
      <c r="B360" s="34" t="s">
        <v>613</v>
      </c>
      <c r="C360" s="35" t="s">
        <v>11</v>
      </c>
      <c r="D360" s="34" t="s">
        <v>704</v>
      </c>
      <c r="E360" s="11" t="s">
        <v>13</v>
      </c>
    </row>
    <row r="361">
      <c r="A361" s="19">
        <v>0.9888888888888889</v>
      </c>
      <c r="B361" s="34" t="s">
        <v>1024</v>
      </c>
      <c r="C361" s="35" t="s">
        <v>17</v>
      </c>
      <c r="D361" s="34" t="s">
        <v>56</v>
      </c>
      <c r="E361" s="11" t="s">
        <v>9</v>
      </c>
    </row>
    <row r="362">
      <c r="A362" s="19">
        <v>0.9888888888888889</v>
      </c>
      <c r="B362" s="34" t="s">
        <v>704</v>
      </c>
      <c r="C362" s="35" t="s">
        <v>286</v>
      </c>
      <c r="D362" s="34" t="s">
        <v>1023</v>
      </c>
      <c r="E362" s="11" t="s">
        <v>13</v>
      </c>
    </row>
    <row r="363">
      <c r="A363" s="19">
        <v>0.9986111111111111</v>
      </c>
      <c r="B363" s="34" t="s">
        <v>613</v>
      </c>
      <c r="C363" s="35" t="s">
        <v>260</v>
      </c>
      <c r="D363" s="34" t="s">
        <v>56</v>
      </c>
      <c r="E363" s="11" t="s">
        <v>9</v>
      </c>
    </row>
    <row r="364">
      <c r="A364" s="19">
        <v>0.9986111111111111</v>
      </c>
      <c r="B364" s="34" t="s">
        <v>704</v>
      </c>
      <c r="C364" s="35" t="s">
        <v>68</v>
      </c>
      <c r="D364" s="34" t="s">
        <v>1024</v>
      </c>
      <c r="E364" s="11" t="s">
        <v>13</v>
      </c>
    </row>
    <row r="365">
      <c r="A365" s="19">
        <v>0.009027777777777777</v>
      </c>
      <c r="B365" s="34" t="s">
        <v>56</v>
      </c>
      <c r="C365" s="35" t="s">
        <v>18</v>
      </c>
      <c r="D365" s="34" t="s">
        <v>704</v>
      </c>
      <c r="E365" s="11" t="s">
        <v>9</v>
      </c>
    </row>
    <row r="366">
      <c r="A366" s="19">
        <v>0.009027777777777777</v>
      </c>
      <c r="B366" s="34" t="s">
        <v>613</v>
      </c>
      <c r="C366" s="35" t="s">
        <v>1025</v>
      </c>
      <c r="D366" s="34" t="s">
        <v>1023</v>
      </c>
      <c r="E366" s="11" t="s">
        <v>13</v>
      </c>
    </row>
    <row r="367">
      <c r="A367" s="19">
        <v>0.019444444444444445</v>
      </c>
      <c r="B367" s="34" t="s">
        <v>56</v>
      </c>
      <c r="C367" s="35" t="s">
        <v>66</v>
      </c>
      <c r="D367" s="34" t="s">
        <v>1023</v>
      </c>
      <c r="E367" s="11" t="s">
        <v>9</v>
      </c>
    </row>
    <row r="368">
      <c r="A368" s="19">
        <v>0.019444444444444445</v>
      </c>
      <c r="B368" s="34" t="s">
        <v>613</v>
      </c>
      <c r="C368" s="35" t="s">
        <v>69</v>
      </c>
      <c r="D368" s="34" t="s">
        <v>1024</v>
      </c>
      <c r="E368" s="11" t="s">
        <v>13</v>
      </c>
    </row>
    <row r="369">
      <c r="A369" s="19">
        <v>0.029166666666666667</v>
      </c>
      <c r="B369" s="34" t="s">
        <v>1023</v>
      </c>
      <c r="C369" s="35" t="s">
        <v>72</v>
      </c>
      <c r="D369" s="34" t="s">
        <v>1024</v>
      </c>
      <c r="E369" s="11" t="s">
        <v>9</v>
      </c>
    </row>
    <row r="370">
      <c r="A370" s="19">
        <v>0.029166666666666667</v>
      </c>
      <c r="B370" s="34" t="s">
        <v>704</v>
      </c>
      <c r="C370" s="35" t="s">
        <v>62</v>
      </c>
      <c r="D370" s="34" t="s">
        <v>613</v>
      </c>
      <c r="E370" s="11" t="s">
        <v>13</v>
      </c>
    </row>
    <row r="371">
      <c r="A371" s="19">
        <v>0.03958333333333333</v>
      </c>
      <c r="B371" s="34" t="s">
        <v>56</v>
      </c>
      <c r="C371" s="35" t="s">
        <v>78</v>
      </c>
      <c r="D371" s="34" t="s">
        <v>1024</v>
      </c>
      <c r="E371" s="11" t="s">
        <v>9</v>
      </c>
    </row>
    <row r="372">
      <c r="A372" s="19">
        <v>0.03958333333333333</v>
      </c>
      <c r="B372" s="34" t="s">
        <v>1023</v>
      </c>
      <c r="C372" s="35" t="s">
        <v>66</v>
      </c>
      <c r="D372" s="34" t="s">
        <v>704</v>
      </c>
      <c r="E372" s="11" t="s">
        <v>13</v>
      </c>
    </row>
    <row r="373">
      <c r="A373" s="19">
        <v>0.05</v>
      </c>
      <c r="B373" s="34" t="s">
        <v>56</v>
      </c>
      <c r="C373" s="35" t="s">
        <v>190</v>
      </c>
      <c r="D373" s="34" t="s">
        <v>613</v>
      </c>
      <c r="E373" s="11" t="s">
        <v>9</v>
      </c>
    </row>
    <row r="374">
      <c r="A374" s="19">
        <v>0.05</v>
      </c>
      <c r="B374" s="34" t="s">
        <v>1024</v>
      </c>
      <c r="C374" s="35" t="s">
        <v>81</v>
      </c>
      <c r="D374" s="34" t="s">
        <v>704</v>
      </c>
      <c r="E374" s="11" t="s">
        <v>13</v>
      </c>
    </row>
    <row r="375">
      <c r="B375" s="28" t="s">
        <v>156</v>
      </c>
      <c r="C375" s="2"/>
      <c r="D375" s="3"/>
      <c r="E375" s="29"/>
    </row>
    <row r="376">
      <c r="A376" s="18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9">
        <v>0.9583333333333334</v>
      </c>
      <c r="B377" s="34" t="s">
        <v>707</v>
      </c>
      <c r="C377" s="35" t="s">
        <v>43</v>
      </c>
      <c r="D377" s="34" t="s">
        <v>1026</v>
      </c>
      <c r="E377" s="11" t="s">
        <v>33</v>
      </c>
    </row>
    <row r="378">
      <c r="A378" s="19">
        <v>0.9583333333333334</v>
      </c>
      <c r="B378" s="34" t="s">
        <v>1027</v>
      </c>
      <c r="C378" s="35" t="s">
        <v>190</v>
      </c>
      <c r="D378" s="34" t="s">
        <v>1028</v>
      </c>
      <c r="E378" s="11" t="s">
        <v>37</v>
      </c>
    </row>
    <row r="379">
      <c r="A379" s="19">
        <v>0.9680555555555556</v>
      </c>
      <c r="B379" s="34" t="s">
        <v>1027</v>
      </c>
      <c r="C379" s="35" t="s">
        <v>22</v>
      </c>
      <c r="D379" s="34" t="s">
        <v>1026</v>
      </c>
      <c r="E379" s="11" t="s">
        <v>33</v>
      </c>
    </row>
    <row r="380">
      <c r="A380" s="19">
        <v>0.9680555555555556</v>
      </c>
      <c r="B380" s="34" t="s">
        <v>1029</v>
      </c>
      <c r="C380" s="35" t="s">
        <v>1030</v>
      </c>
      <c r="D380" s="34" t="s">
        <v>1028</v>
      </c>
      <c r="E380" s="11" t="s">
        <v>37</v>
      </c>
    </row>
    <row r="381">
      <c r="A381" s="19">
        <v>0.9784722222222222</v>
      </c>
      <c r="B381" s="34" t="s">
        <v>1029</v>
      </c>
      <c r="C381" s="35" t="s">
        <v>328</v>
      </c>
      <c r="D381" s="34" t="s">
        <v>1027</v>
      </c>
      <c r="E381" s="11" t="s">
        <v>33</v>
      </c>
    </row>
    <row r="382">
      <c r="A382" s="19">
        <v>0.9784722222222222</v>
      </c>
      <c r="B382" s="34" t="s">
        <v>1028</v>
      </c>
      <c r="C382" s="35" t="s">
        <v>196</v>
      </c>
      <c r="D382" s="34" t="s">
        <v>707</v>
      </c>
      <c r="E382" s="11" t="s">
        <v>37</v>
      </c>
    </row>
    <row r="383">
      <c r="A383" s="19">
        <v>0.9888888888888889</v>
      </c>
      <c r="B383" s="34" t="s">
        <v>1029</v>
      </c>
      <c r="C383" s="35" t="s">
        <v>71</v>
      </c>
      <c r="D383" s="34" t="s">
        <v>1026</v>
      </c>
      <c r="E383" s="11" t="s">
        <v>33</v>
      </c>
    </row>
    <row r="384">
      <c r="A384" s="19">
        <v>0.9888888888888889</v>
      </c>
      <c r="B384" s="34" t="s">
        <v>707</v>
      </c>
      <c r="C384" s="35" t="s">
        <v>43</v>
      </c>
      <c r="D384" s="34" t="s">
        <v>1027</v>
      </c>
      <c r="E384" s="11" t="s">
        <v>37</v>
      </c>
    </row>
    <row r="385">
      <c r="A385" s="19">
        <v>0.9986111111111111</v>
      </c>
      <c r="B385" s="34" t="s">
        <v>1028</v>
      </c>
      <c r="C385" s="35" t="s">
        <v>195</v>
      </c>
      <c r="D385" s="34" t="s">
        <v>1026</v>
      </c>
      <c r="E385" s="11" t="s">
        <v>33</v>
      </c>
    </row>
    <row r="386">
      <c r="A386" s="19">
        <v>0.9986111111111111</v>
      </c>
      <c r="B386" s="34" t="s">
        <v>707</v>
      </c>
      <c r="C386" s="35" t="s">
        <v>42</v>
      </c>
      <c r="D386" s="34" t="s">
        <v>1029</v>
      </c>
      <c r="E386" s="11" t="s">
        <v>37</v>
      </c>
    </row>
    <row r="387">
      <c r="A387" s="19">
        <v>0.009027777777777777</v>
      </c>
      <c r="B387" s="34" t="s">
        <v>1026</v>
      </c>
      <c r="C387" s="35" t="s">
        <v>16</v>
      </c>
      <c r="D387" s="34" t="s">
        <v>707</v>
      </c>
      <c r="E387" s="11" t="s">
        <v>33</v>
      </c>
    </row>
    <row r="388">
      <c r="A388" s="19">
        <v>0.009027777777777777</v>
      </c>
      <c r="B388" s="34" t="s">
        <v>1028</v>
      </c>
      <c r="C388" s="35" t="s">
        <v>41</v>
      </c>
      <c r="D388" s="34" t="s">
        <v>1027</v>
      </c>
      <c r="E388" s="11" t="s">
        <v>37</v>
      </c>
    </row>
    <row r="389">
      <c r="A389" s="19">
        <v>0.019444444444444445</v>
      </c>
      <c r="B389" s="34" t="s">
        <v>1026</v>
      </c>
      <c r="C389" s="35" t="s">
        <v>25</v>
      </c>
      <c r="D389" s="34" t="s">
        <v>1027</v>
      </c>
      <c r="E389" s="11" t="s">
        <v>33</v>
      </c>
    </row>
    <row r="390">
      <c r="A390" s="19">
        <v>0.019444444444444445</v>
      </c>
      <c r="B390" s="34" t="s">
        <v>1028</v>
      </c>
      <c r="C390" s="35" t="s">
        <v>426</v>
      </c>
      <c r="D390" s="34" t="s">
        <v>1029</v>
      </c>
      <c r="E390" s="11" t="s">
        <v>37</v>
      </c>
    </row>
    <row r="391">
      <c r="A391" s="19">
        <v>0.029166666666666667</v>
      </c>
      <c r="B391" s="34" t="s">
        <v>1027</v>
      </c>
      <c r="C391" s="35" t="s">
        <v>88</v>
      </c>
      <c r="D391" s="34" t="s">
        <v>1029</v>
      </c>
      <c r="E391" s="11" t="s">
        <v>33</v>
      </c>
    </row>
    <row r="392">
      <c r="A392" s="19">
        <v>0.029166666666666667</v>
      </c>
      <c r="B392" s="34" t="s">
        <v>707</v>
      </c>
      <c r="C392" s="35" t="s">
        <v>282</v>
      </c>
      <c r="D392" s="34" t="s">
        <v>1028</v>
      </c>
      <c r="E392" s="11" t="s">
        <v>37</v>
      </c>
    </row>
    <row r="393">
      <c r="A393" s="19">
        <v>0.03958333333333333</v>
      </c>
      <c r="B393" s="34" t="s">
        <v>1026</v>
      </c>
      <c r="C393" s="35" t="s">
        <v>357</v>
      </c>
      <c r="D393" s="34" t="s">
        <v>1029</v>
      </c>
      <c r="E393" s="11" t="s">
        <v>33</v>
      </c>
    </row>
    <row r="394">
      <c r="A394" s="19">
        <v>0.03958333333333333</v>
      </c>
      <c r="B394" s="34" t="s">
        <v>1027</v>
      </c>
      <c r="C394" s="35" t="s">
        <v>18</v>
      </c>
      <c r="D394" s="34" t="s">
        <v>707</v>
      </c>
      <c r="E394" s="11" t="s">
        <v>37</v>
      </c>
    </row>
    <row r="395">
      <c r="A395" s="19">
        <v>0.05</v>
      </c>
      <c r="B395" s="34" t="s">
        <v>1026</v>
      </c>
      <c r="C395" s="35" t="s">
        <v>195</v>
      </c>
      <c r="D395" s="34" t="s">
        <v>1028</v>
      </c>
      <c r="E395" s="11" t="s">
        <v>33</v>
      </c>
    </row>
    <row r="396">
      <c r="A396" s="19">
        <v>0.05</v>
      </c>
      <c r="B396" s="34" t="s">
        <v>1029</v>
      </c>
      <c r="C396" s="35" t="s">
        <v>1031</v>
      </c>
      <c r="D396" s="34" t="s">
        <v>707</v>
      </c>
      <c r="E396" s="11" t="s">
        <v>37</v>
      </c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46"/>
      <c r="B1" s="1" t="s">
        <v>0</v>
      </c>
      <c r="C1" s="2"/>
      <c r="D1" s="3"/>
      <c r="E1" s="29"/>
    </row>
    <row r="2">
      <c r="A2" s="47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19">
        <v>0.0625</v>
      </c>
      <c r="B3" s="32" t="s">
        <v>1032</v>
      </c>
      <c r="C3" s="33" t="s">
        <v>22</v>
      </c>
      <c r="D3" s="34" t="s">
        <v>484</v>
      </c>
      <c r="E3" s="11" t="s">
        <v>9</v>
      </c>
    </row>
    <row r="4">
      <c r="A4" s="19">
        <v>0.0625</v>
      </c>
      <c r="B4" s="32" t="s">
        <v>10</v>
      </c>
      <c r="C4" s="33" t="s">
        <v>363</v>
      </c>
      <c r="D4" s="32" t="s">
        <v>1033</v>
      </c>
      <c r="E4" s="11" t="s">
        <v>13</v>
      </c>
    </row>
    <row r="5">
      <c r="A5" s="19">
        <v>0.07222222222222222</v>
      </c>
      <c r="B5" s="34" t="s">
        <v>10</v>
      </c>
      <c r="C5" s="33" t="s">
        <v>212</v>
      </c>
      <c r="D5" s="32" t="s">
        <v>484</v>
      </c>
      <c r="E5" s="11" t="s">
        <v>9</v>
      </c>
    </row>
    <row r="6">
      <c r="A6" s="19">
        <v>0.07222222222222222</v>
      </c>
      <c r="B6" s="32" t="s">
        <v>1034</v>
      </c>
      <c r="C6" s="33" t="s">
        <v>509</v>
      </c>
      <c r="D6" s="34" t="s">
        <v>1033</v>
      </c>
      <c r="E6" s="11" t="s">
        <v>13</v>
      </c>
    </row>
    <row r="7">
      <c r="A7" s="19">
        <v>0.08263888888888889</v>
      </c>
      <c r="B7" s="34" t="s">
        <v>1034</v>
      </c>
      <c r="C7" s="33" t="s">
        <v>400</v>
      </c>
      <c r="D7" s="32" t="s">
        <v>10</v>
      </c>
      <c r="E7" s="11" t="s">
        <v>9</v>
      </c>
    </row>
    <row r="8">
      <c r="A8" s="19">
        <v>0.08263888888888889</v>
      </c>
      <c r="B8" s="32" t="s">
        <v>1033</v>
      </c>
      <c r="C8" s="33" t="s">
        <v>55</v>
      </c>
      <c r="D8" s="32" t="s">
        <v>1032</v>
      </c>
      <c r="E8" s="11" t="s">
        <v>13</v>
      </c>
    </row>
    <row r="9">
      <c r="A9" s="19">
        <v>0.09305555555555556</v>
      </c>
      <c r="B9" s="34" t="s">
        <v>1034</v>
      </c>
      <c r="C9" s="33" t="s">
        <v>362</v>
      </c>
      <c r="D9" s="34" t="s">
        <v>484</v>
      </c>
      <c r="E9" s="11" t="s">
        <v>9</v>
      </c>
    </row>
    <row r="10">
      <c r="A10" s="19">
        <v>0.09305555555555556</v>
      </c>
      <c r="B10" s="32" t="s">
        <v>1032</v>
      </c>
      <c r="C10" s="33" t="s">
        <v>19</v>
      </c>
      <c r="D10" s="32" t="s">
        <v>10</v>
      </c>
      <c r="E10" s="11" t="s">
        <v>13</v>
      </c>
    </row>
    <row r="11">
      <c r="A11" s="19">
        <v>0.10277777777777777</v>
      </c>
      <c r="B11" s="34" t="s">
        <v>1033</v>
      </c>
      <c r="C11" s="33" t="s">
        <v>81</v>
      </c>
      <c r="D11" s="32" t="s">
        <v>484</v>
      </c>
      <c r="E11" s="11" t="s">
        <v>9</v>
      </c>
    </row>
    <row r="12">
      <c r="A12" s="19">
        <v>0.10277777777777777</v>
      </c>
      <c r="B12" s="32" t="s">
        <v>1032</v>
      </c>
      <c r="C12" s="33" t="s">
        <v>81</v>
      </c>
      <c r="D12" s="34" t="s">
        <v>1034</v>
      </c>
      <c r="E12" s="11" t="s">
        <v>13</v>
      </c>
    </row>
    <row r="13">
      <c r="A13" s="19">
        <v>0.11319444444444444</v>
      </c>
      <c r="B13" s="34" t="s">
        <v>484</v>
      </c>
      <c r="C13" s="33" t="s">
        <v>62</v>
      </c>
      <c r="D13" s="32" t="s">
        <v>1032</v>
      </c>
      <c r="E13" s="11" t="s">
        <v>9</v>
      </c>
    </row>
    <row r="14">
      <c r="A14" s="19">
        <v>0.11319444444444444</v>
      </c>
      <c r="B14" s="32" t="s">
        <v>1033</v>
      </c>
      <c r="C14" s="33" t="s">
        <v>26</v>
      </c>
      <c r="D14" s="32" t="s">
        <v>10</v>
      </c>
      <c r="E14" s="11" t="s">
        <v>13</v>
      </c>
    </row>
    <row r="15">
      <c r="A15" s="19">
        <v>0.12361111111111112</v>
      </c>
      <c r="B15" s="32" t="s">
        <v>484</v>
      </c>
      <c r="C15" s="35" t="s">
        <v>201</v>
      </c>
      <c r="D15" s="34" t="s">
        <v>10</v>
      </c>
      <c r="E15" s="11" t="s">
        <v>9</v>
      </c>
    </row>
    <row r="16">
      <c r="A16" s="19">
        <v>0.12361111111111112</v>
      </c>
      <c r="B16" s="34" t="s">
        <v>1033</v>
      </c>
      <c r="C16" s="35" t="s">
        <v>64</v>
      </c>
      <c r="D16" s="32" t="s">
        <v>1034</v>
      </c>
      <c r="E16" s="11" t="s">
        <v>13</v>
      </c>
    </row>
    <row r="17">
      <c r="A17" s="19">
        <v>0.13333333333333333</v>
      </c>
      <c r="B17" s="32" t="s">
        <v>10</v>
      </c>
      <c r="C17" s="35" t="s">
        <v>55</v>
      </c>
      <c r="D17" s="34" t="s">
        <v>1034</v>
      </c>
      <c r="E17" s="11" t="s">
        <v>9</v>
      </c>
    </row>
    <row r="18">
      <c r="A18" s="19">
        <v>0.13333333333333333</v>
      </c>
      <c r="B18" s="32" t="s">
        <v>1032</v>
      </c>
      <c r="C18" s="35" t="s">
        <v>270</v>
      </c>
      <c r="D18" s="32" t="s">
        <v>1033</v>
      </c>
      <c r="E18" s="11" t="s">
        <v>13</v>
      </c>
    </row>
    <row r="19">
      <c r="A19" s="19">
        <v>0.14375</v>
      </c>
      <c r="B19" s="34" t="s">
        <v>484</v>
      </c>
      <c r="C19" s="35" t="s">
        <v>286</v>
      </c>
      <c r="D19" s="34" t="s">
        <v>1034</v>
      </c>
      <c r="E19" s="11" t="s">
        <v>9</v>
      </c>
    </row>
    <row r="20">
      <c r="A20" s="19">
        <v>0.14375</v>
      </c>
      <c r="B20" s="32" t="s">
        <v>10</v>
      </c>
      <c r="C20" s="35" t="s">
        <v>25</v>
      </c>
      <c r="D20" s="32" t="s">
        <v>1032</v>
      </c>
      <c r="E20" s="11" t="s">
        <v>13</v>
      </c>
    </row>
    <row r="21">
      <c r="A21" s="19">
        <v>0.15416666666666667</v>
      </c>
      <c r="B21" s="32" t="s">
        <v>484</v>
      </c>
      <c r="C21" s="35" t="s">
        <v>261</v>
      </c>
      <c r="D21" s="34" t="s">
        <v>1033</v>
      </c>
      <c r="E21" s="11" t="s">
        <v>9</v>
      </c>
    </row>
    <row r="22">
      <c r="A22" s="19">
        <v>0.15416666666666667</v>
      </c>
      <c r="B22" s="34" t="s">
        <v>1034</v>
      </c>
      <c r="C22" s="35" t="s">
        <v>22</v>
      </c>
      <c r="D22" s="32" t="s">
        <v>1032</v>
      </c>
      <c r="E22" s="11" t="s">
        <v>13</v>
      </c>
    </row>
    <row r="23">
      <c r="A23" s="27"/>
      <c r="B23" s="1" t="s">
        <v>29</v>
      </c>
      <c r="C23" s="2"/>
      <c r="D23" s="3"/>
      <c r="E23" s="48"/>
    </row>
    <row r="24">
      <c r="A24" s="18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9">
        <v>0.0625</v>
      </c>
      <c r="B25" s="32" t="s">
        <v>961</v>
      </c>
      <c r="C25" s="52" t="s">
        <v>21</v>
      </c>
      <c r="D25" s="32" t="s">
        <v>32</v>
      </c>
      <c r="E25" s="11" t="s">
        <v>33</v>
      </c>
    </row>
    <row r="26">
      <c r="A26" s="19">
        <v>0.0625</v>
      </c>
      <c r="B26" s="32" t="s">
        <v>1035</v>
      </c>
      <c r="C26" s="52" t="s">
        <v>82</v>
      </c>
      <c r="D26" s="32" t="s">
        <v>1036</v>
      </c>
      <c r="E26" s="11" t="s">
        <v>37</v>
      </c>
    </row>
    <row r="27">
      <c r="A27" s="19">
        <v>0.07222222222222222</v>
      </c>
      <c r="B27" s="34" t="s">
        <v>1035</v>
      </c>
      <c r="C27" s="33" t="s">
        <v>88</v>
      </c>
      <c r="D27" s="34" t="s">
        <v>32</v>
      </c>
      <c r="E27" s="11" t="s">
        <v>33</v>
      </c>
    </row>
    <row r="28">
      <c r="A28" s="19">
        <v>0.07222222222222222</v>
      </c>
      <c r="B28" s="32" t="s">
        <v>1037</v>
      </c>
      <c r="C28" s="33" t="s">
        <v>218</v>
      </c>
      <c r="D28" s="32" t="s">
        <v>1036</v>
      </c>
      <c r="E28" s="11" t="s">
        <v>37</v>
      </c>
    </row>
    <row r="29">
      <c r="A29" s="19">
        <v>0.08263888888888889</v>
      </c>
      <c r="B29" s="34" t="s">
        <v>1037</v>
      </c>
      <c r="C29" s="33" t="s">
        <v>201</v>
      </c>
      <c r="D29" s="32" t="s">
        <v>1035</v>
      </c>
      <c r="E29" s="11" t="s">
        <v>33</v>
      </c>
    </row>
    <row r="30">
      <c r="A30" s="19">
        <v>0.08263888888888889</v>
      </c>
      <c r="B30" s="32" t="s">
        <v>1036</v>
      </c>
      <c r="C30" s="33" t="s">
        <v>22</v>
      </c>
      <c r="D30" s="32" t="s">
        <v>961</v>
      </c>
      <c r="E30" s="11" t="s">
        <v>37</v>
      </c>
    </row>
    <row r="31">
      <c r="A31" s="19">
        <v>0.09305555555555556</v>
      </c>
      <c r="B31" s="34" t="s">
        <v>1037</v>
      </c>
      <c r="C31" s="33" t="s">
        <v>190</v>
      </c>
      <c r="D31" s="32" t="s">
        <v>32</v>
      </c>
      <c r="E31" s="11" t="s">
        <v>33</v>
      </c>
    </row>
    <row r="32">
      <c r="A32" s="19">
        <v>0.09305555555555556</v>
      </c>
      <c r="B32" s="32" t="s">
        <v>961</v>
      </c>
      <c r="C32" s="33" t="s">
        <v>196</v>
      </c>
      <c r="D32" s="34" t="s">
        <v>1035</v>
      </c>
      <c r="E32" s="11" t="s">
        <v>37</v>
      </c>
    </row>
    <row r="33">
      <c r="A33" s="19">
        <v>0.10277777777777777</v>
      </c>
      <c r="B33" s="32" t="s">
        <v>1036</v>
      </c>
      <c r="C33" s="33" t="s">
        <v>68</v>
      </c>
      <c r="D33" s="32" t="s">
        <v>32</v>
      </c>
      <c r="E33" s="11" t="s">
        <v>33</v>
      </c>
    </row>
    <row r="34">
      <c r="A34" s="19">
        <v>0.10277777777777777</v>
      </c>
      <c r="B34" s="32" t="s">
        <v>961</v>
      </c>
      <c r="C34" s="33" t="s">
        <v>19</v>
      </c>
      <c r="D34" s="32" t="s">
        <v>1037</v>
      </c>
      <c r="E34" s="11" t="s">
        <v>37</v>
      </c>
    </row>
    <row r="35">
      <c r="A35" s="19">
        <v>0.11319444444444444</v>
      </c>
      <c r="B35" s="32" t="s">
        <v>32</v>
      </c>
      <c r="C35" s="33" t="s">
        <v>71</v>
      </c>
      <c r="D35" s="32" t="s">
        <v>961</v>
      </c>
      <c r="E35" s="11" t="s">
        <v>33</v>
      </c>
    </row>
    <row r="36">
      <c r="A36" s="19">
        <v>0.11319444444444444</v>
      </c>
      <c r="B36" s="32" t="s">
        <v>1036</v>
      </c>
      <c r="C36" s="33" t="s">
        <v>16</v>
      </c>
      <c r="D36" s="32" t="s">
        <v>1035</v>
      </c>
      <c r="E36" s="11" t="s">
        <v>37</v>
      </c>
    </row>
    <row r="37">
      <c r="A37" s="19">
        <v>0.12361111111111112</v>
      </c>
      <c r="B37" s="34" t="s">
        <v>32</v>
      </c>
      <c r="C37" s="33" t="s">
        <v>7</v>
      </c>
      <c r="D37" s="34" t="s">
        <v>1035</v>
      </c>
      <c r="E37" s="11" t="s">
        <v>33</v>
      </c>
    </row>
    <row r="38">
      <c r="A38" s="19">
        <v>0.12361111111111112</v>
      </c>
      <c r="B38" s="32" t="s">
        <v>1036</v>
      </c>
      <c r="C38" s="33" t="s">
        <v>35</v>
      </c>
      <c r="D38" s="32" t="s">
        <v>1037</v>
      </c>
      <c r="E38" s="11" t="s">
        <v>37</v>
      </c>
    </row>
    <row r="39">
      <c r="A39" s="19">
        <v>0.13333333333333333</v>
      </c>
      <c r="B39" s="32" t="s">
        <v>1035</v>
      </c>
      <c r="C39" s="33" t="s">
        <v>25</v>
      </c>
      <c r="D39" s="34" t="s">
        <v>1037</v>
      </c>
      <c r="E39" s="11" t="s">
        <v>33</v>
      </c>
    </row>
    <row r="40">
      <c r="A40" s="19">
        <v>0.13333333333333333</v>
      </c>
      <c r="B40" s="32" t="s">
        <v>961</v>
      </c>
      <c r="C40" s="33" t="s">
        <v>43</v>
      </c>
      <c r="D40" s="32" t="s">
        <v>1036</v>
      </c>
      <c r="E40" s="11" t="s">
        <v>37</v>
      </c>
    </row>
    <row r="41">
      <c r="A41" s="19">
        <v>0.14375</v>
      </c>
      <c r="B41" s="32" t="s">
        <v>32</v>
      </c>
      <c r="C41" s="33" t="s">
        <v>18</v>
      </c>
      <c r="D41" s="34" t="s">
        <v>1037</v>
      </c>
      <c r="E41" s="11" t="s">
        <v>33</v>
      </c>
    </row>
    <row r="42">
      <c r="A42" s="19">
        <v>0.14375</v>
      </c>
      <c r="B42" s="34" t="s">
        <v>1035</v>
      </c>
      <c r="C42" s="33" t="s">
        <v>346</v>
      </c>
      <c r="D42" s="32" t="s">
        <v>961</v>
      </c>
      <c r="E42" s="11" t="s">
        <v>37</v>
      </c>
    </row>
    <row r="43">
      <c r="A43" s="19">
        <v>0.15416666666666667</v>
      </c>
      <c r="B43" s="32" t="s">
        <v>32</v>
      </c>
      <c r="C43" s="33" t="s">
        <v>285</v>
      </c>
      <c r="D43" s="32" t="s">
        <v>1036</v>
      </c>
      <c r="E43" s="11" t="s">
        <v>33</v>
      </c>
    </row>
    <row r="44">
      <c r="A44" s="19">
        <v>0.15416666666666667</v>
      </c>
      <c r="B44" s="32" t="s">
        <v>1037</v>
      </c>
      <c r="C44" s="33" t="s">
        <v>638</v>
      </c>
      <c r="D44" s="32" t="s">
        <v>961</v>
      </c>
      <c r="E44" s="11" t="s">
        <v>37</v>
      </c>
    </row>
    <row r="45">
      <c r="A45" s="27"/>
      <c r="B45" s="1" t="s">
        <v>53</v>
      </c>
      <c r="C45" s="2"/>
      <c r="D45" s="3"/>
      <c r="E45" s="14"/>
    </row>
    <row r="46">
      <c r="A46" s="18" t="s">
        <v>1</v>
      </c>
      <c r="B46" s="16" t="s">
        <v>2</v>
      </c>
      <c r="C46" s="16" t="s">
        <v>3</v>
      </c>
      <c r="D46" s="16" t="s">
        <v>4</v>
      </c>
      <c r="E46" s="16" t="s">
        <v>5</v>
      </c>
    </row>
    <row r="47">
      <c r="A47" s="19">
        <v>0.16666666666666666</v>
      </c>
      <c r="B47" s="32" t="s">
        <v>1038</v>
      </c>
      <c r="C47" s="35" t="s">
        <v>570</v>
      </c>
      <c r="D47" s="32" t="s">
        <v>1039</v>
      </c>
      <c r="E47" s="11" t="s">
        <v>9</v>
      </c>
    </row>
    <row r="48">
      <c r="A48" s="19">
        <v>0.16666666666666666</v>
      </c>
      <c r="B48" s="32" t="s">
        <v>179</v>
      </c>
      <c r="C48" s="35" t="s">
        <v>17</v>
      </c>
      <c r="D48" s="32" t="s">
        <v>1040</v>
      </c>
      <c r="E48" s="11" t="s">
        <v>13</v>
      </c>
    </row>
    <row r="49">
      <c r="A49" s="19">
        <v>0.1763888888888889</v>
      </c>
      <c r="B49" s="32" t="s">
        <v>179</v>
      </c>
      <c r="C49" s="35" t="s">
        <v>31</v>
      </c>
      <c r="D49" s="32" t="s">
        <v>1039</v>
      </c>
      <c r="E49" s="11" t="s">
        <v>9</v>
      </c>
    </row>
    <row r="50">
      <c r="A50" s="19">
        <v>0.1763888888888889</v>
      </c>
      <c r="B50" s="32" t="s">
        <v>605</v>
      </c>
      <c r="C50" s="35" t="s">
        <v>87</v>
      </c>
      <c r="D50" s="32" t="s">
        <v>1040</v>
      </c>
      <c r="E50" s="11" t="s">
        <v>13</v>
      </c>
    </row>
    <row r="51">
      <c r="A51" s="19">
        <v>0.18680555555555556</v>
      </c>
      <c r="B51" s="32" t="s">
        <v>605</v>
      </c>
      <c r="C51" s="35" t="s">
        <v>43</v>
      </c>
      <c r="D51" s="32" t="s">
        <v>179</v>
      </c>
      <c r="E51" s="11" t="s">
        <v>9</v>
      </c>
    </row>
    <row r="52">
      <c r="A52" s="19">
        <v>0.18680555555555556</v>
      </c>
      <c r="B52" s="32" t="s">
        <v>1040</v>
      </c>
      <c r="C52" s="35" t="s">
        <v>215</v>
      </c>
      <c r="D52" s="32" t="s">
        <v>1038</v>
      </c>
      <c r="E52" s="11" t="s">
        <v>13</v>
      </c>
    </row>
    <row r="53">
      <c r="A53" s="19">
        <v>0.19722222222222222</v>
      </c>
      <c r="B53" s="16" t="s">
        <v>605</v>
      </c>
      <c r="C53" s="35" t="s">
        <v>544</v>
      </c>
      <c r="D53" s="32" t="s">
        <v>1039</v>
      </c>
      <c r="E53" s="11" t="s">
        <v>9</v>
      </c>
    </row>
    <row r="54">
      <c r="A54" s="19">
        <v>0.19722222222222222</v>
      </c>
      <c r="B54" s="32" t="s">
        <v>1038</v>
      </c>
      <c r="C54" s="35" t="s">
        <v>43</v>
      </c>
      <c r="D54" s="32" t="s">
        <v>179</v>
      </c>
      <c r="E54" s="11" t="s">
        <v>13</v>
      </c>
    </row>
    <row r="55">
      <c r="A55" s="19">
        <v>0.20694444444444443</v>
      </c>
      <c r="B55" s="32" t="s">
        <v>1040</v>
      </c>
      <c r="C55" s="35" t="s">
        <v>20</v>
      </c>
      <c r="D55" s="32" t="s">
        <v>1039</v>
      </c>
      <c r="E55" s="11" t="s">
        <v>9</v>
      </c>
    </row>
    <row r="56">
      <c r="A56" s="19">
        <v>0.20694444444444443</v>
      </c>
      <c r="B56" s="32" t="s">
        <v>1038</v>
      </c>
      <c r="C56" s="35" t="s">
        <v>11</v>
      </c>
      <c r="D56" s="32" t="s">
        <v>605</v>
      </c>
      <c r="E56" s="11" t="s">
        <v>13</v>
      </c>
    </row>
    <row r="57">
      <c r="A57" s="19">
        <v>0.21736111111111112</v>
      </c>
      <c r="B57" s="32" t="s">
        <v>1039</v>
      </c>
      <c r="C57" s="35" t="s">
        <v>41</v>
      </c>
      <c r="D57" s="32" t="s">
        <v>1038</v>
      </c>
      <c r="E57" s="11" t="s">
        <v>9</v>
      </c>
    </row>
    <row r="58">
      <c r="A58" s="19">
        <v>0.21736111111111112</v>
      </c>
      <c r="B58" s="32" t="s">
        <v>1040</v>
      </c>
      <c r="C58" s="35" t="s">
        <v>853</v>
      </c>
      <c r="D58" s="32" t="s">
        <v>179</v>
      </c>
      <c r="E58" s="11" t="s">
        <v>13</v>
      </c>
    </row>
    <row r="59">
      <c r="A59" s="19">
        <v>0.22777777777777777</v>
      </c>
      <c r="B59" s="32" t="s">
        <v>1039</v>
      </c>
      <c r="C59" s="35" t="s">
        <v>81</v>
      </c>
      <c r="D59" s="32" t="s">
        <v>179</v>
      </c>
      <c r="E59" s="11" t="s">
        <v>9</v>
      </c>
    </row>
    <row r="60">
      <c r="A60" s="19">
        <v>0.22777777777777777</v>
      </c>
      <c r="B60" s="32" t="s">
        <v>1040</v>
      </c>
      <c r="C60" s="35" t="s">
        <v>506</v>
      </c>
      <c r="D60" s="32" t="s">
        <v>605</v>
      </c>
      <c r="E60" s="11" t="s">
        <v>13</v>
      </c>
    </row>
    <row r="61">
      <c r="A61" s="19">
        <v>0.2375</v>
      </c>
      <c r="B61" s="32" t="s">
        <v>179</v>
      </c>
      <c r="C61" s="35" t="s">
        <v>69</v>
      </c>
      <c r="D61" s="32" t="s">
        <v>605</v>
      </c>
      <c r="E61" s="11" t="s">
        <v>9</v>
      </c>
    </row>
    <row r="62">
      <c r="A62" s="19">
        <v>0.2375</v>
      </c>
      <c r="B62" s="32" t="s">
        <v>1038</v>
      </c>
      <c r="C62" s="35" t="s">
        <v>195</v>
      </c>
      <c r="D62" s="32" t="s">
        <v>1040</v>
      </c>
      <c r="E62" s="11" t="s">
        <v>13</v>
      </c>
    </row>
    <row r="63">
      <c r="A63" s="19">
        <v>0.24791666666666667</v>
      </c>
      <c r="B63" s="32" t="s">
        <v>1039</v>
      </c>
      <c r="C63" s="35" t="s">
        <v>217</v>
      </c>
      <c r="D63" s="32" t="s">
        <v>605</v>
      </c>
      <c r="E63" s="11" t="s">
        <v>9</v>
      </c>
    </row>
    <row r="64">
      <c r="A64" s="19">
        <v>0.24791666666666667</v>
      </c>
      <c r="B64" s="32" t="s">
        <v>179</v>
      </c>
      <c r="C64" s="35" t="s">
        <v>25</v>
      </c>
      <c r="D64" s="32" t="s">
        <v>1038</v>
      </c>
      <c r="E64" s="11" t="s">
        <v>13</v>
      </c>
    </row>
    <row r="65">
      <c r="A65" s="19">
        <v>0.25833333333333336</v>
      </c>
      <c r="B65" s="32" t="s">
        <v>1039</v>
      </c>
      <c r="C65" s="35" t="s">
        <v>68</v>
      </c>
      <c r="D65" s="32" t="s">
        <v>1040</v>
      </c>
      <c r="E65" s="11" t="s">
        <v>9</v>
      </c>
    </row>
    <row r="66">
      <c r="A66" s="19">
        <v>0.25833333333333336</v>
      </c>
      <c r="B66" s="32" t="s">
        <v>605</v>
      </c>
      <c r="C66" s="35" t="s">
        <v>589</v>
      </c>
      <c r="D66" s="32" t="s">
        <v>1038</v>
      </c>
      <c r="E66" s="11" t="s">
        <v>13</v>
      </c>
    </row>
    <row r="67">
      <c r="A67" s="27"/>
      <c r="B67" s="1" t="s">
        <v>53</v>
      </c>
      <c r="C67" s="2"/>
      <c r="D67" s="3"/>
      <c r="E67" s="4"/>
    </row>
    <row r="68">
      <c r="A68" s="18" t="s">
        <v>1</v>
      </c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19">
        <v>0.16666666666666666</v>
      </c>
      <c r="B69" s="32" t="s">
        <v>1041</v>
      </c>
      <c r="C69" s="33" t="s">
        <v>52</v>
      </c>
      <c r="D69" s="32" t="s">
        <v>1042</v>
      </c>
      <c r="E69" s="11" t="s">
        <v>33</v>
      </c>
    </row>
    <row r="70">
      <c r="A70" s="19">
        <v>0.16666666666666666</v>
      </c>
      <c r="B70" s="32" t="s">
        <v>1043</v>
      </c>
      <c r="C70" s="33" t="s">
        <v>404</v>
      </c>
      <c r="D70" s="32" t="s">
        <v>967</v>
      </c>
      <c r="E70" s="11" t="s">
        <v>37</v>
      </c>
    </row>
    <row r="71">
      <c r="A71" s="19">
        <v>0.1763888888888889</v>
      </c>
      <c r="B71" s="32" t="s">
        <v>1043</v>
      </c>
      <c r="C71" s="33" t="s">
        <v>47</v>
      </c>
      <c r="D71" s="32" t="s">
        <v>1042</v>
      </c>
      <c r="E71" s="11" t="s">
        <v>33</v>
      </c>
    </row>
    <row r="72">
      <c r="A72" s="19">
        <v>0.1763888888888889</v>
      </c>
      <c r="B72" s="32" t="s">
        <v>1044</v>
      </c>
      <c r="C72" s="33" t="s">
        <v>722</v>
      </c>
      <c r="D72" s="32" t="s">
        <v>967</v>
      </c>
      <c r="E72" s="11" t="s">
        <v>37</v>
      </c>
    </row>
    <row r="73">
      <c r="A73" s="19">
        <v>0.18680555555555556</v>
      </c>
      <c r="B73" s="32" t="s">
        <v>1044</v>
      </c>
      <c r="C73" s="33" t="s">
        <v>212</v>
      </c>
      <c r="D73" s="32" t="s">
        <v>1043</v>
      </c>
      <c r="E73" s="11" t="s">
        <v>33</v>
      </c>
    </row>
    <row r="74">
      <c r="A74" s="19">
        <v>0.18680555555555556</v>
      </c>
      <c r="B74" s="32" t="s">
        <v>967</v>
      </c>
      <c r="C74" s="33" t="s">
        <v>22</v>
      </c>
      <c r="D74" s="32" t="s">
        <v>1041</v>
      </c>
      <c r="E74" s="11" t="s">
        <v>37</v>
      </c>
    </row>
    <row r="75">
      <c r="A75" s="19">
        <v>0.19722222222222222</v>
      </c>
      <c r="B75" s="32" t="s">
        <v>1044</v>
      </c>
      <c r="C75" s="33" t="s">
        <v>68</v>
      </c>
      <c r="D75" s="32" t="s">
        <v>1042</v>
      </c>
      <c r="E75" s="11" t="s">
        <v>33</v>
      </c>
    </row>
    <row r="76">
      <c r="A76" s="19">
        <v>0.19722222222222222</v>
      </c>
      <c r="B76" s="32" t="s">
        <v>1041</v>
      </c>
      <c r="C76" s="33" t="s">
        <v>80</v>
      </c>
      <c r="D76" s="32" t="s">
        <v>1043</v>
      </c>
      <c r="E76" s="11" t="s">
        <v>37</v>
      </c>
    </row>
    <row r="77">
      <c r="A77" s="19">
        <v>0.20694444444444443</v>
      </c>
      <c r="B77" s="32" t="s">
        <v>967</v>
      </c>
      <c r="C77" s="33" t="s">
        <v>16</v>
      </c>
      <c r="D77" s="32" t="s">
        <v>1042</v>
      </c>
      <c r="E77" s="11" t="s">
        <v>33</v>
      </c>
    </row>
    <row r="78">
      <c r="A78" s="19">
        <v>0.20694444444444443</v>
      </c>
      <c r="B78" s="32" t="s">
        <v>1041</v>
      </c>
      <c r="C78" s="33" t="s">
        <v>22</v>
      </c>
      <c r="D78" s="32" t="s">
        <v>1044</v>
      </c>
      <c r="E78" s="11" t="s">
        <v>37</v>
      </c>
    </row>
    <row r="79">
      <c r="A79" s="19">
        <v>0.21736111111111112</v>
      </c>
      <c r="B79" s="32" t="s">
        <v>1042</v>
      </c>
      <c r="C79" s="33" t="s">
        <v>614</v>
      </c>
      <c r="D79" s="32" t="s">
        <v>1041</v>
      </c>
      <c r="E79" s="11" t="s">
        <v>33</v>
      </c>
    </row>
    <row r="80">
      <c r="A80" s="19">
        <v>0.21736111111111112</v>
      </c>
      <c r="B80" s="32" t="s">
        <v>967</v>
      </c>
      <c r="C80" s="33" t="s">
        <v>201</v>
      </c>
      <c r="D80" s="32" t="s">
        <v>1043</v>
      </c>
      <c r="E80" s="11" t="s">
        <v>37</v>
      </c>
    </row>
    <row r="81">
      <c r="A81" s="19">
        <v>0.22777777777777777</v>
      </c>
      <c r="B81" s="32" t="s">
        <v>1042</v>
      </c>
      <c r="C81" s="33" t="s">
        <v>238</v>
      </c>
      <c r="D81" s="32" t="s">
        <v>1043</v>
      </c>
      <c r="E81" s="11" t="s">
        <v>33</v>
      </c>
    </row>
    <row r="82">
      <c r="A82" s="19">
        <v>0.22777777777777777</v>
      </c>
      <c r="B82" s="32" t="s">
        <v>967</v>
      </c>
      <c r="C82" s="33" t="s">
        <v>81</v>
      </c>
      <c r="D82" s="32" t="s">
        <v>1044</v>
      </c>
      <c r="E82" s="11" t="s">
        <v>37</v>
      </c>
    </row>
    <row r="83">
      <c r="A83" s="19">
        <v>0.2375</v>
      </c>
      <c r="B83" s="32" t="s">
        <v>1043</v>
      </c>
      <c r="C83" s="33" t="s">
        <v>22</v>
      </c>
      <c r="D83" s="32" t="s">
        <v>1044</v>
      </c>
      <c r="E83" s="11" t="s">
        <v>33</v>
      </c>
    </row>
    <row r="84">
      <c r="A84" s="19">
        <v>0.2375</v>
      </c>
      <c r="B84" s="32" t="s">
        <v>1041</v>
      </c>
      <c r="C84" s="33" t="s">
        <v>72</v>
      </c>
      <c r="D84" s="32" t="s">
        <v>967</v>
      </c>
      <c r="E84" s="11" t="s">
        <v>37</v>
      </c>
    </row>
    <row r="85">
      <c r="A85" s="19">
        <v>0.24791666666666667</v>
      </c>
      <c r="B85" s="32" t="s">
        <v>1042</v>
      </c>
      <c r="C85" s="33" t="s">
        <v>81</v>
      </c>
      <c r="D85" s="32" t="s">
        <v>1044</v>
      </c>
      <c r="E85" s="11" t="s">
        <v>33</v>
      </c>
    </row>
    <row r="86">
      <c r="A86" s="19">
        <v>0.24791666666666667</v>
      </c>
      <c r="B86" s="32" t="s">
        <v>1043</v>
      </c>
      <c r="C86" s="33" t="s">
        <v>494</v>
      </c>
      <c r="D86" s="32" t="s">
        <v>1041</v>
      </c>
      <c r="E86" s="11" t="s">
        <v>37</v>
      </c>
    </row>
    <row r="87">
      <c r="A87" s="19">
        <v>0.25833333333333336</v>
      </c>
      <c r="B87" s="32" t="s">
        <v>1042</v>
      </c>
      <c r="C87" s="33" t="s">
        <v>1045</v>
      </c>
      <c r="D87" s="32" t="s">
        <v>967</v>
      </c>
      <c r="E87" s="11" t="s">
        <v>33</v>
      </c>
    </row>
    <row r="88">
      <c r="A88" s="19">
        <v>0.25833333333333336</v>
      </c>
      <c r="B88" s="32" t="s">
        <v>1044</v>
      </c>
      <c r="C88" s="33" t="s">
        <v>22</v>
      </c>
      <c r="D88" s="32" t="s">
        <v>1041</v>
      </c>
      <c r="E88" s="11" t="s">
        <v>37</v>
      </c>
    </row>
    <row r="89">
      <c r="B89" s="1" t="s">
        <v>90</v>
      </c>
      <c r="C89" s="2"/>
      <c r="D89" s="3"/>
      <c r="E89" s="4"/>
    </row>
    <row r="90">
      <c r="A90" s="18" t="s">
        <v>1</v>
      </c>
      <c r="B90" s="16" t="s">
        <v>2</v>
      </c>
      <c r="C90" s="16" t="s">
        <v>3</v>
      </c>
      <c r="D90" s="16" t="s">
        <v>4</v>
      </c>
      <c r="E90" s="16" t="s">
        <v>5</v>
      </c>
    </row>
    <row r="91">
      <c r="A91" s="19">
        <v>0.3333333333333333</v>
      </c>
      <c r="B91" s="32" t="s">
        <v>1046</v>
      </c>
      <c r="C91" s="35" t="s">
        <v>196</v>
      </c>
      <c r="D91" s="32" t="s">
        <v>1047</v>
      </c>
      <c r="E91" s="11" t="s">
        <v>9</v>
      </c>
    </row>
    <row r="92">
      <c r="A92" s="19">
        <v>0.3333333333333333</v>
      </c>
      <c r="B92" s="32" t="s">
        <v>1048</v>
      </c>
      <c r="C92" s="35" t="s">
        <v>42</v>
      </c>
      <c r="D92" s="32" t="s">
        <v>1049</v>
      </c>
      <c r="E92" s="11" t="s">
        <v>13</v>
      </c>
    </row>
    <row r="93">
      <c r="A93" s="19">
        <v>0.34305555555555556</v>
      </c>
      <c r="B93" s="32" t="s">
        <v>1048</v>
      </c>
      <c r="C93" s="35" t="s">
        <v>193</v>
      </c>
      <c r="D93" s="32" t="s">
        <v>1047</v>
      </c>
      <c r="E93" s="11" t="s">
        <v>9</v>
      </c>
    </row>
    <row r="94">
      <c r="A94" s="19">
        <v>0.34305555555555556</v>
      </c>
      <c r="B94" s="32" t="s">
        <v>1050</v>
      </c>
      <c r="C94" s="35" t="s">
        <v>68</v>
      </c>
      <c r="D94" s="32" t="s">
        <v>1049</v>
      </c>
      <c r="E94" s="11" t="s">
        <v>13</v>
      </c>
    </row>
    <row r="95">
      <c r="A95" s="19">
        <v>0.35347222222222224</v>
      </c>
      <c r="B95" s="32" t="s">
        <v>1050</v>
      </c>
      <c r="C95" s="35" t="s">
        <v>274</v>
      </c>
      <c r="D95" s="32" t="s">
        <v>1048</v>
      </c>
      <c r="E95" s="11" t="s">
        <v>9</v>
      </c>
    </row>
    <row r="96">
      <c r="A96" s="19">
        <v>0.35347222222222224</v>
      </c>
      <c r="B96" s="32" t="s">
        <v>1049</v>
      </c>
      <c r="C96" s="35" t="s">
        <v>81</v>
      </c>
      <c r="D96" s="32" t="s">
        <v>1046</v>
      </c>
      <c r="E96" s="11" t="s">
        <v>13</v>
      </c>
    </row>
    <row r="97">
      <c r="A97" s="19">
        <v>0.3638888888888889</v>
      </c>
      <c r="B97" s="32" t="s">
        <v>1050</v>
      </c>
      <c r="C97" s="35" t="s">
        <v>201</v>
      </c>
      <c r="D97" s="32" t="s">
        <v>1047</v>
      </c>
      <c r="E97" s="11" t="s">
        <v>9</v>
      </c>
    </row>
    <row r="98">
      <c r="A98" s="19">
        <v>0.3638888888888889</v>
      </c>
      <c r="B98" s="32" t="s">
        <v>1046</v>
      </c>
      <c r="C98" s="35" t="s">
        <v>578</v>
      </c>
      <c r="D98" s="32" t="s">
        <v>1048</v>
      </c>
      <c r="E98" s="11" t="s">
        <v>13</v>
      </c>
    </row>
    <row r="99">
      <c r="A99" s="19">
        <v>0.3736111111111111</v>
      </c>
      <c r="B99" s="32" t="s">
        <v>1049</v>
      </c>
      <c r="C99" s="35" t="s">
        <v>71</v>
      </c>
      <c r="D99" s="32" t="s">
        <v>1047</v>
      </c>
      <c r="E99" s="11" t="s">
        <v>9</v>
      </c>
    </row>
    <row r="100">
      <c r="A100" s="19">
        <v>0.3736111111111111</v>
      </c>
      <c r="B100" s="32" t="s">
        <v>1046</v>
      </c>
      <c r="C100" s="35" t="s">
        <v>1051</v>
      </c>
      <c r="D100" s="32" t="s">
        <v>1050</v>
      </c>
      <c r="E100" s="11" t="s">
        <v>13</v>
      </c>
    </row>
    <row r="101">
      <c r="A101" s="19">
        <v>0.3840277777777778</v>
      </c>
      <c r="B101" s="32" t="s">
        <v>1047</v>
      </c>
      <c r="C101" s="35" t="s">
        <v>857</v>
      </c>
      <c r="D101" s="32" t="s">
        <v>1046</v>
      </c>
      <c r="E101" s="11" t="s">
        <v>9</v>
      </c>
    </row>
    <row r="102">
      <c r="A102" s="19">
        <v>0.3840277777777778</v>
      </c>
      <c r="B102" s="32" t="s">
        <v>1049</v>
      </c>
      <c r="C102" s="35" t="s">
        <v>404</v>
      </c>
      <c r="D102" s="32" t="s">
        <v>1048</v>
      </c>
      <c r="E102" s="11" t="s">
        <v>13</v>
      </c>
    </row>
    <row r="103">
      <c r="A103" s="19">
        <v>0.39444444444444443</v>
      </c>
      <c r="B103" s="32" t="s">
        <v>1047</v>
      </c>
      <c r="C103" s="35" t="s">
        <v>984</v>
      </c>
      <c r="D103" s="32" t="s">
        <v>1048</v>
      </c>
      <c r="E103" s="11" t="s">
        <v>9</v>
      </c>
    </row>
    <row r="104">
      <c r="A104" s="19">
        <v>0.39444444444444443</v>
      </c>
      <c r="B104" s="32" t="s">
        <v>1049</v>
      </c>
      <c r="C104" s="35" t="s">
        <v>25</v>
      </c>
      <c r="D104" s="32" t="s">
        <v>1050</v>
      </c>
      <c r="E104" s="11" t="s">
        <v>13</v>
      </c>
    </row>
    <row r="105">
      <c r="A105" s="19">
        <v>0.4041666666666667</v>
      </c>
      <c r="B105" s="32" t="s">
        <v>1048</v>
      </c>
      <c r="C105" s="35" t="s">
        <v>69</v>
      </c>
      <c r="D105" s="32" t="s">
        <v>1050</v>
      </c>
      <c r="E105" s="11" t="s">
        <v>9</v>
      </c>
    </row>
    <row r="106">
      <c r="A106" s="19">
        <v>0.4041666666666667</v>
      </c>
      <c r="B106" s="32" t="s">
        <v>1046</v>
      </c>
      <c r="C106" s="35" t="s">
        <v>270</v>
      </c>
      <c r="D106" s="32" t="s">
        <v>1049</v>
      </c>
      <c r="E106" s="11" t="s">
        <v>13</v>
      </c>
    </row>
    <row r="107">
      <c r="A107" s="19">
        <v>0.41458333333333336</v>
      </c>
      <c r="B107" s="32" t="s">
        <v>1047</v>
      </c>
      <c r="C107" s="35" t="s">
        <v>87</v>
      </c>
      <c r="D107" s="32" t="s">
        <v>1050</v>
      </c>
      <c r="E107" s="11" t="s">
        <v>9</v>
      </c>
    </row>
    <row r="108">
      <c r="A108" s="19">
        <v>0.41458333333333336</v>
      </c>
      <c r="B108" s="32" t="s">
        <v>1048</v>
      </c>
      <c r="C108" s="35" t="s">
        <v>218</v>
      </c>
      <c r="D108" s="32" t="s">
        <v>1046</v>
      </c>
      <c r="E108" s="11" t="s">
        <v>13</v>
      </c>
    </row>
    <row r="109">
      <c r="A109" s="19">
        <v>0.425</v>
      </c>
      <c r="B109" s="32" t="s">
        <v>1047</v>
      </c>
      <c r="C109" s="35" t="s">
        <v>28</v>
      </c>
      <c r="D109" s="32" t="s">
        <v>1049</v>
      </c>
      <c r="E109" s="11" t="s">
        <v>9</v>
      </c>
    </row>
    <row r="110">
      <c r="A110" s="19">
        <v>0.425</v>
      </c>
      <c r="B110" s="32" t="s">
        <v>1050</v>
      </c>
      <c r="C110" s="35" t="s">
        <v>190</v>
      </c>
      <c r="D110" s="32" t="s">
        <v>1046</v>
      </c>
      <c r="E110" s="11" t="s">
        <v>13</v>
      </c>
    </row>
    <row r="111">
      <c r="A111" s="27"/>
      <c r="B111" s="1" t="s">
        <v>90</v>
      </c>
      <c r="C111" s="2"/>
      <c r="D111" s="3"/>
      <c r="E111" s="4"/>
    </row>
    <row r="112">
      <c r="A112" s="18" t="s">
        <v>1</v>
      </c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A113" s="22">
        <v>0.3333333333333333</v>
      </c>
      <c r="B113" s="32" t="s">
        <v>1052</v>
      </c>
      <c r="C113" s="33" t="s">
        <v>354</v>
      </c>
      <c r="D113" s="32" t="s">
        <v>1053</v>
      </c>
      <c r="E113" s="11" t="s">
        <v>33</v>
      </c>
    </row>
    <row r="114">
      <c r="A114" s="23">
        <v>0.3333333333333333</v>
      </c>
      <c r="B114" s="32" t="s">
        <v>1054</v>
      </c>
      <c r="C114" s="33" t="s">
        <v>11</v>
      </c>
      <c r="D114" s="32" t="s">
        <v>1055</v>
      </c>
      <c r="E114" s="11" t="s">
        <v>37</v>
      </c>
    </row>
    <row r="115">
      <c r="A115" s="23">
        <v>0.34305555555555556</v>
      </c>
      <c r="B115" s="32" t="s">
        <v>1054</v>
      </c>
      <c r="C115" s="33" t="s">
        <v>81</v>
      </c>
      <c r="D115" s="32" t="s">
        <v>1053</v>
      </c>
      <c r="E115" s="11" t="s">
        <v>33</v>
      </c>
    </row>
    <row r="116">
      <c r="A116" s="23">
        <v>0.34305555555555556</v>
      </c>
      <c r="B116" s="32" t="s">
        <v>1056</v>
      </c>
      <c r="C116" s="33" t="s">
        <v>68</v>
      </c>
      <c r="D116" s="32" t="s">
        <v>1055</v>
      </c>
      <c r="E116" s="11" t="s">
        <v>37</v>
      </c>
    </row>
    <row r="117">
      <c r="A117" s="23">
        <v>0.35347222222222224</v>
      </c>
      <c r="B117" s="32" t="s">
        <v>1056</v>
      </c>
      <c r="C117" s="33" t="s">
        <v>43</v>
      </c>
      <c r="D117" s="32" t="s">
        <v>1054</v>
      </c>
      <c r="E117" s="11" t="s">
        <v>33</v>
      </c>
    </row>
    <row r="118">
      <c r="A118" s="23">
        <v>0.35347222222222224</v>
      </c>
      <c r="B118" s="32" t="s">
        <v>1055</v>
      </c>
      <c r="C118" s="33" t="s">
        <v>22</v>
      </c>
      <c r="D118" s="32" t="s">
        <v>1052</v>
      </c>
      <c r="E118" s="11" t="s">
        <v>37</v>
      </c>
    </row>
    <row r="119">
      <c r="A119" s="23">
        <v>0.3638888888888889</v>
      </c>
      <c r="B119" s="32" t="s">
        <v>1056</v>
      </c>
      <c r="C119" s="33" t="s">
        <v>354</v>
      </c>
      <c r="D119" s="32" t="s">
        <v>1053</v>
      </c>
      <c r="E119" s="11" t="s">
        <v>33</v>
      </c>
    </row>
    <row r="120">
      <c r="A120" s="23">
        <v>0.3638888888888889</v>
      </c>
      <c r="B120" s="32" t="s">
        <v>1052</v>
      </c>
      <c r="C120" s="33" t="s">
        <v>43</v>
      </c>
      <c r="D120" s="32" t="s">
        <v>1054</v>
      </c>
      <c r="E120" s="11" t="s">
        <v>37</v>
      </c>
    </row>
    <row r="121">
      <c r="A121" s="23">
        <v>0.3736111111111111</v>
      </c>
      <c r="B121" s="32" t="s">
        <v>1055</v>
      </c>
      <c r="C121" s="33" t="s">
        <v>82</v>
      </c>
      <c r="D121" s="32" t="s">
        <v>1053</v>
      </c>
      <c r="E121" s="11" t="s">
        <v>33</v>
      </c>
    </row>
    <row r="122">
      <c r="A122" s="23">
        <v>0.3736111111111111</v>
      </c>
      <c r="B122" s="32" t="s">
        <v>1052</v>
      </c>
      <c r="C122" s="33" t="s">
        <v>321</v>
      </c>
      <c r="D122" s="32" t="s">
        <v>1056</v>
      </c>
      <c r="E122" s="11" t="s">
        <v>37</v>
      </c>
    </row>
    <row r="123">
      <c r="A123" s="23">
        <v>0.3840277777777778</v>
      </c>
      <c r="B123" s="32" t="s">
        <v>1053</v>
      </c>
      <c r="C123" s="33" t="s">
        <v>71</v>
      </c>
      <c r="D123" s="32" t="s">
        <v>1052</v>
      </c>
      <c r="E123" s="11" t="s">
        <v>33</v>
      </c>
    </row>
    <row r="124">
      <c r="A124" s="23">
        <v>0.3840277777777778</v>
      </c>
      <c r="B124" s="32" t="s">
        <v>1055</v>
      </c>
      <c r="C124" s="33" t="s">
        <v>87</v>
      </c>
      <c r="D124" s="32" t="s">
        <v>1054</v>
      </c>
      <c r="E124" s="11" t="s">
        <v>37</v>
      </c>
      <c r="G124" s="50"/>
    </row>
    <row r="125">
      <c r="A125" s="23">
        <v>0.39444444444444443</v>
      </c>
      <c r="B125" s="32" t="s">
        <v>1053</v>
      </c>
      <c r="C125" s="33" t="s">
        <v>260</v>
      </c>
      <c r="D125" s="32" t="s">
        <v>1054</v>
      </c>
      <c r="E125" s="11" t="s">
        <v>33</v>
      </c>
    </row>
    <row r="126">
      <c r="A126" s="23">
        <v>0.39444444444444443</v>
      </c>
      <c r="B126" s="32" t="s">
        <v>1055</v>
      </c>
      <c r="C126" s="33" t="s">
        <v>218</v>
      </c>
      <c r="D126" s="32" t="s">
        <v>1056</v>
      </c>
      <c r="E126" s="11" t="s">
        <v>37</v>
      </c>
    </row>
    <row r="127">
      <c r="A127" s="23">
        <v>0.4041666666666667</v>
      </c>
      <c r="B127" s="32" t="s">
        <v>1054</v>
      </c>
      <c r="C127" s="33" t="s">
        <v>81</v>
      </c>
      <c r="D127" s="32" t="s">
        <v>1056</v>
      </c>
      <c r="E127" s="11" t="s">
        <v>33</v>
      </c>
    </row>
    <row r="128">
      <c r="A128" s="23">
        <v>0.4041666666666667</v>
      </c>
      <c r="B128" s="32" t="s">
        <v>1052</v>
      </c>
      <c r="C128" s="33" t="s">
        <v>11</v>
      </c>
      <c r="D128" s="32" t="s">
        <v>1055</v>
      </c>
      <c r="E128" s="11" t="s">
        <v>37</v>
      </c>
    </row>
    <row r="129">
      <c r="A129" s="23">
        <v>0.41458333333333336</v>
      </c>
      <c r="B129" s="32" t="s">
        <v>1053</v>
      </c>
      <c r="C129" s="33" t="s">
        <v>312</v>
      </c>
      <c r="D129" s="32" t="s">
        <v>1056</v>
      </c>
      <c r="E129" s="11" t="s">
        <v>33</v>
      </c>
    </row>
    <row r="130">
      <c r="A130" s="23">
        <v>0.41458333333333336</v>
      </c>
      <c r="B130" s="32" t="s">
        <v>1054</v>
      </c>
      <c r="C130" s="33" t="s">
        <v>239</v>
      </c>
      <c r="D130" s="32" t="s">
        <v>1052</v>
      </c>
      <c r="E130" s="11" t="s">
        <v>37</v>
      </c>
    </row>
    <row r="131">
      <c r="A131" s="23">
        <v>0.425</v>
      </c>
      <c r="B131" s="32" t="s">
        <v>1053</v>
      </c>
      <c r="C131" s="33" t="s">
        <v>17</v>
      </c>
      <c r="D131" s="32" t="s">
        <v>1055</v>
      </c>
      <c r="E131" s="11" t="s">
        <v>33</v>
      </c>
    </row>
    <row r="132">
      <c r="A132" s="23">
        <v>0.425</v>
      </c>
      <c r="B132" s="32" t="s">
        <v>1056</v>
      </c>
      <c r="C132" s="33" t="s">
        <v>47</v>
      </c>
      <c r="D132" s="32" t="s">
        <v>1052</v>
      </c>
      <c r="E132" s="11" t="s">
        <v>37</v>
      </c>
    </row>
    <row r="133">
      <c r="A133" s="27"/>
      <c r="B133" s="1" t="s">
        <v>101</v>
      </c>
      <c r="C133" s="2"/>
      <c r="D133" s="3"/>
      <c r="E133" s="4"/>
    </row>
    <row r="134">
      <c r="A134" s="18" t="s">
        <v>1</v>
      </c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A135" s="19">
        <v>0.4375</v>
      </c>
      <c r="B135" s="32" t="s">
        <v>1057</v>
      </c>
      <c r="C135" s="33" t="s">
        <v>22</v>
      </c>
      <c r="D135" s="32" t="s">
        <v>1058</v>
      </c>
      <c r="E135" s="11" t="s">
        <v>9</v>
      </c>
    </row>
    <row r="136">
      <c r="A136" s="19">
        <v>0.4375</v>
      </c>
      <c r="B136" s="32" t="s">
        <v>1059</v>
      </c>
      <c r="C136" s="33" t="s">
        <v>338</v>
      </c>
      <c r="D136" s="32" t="s">
        <v>1060</v>
      </c>
      <c r="E136" s="11" t="s">
        <v>13</v>
      </c>
    </row>
    <row r="137">
      <c r="A137" s="19">
        <v>0.44722222222222224</v>
      </c>
      <c r="B137" s="32" t="s">
        <v>1059</v>
      </c>
      <c r="C137" s="33" t="s">
        <v>58</v>
      </c>
      <c r="D137" s="32" t="s">
        <v>1058</v>
      </c>
      <c r="E137" s="11" t="s">
        <v>9</v>
      </c>
    </row>
    <row r="138">
      <c r="A138" s="19">
        <v>0.44722222222222224</v>
      </c>
      <c r="B138" s="32" t="s">
        <v>1061</v>
      </c>
      <c r="C138" s="33" t="s">
        <v>31</v>
      </c>
      <c r="D138" s="32" t="s">
        <v>1060</v>
      </c>
      <c r="E138" s="11" t="s">
        <v>13</v>
      </c>
    </row>
    <row r="139">
      <c r="A139" s="19">
        <v>0.4576388888888889</v>
      </c>
      <c r="B139" s="32" t="s">
        <v>1061</v>
      </c>
      <c r="C139" s="33" t="s">
        <v>193</v>
      </c>
      <c r="D139" s="32" t="s">
        <v>1059</v>
      </c>
      <c r="E139" s="11" t="s">
        <v>9</v>
      </c>
    </row>
    <row r="140">
      <c r="A140" s="19">
        <v>0.4576388888888889</v>
      </c>
      <c r="B140" s="32" t="s">
        <v>1060</v>
      </c>
      <c r="C140" s="33" t="s">
        <v>65</v>
      </c>
      <c r="D140" s="32" t="s">
        <v>1057</v>
      </c>
      <c r="E140" s="11" t="s">
        <v>13</v>
      </c>
    </row>
    <row r="141">
      <c r="A141" s="19">
        <v>0.46805555555555556</v>
      </c>
      <c r="B141" s="32" t="s">
        <v>1061</v>
      </c>
      <c r="C141" s="33" t="s">
        <v>64</v>
      </c>
      <c r="D141" s="32" t="s">
        <v>1058</v>
      </c>
      <c r="E141" s="11" t="s">
        <v>9</v>
      </c>
    </row>
    <row r="142">
      <c r="A142" s="19">
        <v>0.46805555555555556</v>
      </c>
      <c r="B142" s="32" t="s">
        <v>1057</v>
      </c>
      <c r="C142" s="33" t="s">
        <v>87</v>
      </c>
      <c r="D142" s="32" t="s">
        <v>1059</v>
      </c>
      <c r="E142" s="11" t="s">
        <v>13</v>
      </c>
    </row>
    <row r="143">
      <c r="A143" s="19">
        <v>0.4777777777777778</v>
      </c>
      <c r="B143" s="32" t="s">
        <v>1060</v>
      </c>
      <c r="C143" s="33" t="s">
        <v>293</v>
      </c>
      <c r="D143" s="32" t="s">
        <v>1058</v>
      </c>
      <c r="E143" s="11" t="s">
        <v>9</v>
      </c>
    </row>
    <row r="144">
      <c r="A144" s="19">
        <v>0.4777777777777778</v>
      </c>
      <c r="B144" s="32" t="s">
        <v>1057</v>
      </c>
      <c r="C144" s="33" t="s">
        <v>69</v>
      </c>
      <c r="D144" s="32" t="s">
        <v>1061</v>
      </c>
      <c r="E144" s="11" t="s">
        <v>13</v>
      </c>
    </row>
    <row r="145">
      <c r="A145" s="19">
        <v>0.48819444444444443</v>
      </c>
      <c r="B145" s="32" t="s">
        <v>1058</v>
      </c>
      <c r="C145" s="33" t="s">
        <v>62</v>
      </c>
      <c r="D145" s="32" t="s">
        <v>1057</v>
      </c>
      <c r="E145" s="11" t="s">
        <v>9</v>
      </c>
    </row>
    <row r="146">
      <c r="A146" s="19">
        <v>0.48819444444444443</v>
      </c>
      <c r="B146" s="32" t="s">
        <v>1060</v>
      </c>
      <c r="C146" s="33" t="s">
        <v>260</v>
      </c>
      <c r="D146" s="32" t="s">
        <v>1059</v>
      </c>
      <c r="E146" s="11" t="s">
        <v>13</v>
      </c>
    </row>
    <row r="147">
      <c r="A147" s="19">
        <v>0.4986111111111111</v>
      </c>
      <c r="B147" s="32" t="s">
        <v>1058</v>
      </c>
      <c r="C147" s="35" t="s">
        <v>81</v>
      </c>
      <c r="D147" s="32" t="s">
        <v>1059</v>
      </c>
      <c r="E147" s="11" t="s">
        <v>9</v>
      </c>
    </row>
    <row r="148">
      <c r="A148" s="19">
        <v>0.4986111111111111</v>
      </c>
      <c r="B148" s="32" t="s">
        <v>1060</v>
      </c>
      <c r="C148" s="35" t="s">
        <v>66</v>
      </c>
      <c r="D148" s="32" t="s">
        <v>1061</v>
      </c>
      <c r="E148" s="11" t="s">
        <v>13</v>
      </c>
    </row>
    <row r="149">
      <c r="A149" s="19">
        <v>0.5083333333333333</v>
      </c>
      <c r="B149" s="32" t="s">
        <v>1059</v>
      </c>
      <c r="C149" s="35" t="s">
        <v>80</v>
      </c>
      <c r="D149" s="32" t="s">
        <v>1061</v>
      </c>
      <c r="E149" s="11" t="s">
        <v>9</v>
      </c>
    </row>
    <row r="150">
      <c r="A150" s="19">
        <v>0.5083333333333333</v>
      </c>
      <c r="B150" s="32" t="s">
        <v>1057</v>
      </c>
      <c r="C150" s="35" t="s">
        <v>201</v>
      </c>
      <c r="D150" s="32" t="s">
        <v>1060</v>
      </c>
      <c r="E150" s="11" t="s">
        <v>13</v>
      </c>
    </row>
    <row r="151">
      <c r="A151" s="19">
        <v>0.51875</v>
      </c>
      <c r="B151" s="32" t="s">
        <v>1058</v>
      </c>
      <c r="C151" s="35" t="s">
        <v>20</v>
      </c>
      <c r="D151" s="32" t="s">
        <v>1061</v>
      </c>
      <c r="E151" s="11" t="s">
        <v>9</v>
      </c>
    </row>
    <row r="152">
      <c r="A152" s="19">
        <v>0.51875</v>
      </c>
      <c r="B152" s="32" t="s">
        <v>1059</v>
      </c>
      <c r="C152" s="35" t="s">
        <v>43</v>
      </c>
      <c r="D152" s="32" t="s">
        <v>1057</v>
      </c>
      <c r="E152" s="11" t="s">
        <v>13</v>
      </c>
    </row>
    <row r="153">
      <c r="A153" s="19">
        <v>0.5291666666666667</v>
      </c>
      <c r="B153" s="32" t="s">
        <v>1058</v>
      </c>
      <c r="C153" s="35" t="s">
        <v>67</v>
      </c>
      <c r="D153" s="32" t="s">
        <v>1060</v>
      </c>
      <c r="E153" s="11" t="s">
        <v>9</v>
      </c>
    </row>
    <row r="154">
      <c r="A154" s="19">
        <v>0.5291666666666667</v>
      </c>
      <c r="B154" s="32" t="s">
        <v>1061</v>
      </c>
      <c r="C154" s="35" t="s">
        <v>11</v>
      </c>
      <c r="D154" s="32" t="s">
        <v>1057</v>
      </c>
      <c r="E154" s="11" t="s">
        <v>13</v>
      </c>
    </row>
    <row r="155">
      <c r="A155" s="27"/>
      <c r="B155" s="1" t="s">
        <v>101</v>
      </c>
      <c r="C155" s="2"/>
      <c r="D155" s="3"/>
      <c r="E155" s="4"/>
    </row>
    <row r="156">
      <c r="A156" s="18" t="s">
        <v>1</v>
      </c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A157" s="19">
        <v>0.4375</v>
      </c>
      <c r="B157" s="32" t="s">
        <v>1062</v>
      </c>
      <c r="C157" s="33" t="s">
        <v>282</v>
      </c>
      <c r="D157" s="32" t="s">
        <v>1063</v>
      </c>
      <c r="E157" s="11" t="s">
        <v>33</v>
      </c>
    </row>
    <row r="158">
      <c r="A158" s="19">
        <v>0.4375</v>
      </c>
      <c r="B158" s="32" t="s">
        <v>1064</v>
      </c>
      <c r="C158" s="33" t="s">
        <v>7</v>
      </c>
      <c r="D158" s="32" t="s">
        <v>1065</v>
      </c>
      <c r="E158" s="11" t="s">
        <v>37</v>
      </c>
    </row>
    <row r="159">
      <c r="A159" s="19">
        <v>0.44722222222222224</v>
      </c>
      <c r="B159" s="32" t="s">
        <v>1064</v>
      </c>
      <c r="C159" s="33" t="s">
        <v>43</v>
      </c>
      <c r="D159" s="32" t="s">
        <v>1063</v>
      </c>
      <c r="E159" s="11" t="s">
        <v>33</v>
      </c>
    </row>
    <row r="160">
      <c r="A160" s="19">
        <v>0.44722222222222224</v>
      </c>
      <c r="B160" s="32" t="s">
        <v>1066</v>
      </c>
      <c r="C160" s="33" t="s">
        <v>68</v>
      </c>
      <c r="D160" s="32" t="s">
        <v>1065</v>
      </c>
      <c r="E160" s="11" t="s">
        <v>37</v>
      </c>
    </row>
    <row r="161">
      <c r="A161" s="19">
        <v>0.4576388888888889</v>
      </c>
      <c r="B161" s="32" t="s">
        <v>1066</v>
      </c>
      <c r="C161" s="33" t="s">
        <v>380</v>
      </c>
      <c r="D161" s="32" t="s">
        <v>1064</v>
      </c>
      <c r="E161" s="11" t="s">
        <v>33</v>
      </c>
    </row>
    <row r="162">
      <c r="A162" s="19">
        <v>0.4576388888888889</v>
      </c>
      <c r="B162" s="32" t="s">
        <v>1065</v>
      </c>
      <c r="C162" s="33" t="s">
        <v>218</v>
      </c>
      <c r="D162" s="32" t="s">
        <v>1062</v>
      </c>
      <c r="E162" s="11" t="s">
        <v>37</v>
      </c>
    </row>
    <row r="163">
      <c r="A163" s="19">
        <v>0.46805555555555556</v>
      </c>
      <c r="B163" s="32" t="s">
        <v>1066</v>
      </c>
      <c r="C163" s="33" t="s">
        <v>23</v>
      </c>
      <c r="D163" s="32" t="s">
        <v>1063</v>
      </c>
      <c r="E163" s="11" t="s">
        <v>33</v>
      </c>
    </row>
    <row r="164">
      <c r="A164" s="19">
        <v>0.46805555555555556</v>
      </c>
      <c r="B164" s="32" t="s">
        <v>1062</v>
      </c>
      <c r="C164" s="33" t="s">
        <v>11</v>
      </c>
      <c r="D164" s="32" t="s">
        <v>1064</v>
      </c>
      <c r="E164" s="11" t="s">
        <v>37</v>
      </c>
    </row>
    <row r="165">
      <c r="A165" s="19">
        <v>0.4777777777777778</v>
      </c>
      <c r="B165" s="32" t="s">
        <v>1065</v>
      </c>
      <c r="C165" s="33" t="s">
        <v>1067</v>
      </c>
      <c r="D165" s="32" t="s">
        <v>1063</v>
      </c>
      <c r="E165" s="11" t="s">
        <v>33</v>
      </c>
    </row>
    <row r="166">
      <c r="A166" s="19">
        <v>0.4777777777777778</v>
      </c>
      <c r="B166" s="32" t="s">
        <v>1062</v>
      </c>
      <c r="C166" s="33" t="s">
        <v>770</v>
      </c>
      <c r="D166" s="32" t="s">
        <v>1066</v>
      </c>
      <c r="E166" s="11" t="s">
        <v>37</v>
      </c>
    </row>
    <row r="167">
      <c r="A167" s="19">
        <v>0.48819444444444443</v>
      </c>
      <c r="B167" s="32" t="s">
        <v>1063</v>
      </c>
      <c r="C167" s="33" t="s">
        <v>81</v>
      </c>
      <c r="D167" s="32" t="s">
        <v>1062</v>
      </c>
      <c r="E167" s="11" t="s">
        <v>33</v>
      </c>
    </row>
    <row r="168">
      <c r="A168" s="19">
        <v>0.48819444444444443</v>
      </c>
      <c r="B168" s="32" t="s">
        <v>1065</v>
      </c>
      <c r="C168" s="37" t="s">
        <v>283</v>
      </c>
      <c r="D168" s="32" t="s">
        <v>1064</v>
      </c>
      <c r="E168" s="11" t="s">
        <v>37</v>
      </c>
    </row>
    <row r="169">
      <c r="A169" s="19">
        <v>0.4986111111111111</v>
      </c>
      <c r="B169" s="32" t="s">
        <v>1063</v>
      </c>
      <c r="C169" s="33" t="s">
        <v>62</v>
      </c>
      <c r="D169" s="32" t="s">
        <v>1064</v>
      </c>
      <c r="E169" s="11" t="s">
        <v>33</v>
      </c>
    </row>
    <row r="170">
      <c r="A170" s="19">
        <v>0.4986111111111111</v>
      </c>
      <c r="B170" s="32" t="s">
        <v>1065</v>
      </c>
      <c r="C170" s="33" t="s">
        <v>66</v>
      </c>
      <c r="D170" s="32" t="s">
        <v>1066</v>
      </c>
      <c r="E170" s="11" t="s">
        <v>37</v>
      </c>
    </row>
    <row r="171">
      <c r="A171" s="19">
        <v>0.5083333333333333</v>
      </c>
      <c r="B171" s="32" t="s">
        <v>1064</v>
      </c>
      <c r="C171" s="33" t="s">
        <v>269</v>
      </c>
      <c r="D171" s="32" t="s">
        <v>1066</v>
      </c>
      <c r="E171" s="11" t="s">
        <v>33</v>
      </c>
    </row>
    <row r="172">
      <c r="A172" s="19">
        <v>0.5083333333333333</v>
      </c>
      <c r="B172" s="32" t="s">
        <v>1062</v>
      </c>
      <c r="C172" s="33" t="s">
        <v>87</v>
      </c>
      <c r="D172" s="32" t="s">
        <v>1065</v>
      </c>
      <c r="E172" s="11" t="s">
        <v>37</v>
      </c>
    </row>
    <row r="173">
      <c r="A173" s="19">
        <v>0.51875</v>
      </c>
      <c r="B173" s="32" t="s">
        <v>1063</v>
      </c>
      <c r="C173" s="33" t="s">
        <v>1068</v>
      </c>
      <c r="D173" s="32" t="s">
        <v>1066</v>
      </c>
      <c r="E173" s="11" t="s">
        <v>33</v>
      </c>
    </row>
    <row r="174">
      <c r="A174" s="19">
        <v>0.51875</v>
      </c>
      <c r="B174" s="32" t="s">
        <v>1064</v>
      </c>
      <c r="C174" s="33" t="s">
        <v>297</v>
      </c>
      <c r="D174" s="32" t="s">
        <v>1062</v>
      </c>
      <c r="E174" s="11" t="s">
        <v>37</v>
      </c>
    </row>
    <row r="175">
      <c r="A175" s="19">
        <v>0.5291666666666667</v>
      </c>
      <c r="B175" s="32" t="s">
        <v>1063</v>
      </c>
      <c r="C175" s="33" t="s">
        <v>201</v>
      </c>
      <c r="D175" s="32" t="s">
        <v>1065</v>
      </c>
      <c r="E175" s="11" t="s">
        <v>33</v>
      </c>
    </row>
    <row r="176">
      <c r="A176" s="19">
        <v>0.5291666666666667</v>
      </c>
      <c r="B176" s="32" t="s">
        <v>1066</v>
      </c>
      <c r="C176" s="33" t="s">
        <v>51</v>
      </c>
      <c r="D176" s="32" t="s">
        <v>1062</v>
      </c>
      <c r="E176" s="11" t="s">
        <v>37</v>
      </c>
    </row>
    <row r="177">
      <c r="A177" s="27"/>
      <c r="B177" s="1" t="s">
        <v>112</v>
      </c>
      <c r="C177" s="2"/>
      <c r="D177" s="3"/>
      <c r="E177" s="4"/>
    </row>
    <row r="178">
      <c r="A178" s="18" t="s">
        <v>1</v>
      </c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A179" s="19">
        <v>0.5416666666666666</v>
      </c>
      <c r="B179" s="32" t="s">
        <v>1069</v>
      </c>
      <c r="C179" s="33" t="s">
        <v>66</v>
      </c>
      <c r="D179" s="32" t="s">
        <v>1070</v>
      </c>
      <c r="E179" s="11" t="s">
        <v>9</v>
      </c>
    </row>
    <row r="180">
      <c r="A180" s="19">
        <v>0.5416666666666666</v>
      </c>
      <c r="B180" s="32" t="s">
        <v>1071</v>
      </c>
      <c r="C180" s="33" t="s">
        <v>17</v>
      </c>
      <c r="D180" s="32" t="s">
        <v>1072</v>
      </c>
      <c r="E180" s="11" t="s">
        <v>13</v>
      </c>
    </row>
    <row r="181">
      <c r="A181" s="19">
        <v>0.5513888888888889</v>
      </c>
      <c r="B181" s="32" t="s">
        <v>1071</v>
      </c>
      <c r="C181" s="33" t="s">
        <v>42</v>
      </c>
      <c r="D181" s="32" t="s">
        <v>1070</v>
      </c>
      <c r="E181" s="11" t="s">
        <v>9</v>
      </c>
    </row>
    <row r="182">
      <c r="A182" s="19">
        <v>0.5513888888888889</v>
      </c>
      <c r="B182" s="32" t="s">
        <v>1073</v>
      </c>
      <c r="C182" s="33" t="s">
        <v>244</v>
      </c>
      <c r="D182" s="32" t="s">
        <v>1072</v>
      </c>
      <c r="E182" s="11" t="s">
        <v>13</v>
      </c>
    </row>
    <row r="183">
      <c r="A183" s="19">
        <v>0.5618055555555556</v>
      </c>
      <c r="B183" s="32" t="s">
        <v>1073</v>
      </c>
      <c r="C183" s="33" t="s">
        <v>43</v>
      </c>
      <c r="D183" s="32" t="s">
        <v>1071</v>
      </c>
      <c r="E183" s="11" t="s">
        <v>9</v>
      </c>
    </row>
    <row r="184">
      <c r="A184" s="19">
        <v>0.5618055555555556</v>
      </c>
      <c r="B184" s="32" t="s">
        <v>1072</v>
      </c>
      <c r="C184" s="33" t="s">
        <v>378</v>
      </c>
      <c r="D184" s="32" t="s">
        <v>1069</v>
      </c>
      <c r="E184" s="11" t="s">
        <v>13</v>
      </c>
    </row>
    <row r="185">
      <c r="A185" s="19">
        <v>0.5722222222222222</v>
      </c>
      <c r="B185" s="32" t="s">
        <v>1073</v>
      </c>
      <c r="C185" s="33" t="s">
        <v>195</v>
      </c>
      <c r="D185" s="32" t="s">
        <v>1070</v>
      </c>
      <c r="E185" s="11" t="s">
        <v>9</v>
      </c>
    </row>
    <row r="186">
      <c r="A186" s="19">
        <v>0.5722222222222222</v>
      </c>
      <c r="B186" s="32" t="s">
        <v>1069</v>
      </c>
      <c r="C186" s="33" t="s">
        <v>195</v>
      </c>
      <c r="D186" s="32" t="s">
        <v>1071</v>
      </c>
      <c r="E186" s="11" t="s">
        <v>13</v>
      </c>
    </row>
    <row r="187">
      <c r="A187" s="19">
        <v>0.5819444444444445</v>
      </c>
      <c r="B187" s="32" t="s">
        <v>1072</v>
      </c>
      <c r="C187" s="33" t="s">
        <v>11</v>
      </c>
      <c r="D187" s="32" t="s">
        <v>1070</v>
      </c>
      <c r="E187" s="11" t="s">
        <v>9</v>
      </c>
    </row>
    <row r="188">
      <c r="A188" s="19">
        <v>0.5819444444444445</v>
      </c>
      <c r="B188" s="32" t="s">
        <v>1069</v>
      </c>
      <c r="C188" s="33" t="s">
        <v>321</v>
      </c>
      <c r="D188" s="32" t="s">
        <v>1073</v>
      </c>
      <c r="E188" s="11" t="s">
        <v>13</v>
      </c>
    </row>
    <row r="189">
      <c r="A189" s="19">
        <v>0.5923611111111111</v>
      </c>
      <c r="B189" s="32" t="s">
        <v>1070</v>
      </c>
      <c r="C189" s="33" t="s">
        <v>190</v>
      </c>
      <c r="D189" s="32" t="s">
        <v>1069</v>
      </c>
      <c r="E189" s="11" t="s">
        <v>9</v>
      </c>
    </row>
    <row r="190">
      <c r="A190" s="19">
        <v>0.5923611111111111</v>
      </c>
      <c r="B190" s="32" t="s">
        <v>1072</v>
      </c>
      <c r="C190" s="33" t="s">
        <v>88</v>
      </c>
      <c r="D190" s="32" t="s">
        <v>1071</v>
      </c>
      <c r="E190" s="11" t="s">
        <v>13</v>
      </c>
    </row>
    <row r="191">
      <c r="A191" s="19">
        <v>0.6027777777777777</v>
      </c>
      <c r="B191" s="32" t="s">
        <v>1070</v>
      </c>
      <c r="C191" s="33" t="s">
        <v>81</v>
      </c>
      <c r="D191" s="32" t="s">
        <v>1071</v>
      </c>
      <c r="E191" s="11" t="s">
        <v>9</v>
      </c>
    </row>
    <row r="192">
      <c r="A192" s="19">
        <v>0.6027777777777777</v>
      </c>
      <c r="B192" s="32" t="s">
        <v>1072</v>
      </c>
      <c r="C192" s="33" t="s">
        <v>43</v>
      </c>
      <c r="D192" s="32" t="s">
        <v>1073</v>
      </c>
      <c r="E192" s="11" t="s">
        <v>13</v>
      </c>
    </row>
    <row r="193">
      <c r="A193" s="19">
        <v>0.6125</v>
      </c>
      <c r="B193" s="32" t="s">
        <v>1071</v>
      </c>
      <c r="C193" s="33" t="s">
        <v>196</v>
      </c>
      <c r="D193" s="32" t="s">
        <v>1073</v>
      </c>
      <c r="E193" s="11" t="s">
        <v>9</v>
      </c>
    </row>
    <row r="194">
      <c r="A194" s="19">
        <v>0.6125</v>
      </c>
      <c r="B194" s="32" t="s">
        <v>1069</v>
      </c>
      <c r="C194" s="33" t="s">
        <v>231</v>
      </c>
      <c r="D194" s="32" t="s">
        <v>1072</v>
      </c>
      <c r="E194" s="11" t="s">
        <v>13</v>
      </c>
    </row>
    <row r="195">
      <c r="A195" s="19">
        <v>0.6229166666666667</v>
      </c>
      <c r="B195" s="32" t="s">
        <v>1070</v>
      </c>
      <c r="C195" s="33" t="s">
        <v>47</v>
      </c>
      <c r="D195" s="32" t="s">
        <v>1073</v>
      </c>
      <c r="E195" s="11" t="s">
        <v>9</v>
      </c>
    </row>
    <row r="196">
      <c r="A196" s="19">
        <v>0.6229166666666667</v>
      </c>
      <c r="B196" s="32" t="s">
        <v>1071</v>
      </c>
      <c r="C196" s="33" t="s">
        <v>43</v>
      </c>
      <c r="D196" s="32" t="s">
        <v>1069</v>
      </c>
      <c r="E196" s="11" t="s">
        <v>13</v>
      </c>
    </row>
    <row r="197">
      <c r="A197" s="19">
        <v>0.6333333333333333</v>
      </c>
      <c r="B197" s="32" t="s">
        <v>1070</v>
      </c>
      <c r="C197" s="33" t="s">
        <v>201</v>
      </c>
      <c r="D197" s="32" t="s">
        <v>1072</v>
      </c>
      <c r="E197" s="11" t="s">
        <v>9</v>
      </c>
    </row>
    <row r="198">
      <c r="A198" s="19">
        <v>0.6333333333333333</v>
      </c>
      <c r="B198" s="32" t="s">
        <v>1073</v>
      </c>
      <c r="C198" s="33" t="s">
        <v>21</v>
      </c>
      <c r="D198" s="32" t="s">
        <v>1069</v>
      </c>
      <c r="E198" s="11" t="s">
        <v>13</v>
      </c>
    </row>
    <row r="199">
      <c r="A199" s="27"/>
      <c r="B199" s="1" t="s">
        <v>112</v>
      </c>
      <c r="C199" s="2"/>
      <c r="D199" s="3"/>
      <c r="E199" s="4"/>
    </row>
    <row r="200">
      <c r="A200" s="18" t="s">
        <v>1</v>
      </c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A201" s="19">
        <v>0.5416666666666666</v>
      </c>
      <c r="B201" s="32" t="s">
        <v>1074</v>
      </c>
      <c r="C201" s="33" t="s">
        <v>27</v>
      </c>
      <c r="D201" s="32" t="s">
        <v>1075</v>
      </c>
      <c r="E201" s="11" t="s">
        <v>33</v>
      </c>
    </row>
    <row r="202">
      <c r="A202" s="19">
        <v>0.5416666666666666</v>
      </c>
      <c r="B202" s="32" t="s">
        <v>1076</v>
      </c>
      <c r="C202" s="33" t="s">
        <v>17</v>
      </c>
      <c r="D202" s="32" t="s">
        <v>1077</v>
      </c>
      <c r="E202" s="11" t="s">
        <v>37</v>
      </c>
    </row>
    <row r="203">
      <c r="A203" s="19">
        <v>0.5513888888888889</v>
      </c>
      <c r="B203" s="32" t="s">
        <v>1076</v>
      </c>
      <c r="C203" s="33" t="s">
        <v>195</v>
      </c>
      <c r="D203" s="32" t="s">
        <v>1075</v>
      </c>
      <c r="E203" s="11" t="s">
        <v>33</v>
      </c>
    </row>
    <row r="204">
      <c r="A204" s="19">
        <v>0.5513888888888889</v>
      </c>
      <c r="B204" s="32" t="s">
        <v>1078</v>
      </c>
      <c r="C204" s="33" t="s">
        <v>338</v>
      </c>
      <c r="D204" s="32" t="s">
        <v>1077</v>
      </c>
      <c r="E204" s="11" t="s">
        <v>37</v>
      </c>
    </row>
    <row r="205">
      <c r="A205" s="19">
        <v>0.5618055555555556</v>
      </c>
      <c r="B205" s="32" t="s">
        <v>1078</v>
      </c>
      <c r="C205" s="33" t="s">
        <v>239</v>
      </c>
      <c r="D205" s="32" t="s">
        <v>1076</v>
      </c>
      <c r="E205" s="11" t="s">
        <v>33</v>
      </c>
    </row>
    <row r="206">
      <c r="A206" s="19">
        <v>0.5618055555555556</v>
      </c>
      <c r="B206" s="32" t="s">
        <v>1077</v>
      </c>
      <c r="C206" s="33" t="s">
        <v>289</v>
      </c>
      <c r="D206" s="32" t="s">
        <v>1074</v>
      </c>
      <c r="E206" s="11" t="s">
        <v>37</v>
      </c>
    </row>
    <row r="207">
      <c r="A207" s="19">
        <v>0.5722222222222222</v>
      </c>
      <c r="B207" s="32" t="s">
        <v>1078</v>
      </c>
      <c r="C207" s="33" t="s">
        <v>193</v>
      </c>
      <c r="D207" s="32" t="s">
        <v>1075</v>
      </c>
      <c r="E207" s="11" t="s">
        <v>33</v>
      </c>
    </row>
    <row r="208">
      <c r="A208" s="19">
        <v>0.5722222222222222</v>
      </c>
      <c r="B208" s="32" t="s">
        <v>1074</v>
      </c>
      <c r="C208" s="33" t="s">
        <v>62</v>
      </c>
      <c r="D208" s="32" t="s">
        <v>1076</v>
      </c>
      <c r="E208" s="11" t="s">
        <v>37</v>
      </c>
    </row>
    <row r="209">
      <c r="A209" s="19">
        <v>0.5819444444444445</v>
      </c>
      <c r="B209" s="32" t="s">
        <v>1077</v>
      </c>
      <c r="C209" s="33" t="s">
        <v>416</v>
      </c>
      <c r="D209" s="32" t="s">
        <v>1075</v>
      </c>
      <c r="E209" s="11" t="s">
        <v>33</v>
      </c>
    </row>
    <row r="210">
      <c r="A210" s="19">
        <v>0.5819444444444445</v>
      </c>
      <c r="B210" s="32" t="s">
        <v>1074</v>
      </c>
      <c r="C210" s="33" t="s">
        <v>506</v>
      </c>
      <c r="D210" s="32" t="s">
        <v>1078</v>
      </c>
      <c r="E210" s="11" t="s">
        <v>37</v>
      </c>
    </row>
    <row r="211">
      <c r="A211" s="19">
        <v>0.5923611111111111</v>
      </c>
      <c r="B211" s="32" t="s">
        <v>1075</v>
      </c>
      <c r="C211" s="33" t="s">
        <v>190</v>
      </c>
      <c r="D211" s="32" t="s">
        <v>1074</v>
      </c>
      <c r="E211" s="11" t="s">
        <v>33</v>
      </c>
    </row>
    <row r="212">
      <c r="A212" s="19">
        <v>0.5923611111111111</v>
      </c>
      <c r="B212" s="32" t="s">
        <v>1077</v>
      </c>
      <c r="C212" s="33" t="s">
        <v>201</v>
      </c>
      <c r="D212" s="32" t="s">
        <v>1076</v>
      </c>
      <c r="E212" s="11" t="s">
        <v>37</v>
      </c>
    </row>
    <row r="213">
      <c r="A213" s="19">
        <v>0.6027777777777777</v>
      </c>
      <c r="B213" s="32" t="s">
        <v>1075</v>
      </c>
      <c r="C213" s="33" t="s">
        <v>45</v>
      </c>
      <c r="D213" s="32" t="s">
        <v>1076</v>
      </c>
      <c r="E213" s="11" t="s">
        <v>33</v>
      </c>
    </row>
    <row r="214">
      <c r="A214" s="19">
        <v>0.6027777777777777</v>
      </c>
      <c r="B214" s="32" t="s">
        <v>1077</v>
      </c>
      <c r="C214" s="33" t="s">
        <v>445</v>
      </c>
      <c r="D214" s="32" t="s">
        <v>1078</v>
      </c>
      <c r="E214" s="11" t="s">
        <v>37</v>
      </c>
    </row>
    <row r="215">
      <c r="A215" s="19">
        <v>0.6125</v>
      </c>
      <c r="B215" s="32" t="s">
        <v>1076</v>
      </c>
      <c r="C215" s="33" t="s">
        <v>65</v>
      </c>
      <c r="D215" s="32" t="s">
        <v>1078</v>
      </c>
      <c r="E215" s="11" t="s">
        <v>33</v>
      </c>
    </row>
    <row r="216">
      <c r="A216" s="19">
        <v>0.6125</v>
      </c>
      <c r="B216" s="32" t="s">
        <v>1074</v>
      </c>
      <c r="C216" s="33" t="s">
        <v>19</v>
      </c>
      <c r="D216" s="32" t="s">
        <v>1077</v>
      </c>
      <c r="E216" s="11" t="s">
        <v>37</v>
      </c>
    </row>
    <row r="217">
      <c r="A217" s="19">
        <v>0.6229166666666667</v>
      </c>
      <c r="B217" s="32" t="s">
        <v>1075</v>
      </c>
      <c r="C217" s="33" t="s">
        <v>81</v>
      </c>
      <c r="D217" s="32" t="s">
        <v>1078</v>
      </c>
      <c r="E217" s="11" t="s">
        <v>33</v>
      </c>
    </row>
    <row r="218">
      <c r="A218" s="19">
        <v>0.6229166666666667</v>
      </c>
      <c r="B218" s="32" t="s">
        <v>1076</v>
      </c>
      <c r="C218" s="33" t="s">
        <v>215</v>
      </c>
      <c r="D218" s="32" t="s">
        <v>1074</v>
      </c>
      <c r="E218" s="11" t="s">
        <v>37</v>
      </c>
    </row>
    <row r="219">
      <c r="A219" s="19">
        <v>0.6333333333333333</v>
      </c>
      <c r="B219" s="32" t="s">
        <v>1075</v>
      </c>
      <c r="C219" s="33" t="s">
        <v>66</v>
      </c>
      <c r="D219" s="32" t="s">
        <v>1077</v>
      </c>
      <c r="E219" s="11" t="s">
        <v>33</v>
      </c>
    </row>
    <row r="220">
      <c r="A220" s="19">
        <v>0.6333333333333333</v>
      </c>
      <c r="B220" s="32" t="s">
        <v>1078</v>
      </c>
      <c r="C220" s="33" t="s">
        <v>21</v>
      </c>
      <c r="D220" s="32" t="s">
        <v>1074</v>
      </c>
      <c r="E220" s="11" t="s">
        <v>37</v>
      </c>
    </row>
    <row r="221">
      <c r="A221" s="27"/>
      <c r="B221" s="28" t="s">
        <v>123</v>
      </c>
      <c r="C221" s="2"/>
      <c r="D221" s="3"/>
      <c r="E221" s="29"/>
    </row>
    <row r="222">
      <c r="A222" s="18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9">
        <v>0.6458333333333334</v>
      </c>
      <c r="B223" s="34" t="s">
        <v>438</v>
      </c>
      <c r="C223" s="33" t="s">
        <v>43</v>
      </c>
      <c r="D223" s="34" t="s">
        <v>1079</v>
      </c>
      <c r="E223" s="11" t="s">
        <v>9</v>
      </c>
    </row>
    <row r="224">
      <c r="A224" s="19">
        <v>0.6458333333333334</v>
      </c>
      <c r="B224" s="34" t="s">
        <v>1080</v>
      </c>
      <c r="C224" s="33" t="s">
        <v>81</v>
      </c>
      <c r="D224" s="34" t="s">
        <v>1081</v>
      </c>
      <c r="E224" s="11" t="s">
        <v>13</v>
      </c>
    </row>
    <row r="225">
      <c r="A225" s="19">
        <v>0.6555555555555556</v>
      </c>
      <c r="B225" s="34" t="s">
        <v>1080</v>
      </c>
      <c r="C225" s="33" t="s">
        <v>201</v>
      </c>
      <c r="D225" s="34" t="s">
        <v>1079</v>
      </c>
      <c r="E225" s="11" t="s">
        <v>9</v>
      </c>
    </row>
    <row r="226">
      <c r="A226" s="19">
        <v>0.6555555555555556</v>
      </c>
      <c r="B226" s="34" t="s">
        <v>1082</v>
      </c>
      <c r="C226" s="33" t="s">
        <v>66</v>
      </c>
      <c r="D226" s="34" t="s">
        <v>1081</v>
      </c>
      <c r="E226" s="11" t="s">
        <v>13</v>
      </c>
    </row>
    <row r="227">
      <c r="A227" s="19">
        <v>0.6659722222222222</v>
      </c>
      <c r="B227" s="34" t="s">
        <v>1082</v>
      </c>
      <c r="C227" s="33" t="s">
        <v>58</v>
      </c>
      <c r="D227" s="34" t="s">
        <v>1080</v>
      </c>
      <c r="E227" s="11" t="s">
        <v>9</v>
      </c>
    </row>
    <row r="228">
      <c r="A228" s="19">
        <v>0.6659722222222222</v>
      </c>
      <c r="B228" s="34" t="s">
        <v>1081</v>
      </c>
      <c r="C228" s="33" t="s">
        <v>31</v>
      </c>
      <c r="D228" s="34" t="s">
        <v>438</v>
      </c>
      <c r="E228" s="11" t="s">
        <v>13</v>
      </c>
    </row>
    <row r="229">
      <c r="A229" s="19">
        <v>0.6763888888888889</v>
      </c>
      <c r="B229" s="34" t="s">
        <v>1082</v>
      </c>
      <c r="C229" s="33" t="s">
        <v>260</v>
      </c>
      <c r="D229" s="34" t="s">
        <v>1079</v>
      </c>
      <c r="E229" s="11" t="s">
        <v>9</v>
      </c>
    </row>
    <row r="230">
      <c r="A230" s="19">
        <v>0.6763888888888889</v>
      </c>
      <c r="B230" s="34" t="s">
        <v>438</v>
      </c>
      <c r="C230" s="33" t="s">
        <v>11</v>
      </c>
      <c r="D230" s="34" t="s">
        <v>1080</v>
      </c>
      <c r="E230" s="11" t="s">
        <v>13</v>
      </c>
    </row>
    <row r="231">
      <c r="A231" s="19">
        <v>0.6861111111111111</v>
      </c>
      <c r="B231" s="34" t="s">
        <v>1081</v>
      </c>
      <c r="C231" s="33" t="s">
        <v>218</v>
      </c>
      <c r="D231" s="34" t="s">
        <v>1079</v>
      </c>
      <c r="E231" s="11" t="s">
        <v>9</v>
      </c>
    </row>
    <row r="232">
      <c r="A232" s="19">
        <v>0.6861111111111111</v>
      </c>
      <c r="B232" s="34" t="s">
        <v>438</v>
      </c>
      <c r="C232" s="33" t="s">
        <v>1022</v>
      </c>
      <c r="D232" s="34" t="s">
        <v>1082</v>
      </c>
      <c r="E232" s="11" t="s">
        <v>13</v>
      </c>
    </row>
    <row r="233">
      <c r="A233" s="19">
        <v>0.6965277777777777</v>
      </c>
      <c r="B233" s="34" t="s">
        <v>1079</v>
      </c>
      <c r="C233" s="33" t="s">
        <v>52</v>
      </c>
      <c r="D233" s="34" t="s">
        <v>438</v>
      </c>
      <c r="E233" s="11" t="s">
        <v>9</v>
      </c>
    </row>
    <row r="234">
      <c r="A234" s="19">
        <v>0.6965277777777777</v>
      </c>
      <c r="B234" s="34" t="s">
        <v>1081</v>
      </c>
      <c r="C234" s="33" t="s">
        <v>190</v>
      </c>
      <c r="D234" s="34" t="s">
        <v>1080</v>
      </c>
      <c r="E234" s="11" t="s">
        <v>13</v>
      </c>
    </row>
    <row r="235">
      <c r="A235" s="19">
        <v>0.7069444444444445</v>
      </c>
      <c r="B235" s="34" t="s">
        <v>1079</v>
      </c>
      <c r="C235" s="35" t="s">
        <v>64</v>
      </c>
      <c r="D235" s="34" t="s">
        <v>1080</v>
      </c>
      <c r="E235" s="11" t="s">
        <v>9</v>
      </c>
    </row>
    <row r="236">
      <c r="A236" s="19">
        <v>0.7069444444444445</v>
      </c>
      <c r="B236" s="34" t="s">
        <v>1081</v>
      </c>
      <c r="C236" s="35" t="s">
        <v>20</v>
      </c>
      <c r="D236" s="34" t="s">
        <v>1082</v>
      </c>
      <c r="E236" s="11" t="s">
        <v>13</v>
      </c>
    </row>
    <row r="237">
      <c r="A237" s="19">
        <v>0.7166666666666667</v>
      </c>
      <c r="B237" s="34" t="s">
        <v>1080</v>
      </c>
      <c r="C237" s="35" t="s">
        <v>7</v>
      </c>
      <c r="D237" s="34" t="s">
        <v>1082</v>
      </c>
      <c r="E237" s="11" t="s">
        <v>9</v>
      </c>
    </row>
    <row r="238">
      <c r="A238" s="19">
        <v>0.7166666666666667</v>
      </c>
      <c r="B238" s="34" t="s">
        <v>438</v>
      </c>
      <c r="C238" s="35" t="s">
        <v>260</v>
      </c>
      <c r="D238" s="34" t="s">
        <v>1081</v>
      </c>
      <c r="E238" s="11" t="s">
        <v>13</v>
      </c>
    </row>
    <row r="239">
      <c r="A239" s="19">
        <v>0.7270833333333333</v>
      </c>
      <c r="B239" s="34" t="s">
        <v>1079</v>
      </c>
      <c r="C239" s="35" t="s">
        <v>19</v>
      </c>
      <c r="D239" s="34" t="s">
        <v>1082</v>
      </c>
      <c r="E239" s="11" t="s">
        <v>9</v>
      </c>
    </row>
    <row r="240">
      <c r="A240" s="19">
        <v>0.7270833333333333</v>
      </c>
      <c r="B240" s="34" t="s">
        <v>1080</v>
      </c>
      <c r="C240" s="35" t="s">
        <v>494</v>
      </c>
      <c r="D240" s="34" t="s">
        <v>438</v>
      </c>
      <c r="E240" s="11" t="s">
        <v>13</v>
      </c>
    </row>
    <row r="241">
      <c r="A241" s="19">
        <v>0.7375</v>
      </c>
      <c r="B241" s="34" t="s">
        <v>1079</v>
      </c>
      <c r="C241" s="35" t="s">
        <v>218</v>
      </c>
      <c r="D241" s="34" t="s">
        <v>1081</v>
      </c>
      <c r="E241" s="11" t="s">
        <v>9</v>
      </c>
    </row>
    <row r="242">
      <c r="A242" s="19">
        <v>0.7375</v>
      </c>
      <c r="B242" s="34" t="s">
        <v>1082</v>
      </c>
      <c r="C242" s="35" t="s">
        <v>270</v>
      </c>
      <c r="D242" s="34" t="s">
        <v>438</v>
      </c>
      <c r="E242" s="11" t="s">
        <v>13</v>
      </c>
    </row>
    <row r="243">
      <c r="A243" s="27"/>
      <c r="B243" s="28" t="s">
        <v>123</v>
      </c>
      <c r="C243" s="2"/>
      <c r="D243" s="3"/>
      <c r="E243" s="29"/>
    </row>
    <row r="244">
      <c r="A244" s="18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9">
        <v>0.6458333333333334</v>
      </c>
      <c r="B245" s="34" t="s">
        <v>1083</v>
      </c>
      <c r="C245" s="33" t="s">
        <v>19</v>
      </c>
      <c r="D245" s="34" t="s">
        <v>1084</v>
      </c>
      <c r="E245" s="11" t="s">
        <v>33</v>
      </c>
    </row>
    <row r="246">
      <c r="A246" s="19">
        <v>0.6458333333333334</v>
      </c>
      <c r="B246" s="34" t="s">
        <v>850</v>
      </c>
      <c r="C246" s="33" t="s">
        <v>193</v>
      </c>
      <c r="D246" s="34" t="s">
        <v>1085</v>
      </c>
      <c r="E246" s="11" t="s">
        <v>37</v>
      </c>
    </row>
    <row r="247">
      <c r="A247" s="19">
        <v>0.6555555555555556</v>
      </c>
      <c r="B247" s="34" t="s">
        <v>850</v>
      </c>
      <c r="C247" s="33" t="s">
        <v>35</v>
      </c>
      <c r="D247" s="34" t="s">
        <v>1084</v>
      </c>
      <c r="E247" s="11" t="s">
        <v>33</v>
      </c>
    </row>
    <row r="248">
      <c r="A248" s="19">
        <v>0.6555555555555556</v>
      </c>
      <c r="B248" s="34" t="s">
        <v>1086</v>
      </c>
      <c r="C248" s="33" t="s">
        <v>47</v>
      </c>
      <c r="D248" s="34" t="s">
        <v>1085</v>
      </c>
      <c r="E248" s="11" t="s">
        <v>37</v>
      </c>
    </row>
    <row r="249">
      <c r="A249" s="19">
        <v>0.6659722222222222</v>
      </c>
      <c r="B249" s="34" t="s">
        <v>1086</v>
      </c>
      <c r="C249" s="33" t="s">
        <v>195</v>
      </c>
      <c r="D249" s="34" t="s">
        <v>850</v>
      </c>
      <c r="E249" s="11" t="s">
        <v>33</v>
      </c>
    </row>
    <row r="250">
      <c r="A250" s="19">
        <v>0.6659722222222222</v>
      </c>
      <c r="B250" s="34" t="s">
        <v>1085</v>
      </c>
      <c r="C250" s="33" t="s">
        <v>69</v>
      </c>
      <c r="D250" s="34" t="s">
        <v>1083</v>
      </c>
      <c r="E250" s="11" t="s">
        <v>37</v>
      </c>
    </row>
    <row r="251">
      <c r="A251" s="19">
        <v>0.6763888888888889</v>
      </c>
      <c r="B251" s="34" t="s">
        <v>1086</v>
      </c>
      <c r="C251" s="33" t="s">
        <v>836</v>
      </c>
      <c r="D251" s="34" t="s">
        <v>1084</v>
      </c>
      <c r="E251" s="11" t="s">
        <v>33</v>
      </c>
    </row>
    <row r="252">
      <c r="A252" s="19">
        <v>0.6763888888888889</v>
      </c>
      <c r="B252" s="34" t="s">
        <v>1083</v>
      </c>
      <c r="C252" s="33" t="s">
        <v>195</v>
      </c>
      <c r="D252" s="34" t="s">
        <v>850</v>
      </c>
      <c r="E252" s="11" t="s">
        <v>37</v>
      </c>
    </row>
    <row r="253">
      <c r="A253" s="19">
        <v>0.6861111111111111</v>
      </c>
      <c r="B253" s="34" t="s">
        <v>1085</v>
      </c>
      <c r="C253" s="33" t="s">
        <v>82</v>
      </c>
      <c r="D253" s="34" t="s">
        <v>1084</v>
      </c>
      <c r="E253" s="11" t="s">
        <v>33</v>
      </c>
    </row>
    <row r="254">
      <c r="A254" s="19">
        <v>0.6861111111111111</v>
      </c>
      <c r="B254" s="34" t="s">
        <v>1083</v>
      </c>
      <c r="C254" s="33" t="s">
        <v>196</v>
      </c>
      <c r="D254" s="34" t="s">
        <v>1086</v>
      </c>
      <c r="E254" s="11" t="s">
        <v>37</v>
      </c>
    </row>
    <row r="255">
      <c r="A255" s="19">
        <v>0.6965277777777777</v>
      </c>
      <c r="B255" s="34" t="s">
        <v>1084</v>
      </c>
      <c r="C255" s="33" t="s">
        <v>1087</v>
      </c>
      <c r="D255" s="34" t="s">
        <v>1083</v>
      </c>
      <c r="E255" s="11" t="s">
        <v>33</v>
      </c>
    </row>
    <row r="256">
      <c r="A256" s="19">
        <v>0.6965277777777777</v>
      </c>
      <c r="B256" s="34" t="s">
        <v>1085</v>
      </c>
      <c r="C256" s="33" t="s">
        <v>14</v>
      </c>
      <c r="D256" s="34" t="s">
        <v>850</v>
      </c>
      <c r="E256" s="11" t="s">
        <v>37</v>
      </c>
      <c r="H256" s="36"/>
    </row>
    <row r="257">
      <c r="A257" s="19">
        <v>0.7069444444444445</v>
      </c>
      <c r="B257" s="34" t="s">
        <v>1084</v>
      </c>
      <c r="C257" s="33" t="s">
        <v>337</v>
      </c>
      <c r="D257" s="34" t="s">
        <v>850</v>
      </c>
      <c r="E257" s="11" t="s">
        <v>33</v>
      </c>
    </row>
    <row r="258">
      <c r="A258" s="19">
        <v>0.7069444444444445</v>
      </c>
      <c r="B258" s="34" t="s">
        <v>1085</v>
      </c>
      <c r="C258" s="33" t="s">
        <v>389</v>
      </c>
      <c r="D258" s="34" t="s">
        <v>1086</v>
      </c>
      <c r="E258" s="11" t="s">
        <v>37</v>
      </c>
    </row>
    <row r="259">
      <c r="A259" s="19">
        <v>0.7166666666666667</v>
      </c>
      <c r="B259" s="34" t="s">
        <v>850</v>
      </c>
      <c r="C259" s="33" t="s">
        <v>17</v>
      </c>
      <c r="D259" s="34" t="s">
        <v>1086</v>
      </c>
      <c r="E259" s="11" t="s">
        <v>33</v>
      </c>
    </row>
    <row r="260">
      <c r="A260" s="19">
        <v>0.7166666666666667</v>
      </c>
      <c r="B260" s="34" t="s">
        <v>1083</v>
      </c>
      <c r="C260" s="33" t="s">
        <v>45</v>
      </c>
      <c r="D260" s="34" t="s">
        <v>1085</v>
      </c>
      <c r="E260" s="11" t="s">
        <v>37</v>
      </c>
    </row>
    <row r="261">
      <c r="A261" s="19">
        <v>0.7270833333333333</v>
      </c>
      <c r="B261" s="34" t="s">
        <v>1084</v>
      </c>
      <c r="C261" s="33" t="s">
        <v>533</v>
      </c>
      <c r="D261" s="34" t="s">
        <v>1086</v>
      </c>
      <c r="E261" s="11" t="s">
        <v>33</v>
      </c>
    </row>
    <row r="262">
      <c r="A262" s="19">
        <v>0.7270833333333333</v>
      </c>
      <c r="B262" s="34" t="s">
        <v>850</v>
      </c>
      <c r="C262" s="33" t="s">
        <v>286</v>
      </c>
      <c r="D262" s="34" t="s">
        <v>1083</v>
      </c>
      <c r="E262" s="11" t="s">
        <v>37</v>
      </c>
    </row>
    <row r="263">
      <c r="A263" s="19">
        <v>0.7375</v>
      </c>
      <c r="B263" s="34" t="s">
        <v>1084</v>
      </c>
      <c r="C263" s="33" t="s">
        <v>1088</v>
      </c>
      <c r="D263" s="34" t="s">
        <v>1085</v>
      </c>
      <c r="E263" s="11" t="s">
        <v>33</v>
      </c>
    </row>
    <row r="264">
      <c r="A264" s="19">
        <v>0.7375</v>
      </c>
      <c r="B264" s="34" t="s">
        <v>1086</v>
      </c>
      <c r="C264" s="33" t="s">
        <v>695</v>
      </c>
      <c r="D264" s="34" t="s">
        <v>1083</v>
      </c>
      <c r="E264" s="11" t="s">
        <v>37</v>
      </c>
    </row>
    <row r="265">
      <c r="A265" s="27"/>
      <c r="B265" s="28" t="s">
        <v>134</v>
      </c>
      <c r="C265" s="2"/>
      <c r="D265" s="3"/>
      <c r="E265" s="29"/>
    </row>
    <row r="266">
      <c r="A266" s="18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9">
        <v>0.75</v>
      </c>
      <c r="B267" s="34" t="s">
        <v>863</v>
      </c>
      <c r="C267" s="35" t="s">
        <v>78</v>
      </c>
      <c r="D267" s="34" t="s">
        <v>1089</v>
      </c>
      <c r="E267" s="11" t="s">
        <v>9</v>
      </c>
    </row>
    <row r="268">
      <c r="A268" s="19">
        <v>0.75</v>
      </c>
      <c r="B268" s="34" t="s">
        <v>1090</v>
      </c>
      <c r="C268" s="35" t="s">
        <v>1091</v>
      </c>
      <c r="D268" s="34" t="s">
        <v>1092</v>
      </c>
      <c r="E268" s="11" t="s">
        <v>13</v>
      </c>
    </row>
    <row r="269">
      <c r="A269" s="19">
        <v>0.7597222222222222</v>
      </c>
      <c r="B269" s="34" t="s">
        <v>1090</v>
      </c>
      <c r="C269" s="35" t="s">
        <v>195</v>
      </c>
      <c r="D269" s="34" t="s">
        <v>1089</v>
      </c>
      <c r="E269" s="11" t="s">
        <v>9</v>
      </c>
    </row>
    <row r="270">
      <c r="A270" s="19">
        <v>0.7597222222222222</v>
      </c>
      <c r="B270" s="34" t="s">
        <v>1093</v>
      </c>
      <c r="C270" s="35" t="s">
        <v>88</v>
      </c>
      <c r="D270" s="34" t="s">
        <v>1092</v>
      </c>
      <c r="E270" s="11" t="s">
        <v>13</v>
      </c>
    </row>
    <row r="271">
      <c r="A271" s="19">
        <v>0.7701388888888889</v>
      </c>
      <c r="B271" s="34" t="s">
        <v>1093</v>
      </c>
      <c r="C271" s="35" t="s">
        <v>11</v>
      </c>
      <c r="D271" s="34" t="s">
        <v>1090</v>
      </c>
      <c r="E271" s="11" t="s">
        <v>9</v>
      </c>
    </row>
    <row r="272">
      <c r="A272" s="19">
        <v>0.7701388888888889</v>
      </c>
      <c r="B272" s="34" t="s">
        <v>1092</v>
      </c>
      <c r="C272" s="35" t="s">
        <v>48</v>
      </c>
      <c r="D272" s="34" t="s">
        <v>863</v>
      </c>
      <c r="E272" s="11" t="s">
        <v>13</v>
      </c>
    </row>
    <row r="273">
      <c r="A273" s="19">
        <v>0.7805555555555556</v>
      </c>
      <c r="B273" s="34" t="s">
        <v>1093</v>
      </c>
      <c r="C273" s="35" t="s">
        <v>45</v>
      </c>
      <c r="D273" s="34" t="s">
        <v>1089</v>
      </c>
      <c r="E273" s="11" t="s">
        <v>9</v>
      </c>
    </row>
    <row r="274">
      <c r="A274" s="19">
        <v>0.7805555555555556</v>
      </c>
      <c r="B274" s="34" t="s">
        <v>863</v>
      </c>
      <c r="C274" s="35" t="s">
        <v>195</v>
      </c>
      <c r="D274" s="34" t="s">
        <v>1090</v>
      </c>
      <c r="E274" s="11" t="s">
        <v>13</v>
      </c>
    </row>
    <row r="275">
      <c r="A275" s="19">
        <v>0.7902777777777777</v>
      </c>
      <c r="B275" s="34" t="s">
        <v>1092</v>
      </c>
      <c r="C275" s="35" t="s">
        <v>1094</v>
      </c>
      <c r="D275" s="34" t="s">
        <v>1089</v>
      </c>
      <c r="E275" s="11" t="s">
        <v>9</v>
      </c>
    </row>
    <row r="276">
      <c r="A276" s="19">
        <v>0.7902777777777777</v>
      </c>
      <c r="B276" s="34" t="s">
        <v>863</v>
      </c>
      <c r="C276" s="35" t="s">
        <v>81</v>
      </c>
      <c r="D276" s="34" t="s">
        <v>1093</v>
      </c>
      <c r="E276" s="11" t="s">
        <v>13</v>
      </c>
    </row>
    <row r="277">
      <c r="A277" s="19">
        <v>0.8006944444444445</v>
      </c>
      <c r="B277" s="34" t="s">
        <v>1089</v>
      </c>
      <c r="C277" s="35" t="s">
        <v>797</v>
      </c>
      <c r="D277" s="34" t="s">
        <v>863</v>
      </c>
      <c r="E277" s="11" t="s">
        <v>9</v>
      </c>
    </row>
    <row r="278">
      <c r="A278" s="19">
        <v>0.8006944444444445</v>
      </c>
      <c r="B278" s="34" t="s">
        <v>1092</v>
      </c>
      <c r="C278" s="35" t="s">
        <v>270</v>
      </c>
      <c r="D278" s="34" t="s">
        <v>1090</v>
      </c>
      <c r="E278" s="11" t="s">
        <v>13</v>
      </c>
    </row>
    <row r="279">
      <c r="A279" s="19">
        <v>0.8111111111111111</v>
      </c>
      <c r="B279" s="34" t="s">
        <v>1089</v>
      </c>
      <c r="C279" s="35" t="s">
        <v>87</v>
      </c>
      <c r="D279" s="34" t="s">
        <v>1090</v>
      </c>
      <c r="E279" s="11" t="s">
        <v>9</v>
      </c>
    </row>
    <row r="280">
      <c r="A280" s="19">
        <v>0.8111111111111111</v>
      </c>
      <c r="B280" s="34" t="s">
        <v>1092</v>
      </c>
      <c r="C280" s="35" t="s">
        <v>195</v>
      </c>
      <c r="D280" s="34" t="s">
        <v>1093</v>
      </c>
      <c r="E280" s="11" t="s">
        <v>13</v>
      </c>
    </row>
    <row r="281">
      <c r="A281" s="19">
        <v>0.8208333333333333</v>
      </c>
      <c r="B281" s="34" t="s">
        <v>1090</v>
      </c>
      <c r="C281" s="35" t="s">
        <v>282</v>
      </c>
      <c r="D281" s="34" t="s">
        <v>1093</v>
      </c>
      <c r="E281" s="11" t="s">
        <v>9</v>
      </c>
    </row>
    <row r="282">
      <c r="A282" s="19">
        <v>0.8208333333333333</v>
      </c>
      <c r="B282" s="34" t="s">
        <v>863</v>
      </c>
      <c r="C282" s="35" t="s">
        <v>1095</v>
      </c>
      <c r="D282" s="34" t="s">
        <v>1092</v>
      </c>
      <c r="E282" s="11" t="s">
        <v>13</v>
      </c>
    </row>
    <row r="283">
      <c r="A283" s="19">
        <v>0.83125</v>
      </c>
      <c r="B283" s="34" t="s">
        <v>1089</v>
      </c>
      <c r="C283" s="35" t="s">
        <v>218</v>
      </c>
      <c r="D283" s="34" t="s">
        <v>1093</v>
      </c>
      <c r="E283" s="11" t="s">
        <v>9</v>
      </c>
    </row>
    <row r="284">
      <c r="A284" s="19">
        <v>0.83125</v>
      </c>
      <c r="B284" s="34" t="s">
        <v>1090</v>
      </c>
      <c r="C284" s="35" t="s">
        <v>352</v>
      </c>
      <c r="D284" s="34" t="s">
        <v>863</v>
      </c>
      <c r="E284" s="11" t="s">
        <v>13</v>
      </c>
    </row>
    <row r="285">
      <c r="A285" s="19">
        <v>0.8416666666666667</v>
      </c>
      <c r="B285" s="34" t="s">
        <v>1089</v>
      </c>
      <c r="C285" s="35" t="s">
        <v>500</v>
      </c>
      <c r="D285" s="34" t="s">
        <v>1092</v>
      </c>
      <c r="E285" s="11" t="s">
        <v>9</v>
      </c>
    </row>
    <row r="286">
      <c r="A286" s="19">
        <v>0.8416666666666667</v>
      </c>
      <c r="B286" s="34" t="s">
        <v>1093</v>
      </c>
      <c r="C286" s="35" t="s">
        <v>47</v>
      </c>
      <c r="D286" s="34" t="s">
        <v>863</v>
      </c>
      <c r="E286" s="11" t="s">
        <v>13</v>
      </c>
    </row>
    <row r="287">
      <c r="A287" s="27"/>
      <c r="B287" s="28" t="s">
        <v>134</v>
      </c>
      <c r="C287" s="2"/>
      <c r="D287" s="3"/>
      <c r="E287" s="29"/>
    </row>
    <row r="288">
      <c r="A288" s="18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9">
        <v>0.75</v>
      </c>
      <c r="B289" s="34" t="s">
        <v>1096</v>
      </c>
      <c r="C289" s="33" t="s">
        <v>218</v>
      </c>
      <c r="D289" s="34" t="s">
        <v>1097</v>
      </c>
      <c r="E289" s="11" t="s">
        <v>33</v>
      </c>
    </row>
    <row r="290">
      <c r="A290" s="19">
        <v>0.75</v>
      </c>
      <c r="B290" s="34" t="s">
        <v>1098</v>
      </c>
      <c r="C290" s="33" t="s">
        <v>62</v>
      </c>
      <c r="D290" s="34" t="s">
        <v>1099</v>
      </c>
      <c r="E290" s="11" t="s">
        <v>37</v>
      </c>
    </row>
    <row r="291">
      <c r="A291" s="19">
        <v>0.7597222222222222</v>
      </c>
      <c r="B291" s="34" t="s">
        <v>1098</v>
      </c>
      <c r="C291" s="33" t="s">
        <v>190</v>
      </c>
      <c r="D291" s="34" t="s">
        <v>1097</v>
      </c>
      <c r="E291" s="11" t="s">
        <v>33</v>
      </c>
    </row>
    <row r="292">
      <c r="A292" s="19">
        <v>0.7597222222222222</v>
      </c>
      <c r="B292" s="34" t="s">
        <v>1100</v>
      </c>
      <c r="C292" s="33" t="s">
        <v>260</v>
      </c>
      <c r="D292" s="34" t="s">
        <v>1099</v>
      </c>
      <c r="E292" s="11" t="s">
        <v>37</v>
      </c>
    </row>
    <row r="293">
      <c r="A293" s="19">
        <v>0.7701388888888889</v>
      </c>
      <c r="B293" s="34" t="s">
        <v>1100</v>
      </c>
      <c r="C293" s="33" t="s">
        <v>68</v>
      </c>
      <c r="D293" s="34" t="s">
        <v>1098</v>
      </c>
      <c r="E293" s="11" t="s">
        <v>33</v>
      </c>
    </row>
    <row r="294">
      <c r="A294" s="19">
        <v>0.7701388888888889</v>
      </c>
      <c r="B294" s="34" t="s">
        <v>1099</v>
      </c>
      <c r="C294" s="33" t="s">
        <v>215</v>
      </c>
      <c r="D294" s="34" t="s">
        <v>1096</v>
      </c>
      <c r="E294" s="11" t="s">
        <v>37</v>
      </c>
    </row>
    <row r="295">
      <c r="A295" s="19">
        <v>0.7805555555555556</v>
      </c>
      <c r="B295" s="34" t="s">
        <v>1100</v>
      </c>
      <c r="C295" s="33" t="s">
        <v>260</v>
      </c>
      <c r="D295" s="34" t="s">
        <v>1097</v>
      </c>
      <c r="E295" s="11" t="s">
        <v>33</v>
      </c>
    </row>
    <row r="296">
      <c r="A296" s="19">
        <v>0.7805555555555556</v>
      </c>
      <c r="B296" s="34" t="s">
        <v>1096</v>
      </c>
      <c r="C296" s="33" t="s">
        <v>55</v>
      </c>
      <c r="D296" s="34" t="s">
        <v>1098</v>
      </c>
      <c r="E296" s="11" t="s">
        <v>37</v>
      </c>
    </row>
    <row r="297">
      <c r="A297" s="19">
        <v>0.7902777777777777</v>
      </c>
      <c r="B297" s="34" t="s">
        <v>1099</v>
      </c>
      <c r="C297" s="33" t="s">
        <v>11</v>
      </c>
      <c r="D297" s="34" t="s">
        <v>1097</v>
      </c>
      <c r="E297" s="11" t="s">
        <v>33</v>
      </c>
    </row>
    <row r="298">
      <c r="A298" s="19">
        <v>0.7902777777777777</v>
      </c>
      <c r="B298" s="34" t="s">
        <v>1096</v>
      </c>
      <c r="C298" s="33" t="s">
        <v>835</v>
      </c>
      <c r="D298" s="34" t="s">
        <v>1100</v>
      </c>
      <c r="E298" s="11" t="s">
        <v>37</v>
      </c>
    </row>
    <row r="299">
      <c r="A299" s="19">
        <v>0.8006944444444445</v>
      </c>
      <c r="B299" s="34" t="s">
        <v>1097</v>
      </c>
      <c r="C299" s="33" t="s">
        <v>196</v>
      </c>
      <c r="D299" s="34" t="s">
        <v>1096</v>
      </c>
      <c r="E299" s="11" t="s">
        <v>33</v>
      </c>
    </row>
    <row r="300">
      <c r="A300" s="19">
        <v>0.8006944444444445</v>
      </c>
      <c r="B300" s="34" t="s">
        <v>1099</v>
      </c>
      <c r="C300" s="33" t="s">
        <v>1101</v>
      </c>
      <c r="D300" s="34" t="s">
        <v>1098</v>
      </c>
      <c r="E300" s="11" t="s">
        <v>37</v>
      </c>
    </row>
    <row r="301">
      <c r="A301" s="19">
        <v>0.8111111111111111</v>
      </c>
      <c r="B301" s="34" t="s">
        <v>1097</v>
      </c>
      <c r="C301" s="33" t="s">
        <v>20</v>
      </c>
      <c r="D301" s="34" t="s">
        <v>1098</v>
      </c>
      <c r="E301" s="11" t="s">
        <v>33</v>
      </c>
    </row>
    <row r="302">
      <c r="A302" s="19">
        <v>0.8111111111111111</v>
      </c>
      <c r="B302" s="34" t="s">
        <v>1099</v>
      </c>
      <c r="C302" s="33" t="s">
        <v>751</v>
      </c>
      <c r="D302" s="34" t="s">
        <v>1100</v>
      </c>
      <c r="E302" s="11" t="s">
        <v>37</v>
      </c>
    </row>
    <row r="303">
      <c r="A303" s="19">
        <v>0.8208333333333333</v>
      </c>
      <c r="B303" s="34" t="s">
        <v>1098</v>
      </c>
      <c r="C303" s="33" t="s">
        <v>1102</v>
      </c>
      <c r="D303" s="34" t="s">
        <v>1100</v>
      </c>
      <c r="E303" s="11" t="s">
        <v>33</v>
      </c>
    </row>
    <row r="304">
      <c r="A304" s="19">
        <v>0.8208333333333333</v>
      </c>
      <c r="B304" s="34" t="s">
        <v>1096</v>
      </c>
      <c r="C304" s="33" t="s">
        <v>48</v>
      </c>
      <c r="D304" s="34" t="s">
        <v>1099</v>
      </c>
      <c r="E304" s="11" t="s">
        <v>37</v>
      </c>
    </row>
    <row r="305">
      <c r="A305" s="19">
        <v>0.83125</v>
      </c>
      <c r="B305" s="34" t="s">
        <v>1097</v>
      </c>
      <c r="C305" s="33" t="s">
        <v>190</v>
      </c>
      <c r="D305" s="34" t="s">
        <v>1100</v>
      </c>
      <c r="E305" s="11" t="s">
        <v>33</v>
      </c>
    </row>
    <row r="306">
      <c r="A306" s="19">
        <v>0.83125</v>
      </c>
      <c r="B306" s="34" t="s">
        <v>1098</v>
      </c>
      <c r="C306" s="33" t="s">
        <v>267</v>
      </c>
      <c r="D306" s="34" t="s">
        <v>1096</v>
      </c>
      <c r="E306" s="11" t="s">
        <v>37</v>
      </c>
    </row>
    <row r="307">
      <c r="A307" s="19">
        <v>0.8416666666666667</v>
      </c>
      <c r="B307" s="34" t="s">
        <v>1097</v>
      </c>
      <c r="C307" s="33" t="s">
        <v>190</v>
      </c>
      <c r="D307" s="34" t="s">
        <v>1099</v>
      </c>
      <c r="E307" s="11" t="s">
        <v>33</v>
      </c>
    </row>
    <row r="308">
      <c r="A308" s="19">
        <v>0.8416666666666667</v>
      </c>
      <c r="B308" s="34" t="s">
        <v>1100</v>
      </c>
      <c r="C308" s="33" t="s">
        <v>218</v>
      </c>
      <c r="D308" s="34" t="s">
        <v>1096</v>
      </c>
      <c r="E308" s="11" t="s">
        <v>37</v>
      </c>
    </row>
    <row r="309">
      <c r="A309" s="27"/>
      <c r="B309" s="28" t="s">
        <v>145</v>
      </c>
      <c r="C309" s="2"/>
      <c r="D309" s="3"/>
      <c r="E309" s="29"/>
    </row>
    <row r="310">
      <c r="A310" s="18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9">
        <v>0.8541666666666666</v>
      </c>
      <c r="B311" s="34" t="s">
        <v>1103</v>
      </c>
      <c r="C311" s="33" t="s">
        <v>64</v>
      </c>
      <c r="D311" s="34" t="s">
        <v>1104</v>
      </c>
      <c r="E311" s="11" t="s">
        <v>9</v>
      </c>
    </row>
    <row r="312">
      <c r="A312" s="19">
        <v>0.8541666666666666</v>
      </c>
      <c r="B312" s="34" t="s">
        <v>1105</v>
      </c>
      <c r="C312" s="33" t="s">
        <v>695</v>
      </c>
      <c r="D312" s="34" t="s">
        <v>1106</v>
      </c>
      <c r="E312" s="11" t="s">
        <v>13</v>
      </c>
    </row>
    <row r="313">
      <c r="A313" s="19">
        <v>0.8638888888888889</v>
      </c>
      <c r="B313" s="34" t="s">
        <v>1105</v>
      </c>
      <c r="C313" s="33" t="s">
        <v>25</v>
      </c>
      <c r="D313" s="34" t="s">
        <v>1104</v>
      </c>
      <c r="E313" s="11" t="s">
        <v>9</v>
      </c>
    </row>
    <row r="314">
      <c r="A314" s="19">
        <v>0.8638888888888889</v>
      </c>
      <c r="B314" s="34" t="s">
        <v>1107</v>
      </c>
      <c r="C314" s="33" t="s">
        <v>699</v>
      </c>
      <c r="D314" s="34" t="s">
        <v>1106</v>
      </c>
      <c r="E314" s="11" t="s">
        <v>13</v>
      </c>
    </row>
    <row r="315">
      <c r="A315" s="19">
        <v>0.8743055555555556</v>
      </c>
      <c r="B315" s="34" t="s">
        <v>1107</v>
      </c>
      <c r="C315" s="33" t="s">
        <v>14</v>
      </c>
      <c r="D315" s="34" t="s">
        <v>1105</v>
      </c>
      <c r="E315" s="11" t="s">
        <v>9</v>
      </c>
    </row>
    <row r="316">
      <c r="A316" s="19">
        <v>0.8743055555555556</v>
      </c>
      <c r="B316" s="34" t="s">
        <v>1106</v>
      </c>
      <c r="C316" s="33" t="s">
        <v>81</v>
      </c>
      <c r="D316" s="34" t="s">
        <v>1103</v>
      </c>
      <c r="E316" s="11" t="s">
        <v>13</v>
      </c>
    </row>
    <row r="317">
      <c r="A317" s="19">
        <v>0.8847222222222222</v>
      </c>
      <c r="B317" s="34" t="s">
        <v>1107</v>
      </c>
      <c r="C317" s="33" t="s">
        <v>87</v>
      </c>
      <c r="D317" s="41" t="s">
        <v>1104</v>
      </c>
      <c r="E317" s="11" t="s">
        <v>9</v>
      </c>
    </row>
    <row r="318">
      <c r="A318" s="19">
        <v>0.8847222222222222</v>
      </c>
      <c r="B318" s="34" t="s">
        <v>1103</v>
      </c>
      <c r="C318" s="33" t="s">
        <v>195</v>
      </c>
      <c r="D318" s="34" t="s">
        <v>1105</v>
      </c>
      <c r="E318" s="11" t="s">
        <v>13</v>
      </c>
    </row>
    <row r="319">
      <c r="A319" s="19">
        <v>0.8944444444444445</v>
      </c>
      <c r="B319" s="34" t="s">
        <v>1106</v>
      </c>
      <c r="C319" s="33" t="s">
        <v>325</v>
      </c>
      <c r="D319" s="34" t="s">
        <v>1104</v>
      </c>
      <c r="E319" s="11" t="s">
        <v>9</v>
      </c>
    </row>
    <row r="320">
      <c r="A320" s="19">
        <v>0.8944444444444445</v>
      </c>
      <c r="B320" s="34" t="s">
        <v>1103</v>
      </c>
      <c r="C320" s="33" t="s">
        <v>218</v>
      </c>
      <c r="D320" s="34" t="s">
        <v>1107</v>
      </c>
      <c r="E320" s="11" t="s">
        <v>13</v>
      </c>
    </row>
    <row r="321">
      <c r="A321" s="19">
        <v>0.9048611111111111</v>
      </c>
      <c r="B321" s="34" t="s">
        <v>1104</v>
      </c>
      <c r="C321" s="33" t="s">
        <v>218</v>
      </c>
      <c r="D321" s="34" t="s">
        <v>1103</v>
      </c>
      <c r="E321" s="11" t="s">
        <v>9</v>
      </c>
    </row>
    <row r="322">
      <c r="A322" s="19">
        <v>0.9048611111111111</v>
      </c>
      <c r="B322" s="34" t="s">
        <v>1106</v>
      </c>
      <c r="C322" s="33" t="s">
        <v>1108</v>
      </c>
      <c r="D322" s="34" t="s">
        <v>1105</v>
      </c>
      <c r="E322" s="11" t="s">
        <v>13</v>
      </c>
    </row>
    <row r="323">
      <c r="A323" s="19">
        <v>0.9152777777777777</v>
      </c>
      <c r="B323" s="34" t="s">
        <v>1104</v>
      </c>
      <c r="C323" s="35" t="s">
        <v>18</v>
      </c>
      <c r="D323" s="34" t="s">
        <v>1105</v>
      </c>
      <c r="E323" s="11" t="s">
        <v>9</v>
      </c>
    </row>
    <row r="324">
      <c r="A324" s="19">
        <v>0.9152777777777777</v>
      </c>
      <c r="B324" s="34" t="s">
        <v>1106</v>
      </c>
      <c r="C324" s="35" t="s">
        <v>62</v>
      </c>
      <c r="D324" s="34" t="s">
        <v>1107</v>
      </c>
      <c r="E324" s="11" t="s">
        <v>13</v>
      </c>
    </row>
    <row r="325">
      <c r="A325" s="19">
        <v>0.925</v>
      </c>
      <c r="B325" s="34" t="s">
        <v>1105</v>
      </c>
      <c r="C325" s="35" t="s">
        <v>196</v>
      </c>
      <c r="D325" s="34" t="s">
        <v>1107</v>
      </c>
      <c r="E325" s="11" t="s">
        <v>9</v>
      </c>
    </row>
    <row r="326">
      <c r="A326" s="19">
        <v>0.925</v>
      </c>
      <c r="B326" s="34" t="s">
        <v>1103</v>
      </c>
      <c r="C326" s="35" t="s">
        <v>1109</v>
      </c>
      <c r="D326" s="34" t="s">
        <v>1106</v>
      </c>
      <c r="E326" s="11" t="s">
        <v>13</v>
      </c>
    </row>
    <row r="327">
      <c r="A327" s="19">
        <v>0.9354166666666667</v>
      </c>
      <c r="B327" s="34" t="s">
        <v>1104</v>
      </c>
      <c r="C327" s="35" t="s">
        <v>411</v>
      </c>
      <c r="D327" s="34" t="s">
        <v>1107</v>
      </c>
      <c r="E327" s="11" t="s">
        <v>9</v>
      </c>
    </row>
    <row r="328">
      <c r="A328" s="19">
        <v>0.9354166666666667</v>
      </c>
      <c r="B328" s="34" t="s">
        <v>1105</v>
      </c>
      <c r="C328" s="35" t="s">
        <v>14</v>
      </c>
      <c r="D328" s="34" t="s">
        <v>1103</v>
      </c>
      <c r="E328" s="11" t="s">
        <v>13</v>
      </c>
    </row>
    <row r="329">
      <c r="A329" s="19">
        <v>0.9458333333333333</v>
      </c>
      <c r="B329" s="34" t="s">
        <v>1104</v>
      </c>
      <c r="C329" s="35" t="s">
        <v>231</v>
      </c>
      <c r="D329" s="34" t="s">
        <v>1106</v>
      </c>
      <c r="E329" s="11" t="s">
        <v>9</v>
      </c>
    </row>
    <row r="330">
      <c r="A330" s="19">
        <v>0.9458333333333333</v>
      </c>
      <c r="B330" s="34" t="s">
        <v>1107</v>
      </c>
      <c r="C330" s="35" t="s">
        <v>212</v>
      </c>
      <c r="D330" s="34" t="s">
        <v>1103</v>
      </c>
      <c r="E330" s="11" t="s">
        <v>13</v>
      </c>
    </row>
    <row r="331">
      <c r="A331" s="27"/>
      <c r="B331" s="28" t="s">
        <v>145</v>
      </c>
      <c r="C331" s="2"/>
      <c r="D331" s="3"/>
      <c r="E331" s="29"/>
    </row>
    <row r="332">
      <c r="A332" s="18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9">
        <v>0.8541666666666666</v>
      </c>
      <c r="B333" s="34" t="s">
        <v>1110</v>
      </c>
      <c r="C333" s="33" t="s">
        <v>43</v>
      </c>
      <c r="D333" s="34" t="s">
        <v>1111</v>
      </c>
      <c r="E333" s="11" t="s">
        <v>33</v>
      </c>
    </row>
    <row r="334">
      <c r="A334" s="19">
        <v>0.8541666666666666</v>
      </c>
      <c r="B334" s="34" t="s">
        <v>1015</v>
      </c>
      <c r="C334" s="33" t="s">
        <v>1112</v>
      </c>
      <c r="D334" s="34" t="s">
        <v>1113</v>
      </c>
      <c r="E334" s="11" t="s">
        <v>37</v>
      </c>
    </row>
    <row r="335">
      <c r="A335" s="19">
        <v>0.8638888888888889</v>
      </c>
      <c r="B335" s="34" t="s">
        <v>1015</v>
      </c>
      <c r="C335" s="33" t="s">
        <v>190</v>
      </c>
      <c r="D335" s="34" t="s">
        <v>1111</v>
      </c>
      <c r="E335" s="11" t="s">
        <v>33</v>
      </c>
    </row>
    <row r="336">
      <c r="A336" s="19">
        <v>0.8638888888888889</v>
      </c>
      <c r="B336" s="34" t="s">
        <v>1017</v>
      </c>
      <c r="C336" s="33" t="s">
        <v>52</v>
      </c>
      <c r="D336" s="34" t="s">
        <v>1113</v>
      </c>
      <c r="E336" s="11" t="s">
        <v>37</v>
      </c>
    </row>
    <row r="337">
      <c r="A337" s="19">
        <v>0.8743055555555556</v>
      </c>
      <c r="B337" s="34" t="s">
        <v>1017</v>
      </c>
      <c r="C337" s="33" t="s">
        <v>68</v>
      </c>
      <c r="D337" s="34" t="s">
        <v>1015</v>
      </c>
      <c r="E337" s="11" t="s">
        <v>33</v>
      </c>
    </row>
    <row r="338">
      <c r="A338" s="19">
        <v>0.8743055555555556</v>
      </c>
      <c r="B338" s="34" t="s">
        <v>1113</v>
      </c>
      <c r="C338" s="33" t="s">
        <v>240</v>
      </c>
      <c r="D338" s="34" t="s">
        <v>1110</v>
      </c>
      <c r="E338" s="11" t="s">
        <v>37</v>
      </c>
    </row>
    <row r="339">
      <c r="A339" s="19">
        <v>0.8847222222222222</v>
      </c>
      <c r="B339" s="34" t="s">
        <v>1017</v>
      </c>
      <c r="C339" s="33" t="s">
        <v>312</v>
      </c>
      <c r="D339" s="34" t="s">
        <v>1111</v>
      </c>
      <c r="E339" s="11" t="s">
        <v>33</v>
      </c>
    </row>
    <row r="340">
      <c r="A340" s="19">
        <v>0.8847222222222222</v>
      </c>
      <c r="B340" s="34" t="s">
        <v>1110</v>
      </c>
      <c r="C340" s="33" t="s">
        <v>1025</v>
      </c>
      <c r="D340" s="34" t="s">
        <v>1015</v>
      </c>
      <c r="E340" s="11" t="s">
        <v>37</v>
      </c>
    </row>
    <row r="341">
      <c r="A341" s="19">
        <v>0.8944444444444445</v>
      </c>
      <c r="B341" s="34" t="s">
        <v>1113</v>
      </c>
      <c r="C341" s="33" t="s">
        <v>18</v>
      </c>
      <c r="D341" s="34" t="s">
        <v>1111</v>
      </c>
      <c r="E341" s="11" t="s">
        <v>33</v>
      </c>
    </row>
    <row r="342">
      <c r="A342" s="19">
        <v>0.8944444444444445</v>
      </c>
      <c r="B342" s="34" t="s">
        <v>1110</v>
      </c>
      <c r="C342" s="33" t="s">
        <v>276</v>
      </c>
      <c r="D342" s="34" t="s">
        <v>1017</v>
      </c>
      <c r="E342" s="11" t="s">
        <v>37</v>
      </c>
    </row>
    <row r="343">
      <c r="A343" s="19">
        <v>0.9048611111111111</v>
      </c>
      <c r="B343" s="34" t="s">
        <v>1111</v>
      </c>
      <c r="C343" s="33" t="s">
        <v>193</v>
      </c>
      <c r="D343" s="34" t="s">
        <v>1110</v>
      </c>
      <c r="E343" s="11" t="s">
        <v>33</v>
      </c>
    </row>
    <row r="344">
      <c r="A344" s="19">
        <v>0.9048611111111111</v>
      </c>
      <c r="B344" s="34" t="s">
        <v>1113</v>
      </c>
      <c r="C344" s="33" t="s">
        <v>87</v>
      </c>
      <c r="D344" s="34" t="s">
        <v>1015</v>
      </c>
      <c r="E344" s="11" t="s">
        <v>37</v>
      </c>
    </row>
    <row r="345">
      <c r="A345" s="19">
        <v>0.9152777777777777</v>
      </c>
      <c r="B345" s="34" t="s">
        <v>1111</v>
      </c>
      <c r="C345" s="33" t="s">
        <v>64</v>
      </c>
      <c r="D345" s="34" t="s">
        <v>1015</v>
      </c>
      <c r="E345" s="11" t="s">
        <v>33</v>
      </c>
    </row>
    <row r="346">
      <c r="A346" s="19">
        <v>0.9152777777777777</v>
      </c>
      <c r="B346" s="34" t="s">
        <v>1113</v>
      </c>
      <c r="C346" s="33" t="s">
        <v>215</v>
      </c>
      <c r="D346" s="34" t="s">
        <v>1017</v>
      </c>
      <c r="E346" s="11" t="s">
        <v>37</v>
      </c>
    </row>
    <row r="347">
      <c r="A347" s="19">
        <v>0.925</v>
      </c>
      <c r="B347" s="34" t="s">
        <v>1015</v>
      </c>
      <c r="C347" s="33" t="s">
        <v>494</v>
      </c>
      <c r="D347" s="34" t="s">
        <v>1017</v>
      </c>
      <c r="E347" s="11" t="s">
        <v>33</v>
      </c>
    </row>
    <row r="348">
      <c r="A348" s="19">
        <v>0.925</v>
      </c>
      <c r="B348" s="34" t="s">
        <v>1110</v>
      </c>
      <c r="C348" s="33" t="s">
        <v>43</v>
      </c>
      <c r="D348" s="34" t="s">
        <v>1113</v>
      </c>
      <c r="E348" s="11" t="s">
        <v>37</v>
      </c>
    </row>
    <row r="349">
      <c r="A349" s="19">
        <v>0.9354166666666667</v>
      </c>
      <c r="B349" s="34" t="s">
        <v>1111</v>
      </c>
      <c r="C349" s="33" t="s">
        <v>65</v>
      </c>
      <c r="D349" s="34" t="s">
        <v>1017</v>
      </c>
      <c r="E349" s="11" t="s">
        <v>33</v>
      </c>
    </row>
    <row r="350">
      <c r="A350" s="19">
        <v>0.9354166666666667</v>
      </c>
      <c r="B350" s="34" t="s">
        <v>1015</v>
      </c>
      <c r="C350" s="33" t="s">
        <v>250</v>
      </c>
      <c r="D350" s="34" t="s">
        <v>1110</v>
      </c>
      <c r="E350" s="11" t="s">
        <v>37</v>
      </c>
    </row>
    <row r="351">
      <c r="A351" s="19">
        <v>0.9458333333333333</v>
      </c>
      <c r="B351" s="34" t="s">
        <v>1111</v>
      </c>
      <c r="C351" s="33" t="s">
        <v>87</v>
      </c>
      <c r="D351" s="34" t="s">
        <v>1113</v>
      </c>
      <c r="E351" s="11" t="s">
        <v>33</v>
      </c>
    </row>
    <row r="352">
      <c r="A352" s="19">
        <v>0.9458333333333333</v>
      </c>
      <c r="B352" s="34" t="s">
        <v>1017</v>
      </c>
      <c r="C352" s="33" t="s">
        <v>87</v>
      </c>
      <c r="D352" s="34" t="s">
        <v>1110</v>
      </c>
      <c r="E352" s="11" t="s">
        <v>37</v>
      </c>
    </row>
    <row r="353">
      <c r="A353" s="27"/>
      <c r="B353" s="28" t="s">
        <v>156</v>
      </c>
      <c r="C353" s="2"/>
      <c r="D353" s="3"/>
      <c r="E353" s="29"/>
    </row>
    <row r="354">
      <c r="A354" s="18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9">
        <v>0.9583333333333334</v>
      </c>
      <c r="B355" s="34" t="s">
        <v>1114</v>
      </c>
      <c r="C355" s="35" t="s">
        <v>190</v>
      </c>
      <c r="D355" s="34" t="s">
        <v>1115</v>
      </c>
      <c r="E355" s="11" t="s">
        <v>9</v>
      </c>
    </row>
    <row r="356">
      <c r="A356" s="19">
        <v>0.9583333333333334</v>
      </c>
      <c r="B356" s="34" t="s">
        <v>1116</v>
      </c>
      <c r="C356" s="35" t="s">
        <v>11</v>
      </c>
      <c r="D356" s="34" t="s">
        <v>1117</v>
      </c>
      <c r="E356" s="11" t="s">
        <v>13</v>
      </c>
    </row>
    <row r="357">
      <c r="A357" s="19">
        <v>0.9680555555555556</v>
      </c>
      <c r="B357" s="34" t="s">
        <v>1116</v>
      </c>
      <c r="C357" s="35" t="s">
        <v>81</v>
      </c>
      <c r="D357" s="34" t="s">
        <v>1115</v>
      </c>
      <c r="E357" s="11" t="s">
        <v>9</v>
      </c>
    </row>
    <row r="358">
      <c r="A358" s="19">
        <v>0.9680555555555556</v>
      </c>
      <c r="B358" s="34" t="s">
        <v>1118</v>
      </c>
      <c r="C358" s="35" t="s">
        <v>55</v>
      </c>
      <c r="D358" s="34" t="s">
        <v>1117</v>
      </c>
      <c r="E358" s="11" t="s">
        <v>13</v>
      </c>
    </row>
    <row r="359">
      <c r="A359" s="19">
        <v>0.9784722222222222</v>
      </c>
      <c r="B359" s="34" t="s">
        <v>1118</v>
      </c>
      <c r="C359" s="35" t="s">
        <v>195</v>
      </c>
      <c r="D359" s="34" t="s">
        <v>1116</v>
      </c>
      <c r="E359" s="11" t="s">
        <v>9</v>
      </c>
    </row>
    <row r="360">
      <c r="A360" s="19">
        <v>0.9784722222222222</v>
      </c>
      <c r="B360" s="34" t="s">
        <v>1117</v>
      </c>
      <c r="C360" s="35" t="s">
        <v>218</v>
      </c>
      <c r="D360" s="34" t="s">
        <v>1114</v>
      </c>
      <c r="E360" s="11" t="s">
        <v>13</v>
      </c>
    </row>
    <row r="361">
      <c r="A361" s="19">
        <v>0.9888888888888889</v>
      </c>
      <c r="B361" s="34" t="s">
        <v>1118</v>
      </c>
      <c r="C361" s="35" t="s">
        <v>217</v>
      </c>
      <c r="D361" s="34" t="s">
        <v>1115</v>
      </c>
      <c r="E361" s="11" t="s">
        <v>9</v>
      </c>
    </row>
    <row r="362">
      <c r="A362" s="19">
        <v>0.9888888888888889</v>
      </c>
      <c r="B362" s="34" t="s">
        <v>1114</v>
      </c>
      <c r="C362" s="35" t="s">
        <v>195</v>
      </c>
      <c r="D362" s="34" t="s">
        <v>1116</v>
      </c>
      <c r="E362" s="11" t="s">
        <v>13</v>
      </c>
    </row>
    <row r="363">
      <c r="A363" s="19">
        <v>0.9986111111111111</v>
      </c>
      <c r="B363" s="34" t="s">
        <v>1117</v>
      </c>
      <c r="C363" s="35" t="s">
        <v>195</v>
      </c>
      <c r="D363" s="34" t="s">
        <v>1115</v>
      </c>
      <c r="E363" s="11" t="s">
        <v>9</v>
      </c>
    </row>
    <row r="364">
      <c r="A364" s="19">
        <v>0.9986111111111111</v>
      </c>
      <c r="B364" s="34" t="s">
        <v>1114</v>
      </c>
      <c r="C364" s="35" t="s">
        <v>41</v>
      </c>
      <c r="D364" s="34" t="s">
        <v>1118</v>
      </c>
      <c r="E364" s="11" t="s">
        <v>13</v>
      </c>
    </row>
    <row r="365">
      <c r="A365" s="19">
        <v>0.009027777777777777</v>
      </c>
      <c r="B365" s="34" t="s">
        <v>1115</v>
      </c>
      <c r="C365" s="35" t="s">
        <v>218</v>
      </c>
      <c r="D365" s="34" t="s">
        <v>1114</v>
      </c>
      <c r="E365" s="11" t="s">
        <v>9</v>
      </c>
    </row>
    <row r="366">
      <c r="A366" s="19">
        <v>0.009027777777777777</v>
      </c>
      <c r="B366" s="34" t="s">
        <v>1117</v>
      </c>
      <c r="C366" s="35" t="s">
        <v>87</v>
      </c>
      <c r="D366" s="34" t="s">
        <v>1116</v>
      </c>
      <c r="E366" s="11" t="s">
        <v>13</v>
      </c>
    </row>
    <row r="367">
      <c r="A367" s="19">
        <v>0.019444444444444445</v>
      </c>
      <c r="B367" s="34" t="s">
        <v>1115</v>
      </c>
      <c r="C367" s="35" t="s">
        <v>17</v>
      </c>
      <c r="D367" s="34" t="s">
        <v>1116</v>
      </c>
      <c r="E367" s="11" t="s">
        <v>9</v>
      </c>
    </row>
    <row r="368">
      <c r="A368" s="19">
        <v>0.019444444444444445</v>
      </c>
      <c r="B368" s="34" t="s">
        <v>1117</v>
      </c>
      <c r="C368" s="35" t="s">
        <v>244</v>
      </c>
      <c r="D368" s="34" t="s">
        <v>1118</v>
      </c>
      <c r="E368" s="11" t="s">
        <v>13</v>
      </c>
    </row>
    <row r="369">
      <c r="A369" s="19">
        <v>0.029166666666666667</v>
      </c>
      <c r="B369" s="34" t="s">
        <v>1116</v>
      </c>
      <c r="C369" s="35" t="s">
        <v>62</v>
      </c>
      <c r="D369" s="34" t="s">
        <v>1118</v>
      </c>
      <c r="E369" s="11" t="s">
        <v>9</v>
      </c>
    </row>
    <row r="370">
      <c r="A370" s="19">
        <v>0.029166666666666667</v>
      </c>
      <c r="B370" s="34" t="s">
        <v>1114</v>
      </c>
      <c r="C370" s="35" t="s">
        <v>20</v>
      </c>
      <c r="D370" s="34" t="s">
        <v>1117</v>
      </c>
      <c r="E370" s="11" t="s">
        <v>13</v>
      </c>
    </row>
    <row r="371">
      <c r="A371" s="19">
        <v>0.03958333333333333</v>
      </c>
      <c r="B371" s="34" t="s">
        <v>1115</v>
      </c>
      <c r="C371" s="35" t="s">
        <v>47</v>
      </c>
      <c r="D371" s="34" t="s">
        <v>1118</v>
      </c>
      <c r="E371" s="11" t="s">
        <v>9</v>
      </c>
    </row>
    <row r="372">
      <c r="A372" s="19">
        <v>0.03958333333333333</v>
      </c>
      <c r="B372" s="34" t="s">
        <v>1116</v>
      </c>
      <c r="C372" s="35" t="s">
        <v>87</v>
      </c>
      <c r="D372" s="34" t="s">
        <v>1114</v>
      </c>
      <c r="E372" s="11" t="s">
        <v>13</v>
      </c>
    </row>
    <row r="373">
      <c r="A373" s="19">
        <v>0.05</v>
      </c>
      <c r="B373" s="34" t="s">
        <v>1115</v>
      </c>
      <c r="C373" s="35" t="s">
        <v>354</v>
      </c>
      <c r="D373" s="34" t="s">
        <v>1117</v>
      </c>
      <c r="E373" s="11" t="s">
        <v>9</v>
      </c>
    </row>
    <row r="374">
      <c r="A374" s="19">
        <v>0.05</v>
      </c>
      <c r="B374" s="34" t="s">
        <v>1118</v>
      </c>
      <c r="C374" s="35" t="s">
        <v>28</v>
      </c>
      <c r="D374" s="34" t="s">
        <v>1114</v>
      </c>
      <c r="E374" s="11" t="s">
        <v>13</v>
      </c>
    </row>
    <row r="375">
      <c r="B375" s="28" t="s">
        <v>156</v>
      </c>
      <c r="C375" s="2"/>
      <c r="D375" s="3"/>
      <c r="E375" s="29"/>
    </row>
    <row r="376">
      <c r="A376" s="18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9">
        <v>0.9583333333333334</v>
      </c>
      <c r="B377" s="34" t="s">
        <v>1119</v>
      </c>
      <c r="C377" s="33" t="s">
        <v>64</v>
      </c>
      <c r="D377" s="34" t="s">
        <v>199</v>
      </c>
      <c r="E377" s="11" t="s">
        <v>33</v>
      </c>
    </row>
    <row r="378">
      <c r="A378" s="19">
        <v>0.9583333333333334</v>
      </c>
      <c r="B378" s="34" t="s">
        <v>1120</v>
      </c>
      <c r="C378" s="33" t="s">
        <v>35</v>
      </c>
      <c r="D378" s="34" t="s">
        <v>1121</v>
      </c>
      <c r="E378" s="11" t="s">
        <v>37</v>
      </c>
    </row>
    <row r="379">
      <c r="A379" s="19">
        <v>0.9680555555555556</v>
      </c>
      <c r="B379" s="34" t="s">
        <v>1120</v>
      </c>
      <c r="C379" s="33" t="s">
        <v>16</v>
      </c>
      <c r="D379" s="34" t="s">
        <v>199</v>
      </c>
      <c r="E379" s="11" t="s">
        <v>33</v>
      </c>
    </row>
    <row r="380">
      <c r="A380" s="19">
        <v>0.9680555555555556</v>
      </c>
      <c r="B380" s="34" t="s">
        <v>165</v>
      </c>
      <c r="C380" s="33" t="s">
        <v>22</v>
      </c>
      <c r="D380" s="34" t="s">
        <v>1121</v>
      </c>
      <c r="E380" s="11" t="s">
        <v>37</v>
      </c>
    </row>
    <row r="381">
      <c r="A381" s="19">
        <v>0.9784722222222222</v>
      </c>
      <c r="B381" s="34" t="s">
        <v>165</v>
      </c>
      <c r="C381" s="33" t="s">
        <v>1122</v>
      </c>
      <c r="D381" s="34" t="s">
        <v>1120</v>
      </c>
      <c r="E381" s="11" t="s">
        <v>33</v>
      </c>
    </row>
    <row r="382">
      <c r="A382" s="19">
        <v>0.9784722222222222</v>
      </c>
      <c r="B382" s="34" t="s">
        <v>1121</v>
      </c>
      <c r="C382" s="37" t="s">
        <v>68</v>
      </c>
      <c r="D382" s="34" t="s">
        <v>1119</v>
      </c>
      <c r="E382" s="11" t="s">
        <v>37</v>
      </c>
    </row>
    <row r="383">
      <c r="A383" s="19">
        <v>0.9888888888888889</v>
      </c>
      <c r="B383" s="34" t="s">
        <v>165</v>
      </c>
      <c r="C383" s="33" t="s">
        <v>19</v>
      </c>
      <c r="D383" s="34" t="s">
        <v>199</v>
      </c>
      <c r="E383" s="11" t="s">
        <v>33</v>
      </c>
    </row>
    <row r="384">
      <c r="A384" s="19">
        <v>0.9888888888888889</v>
      </c>
      <c r="B384" s="34" t="s">
        <v>1119</v>
      </c>
      <c r="C384" s="33" t="s">
        <v>66</v>
      </c>
      <c r="D384" s="34" t="s">
        <v>1120</v>
      </c>
      <c r="E384" s="11" t="s">
        <v>37</v>
      </c>
    </row>
    <row r="385">
      <c r="A385" s="19">
        <v>0.9986111111111111</v>
      </c>
      <c r="B385" s="34" t="s">
        <v>1121</v>
      </c>
      <c r="C385" s="33" t="s">
        <v>193</v>
      </c>
      <c r="D385" s="34" t="s">
        <v>199</v>
      </c>
      <c r="E385" s="11" t="s">
        <v>33</v>
      </c>
    </row>
    <row r="386">
      <c r="A386" s="19">
        <v>0.9986111111111111</v>
      </c>
      <c r="B386" s="34" t="s">
        <v>1119</v>
      </c>
      <c r="C386" s="33" t="s">
        <v>69</v>
      </c>
      <c r="D386" s="34" t="s">
        <v>165</v>
      </c>
      <c r="E386" s="11" t="s">
        <v>37</v>
      </c>
      <c r="H386" s="36" t="s">
        <v>663</v>
      </c>
    </row>
    <row r="387">
      <c r="A387" s="19">
        <v>0.009027777777777777</v>
      </c>
      <c r="B387" s="34" t="s">
        <v>199</v>
      </c>
      <c r="C387" s="33" t="s">
        <v>201</v>
      </c>
      <c r="D387" s="34" t="s">
        <v>1119</v>
      </c>
      <c r="E387" s="11" t="s">
        <v>33</v>
      </c>
    </row>
    <row r="388">
      <c r="A388" s="19">
        <v>0.009027777777777777</v>
      </c>
      <c r="B388" s="34" t="s">
        <v>1121</v>
      </c>
      <c r="C388" s="33" t="s">
        <v>11</v>
      </c>
      <c r="D388" s="34" t="s">
        <v>1120</v>
      </c>
      <c r="E388" s="11" t="s">
        <v>37</v>
      </c>
    </row>
    <row r="389">
      <c r="A389" s="19">
        <v>0.019444444444444445</v>
      </c>
      <c r="B389" s="34" t="s">
        <v>199</v>
      </c>
      <c r="C389" s="33" t="s">
        <v>312</v>
      </c>
      <c r="D389" s="34" t="s">
        <v>1120</v>
      </c>
      <c r="E389" s="11" t="s">
        <v>33</v>
      </c>
    </row>
    <row r="390">
      <c r="A390" s="19">
        <v>0.019444444444444445</v>
      </c>
      <c r="B390" s="34" t="s">
        <v>1121</v>
      </c>
      <c r="C390" s="33" t="s">
        <v>190</v>
      </c>
      <c r="D390" s="34" t="s">
        <v>165</v>
      </c>
      <c r="E390" s="11" t="s">
        <v>37</v>
      </c>
    </row>
    <row r="391">
      <c r="A391" s="19">
        <v>0.029166666666666667</v>
      </c>
      <c r="B391" s="34" t="s">
        <v>1120</v>
      </c>
      <c r="C391" s="33" t="s">
        <v>270</v>
      </c>
      <c r="D391" s="34" t="s">
        <v>165</v>
      </c>
      <c r="E391" s="11" t="s">
        <v>33</v>
      </c>
    </row>
    <row r="392">
      <c r="A392" s="19">
        <v>0.029166666666666667</v>
      </c>
      <c r="B392" s="34" t="s">
        <v>1119</v>
      </c>
      <c r="C392" s="33" t="s">
        <v>286</v>
      </c>
      <c r="D392" s="34" t="s">
        <v>1121</v>
      </c>
      <c r="E392" s="11" t="s">
        <v>37</v>
      </c>
    </row>
    <row r="393">
      <c r="A393" s="19">
        <v>0.03958333333333333</v>
      </c>
      <c r="B393" s="34" t="s">
        <v>199</v>
      </c>
      <c r="C393" s="33" t="s">
        <v>45</v>
      </c>
      <c r="D393" s="34" t="s">
        <v>165</v>
      </c>
      <c r="E393" s="11" t="s">
        <v>33</v>
      </c>
    </row>
    <row r="394">
      <c r="A394" s="19">
        <v>0.03958333333333333</v>
      </c>
      <c r="B394" s="34" t="s">
        <v>1120</v>
      </c>
      <c r="C394" s="33" t="s">
        <v>722</v>
      </c>
      <c r="D394" s="34" t="s">
        <v>1119</v>
      </c>
      <c r="E394" s="11" t="s">
        <v>37</v>
      </c>
    </row>
    <row r="395">
      <c r="A395" s="19">
        <v>0.05</v>
      </c>
      <c r="B395" s="34" t="s">
        <v>199</v>
      </c>
      <c r="C395" s="33" t="s">
        <v>218</v>
      </c>
      <c r="D395" s="34" t="s">
        <v>1121</v>
      </c>
      <c r="E395" s="11" t="s">
        <v>33</v>
      </c>
    </row>
    <row r="396">
      <c r="A396" s="19">
        <v>0.05</v>
      </c>
      <c r="B396" s="34" t="s">
        <v>165</v>
      </c>
      <c r="C396" s="33" t="s">
        <v>220</v>
      </c>
      <c r="D396" s="34" t="s">
        <v>1119</v>
      </c>
      <c r="E396" s="11" t="s">
        <v>37</v>
      </c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46"/>
      <c r="B1" s="1" t="s">
        <v>0</v>
      </c>
      <c r="C1" s="2"/>
      <c r="D1" s="3"/>
      <c r="E1" s="29"/>
    </row>
    <row r="2">
      <c r="A2" s="47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19">
        <v>0.0625</v>
      </c>
      <c r="B3" s="32" t="s">
        <v>1123</v>
      </c>
      <c r="C3" s="35" t="s">
        <v>218</v>
      </c>
      <c r="D3" s="34" t="s">
        <v>1124</v>
      </c>
      <c r="E3" s="11" t="s">
        <v>9</v>
      </c>
    </row>
    <row r="4">
      <c r="A4" s="19">
        <v>0.0625</v>
      </c>
      <c r="B4" s="32" t="s">
        <v>1125</v>
      </c>
      <c r="C4" s="35" t="s">
        <v>195</v>
      </c>
      <c r="D4" s="32" t="s">
        <v>1126</v>
      </c>
      <c r="E4" s="11" t="s">
        <v>13</v>
      </c>
    </row>
    <row r="5">
      <c r="A5" s="19">
        <v>0.07222222222222222</v>
      </c>
      <c r="B5" s="34" t="s">
        <v>1125</v>
      </c>
      <c r="C5" s="35" t="s">
        <v>197</v>
      </c>
      <c r="D5" s="32" t="s">
        <v>1124</v>
      </c>
      <c r="E5" s="11" t="s">
        <v>9</v>
      </c>
    </row>
    <row r="6">
      <c r="A6" s="19">
        <v>0.07222222222222222</v>
      </c>
      <c r="B6" s="32" t="s">
        <v>1016</v>
      </c>
      <c r="C6" s="35" t="s">
        <v>190</v>
      </c>
      <c r="D6" s="34" t="s">
        <v>1126</v>
      </c>
      <c r="E6" s="11" t="s">
        <v>13</v>
      </c>
    </row>
    <row r="7">
      <c r="A7" s="19">
        <v>0.08263888888888889</v>
      </c>
      <c r="B7" s="34" t="s">
        <v>1016</v>
      </c>
      <c r="C7" s="35" t="s">
        <v>41</v>
      </c>
      <c r="D7" s="32" t="s">
        <v>1125</v>
      </c>
      <c r="E7" s="11" t="s">
        <v>9</v>
      </c>
    </row>
    <row r="8">
      <c r="A8" s="19">
        <v>0.08263888888888889</v>
      </c>
      <c r="B8" s="32" t="s">
        <v>1126</v>
      </c>
      <c r="C8" s="35" t="s">
        <v>291</v>
      </c>
      <c r="D8" s="32" t="s">
        <v>1123</v>
      </c>
      <c r="E8" s="11" t="s">
        <v>13</v>
      </c>
    </row>
    <row r="9">
      <c r="A9" s="19">
        <v>0.09305555555555556</v>
      </c>
      <c r="B9" s="34" t="s">
        <v>1016</v>
      </c>
      <c r="C9" s="35" t="s">
        <v>190</v>
      </c>
      <c r="D9" s="34" t="s">
        <v>1124</v>
      </c>
      <c r="E9" s="11" t="s">
        <v>9</v>
      </c>
    </row>
    <row r="10">
      <c r="A10" s="19">
        <v>0.09305555555555556</v>
      </c>
      <c r="B10" s="32" t="s">
        <v>1123</v>
      </c>
      <c r="C10" s="35" t="s">
        <v>83</v>
      </c>
      <c r="D10" s="32" t="s">
        <v>1125</v>
      </c>
      <c r="E10" s="11" t="s">
        <v>13</v>
      </c>
    </row>
    <row r="11">
      <c r="A11" s="19">
        <v>0.10277777777777777</v>
      </c>
      <c r="B11" s="34" t="s">
        <v>1126</v>
      </c>
      <c r="C11" s="35" t="s">
        <v>261</v>
      </c>
      <c r="D11" s="32" t="s">
        <v>1124</v>
      </c>
      <c r="E11" s="11" t="s">
        <v>9</v>
      </c>
    </row>
    <row r="12">
      <c r="A12" s="19">
        <v>0.10277777777777777</v>
      </c>
      <c r="B12" s="32" t="s">
        <v>1123</v>
      </c>
      <c r="C12" s="35" t="s">
        <v>232</v>
      </c>
      <c r="D12" s="34" t="s">
        <v>1016</v>
      </c>
      <c r="E12" s="11" t="s">
        <v>13</v>
      </c>
    </row>
    <row r="13">
      <c r="A13" s="19">
        <v>0.11319444444444444</v>
      </c>
      <c r="B13" s="34" t="s">
        <v>1124</v>
      </c>
      <c r="C13" s="35" t="s">
        <v>282</v>
      </c>
      <c r="D13" s="32" t="s">
        <v>1123</v>
      </c>
      <c r="E13" s="11" t="s">
        <v>9</v>
      </c>
    </row>
    <row r="14">
      <c r="A14" s="19">
        <v>0.11319444444444444</v>
      </c>
      <c r="B14" s="32" t="s">
        <v>1126</v>
      </c>
      <c r="C14" s="35" t="s">
        <v>291</v>
      </c>
      <c r="D14" s="32" t="s">
        <v>1125</v>
      </c>
      <c r="E14" s="11" t="s">
        <v>13</v>
      </c>
    </row>
    <row r="15">
      <c r="A15" s="19">
        <v>0.12361111111111112</v>
      </c>
      <c r="B15" s="32" t="s">
        <v>1124</v>
      </c>
      <c r="C15" s="35" t="s">
        <v>578</v>
      </c>
      <c r="D15" s="34" t="s">
        <v>1125</v>
      </c>
      <c r="E15" s="11" t="s">
        <v>9</v>
      </c>
    </row>
    <row r="16">
      <c r="A16" s="19">
        <v>0.12361111111111112</v>
      </c>
      <c r="B16" s="34" t="s">
        <v>1126</v>
      </c>
      <c r="C16" s="35" t="s">
        <v>270</v>
      </c>
      <c r="D16" s="32" t="s">
        <v>1016</v>
      </c>
      <c r="E16" s="11" t="s">
        <v>13</v>
      </c>
    </row>
    <row r="17">
      <c r="A17" s="19">
        <v>0.13333333333333333</v>
      </c>
      <c r="B17" s="32" t="s">
        <v>1125</v>
      </c>
      <c r="C17" s="35" t="s">
        <v>20</v>
      </c>
      <c r="D17" s="34" t="s">
        <v>1016</v>
      </c>
      <c r="E17" s="11" t="s">
        <v>9</v>
      </c>
    </row>
    <row r="18">
      <c r="A18" s="19">
        <v>0.13333333333333333</v>
      </c>
      <c r="B18" s="32" t="s">
        <v>1123</v>
      </c>
      <c r="C18" s="35" t="s">
        <v>240</v>
      </c>
      <c r="D18" s="32" t="s">
        <v>1126</v>
      </c>
      <c r="E18" s="11" t="s">
        <v>13</v>
      </c>
    </row>
    <row r="19">
      <c r="A19" s="19">
        <v>0.14375</v>
      </c>
      <c r="B19" s="34" t="s">
        <v>1124</v>
      </c>
      <c r="C19" s="35" t="s">
        <v>1067</v>
      </c>
      <c r="D19" s="34" t="s">
        <v>1016</v>
      </c>
      <c r="E19" s="11" t="s">
        <v>9</v>
      </c>
    </row>
    <row r="20">
      <c r="A20" s="19">
        <v>0.14375</v>
      </c>
      <c r="B20" s="32" t="s">
        <v>1125</v>
      </c>
      <c r="C20" s="35" t="s">
        <v>16</v>
      </c>
      <c r="D20" s="32" t="s">
        <v>1123</v>
      </c>
      <c r="E20" s="11" t="s">
        <v>13</v>
      </c>
    </row>
    <row r="21">
      <c r="A21" s="19">
        <v>0.15416666666666667</v>
      </c>
      <c r="B21" s="32" t="s">
        <v>1124</v>
      </c>
      <c r="C21" s="35" t="s">
        <v>197</v>
      </c>
      <c r="D21" s="34" t="s">
        <v>1126</v>
      </c>
      <c r="E21" s="11" t="s">
        <v>9</v>
      </c>
    </row>
    <row r="22">
      <c r="A22" s="19">
        <v>0.15416666666666667</v>
      </c>
      <c r="B22" s="34" t="s">
        <v>1016</v>
      </c>
      <c r="C22" s="35" t="s">
        <v>201</v>
      </c>
      <c r="D22" s="32" t="s">
        <v>1123</v>
      </c>
      <c r="E22" s="11" t="s">
        <v>13</v>
      </c>
    </row>
    <row r="23">
      <c r="A23" s="27"/>
      <c r="B23" s="1" t="s">
        <v>29</v>
      </c>
      <c r="C23" s="2"/>
      <c r="D23" s="3"/>
      <c r="E23" s="48"/>
    </row>
    <row r="24">
      <c r="A24" s="18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9">
        <v>0.0625</v>
      </c>
      <c r="B25" s="32" t="s">
        <v>1127</v>
      </c>
      <c r="C25" s="35" t="s">
        <v>72</v>
      </c>
      <c r="D25" s="32" t="s">
        <v>192</v>
      </c>
      <c r="E25" s="11" t="s">
        <v>33</v>
      </c>
    </row>
    <row r="26">
      <c r="A26" s="19">
        <v>0.0625</v>
      </c>
      <c r="B26" s="32" t="s">
        <v>1128</v>
      </c>
      <c r="C26" s="35" t="s">
        <v>11</v>
      </c>
      <c r="D26" s="32" t="s">
        <v>961</v>
      </c>
      <c r="E26" s="11" t="s">
        <v>37</v>
      </c>
    </row>
    <row r="27">
      <c r="A27" s="19">
        <v>0.07222222222222222</v>
      </c>
      <c r="B27" s="34" t="s">
        <v>1128</v>
      </c>
      <c r="C27" s="35" t="s">
        <v>212</v>
      </c>
      <c r="D27" s="34" t="s">
        <v>192</v>
      </c>
      <c r="E27" s="11" t="s">
        <v>33</v>
      </c>
    </row>
    <row r="28">
      <c r="A28" s="19">
        <v>0.07222222222222222</v>
      </c>
      <c r="B28" s="32" t="s">
        <v>1036</v>
      </c>
      <c r="C28" s="35" t="s">
        <v>1129</v>
      </c>
      <c r="D28" s="32" t="s">
        <v>961</v>
      </c>
      <c r="E28" s="11" t="s">
        <v>37</v>
      </c>
    </row>
    <row r="29">
      <c r="A29" s="19">
        <v>0.08263888888888889</v>
      </c>
      <c r="B29" s="34" t="s">
        <v>1036</v>
      </c>
      <c r="C29" s="35" t="s">
        <v>321</v>
      </c>
      <c r="D29" s="32" t="s">
        <v>1128</v>
      </c>
      <c r="E29" s="11" t="s">
        <v>33</v>
      </c>
    </row>
    <row r="30">
      <c r="A30" s="19">
        <v>0.08263888888888889</v>
      </c>
      <c r="B30" s="32" t="s">
        <v>961</v>
      </c>
      <c r="C30" s="35" t="s">
        <v>45</v>
      </c>
      <c r="D30" s="32" t="s">
        <v>1127</v>
      </c>
      <c r="E30" s="11" t="s">
        <v>37</v>
      </c>
    </row>
    <row r="31">
      <c r="A31" s="19">
        <v>0.09305555555555556</v>
      </c>
      <c r="B31" s="34" t="s">
        <v>1036</v>
      </c>
      <c r="C31" s="35" t="s">
        <v>16</v>
      </c>
      <c r="D31" s="32" t="s">
        <v>192</v>
      </c>
      <c r="E31" s="11" t="s">
        <v>33</v>
      </c>
    </row>
    <row r="32">
      <c r="A32" s="19">
        <v>0.09305555555555556</v>
      </c>
      <c r="B32" s="32" t="s">
        <v>1127</v>
      </c>
      <c r="C32" s="35" t="s">
        <v>194</v>
      </c>
      <c r="D32" s="34" t="s">
        <v>1128</v>
      </c>
      <c r="E32" s="11" t="s">
        <v>37</v>
      </c>
    </row>
    <row r="33">
      <c r="A33" s="19">
        <v>0.10277777777777777</v>
      </c>
      <c r="B33" s="32" t="s">
        <v>961</v>
      </c>
      <c r="C33" s="35" t="s">
        <v>354</v>
      </c>
      <c r="D33" s="32" t="s">
        <v>192</v>
      </c>
      <c r="E33" s="11" t="s">
        <v>33</v>
      </c>
    </row>
    <row r="34">
      <c r="A34" s="19">
        <v>0.10277777777777777</v>
      </c>
      <c r="B34" s="32" t="s">
        <v>1127</v>
      </c>
      <c r="C34" s="35" t="s">
        <v>82</v>
      </c>
      <c r="D34" s="32" t="s">
        <v>1036</v>
      </c>
      <c r="E34" s="11" t="s">
        <v>37</v>
      </c>
    </row>
    <row r="35">
      <c r="A35" s="19">
        <v>0.11319444444444444</v>
      </c>
      <c r="B35" s="32" t="s">
        <v>192</v>
      </c>
      <c r="C35" s="35" t="s">
        <v>534</v>
      </c>
      <c r="D35" s="32" t="s">
        <v>1127</v>
      </c>
      <c r="E35" s="11" t="s">
        <v>33</v>
      </c>
    </row>
    <row r="36">
      <c r="A36" s="19">
        <v>0.11319444444444444</v>
      </c>
      <c r="B36" s="32" t="s">
        <v>961</v>
      </c>
      <c r="C36" s="35" t="s">
        <v>66</v>
      </c>
      <c r="D36" s="32" t="s">
        <v>1128</v>
      </c>
      <c r="E36" s="11" t="s">
        <v>37</v>
      </c>
    </row>
    <row r="37">
      <c r="A37" s="19">
        <v>0.12361111111111112</v>
      </c>
      <c r="B37" s="34" t="s">
        <v>192</v>
      </c>
      <c r="C37" s="35" t="s">
        <v>82</v>
      </c>
      <c r="D37" s="34" t="s">
        <v>1128</v>
      </c>
      <c r="E37" s="11" t="s">
        <v>33</v>
      </c>
    </row>
    <row r="38">
      <c r="A38" s="19">
        <v>0.12361111111111112</v>
      </c>
      <c r="B38" s="32" t="s">
        <v>961</v>
      </c>
      <c r="C38" s="35" t="s">
        <v>16</v>
      </c>
      <c r="D38" s="32" t="s">
        <v>1036</v>
      </c>
      <c r="E38" s="11" t="s">
        <v>37</v>
      </c>
    </row>
    <row r="39">
      <c r="A39" s="19">
        <v>0.13333333333333333</v>
      </c>
      <c r="B39" s="32" t="s">
        <v>1128</v>
      </c>
      <c r="C39" s="35" t="s">
        <v>726</v>
      </c>
      <c r="D39" s="34" t="s">
        <v>1036</v>
      </c>
      <c r="E39" s="11" t="s">
        <v>33</v>
      </c>
    </row>
    <row r="40">
      <c r="A40" s="19">
        <v>0.13333333333333333</v>
      </c>
      <c r="B40" s="32" t="s">
        <v>1127</v>
      </c>
      <c r="C40" s="35" t="s">
        <v>18</v>
      </c>
      <c r="D40" s="32" t="s">
        <v>961</v>
      </c>
      <c r="E40" s="11" t="s">
        <v>37</v>
      </c>
    </row>
    <row r="41">
      <c r="A41" s="19">
        <v>0.14375</v>
      </c>
      <c r="B41" s="32" t="s">
        <v>192</v>
      </c>
      <c r="C41" s="35" t="s">
        <v>31</v>
      </c>
      <c r="D41" s="34" t="s">
        <v>1036</v>
      </c>
      <c r="E41" s="11" t="s">
        <v>33</v>
      </c>
    </row>
    <row r="42">
      <c r="A42" s="19">
        <v>0.14375</v>
      </c>
      <c r="B42" s="34" t="s">
        <v>1128</v>
      </c>
      <c r="C42" s="35" t="s">
        <v>28</v>
      </c>
      <c r="D42" s="32" t="s">
        <v>1127</v>
      </c>
      <c r="E42" s="11" t="s">
        <v>37</v>
      </c>
    </row>
    <row r="43">
      <c r="A43" s="19">
        <v>0.15416666666666667</v>
      </c>
      <c r="B43" s="32" t="s">
        <v>192</v>
      </c>
      <c r="C43" s="35" t="s">
        <v>22</v>
      </c>
      <c r="D43" s="32" t="s">
        <v>961</v>
      </c>
      <c r="E43" s="11" t="s">
        <v>33</v>
      </c>
    </row>
    <row r="44">
      <c r="A44" s="19">
        <v>0.15416666666666667</v>
      </c>
      <c r="B44" s="32" t="s">
        <v>1036</v>
      </c>
      <c r="C44" s="35" t="s">
        <v>218</v>
      </c>
      <c r="D44" s="32" t="s">
        <v>1127</v>
      </c>
      <c r="E44" s="11" t="s">
        <v>37</v>
      </c>
    </row>
    <row r="45">
      <c r="A45" s="27"/>
      <c r="B45" s="1" t="s">
        <v>53</v>
      </c>
      <c r="C45" s="2"/>
      <c r="D45" s="3"/>
      <c r="E45" s="14"/>
    </row>
    <row r="46">
      <c r="A46" s="18" t="s">
        <v>1</v>
      </c>
      <c r="B46" s="16" t="s">
        <v>2</v>
      </c>
      <c r="C46" s="16" t="s">
        <v>3</v>
      </c>
      <c r="D46" s="16" t="s">
        <v>4</v>
      </c>
      <c r="E46" s="16" t="s">
        <v>5</v>
      </c>
    </row>
    <row r="47">
      <c r="A47" s="19">
        <v>0.16666666666666666</v>
      </c>
      <c r="B47" s="32" t="s">
        <v>874</v>
      </c>
      <c r="C47" s="35" t="s">
        <v>1019</v>
      </c>
      <c r="D47" s="32" t="s">
        <v>1040</v>
      </c>
      <c r="E47" s="11" t="s">
        <v>9</v>
      </c>
    </row>
    <row r="48">
      <c r="A48" s="19">
        <v>0.16666666666666666</v>
      </c>
      <c r="B48" s="32" t="s">
        <v>1130</v>
      </c>
      <c r="C48" s="35" t="s">
        <v>26</v>
      </c>
      <c r="D48" s="32" t="s">
        <v>605</v>
      </c>
      <c r="E48" s="11" t="s">
        <v>13</v>
      </c>
    </row>
    <row r="49">
      <c r="A49" s="19">
        <v>0.1763888888888889</v>
      </c>
      <c r="B49" s="32" t="s">
        <v>1130</v>
      </c>
      <c r="C49" s="35" t="s">
        <v>197</v>
      </c>
      <c r="D49" s="32" t="s">
        <v>1040</v>
      </c>
      <c r="E49" s="11" t="s">
        <v>9</v>
      </c>
    </row>
    <row r="50">
      <c r="A50" s="19">
        <v>0.1763888888888889</v>
      </c>
      <c r="B50" s="32" t="s">
        <v>1038</v>
      </c>
      <c r="C50" s="35" t="s">
        <v>20</v>
      </c>
      <c r="D50" s="32" t="s">
        <v>605</v>
      </c>
      <c r="E50" s="11" t="s">
        <v>13</v>
      </c>
    </row>
    <row r="51">
      <c r="A51" s="19">
        <v>0.18680555555555556</v>
      </c>
      <c r="B51" s="32" t="s">
        <v>1038</v>
      </c>
      <c r="C51" s="35" t="s">
        <v>48</v>
      </c>
      <c r="D51" s="32" t="s">
        <v>1130</v>
      </c>
      <c r="E51" s="11" t="s">
        <v>9</v>
      </c>
    </row>
    <row r="52">
      <c r="A52" s="19">
        <v>0.18680555555555556</v>
      </c>
      <c r="B52" s="32" t="s">
        <v>605</v>
      </c>
      <c r="C52" s="35" t="s">
        <v>270</v>
      </c>
      <c r="D52" s="32" t="s">
        <v>874</v>
      </c>
      <c r="E52" s="11" t="s">
        <v>13</v>
      </c>
    </row>
    <row r="53">
      <c r="A53" s="19">
        <v>0.19722222222222222</v>
      </c>
      <c r="B53" s="32" t="s">
        <v>1038</v>
      </c>
      <c r="C53" s="35" t="s">
        <v>16</v>
      </c>
      <c r="D53" s="32" t="s">
        <v>1040</v>
      </c>
      <c r="E53" s="11" t="s">
        <v>9</v>
      </c>
    </row>
    <row r="54">
      <c r="A54" s="19">
        <v>0.19722222222222222</v>
      </c>
      <c r="B54" s="32" t="s">
        <v>874</v>
      </c>
      <c r="C54" s="35" t="s">
        <v>16</v>
      </c>
      <c r="D54" s="32" t="s">
        <v>1130</v>
      </c>
      <c r="E54" s="11" t="s">
        <v>13</v>
      </c>
    </row>
    <row r="55">
      <c r="A55" s="19">
        <v>0.20694444444444443</v>
      </c>
      <c r="B55" s="32" t="s">
        <v>605</v>
      </c>
      <c r="C55" s="35" t="s">
        <v>196</v>
      </c>
      <c r="D55" s="32" t="s">
        <v>1040</v>
      </c>
      <c r="E55" s="11" t="s">
        <v>9</v>
      </c>
    </row>
    <row r="56">
      <c r="A56" s="19">
        <v>0.20694444444444443</v>
      </c>
      <c r="B56" s="32" t="s">
        <v>874</v>
      </c>
      <c r="C56" s="35" t="s">
        <v>446</v>
      </c>
      <c r="D56" s="32" t="s">
        <v>1038</v>
      </c>
      <c r="E56" s="11" t="s">
        <v>13</v>
      </c>
    </row>
    <row r="57">
      <c r="A57" s="19">
        <v>0.21736111111111112</v>
      </c>
      <c r="B57" s="32" t="s">
        <v>1040</v>
      </c>
      <c r="C57" s="35" t="s">
        <v>286</v>
      </c>
      <c r="D57" s="32" t="s">
        <v>874</v>
      </c>
      <c r="E57" s="11" t="s">
        <v>9</v>
      </c>
    </row>
    <row r="58">
      <c r="A58" s="19">
        <v>0.21736111111111112</v>
      </c>
      <c r="B58" s="32" t="s">
        <v>605</v>
      </c>
      <c r="C58" s="35" t="s">
        <v>291</v>
      </c>
      <c r="D58" s="32" t="s">
        <v>1130</v>
      </c>
      <c r="E58" s="11" t="s">
        <v>13</v>
      </c>
    </row>
    <row r="59">
      <c r="A59" s="19">
        <v>0.22777777777777777</v>
      </c>
      <c r="B59" s="32" t="s">
        <v>1040</v>
      </c>
      <c r="C59" s="35" t="s">
        <v>45</v>
      </c>
      <c r="D59" s="32" t="s">
        <v>1130</v>
      </c>
      <c r="E59" s="11" t="s">
        <v>9</v>
      </c>
    </row>
    <row r="60">
      <c r="A60" s="19">
        <v>0.22777777777777777</v>
      </c>
      <c r="B60" s="32" t="s">
        <v>605</v>
      </c>
      <c r="C60" s="35" t="s">
        <v>190</v>
      </c>
      <c r="D60" s="32" t="s">
        <v>1038</v>
      </c>
      <c r="E60" s="11" t="s">
        <v>13</v>
      </c>
    </row>
    <row r="61">
      <c r="A61" s="19">
        <v>0.2375</v>
      </c>
      <c r="B61" s="32" t="s">
        <v>1130</v>
      </c>
      <c r="C61" s="35" t="s">
        <v>357</v>
      </c>
      <c r="D61" s="32" t="s">
        <v>1038</v>
      </c>
      <c r="E61" s="11" t="s">
        <v>9</v>
      </c>
    </row>
    <row r="62">
      <c r="A62" s="19">
        <v>0.2375</v>
      </c>
      <c r="B62" s="32" t="s">
        <v>874</v>
      </c>
      <c r="C62" s="35" t="s">
        <v>614</v>
      </c>
      <c r="D62" s="32" t="s">
        <v>605</v>
      </c>
      <c r="E62" s="11" t="s">
        <v>13</v>
      </c>
    </row>
    <row r="63">
      <c r="A63" s="19">
        <v>0.24791666666666667</v>
      </c>
      <c r="B63" s="32" t="s">
        <v>1040</v>
      </c>
      <c r="C63" s="35" t="s">
        <v>25</v>
      </c>
      <c r="D63" s="32" t="s">
        <v>1038</v>
      </c>
      <c r="E63" s="11" t="s">
        <v>9</v>
      </c>
    </row>
    <row r="64">
      <c r="A64" s="19">
        <v>0.24791666666666667</v>
      </c>
      <c r="B64" s="32" t="s">
        <v>1130</v>
      </c>
      <c r="C64" s="35" t="s">
        <v>190</v>
      </c>
      <c r="D64" s="32" t="s">
        <v>874</v>
      </c>
      <c r="E64" s="11" t="s">
        <v>13</v>
      </c>
    </row>
    <row r="65">
      <c r="A65" s="19">
        <v>0.25833333333333336</v>
      </c>
      <c r="B65" s="32" t="s">
        <v>1040</v>
      </c>
      <c r="C65" s="35" t="s">
        <v>285</v>
      </c>
      <c r="D65" s="32" t="s">
        <v>605</v>
      </c>
      <c r="E65" s="11" t="s">
        <v>9</v>
      </c>
    </row>
    <row r="66">
      <c r="A66" s="19">
        <v>0.25833333333333336</v>
      </c>
      <c r="B66" s="32" t="s">
        <v>1038</v>
      </c>
      <c r="C66" s="35" t="s">
        <v>68</v>
      </c>
      <c r="D66" s="32" t="s">
        <v>874</v>
      </c>
      <c r="E66" s="11" t="s">
        <v>13</v>
      </c>
    </row>
    <row r="67">
      <c r="A67" s="27"/>
      <c r="B67" s="1" t="s">
        <v>53</v>
      </c>
      <c r="C67" s="2"/>
      <c r="D67" s="3"/>
      <c r="E67" s="4"/>
    </row>
    <row r="68">
      <c r="A68" s="18" t="s">
        <v>1</v>
      </c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19">
        <v>0.16666666666666666</v>
      </c>
      <c r="B69" s="32" t="s">
        <v>184</v>
      </c>
      <c r="C69" s="35" t="s">
        <v>215</v>
      </c>
      <c r="D69" s="32" t="s">
        <v>1131</v>
      </c>
      <c r="E69" s="11" t="s">
        <v>33</v>
      </c>
    </row>
    <row r="70">
      <c r="A70" s="19">
        <v>0.16666666666666666</v>
      </c>
      <c r="B70" s="32" t="s">
        <v>1132</v>
      </c>
      <c r="C70" s="35" t="s">
        <v>58</v>
      </c>
      <c r="D70" s="32" t="s">
        <v>1133</v>
      </c>
      <c r="E70" s="11" t="s">
        <v>37</v>
      </c>
    </row>
    <row r="71">
      <c r="A71" s="19">
        <v>0.1763888888888889</v>
      </c>
      <c r="B71" s="32" t="s">
        <v>1132</v>
      </c>
      <c r="C71" s="35" t="s">
        <v>201</v>
      </c>
      <c r="D71" s="32" t="s">
        <v>1131</v>
      </c>
      <c r="E71" s="11" t="s">
        <v>33</v>
      </c>
    </row>
    <row r="72">
      <c r="A72" s="19">
        <v>0.1763888888888889</v>
      </c>
      <c r="B72" s="32" t="s">
        <v>1134</v>
      </c>
      <c r="C72" s="35" t="s">
        <v>217</v>
      </c>
      <c r="D72" s="32" t="s">
        <v>1133</v>
      </c>
      <c r="E72" s="11" t="s">
        <v>37</v>
      </c>
    </row>
    <row r="73">
      <c r="A73" s="19">
        <v>0.18680555555555556</v>
      </c>
      <c r="B73" s="32" t="s">
        <v>1134</v>
      </c>
      <c r="C73" s="35" t="s">
        <v>329</v>
      </c>
      <c r="D73" s="32" t="s">
        <v>1132</v>
      </c>
      <c r="E73" s="11" t="s">
        <v>33</v>
      </c>
    </row>
    <row r="74">
      <c r="A74" s="19">
        <v>0.18680555555555556</v>
      </c>
      <c r="B74" s="32" t="s">
        <v>1133</v>
      </c>
      <c r="C74" s="35" t="s">
        <v>23</v>
      </c>
      <c r="D74" s="32" t="s">
        <v>184</v>
      </c>
      <c r="E74" s="11" t="s">
        <v>37</v>
      </c>
    </row>
    <row r="75">
      <c r="A75" s="19">
        <v>0.19722222222222222</v>
      </c>
      <c r="B75" s="32" t="s">
        <v>1134</v>
      </c>
      <c r="C75" s="35" t="s">
        <v>81</v>
      </c>
      <c r="D75" s="32" t="s">
        <v>1131</v>
      </c>
      <c r="E75" s="11" t="s">
        <v>33</v>
      </c>
    </row>
    <row r="76">
      <c r="A76" s="19">
        <v>0.19722222222222222</v>
      </c>
      <c r="B76" s="32" t="s">
        <v>184</v>
      </c>
      <c r="C76" s="35" t="s">
        <v>87</v>
      </c>
      <c r="D76" s="32" t="s">
        <v>1132</v>
      </c>
      <c r="E76" s="11" t="s">
        <v>37</v>
      </c>
    </row>
    <row r="77">
      <c r="A77" s="19">
        <v>0.20694444444444443</v>
      </c>
      <c r="B77" s="32" t="s">
        <v>1133</v>
      </c>
      <c r="C77" s="35" t="s">
        <v>87</v>
      </c>
      <c r="D77" s="32" t="s">
        <v>1131</v>
      </c>
      <c r="E77" s="11" t="s">
        <v>33</v>
      </c>
    </row>
    <row r="78">
      <c r="A78" s="19">
        <v>0.20694444444444443</v>
      </c>
      <c r="B78" s="32" t="s">
        <v>184</v>
      </c>
      <c r="C78" s="35" t="s">
        <v>201</v>
      </c>
      <c r="D78" s="32" t="s">
        <v>1134</v>
      </c>
      <c r="E78" s="11" t="s">
        <v>37</v>
      </c>
    </row>
    <row r="79">
      <c r="A79" s="19">
        <v>0.21736111111111112</v>
      </c>
      <c r="B79" s="32" t="s">
        <v>1131</v>
      </c>
      <c r="C79" s="35" t="s">
        <v>354</v>
      </c>
      <c r="D79" s="32" t="s">
        <v>184</v>
      </c>
      <c r="E79" s="11" t="s">
        <v>33</v>
      </c>
    </row>
    <row r="80">
      <c r="A80" s="19">
        <v>0.21736111111111112</v>
      </c>
      <c r="B80" s="32" t="s">
        <v>1133</v>
      </c>
      <c r="C80" s="35" t="s">
        <v>43</v>
      </c>
      <c r="D80" s="32" t="s">
        <v>1132</v>
      </c>
      <c r="E80" s="11" t="s">
        <v>37</v>
      </c>
    </row>
    <row r="81">
      <c r="A81" s="19">
        <v>0.22777777777777777</v>
      </c>
      <c r="B81" s="32" t="s">
        <v>1131</v>
      </c>
      <c r="C81" s="35" t="s">
        <v>22</v>
      </c>
      <c r="D81" s="32" t="s">
        <v>1132</v>
      </c>
      <c r="E81" s="11" t="s">
        <v>33</v>
      </c>
    </row>
    <row r="82">
      <c r="A82" s="19">
        <v>0.22777777777777777</v>
      </c>
      <c r="B82" s="32" t="s">
        <v>1133</v>
      </c>
      <c r="C82" s="35" t="s">
        <v>62</v>
      </c>
      <c r="D82" s="32" t="s">
        <v>1134</v>
      </c>
      <c r="E82" s="11" t="s">
        <v>37</v>
      </c>
    </row>
    <row r="83">
      <c r="A83" s="19">
        <v>0.2375</v>
      </c>
      <c r="B83" s="32" t="s">
        <v>1132</v>
      </c>
      <c r="C83" s="35" t="s">
        <v>43</v>
      </c>
      <c r="D83" s="32" t="s">
        <v>1134</v>
      </c>
      <c r="E83" s="11" t="s">
        <v>33</v>
      </c>
    </row>
    <row r="84">
      <c r="A84" s="19">
        <v>0.2375</v>
      </c>
      <c r="B84" s="32" t="s">
        <v>184</v>
      </c>
      <c r="C84" s="35" t="s">
        <v>22</v>
      </c>
      <c r="D84" s="32" t="s">
        <v>1133</v>
      </c>
      <c r="E84" s="11" t="s">
        <v>37</v>
      </c>
    </row>
    <row r="85">
      <c r="A85" s="19">
        <v>0.24791666666666667</v>
      </c>
      <c r="B85" s="32" t="s">
        <v>1131</v>
      </c>
      <c r="C85" s="35" t="s">
        <v>67</v>
      </c>
      <c r="D85" s="32" t="s">
        <v>1134</v>
      </c>
      <c r="E85" s="11" t="s">
        <v>33</v>
      </c>
    </row>
    <row r="86">
      <c r="A86" s="19">
        <v>0.24791666666666667</v>
      </c>
      <c r="B86" s="32" t="s">
        <v>1132</v>
      </c>
      <c r="C86" s="35" t="s">
        <v>190</v>
      </c>
      <c r="D86" s="32" t="s">
        <v>184</v>
      </c>
      <c r="E86" s="11" t="s">
        <v>37</v>
      </c>
    </row>
    <row r="87">
      <c r="A87" s="19">
        <v>0.25833333333333336</v>
      </c>
      <c r="B87" s="32" t="s">
        <v>1131</v>
      </c>
      <c r="C87" s="35" t="s">
        <v>321</v>
      </c>
      <c r="D87" s="32" t="s">
        <v>1133</v>
      </c>
      <c r="E87" s="11" t="s">
        <v>33</v>
      </c>
    </row>
    <row r="88">
      <c r="A88" s="19">
        <v>0.25833333333333336</v>
      </c>
      <c r="B88" s="32" t="s">
        <v>1134</v>
      </c>
      <c r="C88" s="35" t="s">
        <v>201</v>
      </c>
      <c r="D88" s="32" t="s">
        <v>184</v>
      </c>
      <c r="E88" s="11" t="s">
        <v>37</v>
      </c>
    </row>
    <row r="89">
      <c r="B89" s="1" t="s">
        <v>90</v>
      </c>
      <c r="C89" s="2"/>
      <c r="D89" s="3"/>
      <c r="E89" s="4"/>
    </row>
    <row r="90">
      <c r="A90" s="18" t="s">
        <v>1</v>
      </c>
      <c r="B90" s="16" t="s">
        <v>2</v>
      </c>
      <c r="C90" s="16" t="s">
        <v>3</v>
      </c>
      <c r="D90" s="16" t="s">
        <v>4</v>
      </c>
      <c r="E90" s="16" t="s">
        <v>5</v>
      </c>
    </row>
    <row r="91">
      <c r="A91" s="19">
        <v>0.3333333333333333</v>
      </c>
      <c r="B91" s="32" t="s">
        <v>1135</v>
      </c>
      <c r="C91" s="35" t="s">
        <v>195</v>
      </c>
      <c r="D91" s="32" t="s">
        <v>1136</v>
      </c>
      <c r="E91" s="11" t="s">
        <v>9</v>
      </c>
    </row>
    <row r="92">
      <c r="A92" s="19">
        <v>0.3333333333333333</v>
      </c>
      <c r="B92" s="32" t="s">
        <v>1137</v>
      </c>
      <c r="C92" s="35" t="s">
        <v>22</v>
      </c>
      <c r="D92" s="32" t="s">
        <v>1138</v>
      </c>
      <c r="E92" s="11" t="s">
        <v>13</v>
      </c>
    </row>
    <row r="93">
      <c r="A93" s="19">
        <v>0.34305555555555556</v>
      </c>
      <c r="B93" s="32" t="s">
        <v>1137</v>
      </c>
      <c r="C93" s="35" t="s">
        <v>196</v>
      </c>
      <c r="D93" s="32" t="s">
        <v>1136</v>
      </c>
      <c r="E93" s="11" t="s">
        <v>9</v>
      </c>
    </row>
    <row r="94">
      <c r="A94" s="19">
        <v>0.34305555555555556</v>
      </c>
      <c r="B94" s="32" t="s">
        <v>1050</v>
      </c>
      <c r="C94" s="35" t="s">
        <v>68</v>
      </c>
      <c r="D94" s="32" t="s">
        <v>1138</v>
      </c>
      <c r="E94" s="11" t="s">
        <v>13</v>
      </c>
    </row>
    <row r="95">
      <c r="A95" s="19">
        <v>0.35347222222222224</v>
      </c>
      <c r="B95" s="32" t="s">
        <v>1050</v>
      </c>
      <c r="C95" s="35" t="s">
        <v>412</v>
      </c>
      <c r="D95" s="32" t="s">
        <v>1137</v>
      </c>
      <c r="E95" s="11" t="s">
        <v>9</v>
      </c>
    </row>
    <row r="96">
      <c r="A96" s="19">
        <v>0.35347222222222224</v>
      </c>
      <c r="B96" s="32" t="s">
        <v>1138</v>
      </c>
      <c r="C96" s="35" t="s">
        <v>244</v>
      </c>
      <c r="D96" s="32" t="s">
        <v>1135</v>
      </c>
      <c r="E96" s="11" t="s">
        <v>13</v>
      </c>
    </row>
    <row r="97">
      <c r="A97" s="19">
        <v>0.3638888888888889</v>
      </c>
      <c r="B97" s="32" t="s">
        <v>1050</v>
      </c>
      <c r="C97" s="35" t="s">
        <v>27</v>
      </c>
      <c r="D97" s="32" t="s">
        <v>1136</v>
      </c>
      <c r="E97" s="11" t="s">
        <v>9</v>
      </c>
    </row>
    <row r="98">
      <c r="A98" s="19">
        <v>0.3638888888888889</v>
      </c>
      <c r="B98" s="32" t="s">
        <v>1135</v>
      </c>
      <c r="C98" s="35" t="s">
        <v>566</v>
      </c>
      <c r="D98" s="32" t="s">
        <v>1137</v>
      </c>
      <c r="E98" s="11" t="s">
        <v>13</v>
      </c>
    </row>
    <row r="99">
      <c r="A99" s="19">
        <v>0.3736111111111111</v>
      </c>
      <c r="B99" s="32" t="s">
        <v>1138</v>
      </c>
      <c r="C99" s="35" t="s">
        <v>196</v>
      </c>
      <c r="D99" s="32" t="s">
        <v>1136</v>
      </c>
      <c r="E99" s="11" t="s">
        <v>9</v>
      </c>
    </row>
    <row r="100">
      <c r="A100" s="19">
        <v>0.3736111111111111</v>
      </c>
      <c r="B100" s="32" t="s">
        <v>1135</v>
      </c>
      <c r="C100" s="35" t="s">
        <v>87</v>
      </c>
      <c r="D100" s="32" t="s">
        <v>1050</v>
      </c>
      <c r="E100" s="11" t="s">
        <v>13</v>
      </c>
    </row>
    <row r="101">
      <c r="A101" s="19">
        <v>0.3840277777777778</v>
      </c>
      <c r="B101" s="32" t="s">
        <v>1136</v>
      </c>
      <c r="C101" s="35" t="s">
        <v>426</v>
      </c>
      <c r="D101" s="32" t="s">
        <v>1135</v>
      </c>
      <c r="E101" s="11" t="s">
        <v>9</v>
      </c>
    </row>
    <row r="102">
      <c r="A102" s="19">
        <v>0.3840277777777778</v>
      </c>
      <c r="B102" s="32" t="s">
        <v>1138</v>
      </c>
      <c r="C102" s="35" t="s">
        <v>25</v>
      </c>
      <c r="D102" s="32" t="s">
        <v>1137</v>
      </c>
      <c r="E102" s="11" t="s">
        <v>13</v>
      </c>
    </row>
    <row r="103">
      <c r="A103" s="19">
        <v>0.39444444444444443</v>
      </c>
      <c r="B103" s="32" t="s">
        <v>1136</v>
      </c>
      <c r="C103" s="35" t="s">
        <v>41</v>
      </c>
      <c r="D103" s="32" t="s">
        <v>1137</v>
      </c>
      <c r="E103" s="11" t="s">
        <v>9</v>
      </c>
    </row>
    <row r="104">
      <c r="A104" s="19">
        <v>0.39444444444444443</v>
      </c>
      <c r="B104" s="32" t="s">
        <v>1138</v>
      </c>
      <c r="C104" s="35" t="s">
        <v>218</v>
      </c>
      <c r="D104" s="32" t="s">
        <v>1050</v>
      </c>
      <c r="E104" s="11" t="s">
        <v>13</v>
      </c>
    </row>
    <row r="105">
      <c r="A105" s="19">
        <v>0.4041666666666667</v>
      </c>
      <c r="B105" s="32" t="s">
        <v>1137</v>
      </c>
      <c r="C105" s="35" t="s">
        <v>239</v>
      </c>
      <c r="D105" s="32" t="s">
        <v>1050</v>
      </c>
      <c r="E105" s="11" t="s">
        <v>9</v>
      </c>
    </row>
    <row r="106">
      <c r="A106" s="19">
        <v>0.4041666666666667</v>
      </c>
      <c r="B106" s="32" t="s">
        <v>1135</v>
      </c>
      <c r="C106" s="35" t="s">
        <v>19</v>
      </c>
      <c r="D106" s="32" t="s">
        <v>1138</v>
      </c>
      <c r="E106" s="11" t="s">
        <v>13</v>
      </c>
    </row>
    <row r="107">
      <c r="A107" s="19">
        <v>0.41458333333333336</v>
      </c>
      <c r="B107" s="32" t="s">
        <v>1136</v>
      </c>
      <c r="C107" s="35" t="s">
        <v>578</v>
      </c>
      <c r="D107" s="32" t="s">
        <v>1050</v>
      </c>
      <c r="E107" s="11" t="s">
        <v>9</v>
      </c>
    </row>
    <row r="108">
      <c r="A108" s="19">
        <v>0.41458333333333336</v>
      </c>
      <c r="B108" s="32" t="s">
        <v>1137</v>
      </c>
      <c r="C108" s="35" t="s">
        <v>190</v>
      </c>
      <c r="D108" s="32" t="s">
        <v>1135</v>
      </c>
      <c r="E108" s="11" t="s">
        <v>13</v>
      </c>
    </row>
    <row r="109">
      <c r="A109" s="19">
        <v>0.425</v>
      </c>
      <c r="B109" s="32" t="s">
        <v>1136</v>
      </c>
      <c r="C109" s="35" t="s">
        <v>196</v>
      </c>
      <c r="D109" s="32" t="s">
        <v>1138</v>
      </c>
      <c r="E109" s="11" t="s">
        <v>9</v>
      </c>
    </row>
    <row r="110">
      <c r="A110" s="19">
        <v>0.425</v>
      </c>
      <c r="B110" s="32" t="s">
        <v>1050</v>
      </c>
      <c r="C110" s="35" t="s">
        <v>274</v>
      </c>
      <c r="D110" s="32" t="s">
        <v>1135</v>
      </c>
      <c r="E110" s="11" t="s">
        <v>13</v>
      </c>
    </row>
    <row r="111">
      <c r="A111" s="27"/>
      <c r="B111" s="1" t="s">
        <v>90</v>
      </c>
      <c r="C111" s="2"/>
      <c r="D111" s="3"/>
      <c r="E111" s="4"/>
    </row>
    <row r="112">
      <c r="A112" s="18" t="s">
        <v>1</v>
      </c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A113" s="22">
        <v>0.3333333333333333</v>
      </c>
      <c r="B113" s="32" t="s">
        <v>235</v>
      </c>
      <c r="C113" s="35" t="s">
        <v>43</v>
      </c>
      <c r="D113" s="32" t="s">
        <v>1139</v>
      </c>
      <c r="E113" s="11" t="s">
        <v>33</v>
      </c>
    </row>
    <row r="114">
      <c r="A114" s="23">
        <v>0.3333333333333333</v>
      </c>
      <c r="B114" s="32" t="s">
        <v>634</v>
      </c>
      <c r="C114" s="35" t="s">
        <v>201</v>
      </c>
      <c r="D114" s="32" t="s">
        <v>1140</v>
      </c>
      <c r="E114" s="11" t="s">
        <v>37</v>
      </c>
    </row>
    <row r="115">
      <c r="A115" s="23">
        <v>0.34305555555555556</v>
      </c>
      <c r="B115" s="32" t="s">
        <v>634</v>
      </c>
      <c r="C115" s="35" t="s">
        <v>62</v>
      </c>
      <c r="D115" s="32" t="s">
        <v>1139</v>
      </c>
      <c r="E115" s="11" t="s">
        <v>33</v>
      </c>
    </row>
    <row r="116">
      <c r="A116" s="23">
        <v>0.34305555555555556</v>
      </c>
      <c r="B116" s="32" t="s">
        <v>1052</v>
      </c>
      <c r="C116" s="35" t="s">
        <v>20</v>
      </c>
      <c r="D116" s="32" t="s">
        <v>1140</v>
      </c>
      <c r="E116" s="11" t="s">
        <v>37</v>
      </c>
    </row>
    <row r="117">
      <c r="A117" s="23">
        <v>0.35347222222222224</v>
      </c>
      <c r="B117" s="32" t="s">
        <v>1052</v>
      </c>
      <c r="C117" s="35" t="s">
        <v>69</v>
      </c>
      <c r="D117" s="32" t="s">
        <v>634</v>
      </c>
      <c r="E117" s="11" t="s">
        <v>33</v>
      </c>
    </row>
    <row r="118">
      <c r="A118" s="23">
        <v>0.35347222222222224</v>
      </c>
      <c r="B118" s="32" t="s">
        <v>1140</v>
      </c>
      <c r="C118" s="35" t="s">
        <v>286</v>
      </c>
      <c r="D118" s="32" t="s">
        <v>235</v>
      </c>
      <c r="E118" s="11" t="s">
        <v>37</v>
      </c>
      <c r="I118" s="36"/>
    </row>
    <row r="119">
      <c r="A119" s="23">
        <v>0.3638888888888889</v>
      </c>
      <c r="B119" s="32" t="s">
        <v>1052</v>
      </c>
      <c r="C119" s="35" t="s">
        <v>190</v>
      </c>
      <c r="D119" s="32" t="s">
        <v>1139</v>
      </c>
      <c r="E119" s="11" t="s">
        <v>33</v>
      </c>
    </row>
    <row r="120">
      <c r="A120" s="23">
        <v>0.3638888888888889</v>
      </c>
      <c r="B120" s="32" t="s">
        <v>235</v>
      </c>
      <c r="C120" s="35" t="s">
        <v>412</v>
      </c>
      <c r="D120" s="32" t="s">
        <v>634</v>
      </c>
      <c r="E120" s="11" t="s">
        <v>37</v>
      </c>
    </row>
    <row r="121">
      <c r="A121" s="23">
        <v>0.3736111111111111</v>
      </c>
      <c r="B121" s="32" t="s">
        <v>1140</v>
      </c>
      <c r="C121" s="35" t="s">
        <v>21</v>
      </c>
      <c r="D121" s="32" t="s">
        <v>1139</v>
      </c>
      <c r="E121" s="11" t="s">
        <v>33</v>
      </c>
    </row>
    <row r="122">
      <c r="A122" s="23">
        <v>0.3736111111111111</v>
      </c>
      <c r="B122" s="32" t="s">
        <v>235</v>
      </c>
      <c r="C122" s="35" t="s">
        <v>260</v>
      </c>
      <c r="D122" s="32" t="s">
        <v>1052</v>
      </c>
      <c r="E122" s="11" t="s">
        <v>37</v>
      </c>
    </row>
    <row r="123">
      <c r="A123" s="23">
        <v>0.3840277777777778</v>
      </c>
      <c r="B123" s="32" t="s">
        <v>1139</v>
      </c>
      <c r="C123" s="35" t="s">
        <v>446</v>
      </c>
      <c r="D123" s="32" t="s">
        <v>235</v>
      </c>
      <c r="E123" s="11" t="s">
        <v>33</v>
      </c>
    </row>
    <row r="124">
      <c r="A124" s="23">
        <v>0.3840277777777778</v>
      </c>
      <c r="B124" s="32" t="s">
        <v>1140</v>
      </c>
      <c r="C124" s="35" t="s">
        <v>1141</v>
      </c>
      <c r="D124" s="32" t="s">
        <v>634</v>
      </c>
      <c r="E124" s="11" t="s">
        <v>37</v>
      </c>
    </row>
    <row r="125">
      <c r="A125" s="23">
        <v>0.39444444444444443</v>
      </c>
      <c r="B125" s="32" t="s">
        <v>1139</v>
      </c>
      <c r="C125" s="35" t="s">
        <v>22</v>
      </c>
      <c r="D125" s="32" t="s">
        <v>634</v>
      </c>
      <c r="E125" s="11" t="s">
        <v>33</v>
      </c>
    </row>
    <row r="126">
      <c r="A126" s="23">
        <v>0.39444444444444443</v>
      </c>
      <c r="B126" s="32" t="s">
        <v>1140</v>
      </c>
      <c r="C126" s="35" t="s">
        <v>400</v>
      </c>
      <c r="D126" s="32" t="s">
        <v>1052</v>
      </c>
      <c r="E126" s="11" t="s">
        <v>37</v>
      </c>
    </row>
    <row r="127">
      <c r="A127" s="23">
        <v>0.4041666666666667</v>
      </c>
      <c r="B127" s="32" t="s">
        <v>634</v>
      </c>
      <c r="C127" s="35" t="s">
        <v>187</v>
      </c>
      <c r="D127" s="32" t="s">
        <v>1052</v>
      </c>
      <c r="E127" s="11" t="s">
        <v>33</v>
      </c>
      <c r="G127" s="35"/>
    </row>
    <row r="128">
      <c r="A128" s="23">
        <v>0.4041666666666667</v>
      </c>
      <c r="B128" s="32" t="s">
        <v>235</v>
      </c>
      <c r="C128" s="35" t="s">
        <v>31</v>
      </c>
      <c r="D128" s="32" t="s">
        <v>1140</v>
      </c>
      <c r="E128" s="11" t="s">
        <v>37</v>
      </c>
    </row>
    <row r="129">
      <c r="A129" s="23">
        <v>0.41458333333333336</v>
      </c>
      <c r="B129" s="32" t="s">
        <v>1139</v>
      </c>
      <c r="C129" s="35" t="s">
        <v>58</v>
      </c>
      <c r="D129" s="32" t="s">
        <v>1052</v>
      </c>
      <c r="E129" s="11" t="s">
        <v>33</v>
      </c>
    </row>
    <row r="130">
      <c r="A130" s="23">
        <v>0.41458333333333336</v>
      </c>
      <c r="B130" s="32" t="s">
        <v>634</v>
      </c>
      <c r="C130" s="35" t="s">
        <v>291</v>
      </c>
      <c r="D130" s="32" t="s">
        <v>235</v>
      </c>
      <c r="E130" s="11" t="s">
        <v>37</v>
      </c>
    </row>
    <row r="131">
      <c r="A131" s="23">
        <v>0.425</v>
      </c>
      <c r="B131" s="32" t="s">
        <v>1139</v>
      </c>
      <c r="C131" s="35" t="s">
        <v>536</v>
      </c>
      <c r="D131" s="32" t="s">
        <v>1140</v>
      </c>
      <c r="E131" s="11" t="s">
        <v>33</v>
      </c>
    </row>
    <row r="132">
      <c r="A132" s="23">
        <v>0.425</v>
      </c>
      <c r="B132" s="32" t="s">
        <v>1052</v>
      </c>
      <c r="C132" s="35" t="s">
        <v>201</v>
      </c>
      <c r="D132" s="32" t="s">
        <v>235</v>
      </c>
      <c r="E132" s="11" t="s">
        <v>37</v>
      </c>
    </row>
    <row r="133">
      <c r="A133" s="27"/>
      <c r="B133" s="1" t="s">
        <v>101</v>
      </c>
      <c r="C133" s="2"/>
      <c r="D133" s="3"/>
      <c r="E133" s="4"/>
    </row>
    <row r="134">
      <c r="A134" s="18" t="s">
        <v>1</v>
      </c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A135" s="19">
        <v>0.4375</v>
      </c>
      <c r="B135" s="32" t="s">
        <v>1142</v>
      </c>
      <c r="C135" s="33" t="s">
        <v>55</v>
      </c>
      <c r="D135" s="32" t="s">
        <v>105</v>
      </c>
      <c r="E135" s="11" t="s">
        <v>9</v>
      </c>
    </row>
    <row r="136">
      <c r="A136" s="19">
        <v>0.4375</v>
      </c>
      <c r="B136" s="32" t="s">
        <v>1143</v>
      </c>
      <c r="C136" s="33" t="s">
        <v>295</v>
      </c>
      <c r="D136" s="32" t="s">
        <v>106</v>
      </c>
      <c r="E136" s="11" t="s">
        <v>13</v>
      </c>
    </row>
    <row r="137">
      <c r="A137" s="19">
        <v>0.44722222222222224</v>
      </c>
      <c r="B137" s="32" t="s">
        <v>1143</v>
      </c>
      <c r="C137" s="33" t="s">
        <v>259</v>
      </c>
      <c r="D137" s="32" t="s">
        <v>105</v>
      </c>
      <c r="E137" s="11" t="s">
        <v>9</v>
      </c>
    </row>
    <row r="138">
      <c r="A138" s="19">
        <v>0.44722222222222224</v>
      </c>
      <c r="B138" s="32" t="s">
        <v>102</v>
      </c>
      <c r="C138" s="33" t="s">
        <v>193</v>
      </c>
      <c r="D138" s="32" t="s">
        <v>106</v>
      </c>
      <c r="E138" s="11" t="s">
        <v>13</v>
      </c>
    </row>
    <row r="139">
      <c r="A139" s="19">
        <v>0.4576388888888889</v>
      </c>
      <c r="B139" s="32" t="s">
        <v>102</v>
      </c>
      <c r="C139" s="33" t="s">
        <v>80</v>
      </c>
      <c r="D139" s="32" t="s">
        <v>1143</v>
      </c>
      <c r="E139" s="11" t="s">
        <v>9</v>
      </c>
    </row>
    <row r="140">
      <c r="A140" s="19">
        <v>0.4576388888888889</v>
      </c>
      <c r="B140" s="32" t="s">
        <v>106</v>
      </c>
      <c r="C140" s="33" t="s">
        <v>195</v>
      </c>
      <c r="D140" s="32" t="s">
        <v>1142</v>
      </c>
      <c r="E140" s="11" t="s">
        <v>13</v>
      </c>
    </row>
    <row r="141">
      <c r="A141" s="19">
        <v>0.46805555555555556</v>
      </c>
      <c r="B141" s="32" t="s">
        <v>102</v>
      </c>
      <c r="C141" s="33" t="s">
        <v>306</v>
      </c>
      <c r="D141" s="32" t="s">
        <v>105</v>
      </c>
      <c r="E141" s="11" t="s">
        <v>9</v>
      </c>
    </row>
    <row r="142">
      <c r="A142" s="19">
        <v>0.46805555555555556</v>
      </c>
      <c r="B142" s="32" t="s">
        <v>1142</v>
      </c>
      <c r="C142" s="33" t="s">
        <v>31</v>
      </c>
      <c r="D142" s="32" t="s">
        <v>1143</v>
      </c>
      <c r="E142" s="11" t="s">
        <v>13</v>
      </c>
    </row>
    <row r="143">
      <c r="A143" s="19">
        <v>0.4777777777777778</v>
      </c>
      <c r="B143" s="32" t="s">
        <v>106</v>
      </c>
      <c r="C143" s="33" t="s">
        <v>18</v>
      </c>
      <c r="D143" s="32" t="s">
        <v>105</v>
      </c>
      <c r="E143" s="11" t="s">
        <v>9</v>
      </c>
    </row>
    <row r="144">
      <c r="A144" s="19">
        <v>0.4777777777777778</v>
      </c>
      <c r="B144" s="32" t="s">
        <v>1142</v>
      </c>
      <c r="C144" s="33" t="s">
        <v>18</v>
      </c>
      <c r="D144" s="32" t="s">
        <v>102</v>
      </c>
      <c r="E144" s="11" t="s">
        <v>13</v>
      </c>
    </row>
    <row r="145">
      <c r="A145" s="19">
        <v>0.48819444444444443</v>
      </c>
      <c r="B145" s="32" t="s">
        <v>105</v>
      </c>
      <c r="C145" s="33" t="s">
        <v>544</v>
      </c>
      <c r="D145" s="32" t="s">
        <v>1142</v>
      </c>
      <c r="E145" s="11" t="s">
        <v>9</v>
      </c>
    </row>
    <row r="146">
      <c r="A146" s="19">
        <v>0.48819444444444443</v>
      </c>
      <c r="B146" s="32" t="s">
        <v>106</v>
      </c>
      <c r="C146" s="33" t="s">
        <v>58</v>
      </c>
      <c r="D146" s="32" t="s">
        <v>1143</v>
      </c>
      <c r="E146" s="11" t="s">
        <v>13</v>
      </c>
    </row>
    <row r="147">
      <c r="A147" s="19">
        <v>0.4986111111111111</v>
      </c>
      <c r="B147" s="32" t="s">
        <v>105</v>
      </c>
      <c r="C147" s="35" t="s">
        <v>193</v>
      </c>
      <c r="D147" s="32" t="s">
        <v>1143</v>
      </c>
      <c r="E147" s="11" t="s">
        <v>9</v>
      </c>
    </row>
    <row r="148">
      <c r="A148" s="19">
        <v>0.4986111111111111</v>
      </c>
      <c r="B148" s="32" t="s">
        <v>106</v>
      </c>
      <c r="C148" s="35" t="s">
        <v>286</v>
      </c>
      <c r="D148" s="32" t="s">
        <v>102</v>
      </c>
      <c r="E148" s="11" t="s">
        <v>13</v>
      </c>
    </row>
    <row r="149">
      <c r="A149" s="19">
        <v>0.5083333333333333</v>
      </c>
      <c r="B149" s="32" t="s">
        <v>1143</v>
      </c>
      <c r="C149" s="35" t="s">
        <v>78</v>
      </c>
      <c r="D149" s="32" t="s">
        <v>102</v>
      </c>
      <c r="E149" s="11" t="s">
        <v>9</v>
      </c>
    </row>
    <row r="150">
      <c r="A150" s="19">
        <v>0.5083333333333333</v>
      </c>
      <c r="B150" s="32" t="s">
        <v>1142</v>
      </c>
      <c r="C150" s="35" t="s">
        <v>218</v>
      </c>
      <c r="D150" s="32" t="s">
        <v>106</v>
      </c>
      <c r="E150" s="11" t="s">
        <v>13</v>
      </c>
    </row>
    <row r="151">
      <c r="A151" s="19">
        <v>0.51875</v>
      </c>
      <c r="B151" s="32" t="s">
        <v>105</v>
      </c>
      <c r="C151" s="35" t="s">
        <v>426</v>
      </c>
      <c r="D151" s="32" t="s">
        <v>102</v>
      </c>
      <c r="E151" s="11" t="s">
        <v>9</v>
      </c>
    </row>
    <row r="152">
      <c r="A152" s="19">
        <v>0.51875</v>
      </c>
      <c r="B152" s="32" t="s">
        <v>1143</v>
      </c>
      <c r="C152" s="35" t="s">
        <v>378</v>
      </c>
      <c r="D152" s="32" t="s">
        <v>1142</v>
      </c>
      <c r="E152" s="11" t="s">
        <v>13</v>
      </c>
    </row>
    <row r="153">
      <c r="A153" s="19">
        <v>0.5291666666666667</v>
      </c>
      <c r="B153" s="32" t="s">
        <v>105</v>
      </c>
      <c r="C153" s="35" t="s">
        <v>67</v>
      </c>
      <c r="D153" s="32" t="s">
        <v>106</v>
      </c>
      <c r="E153" s="11" t="s">
        <v>9</v>
      </c>
    </row>
    <row r="154">
      <c r="A154" s="19">
        <v>0.5291666666666667</v>
      </c>
      <c r="B154" s="32" t="s">
        <v>102</v>
      </c>
      <c r="C154" s="35" t="s">
        <v>260</v>
      </c>
      <c r="D154" s="32" t="s">
        <v>1142</v>
      </c>
      <c r="E154" s="11" t="s">
        <v>13</v>
      </c>
    </row>
    <row r="155">
      <c r="A155" s="27"/>
      <c r="B155" s="1" t="s">
        <v>101</v>
      </c>
      <c r="C155" s="2"/>
      <c r="D155" s="3"/>
      <c r="E155" s="4"/>
    </row>
    <row r="156">
      <c r="A156" s="18" t="s">
        <v>1</v>
      </c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A157" s="19">
        <v>0.4375</v>
      </c>
      <c r="B157" s="32" t="s">
        <v>111</v>
      </c>
      <c r="C157" s="35" t="s">
        <v>45</v>
      </c>
      <c r="D157" s="32" t="s">
        <v>1144</v>
      </c>
      <c r="E157" s="11" t="s">
        <v>33</v>
      </c>
    </row>
    <row r="158">
      <c r="A158" s="19">
        <v>0.4375</v>
      </c>
      <c r="B158" s="32" t="s">
        <v>1145</v>
      </c>
      <c r="C158" s="35" t="s">
        <v>68</v>
      </c>
      <c r="D158" s="32" t="s">
        <v>1146</v>
      </c>
      <c r="E158" s="11" t="s">
        <v>37</v>
      </c>
    </row>
    <row r="159">
      <c r="A159" s="19">
        <v>0.44722222222222224</v>
      </c>
      <c r="B159" s="32" t="s">
        <v>1145</v>
      </c>
      <c r="C159" s="35" t="s">
        <v>43</v>
      </c>
      <c r="D159" s="32" t="s">
        <v>1144</v>
      </c>
      <c r="E159" s="11" t="s">
        <v>33</v>
      </c>
    </row>
    <row r="160">
      <c r="A160" s="19">
        <v>0.44722222222222224</v>
      </c>
      <c r="B160" s="32" t="s">
        <v>1147</v>
      </c>
      <c r="C160" s="35" t="s">
        <v>21</v>
      </c>
      <c r="D160" s="32" t="s">
        <v>1146</v>
      </c>
      <c r="E160" s="11" t="s">
        <v>37</v>
      </c>
    </row>
    <row r="161">
      <c r="A161" s="19">
        <v>0.4576388888888889</v>
      </c>
      <c r="B161" s="32" t="s">
        <v>1147</v>
      </c>
      <c r="C161" s="35" t="s">
        <v>78</v>
      </c>
      <c r="D161" s="32" t="s">
        <v>1145</v>
      </c>
      <c r="E161" s="11" t="s">
        <v>33</v>
      </c>
    </row>
    <row r="162">
      <c r="A162" s="19">
        <v>0.4576388888888889</v>
      </c>
      <c r="B162" s="32" t="s">
        <v>1146</v>
      </c>
      <c r="C162" s="35" t="s">
        <v>11</v>
      </c>
      <c r="D162" s="32" t="s">
        <v>111</v>
      </c>
      <c r="E162" s="11" t="s">
        <v>37</v>
      </c>
    </row>
    <row r="163">
      <c r="A163" s="19">
        <v>0.46805555555555556</v>
      </c>
      <c r="B163" s="32" t="s">
        <v>1147</v>
      </c>
      <c r="C163" s="35" t="s">
        <v>31</v>
      </c>
      <c r="D163" s="32" t="s">
        <v>1144</v>
      </c>
      <c r="E163" s="11" t="s">
        <v>33</v>
      </c>
    </row>
    <row r="164">
      <c r="A164" s="19">
        <v>0.46805555555555556</v>
      </c>
      <c r="B164" s="32" t="s">
        <v>111</v>
      </c>
      <c r="C164" s="35" t="s">
        <v>195</v>
      </c>
      <c r="D164" s="32" t="s">
        <v>1145</v>
      </c>
      <c r="E164" s="11" t="s">
        <v>37</v>
      </c>
    </row>
    <row r="165">
      <c r="A165" s="19">
        <v>0.4777777777777778</v>
      </c>
      <c r="B165" s="32" t="s">
        <v>1146</v>
      </c>
      <c r="C165" s="35" t="s">
        <v>195</v>
      </c>
      <c r="D165" s="32" t="s">
        <v>1144</v>
      </c>
      <c r="E165" s="11" t="s">
        <v>33</v>
      </c>
    </row>
    <row r="166">
      <c r="A166" s="19">
        <v>0.4777777777777778</v>
      </c>
      <c r="B166" s="32" t="s">
        <v>111</v>
      </c>
      <c r="C166" s="35" t="s">
        <v>68</v>
      </c>
      <c r="D166" s="32" t="s">
        <v>1147</v>
      </c>
      <c r="E166" s="11" t="s">
        <v>37</v>
      </c>
      <c r="G166" s="36"/>
    </row>
    <row r="167">
      <c r="A167" s="19">
        <v>0.48819444444444443</v>
      </c>
      <c r="B167" s="32" t="s">
        <v>1144</v>
      </c>
      <c r="C167" s="35" t="s">
        <v>197</v>
      </c>
      <c r="D167" s="32" t="s">
        <v>111</v>
      </c>
      <c r="E167" s="11" t="s">
        <v>33</v>
      </c>
    </row>
    <row r="168">
      <c r="A168" s="19">
        <v>0.48819444444444443</v>
      </c>
      <c r="B168" s="32" t="s">
        <v>1146</v>
      </c>
      <c r="C168" s="35" t="s">
        <v>20</v>
      </c>
      <c r="D168" s="32" t="s">
        <v>1145</v>
      </c>
      <c r="E168" s="11" t="s">
        <v>37</v>
      </c>
    </row>
    <row r="169">
      <c r="A169" s="19">
        <v>0.4986111111111111</v>
      </c>
      <c r="B169" s="32" t="s">
        <v>1144</v>
      </c>
      <c r="C169" s="35" t="s">
        <v>218</v>
      </c>
      <c r="D169" s="32" t="s">
        <v>1145</v>
      </c>
      <c r="E169" s="11" t="s">
        <v>33</v>
      </c>
    </row>
    <row r="170">
      <c r="A170" s="19">
        <v>0.4986111111111111</v>
      </c>
      <c r="B170" s="32" t="s">
        <v>1146</v>
      </c>
      <c r="C170" s="35" t="s">
        <v>69</v>
      </c>
      <c r="D170" s="32" t="s">
        <v>1147</v>
      </c>
      <c r="E170" s="11" t="s">
        <v>37</v>
      </c>
    </row>
    <row r="171">
      <c r="A171" s="19">
        <v>0.5083333333333333</v>
      </c>
      <c r="B171" s="32" t="s">
        <v>1145</v>
      </c>
      <c r="C171" s="35" t="s">
        <v>62</v>
      </c>
      <c r="D171" s="32" t="s">
        <v>1147</v>
      </c>
      <c r="E171" s="11" t="s">
        <v>33</v>
      </c>
    </row>
    <row r="172">
      <c r="A172" s="19">
        <v>0.5083333333333333</v>
      </c>
      <c r="B172" s="32" t="s">
        <v>111</v>
      </c>
      <c r="C172" s="35" t="s">
        <v>21</v>
      </c>
      <c r="D172" s="32" t="s">
        <v>1146</v>
      </c>
      <c r="E172" s="11" t="s">
        <v>37</v>
      </c>
    </row>
    <row r="173">
      <c r="A173" s="19">
        <v>0.51875</v>
      </c>
      <c r="B173" s="32" t="s">
        <v>1144</v>
      </c>
      <c r="C173" s="35" t="s">
        <v>250</v>
      </c>
      <c r="D173" s="32" t="s">
        <v>1147</v>
      </c>
      <c r="E173" s="11" t="s">
        <v>33</v>
      </c>
    </row>
    <row r="174">
      <c r="A174" s="19">
        <v>0.51875</v>
      </c>
      <c r="B174" s="32" t="s">
        <v>1145</v>
      </c>
      <c r="C174" s="35" t="s">
        <v>201</v>
      </c>
      <c r="D174" s="32" t="s">
        <v>111</v>
      </c>
      <c r="E174" s="11" t="s">
        <v>37</v>
      </c>
    </row>
    <row r="175">
      <c r="A175" s="19">
        <v>0.5291666666666667</v>
      </c>
      <c r="B175" s="32" t="s">
        <v>1144</v>
      </c>
      <c r="C175" s="35" t="s">
        <v>47</v>
      </c>
      <c r="D175" s="32" t="s">
        <v>1146</v>
      </c>
      <c r="E175" s="11" t="s">
        <v>33</v>
      </c>
    </row>
    <row r="176">
      <c r="A176" s="19">
        <v>0.5291666666666667</v>
      </c>
      <c r="B176" s="32" t="s">
        <v>1147</v>
      </c>
      <c r="C176" s="35" t="s">
        <v>81</v>
      </c>
      <c r="D176" s="32" t="s">
        <v>111</v>
      </c>
      <c r="E176" s="11" t="s">
        <v>37</v>
      </c>
    </row>
    <row r="177">
      <c r="A177" s="27"/>
      <c r="B177" s="1" t="s">
        <v>112</v>
      </c>
      <c r="C177" s="2"/>
      <c r="D177" s="3"/>
      <c r="E177" s="4"/>
    </row>
    <row r="178">
      <c r="A178" s="18" t="s">
        <v>1</v>
      </c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A179" s="19">
        <v>0.5416666666666666</v>
      </c>
      <c r="B179" s="32" t="s">
        <v>1148</v>
      </c>
      <c r="C179" s="35" t="s">
        <v>81</v>
      </c>
      <c r="D179" s="32" t="s">
        <v>116</v>
      </c>
      <c r="E179" s="11" t="s">
        <v>9</v>
      </c>
    </row>
    <row r="180">
      <c r="A180" s="19">
        <v>0.5416666666666666</v>
      </c>
      <c r="B180" s="32" t="s">
        <v>1149</v>
      </c>
      <c r="C180" s="35" t="s">
        <v>578</v>
      </c>
      <c r="D180" s="32" t="s">
        <v>265</v>
      </c>
      <c r="E180" s="11" t="s">
        <v>13</v>
      </c>
    </row>
    <row r="181">
      <c r="A181" s="19">
        <v>0.5513888888888889</v>
      </c>
      <c r="B181" s="32" t="s">
        <v>1149</v>
      </c>
      <c r="C181" s="35" t="s">
        <v>411</v>
      </c>
      <c r="D181" s="32" t="s">
        <v>116</v>
      </c>
      <c r="E181" s="11" t="s">
        <v>9</v>
      </c>
    </row>
    <row r="182">
      <c r="A182" s="19">
        <v>0.5513888888888889</v>
      </c>
      <c r="B182" s="32" t="s">
        <v>113</v>
      </c>
      <c r="C182" s="35" t="s">
        <v>25</v>
      </c>
      <c r="D182" s="32" t="s">
        <v>265</v>
      </c>
      <c r="E182" s="11" t="s">
        <v>13</v>
      </c>
    </row>
    <row r="183">
      <c r="A183" s="19">
        <v>0.5618055555555556</v>
      </c>
      <c r="B183" s="32" t="s">
        <v>113</v>
      </c>
      <c r="C183" s="35" t="s">
        <v>68</v>
      </c>
      <c r="D183" s="32" t="s">
        <v>1149</v>
      </c>
      <c r="E183" s="11" t="s">
        <v>9</v>
      </c>
    </row>
    <row r="184">
      <c r="A184" s="19">
        <v>0.5618055555555556</v>
      </c>
      <c r="B184" s="32" t="s">
        <v>265</v>
      </c>
      <c r="C184" s="35" t="s">
        <v>197</v>
      </c>
      <c r="D184" s="32" t="s">
        <v>1148</v>
      </c>
      <c r="E184" s="11" t="s">
        <v>13</v>
      </c>
    </row>
    <row r="185">
      <c r="A185" s="19">
        <v>0.5722222222222222</v>
      </c>
      <c r="B185" s="32" t="s">
        <v>113</v>
      </c>
      <c r="C185" s="35" t="s">
        <v>239</v>
      </c>
      <c r="D185" s="32" t="s">
        <v>116</v>
      </c>
      <c r="E185" s="11" t="s">
        <v>9</v>
      </c>
    </row>
    <row r="186">
      <c r="A186" s="19">
        <v>0.5722222222222222</v>
      </c>
      <c r="B186" s="32" t="s">
        <v>1148</v>
      </c>
      <c r="C186" s="35" t="s">
        <v>58</v>
      </c>
      <c r="D186" s="32" t="s">
        <v>1149</v>
      </c>
      <c r="E186" s="11" t="s">
        <v>13</v>
      </c>
    </row>
    <row r="187">
      <c r="A187" s="19">
        <v>0.5819444444444445</v>
      </c>
      <c r="B187" s="32" t="s">
        <v>265</v>
      </c>
      <c r="C187" s="35" t="s">
        <v>26</v>
      </c>
      <c r="D187" s="32" t="s">
        <v>116</v>
      </c>
      <c r="E187" s="11" t="s">
        <v>9</v>
      </c>
    </row>
    <row r="188">
      <c r="A188" s="19">
        <v>0.5819444444444445</v>
      </c>
      <c r="B188" s="32" t="s">
        <v>1148</v>
      </c>
      <c r="C188" s="35" t="s">
        <v>22</v>
      </c>
      <c r="D188" s="32" t="s">
        <v>113</v>
      </c>
      <c r="E188" s="11" t="s">
        <v>13</v>
      </c>
    </row>
    <row r="189">
      <c r="A189" s="19">
        <v>0.5923611111111111</v>
      </c>
      <c r="B189" s="32" t="s">
        <v>116</v>
      </c>
      <c r="C189" s="35" t="s">
        <v>87</v>
      </c>
      <c r="D189" s="32" t="s">
        <v>1148</v>
      </c>
      <c r="E189" s="11" t="s">
        <v>9</v>
      </c>
    </row>
    <row r="190">
      <c r="A190" s="19">
        <v>0.5923611111111111</v>
      </c>
      <c r="B190" s="32" t="s">
        <v>265</v>
      </c>
      <c r="C190" s="35" t="s">
        <v>400</v>
      </c>
      <c r="D190" s="32" t="s">
        <v>1149</v>
      </c>
      <c r="E190" s="11" t="s">
        <v>13</v>
      </c>
    </row>
    <row r="191">
      <c r="A191" s="19">
        <v>0.6027777777777777</v>
      </c>
      <c r="B191" s="32" t="s">
        <v>116</v>
      </c>
      <c r="C191" s="35" t="s">
        <v>286</v>
      </c>
      <c r="D191" s="32" t="s">
        <v>1149</v>
      </c>
      <c r="E191" s="11" t="s">
        <v>9</v>
      </c>
    </row>
    <row r="192">
      <c r="A192" s="19">
        <v>0.6027777777777777</v>
      </c>
      <c r="B192" s="32" t="s">
        <v>265</v>
      </c>
      <c r="C192" s="35" t="s">
        <v>69</v>
      </c>
      <c r="D192" s="32" t="s">
        <v>113</v>
      </c>
      <c r="E192" s="11" t="s">
        <v>13</v>
      </c>
    </row>
    <row r="193">
      <c r="A193" s="19">
        <v>0.6125</v>
      </c>
      <c r="B193" s="32" t="s">
        <v>1149</v>
      </c>
      <c r="C193" s="35" t="s">
        <v>404</v>
      </c>
      <c r="D193" s="32" t="s">
        <v>113</v>
      </c>
      <c r="E193" s="11" t="s">
        <v>9</v>
      </c>
    </row>
    <row r="194">
      <c r="A194" s="19">
        <v>0.6125</v>
      </c>
      <c r="B194" s="32" t="s">
        <v>1148</v>
      </c>
      <c r="C194" s="35" t="s">
        <v>68</v>
      </c>
      <c r="D194" s="32" t="s">
        <v>265</v>
      </c>
      <c r="E194" s="11" t="s">
        <v>13</v>
      </c>
    </row>
    <row r="195">
      <c r="A195" s="19">
        <v>0.6229166666666667</v>
      </c>
      <c r="B195" s="32" t="s">
        <v>116</v>
      </c>
      <c r="C195" s="35" t="s">
        <v>201</v>
      </c>
      <c r="D195" s="32" t="s">
        <v>113</v>
      </c>
      <c r="E195" s="11" t="s">
        <v>9</v>
      </c>
    </row>
    <row r="196">
      <c r="A196" s="19">
        <v>0.6229166666666667</v>
      </c>
      <c r="B196" s="32" t="s">
        <v>1149</v>
      </c>
      <c r="C196" s="35" t="s">
        <v>43</v>
      </c>
      <c r="D196" s="32" t="s">
        <v>1148</v>
      </c>
      <c r="E196" s="11" t="s">
        <v>13</v>
      </c>
    </row>
    <row r="197">
      <c r="A197" s="19">
        <v>0.6333333333333333</v>
      </c>
      <c r="B197" s="32" t="s">
        <v>116</v>
      </c>
      <c r="C197" s="35" t="s">
        <v>352</v>
      </c>
      <c r="D197" s="32" t="s">
        <v>265</v>
      </c>
      <c r="E197" s="11" t="s">
        <v>9</v>
      </c>
    </row>
    <row r="198">
      <c r="A198" s="19">
        <v>0.6333333333333333</v>
      </c>
      <c r="B198" s="32" t="s">
        <v>113</v>
      </c>
      <c r="C198" s="35" t="s">
        <v>270</v>
      </c>
      <c r="D198" s="32" t="s">
        <v>1148</v>
      </c>
      <c r="E198" s="11" t="s">
        <v>13</v>
      </c>
    </row>
    <row r="199">
      <c r="A199" s="27"/>
      <c r="B199" s="1" t="s">
        <v>112</v>
      </c>
      <c r="C199" s="2"/>
      <c r="D199" s="3"/>
      <c r="E199" s="4"/>
    </row>
    <row r="200">
      <c r="A200" s="18" t="s">
        <v>1</v>
      </c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A201" s="19">
        <v>0.5416666666666666</v>
      </c>
      <c r="B201" s="32" t="s">
        <v>1150</v>
      </c>
      <c r="C201" s="33" t="s">
        <v>86</v>
      </c>
      <c r="D201" s="32" t="s">
        <v>1151</v>
      </c>
      <c r="E201" s="11" t="s">
        <v>33</v>
      </c>
    </row>
    <row r="202">
      <c r="A202" s="19">
        <v>0.5416666666666666</v>
      </c>
      <c r="B202" s="32" t="s">
        <v>399</v>
      </c>
      <c r="C202" s="33" t="s">
        <v>67</v>
      </c>
      <c r="D202" s="32" t="s">
        <v>1152</v>
      </c>
      <c r="E202" s="11" t="s">
        <v>37</v>
      </c>
    </row>
    <row r="203">
      <c r="A203" s="19">
        <v>0.5513888888888889</v>
      </c>
      <c r="B203" s="32" t="s">
        <v>399</v>
      </c>
      <c r="C203" s="33" t="s">
        <v>352</v>
      </c>
      <c r="D203" s="32" t="s">
        <v>1151</v>
      </c>
      <c r="E203" s="11" t="s">
        <v>33</v>
      </c>
    </row>
    <row r="204">
      <c r="A204" s="19">
        <v>0.5513888888888889</v>
      </c>
      <c r="B204" s="32" t="s">
        <v>1153</v>
      </c>
      <c r="C204" s="33" t="s">
        <v>249</v>
      </c>
      <c r="D204" s="32" t="s">
        <v>1152</v>
      </c>
      <c r="E204" s="11" t="s">
        <v>37</v>
      </c>
    </row>
    <row r="205">
      <c r="A205" s="19">
        <v>0.5618055555555556</v>
      </c>
      <c r="B205" s="32" t="s">
        <v>1153</v>
      </c>
      <c r="C205" s="33" t="s">
        <v>69</v>
      </c>
      <c r="D205" s="32" t="s">
        <v>399</v>
      </c>
      <c r="E205" s="11" t="s">
        <v>33</v>
      </c>
    </row>
    <row r="206">
      <c r="A206" s="19">
        <v>0.5618055555555556</v>
      </c>
      <c r="B206" s="32" t="s">
        <v>1152</v>
      </c>
      <c r="C206" s="33" t="s">
        <v>25</v>
      </c>
      <c r="D206" s="32" t="s">
        <v>1150</v>
      </c>
      <c r="E206" s="11" t="s">
        <v>37</v>
      </c>
    </row>
    <row r="207">
      <c r="A207" s="19">
        <v>0.5722222222222222</v>
      </c>
      <c r="B207" s="32" t="s">
        <v>1153</v>
      </c>
      <c r="C207" s="33" t="s">
        <v>239</v>
      </c>
      <c r="D207" s="32" t="s">
        <v>1151</v>
      </c>
      <c r="E207" s="11" t="s">
        <v>33</v>
      </c>
    </row>
    <row r="208">
      <c r="A208" s="19">
        <v>0.5722222222222222</v>
      </c>
      <c r="B208" s="32" t="s">
        <v>1150</v>
      </c>
      <c r="C208" s="33" t="s">
        <v>55</v>
      </c>
      <c r="D208" s="32" t="s">
        <v>399</v>
      </c>
      <c r="E208" s="11" t="s">
        <v>37</v>
      </c>
    </row>
    <row r="209">
      <c r="A209" s="19">
        <v>0.5819444444444445</v>
      </c>
      <c r="B209" s="32" t="s">
        <v>1152</v>
      </c>
      <c r="C209" s="33" t="s">
        <v>17</v>
      </c>
      <c r="D209" s="32" t="s">
        <v>1151</v>
      </c>
      <c r="E209" s="11" t="s">
        <v>33</v>
      </c>
      <c r="H209" s="36"/>
    </row>
    <row r="210">
      <c r="A210" s="19">
        <v>0.5819444444444445</v>
      </c>
      <c r="B210" s="32" t="s">
        <v>1150</v>
      </c>
      <c r="C210" s="33" t="s">
        <v>239</v>
      </c>
      <c r="D210" s="32" t="s">
        <v>1153</v>
      </c>
      <c r="E210" s="11" t="s">
        <v>37</v>
      </c>
    </row>
    <row r="211">
      <c r="A211" s="19">
        <v>0.5923611111111111</v>
      </c>
      <c r="B211" s="32" t="s">
        <v>1151</v>
      </c>
      <c r="C211" s="33" t="s">
        <v>195</v>
      </c>
      <c r="D211" s="32" t="s">
        <v>1150</v>
      </c>
      <c r="E211" s="11" t="s">
        <v>33</v>
      </c>
    </row>
    <row r="212">
      <c r="A212" s="19">
        <v>0.5923611111111111</v>
      </c>
      <c r="B212" s="32" t="s">
        <v>1152</v>
      </c>
      <c r="C212" s="33" t="s">
        <v>285</v>
      </c>
      <c r="D212" s="32" t="s">
        <v>399</v>
      </c>
      <c r="E212" s="11" t="s">
        <v>37</v>
      </c>
    </row>
    <row r="213">
      <c r="A213" s="19">
        <v>0.6027777777777777</v>
      </c>
      <c r="B213" s="32" t="s">
        <v>1151</v>
      </c>
      <c r="C213" s="35" t="s">
        <v>260</v>
      </c>
      <c r="D213" s="32" t="s">
        <v>399</v>
      </c>
      <c r="E213" s="11" t="s">
        <v>33</v>
      </c>
    </row>
    <row r="214">
      <c r="A214" s="19">
        <v>0.6027777777777777</v>
      </c>
      <c r="B214" s="32" t="s">
        <v>1152</v>
      </c>
      <c r="C214" s="35" t="s">
        <v>584</v>
      </c>
      <c r="D214" s="32" t="s">
        <v>1153</v>
      </c>
      <c r="E214" s="11" t="s">
        <v>37</v>
      </c>
    </row>
    <row r="215">
      <c r="A215" s="19">
        <v>0.6125</v>
      </c>
      <c r="B215" s="32" t="s">
        <v>399</v>
      </c>
      <c r="C215" s="35" t="s">
        <v>243</v>
      </c>
      <c r="D215" s="32" t="s">
        <v>1153</v>
      </c>
      <c r="E215" s="11" t="s">
        <v>33</v>
      </c>
    </row>
    <row r="216">
      <c r="A216" s="19">
        <v>0.6125</v>
      </c>
      <c r="B216" s="32" t="s">
        <v>1150</v>
      </c>
      <c r="C216" s="35" t="s">
        <v>55</v>
      </c>
      <c r="D216" s="32" t="s">
        <v>1152</v>
      </c>
      <c r="E216" s="11" t="s">
        <v>37</v>
      </c>
    </row>
    <row r="217">
      <c r="A217" s="19">
        <v>0.6229166666666667</v>
      </c>
      <c r="B217" s="32" t="s">
        <v>1151</v>
      </c>
      <c r="C217" s="35" t="s">
        <v>14</v>
      </c>
      <c r="D217" s="32" t="s">
        <v>1153</v>
      </c>
      <c r="E217" s="11" t="s">
        <v>33</v>
      </c>
    </row>
    <row r="218">
      <c r="A218" s="19">
        <v>0.6229166666666667</v>
      </c>
      <c r="B218" s="32" t="s">
        <v>399</v>
      </c>
      <c r="C218" s="35" t="s">
        <v>22</v>
      </c>
      <c r="D218" s="32" t="s">
        <v>1150</v>
      </c>
      <c r="E218" s="11" t="s">
        <v>37</v>
      </c>
    </row>
    <row r="219">
      <c r="A219" s="19">
        <v>0.6333333333333333</v>
      </c>
      <c r="B219" s="32" t="s">
        <v>1151</v>
      </c>
      <c r="C219" s="35" t="s">
        <v>195</v>
      </c>
      <c r="D219" s="32" t="s">
        <v>1152</v>
      </c>
      <c r="E219" s="11" t="s">
        <v>33</v>
      </c>
    </row>
    <row r="220">
      <c r="A220" s="19">
        <v>0.6333333333333333</v>
      </c>
      <c r="B220" s="32" t="s">
        <v>1153</v>
      </c>
      <c r="C220" s="35" t="s">
        <v>48</v>
      </c>
      <c r="D220" s="32" t="s">
        <v>1150</v>
      </c>
      <c r="E220" s="11" t="s">
        <v>37</v>
      </c>
    </row>
    <row r="221">
      <c r="A221" s="27"/>
      <c r="B221" s="28" t="s">
        <v>123</v>
      </c>
      <c r="C221" s="2"/>
      <c r="D221" s="3"/>
      <c r="E221" s="29"/>
    </row>
    <row r="222">
      <c r="A222" s="18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9">
        <v>0.6458333333333334</v>
      </c>
      <c r="B223" s="34" t="s">
        <v>438</v>
      </c>
      <c r="C223" s="33" t="s">
        <v>22</v>
      </c>
      <c r="D223" s="34" t="s">
        <v>1154</v>
      </c>
      <c r="E223" s="11" t="s">
        <v>9</v>
      </c>
    </row>
    <row r="224">
      <c r="A224" s="19">
        <v>0.6458333333333334</v>
      </c>
      <c r="B224" s="34" t="s">
        <v>126</v>
      </c>
      <c r="C224" s="33" t="s">
        <v>357</v>
      </c>
      <c r="D224" s="34" t="s">
        <v>762</v>
      </c>
      <c r="E224" s="11" t="s">
        <v>13</v>
      </c>
    </row>
    <row r="225">
      <c r="A225" s="19">
        <v>0.6555555555555556</v>
      </c>
      <c r="B225" s="34" t="s">
        <v>126</v>
      </c>
      <c r="C225" s="33" t="s">
        <v>22</v>
      </c>
      <c r="D225" s="34" t="s">
        <v>1154</v>
      </c>
      <c r="E225" s="11" t="s">
        <v>9</v>
      </c>
    </row>
    <row r="226">
      <c r="A226" s="19">
        <v>0.6555555555555556</v>
      </c>
      <c r="B226" s="34" t="s">
        <v>1155</v>
      </c>
      <c r="C226" s="33" t="s">
        <v>43</v>
      </c>
      <c r="D226" s="34" t="s">
        <v>762</v>
      </c>
      <c r="E226" s="11" t="s">
        <v>13</v>
      </c>
    </row>
    <row r="227">
      <c r="A227" s="19">
        <v>0.6659722222222222</v>
      </c>
      <c r="B227" s="34" t="s">
        <v>1155</v>
      </c>
      <c r="C227" s="33" t="s">
        <v>17</v>
      </c>
      <c r="D227" s="34" t="s">
        <v>126</v>
      </c>
      <c r="E227" s="11" t="s">
        <v>9</v>
      </c>
    </row>
    <row r="228">
      <c r="A228" s="19">
        <v>0.6659722222222222</v>
      </c>
      <c r="B228" s="34" t="s">
        <v>762</v>
      </c>
      <c r="C228" s="33" t="s">
        <v>58</v>
      </c>
      <c r="D228" s="34" t="s">
        <v>438</v>
      </c>
      <c r="E228" s="11" t="s">
        <v>13</v>
      </c>
    </row>
    <row r="229">
      <c r="A229" s="19">
        <v>0.6763888888888889</v>
      </c>
      <c r="B229" s="34" t="s">
        <v>1155</v>
      </c>
      <c r="C229" s="33" t="s">
        <v>87</v>
      </c>
      <c r="D229" s="34" t="s">
        <v>1154</v>
      </c>
      <c r="E229" s="11" t="s">
        <v>9</v>
      </c>
    </row>
    <row r="230">
      <c r="A230" s="19">
        <v>0.6763888888888889</v>
      </c>
      <c r="B230" s="34" t="s">
        <v>438</v>
      </c>
      <c r="C230" s="33" t="s">
        <v>302</v>
      </c>
      <c r="D230" s="34" t="s">
        <v>126</v>
      </c>
      <c r="E230" s="11" t="s">
        <v>13</v>
      </c>
    </row>
    <row r="231">
      <c r="A231" s="19">
        <v>0.6861111111111111</v>
      </c>
      <c r="B231" s="34" t="s">
        <v>762</v>
      </c>
      <c r="C231" s="33" t="s">
        <v>18</v>
      </c>
      <c r="D231" s="34" t="s">
        <v>1154</v>
      </c>
      <c r="E231" s="11" t="s">
        <v>9</v>
      </c>
    </row>
    <row r="232">
      <c r="A232" s="19">
        <v>0.6861111111111111</v>
      </c>
      <c r="B232" s="34" t="s">
        <v>438</v>
      </c>
      <c r="C232" s="33" t="s">
        <v>55</v>
      </c>
      <c r="D232" s="34" t="s">
        <v>1155</v>
      </c>
      <c r="E232" s="11" t="s">
        <v>13</v>
      </c>
    </row>
    <row r="233">
      <c r="A233" s="19">
        <v>0.6965277777777777</v>
      </c>
      <c r="B233" s="34" t="s">
        <v>1154</v>
      </c>
      <c r="C233" s="33" t="s">
        <v>16</v>
      </c>
      <c r="D233" s="34" t="s">
        <v>438</v>
      </c>
      <c r="E233" s="11" t="s">
        <v>9</v>
      </c>
    </row>
    <row r="234">
      <c r="A234" s="19">
        <v>0.6965277777777777</v>
      </c>
      <c r="B234" s="34" t="s">
        <v>762</v>
      </c>
      <c r="C234" s="33" t="s">
        <v>81</v>
      </c>
      <c r="D234" s="34" t="s">
        <v>126</v>
      </c>
      <c r="E234" s="11" t="s">
        <v>13</v>
      </c>
    </row>
    <row r="235">
      <c r="A235" s="19">
        <v>0.7069444444444445</v>
      </c>
      <c r="B235" s="34" t="s">
        <v>1154</v>
      </c>
      <c r="C235" s="35" t="s">
        <v>196</v>
      </c>
      <c r="D235" s="34" t="s">
        <v>126</v>
      </c>
      <c r="E235" s="11" t="s">
        <v>9</v>
      </c>
    </row>
    <row r="236">
      <c r="A236" s="19">
        <v>0.7069444444444445</v>
      </c>
      <c r="B236" s="34" t="s">
        <v>762</v>
      </c>
      <c r="C236" s="35" t="s">
        <v>21</v>
      </c>
      <c r="D236" s="34" t="s">
        <v>1155</v>
      </c>
      <c r="E236" s="11" t="s">
        <v>13</v>
      </c>
    </row>
    <row r="237">
      <c r="A237" s="19">
        <v>0.7166666666666667</v>
      </c>
      <c r="B237" s="34" t="s">
        <v>126</v>
      </c>
      <c r="C237" s="35" t="s">
        <v>11</v>
      </c>
      <c r="D237" s="34" t="s">
        <v>1155</v>
      </c>
      <c r="E237" s="11" t="s">
        <v>9</v>
      </c>
    </row>
    <row r="238">
      <c r="A238" s="19">
        <v>0.7166666666666667</v>
      </c>
      <c r="B238" s="34" t="s">
        <v>438</v>
      </c>
      <c r="C238" s="35" t="s">
        <v>285</v>
      </c>
      <c r="D238" s="34" t="s">
        <v>762</v>
      </c>
      <c r="E238" s="11" t="s">
        <v>13</v>
      </c>
    </row>
    <row r="239">
      <c r="A239" s="19">
        <v>0.7270833333333333</v>
      </c>
      <c r="B239" s="34" t="s">
        <v>1154</v>
      </c>
      <c r="C239" s="35" t="s">
        <v>22</v>
      </c>
      <c r="D239" s="34" t="s">
        <v>1155</v>
      </c>
      <c r="E239" s="11" t="s">
        <v>9</v>
      </c>
    </row>
    <row r="240">
      <c r="A240" s="19">
        <v>0.7270833333333333</v>
      </c>
      <c r="B240" s="34" t="s">
        <v>126</v>
      </c>
      <c r="C240" s="35" t="s">
        <v>81</v>
      </c>
      <c r="D240" s="34" t="s">
        <v>438</v>
      </c>
      <c r="E240" s="11" t="s">
        <v>13</v>
      </c>
    </row>
    <row r="241">
      <c r="A241" s="19">
        <v>0.7375</v>
      </c>
      <c r="B241" s="34" t="s">
        <v>1154</v>
      </c>
      <c r="C241" s="35" t="s">
        <v>17</v>
      </c>
      <c r="D241" s="34" t="s">
        <v>762</v>
      </c>
      <c r="E241" s="11" t="s">
        <v>9</v>
      </c>
    </row>
    <row r="242">
      <c r="A242" s="19">
        <v>0.7375</v>
      </c>
      <c r="B242" s="34" t="s">
        <v>1155</v>
      </c>
      <c r="C242" s="35" t="s">
        <v>68</v>
      </c>
      <c r="D242" s="34" t="s">
        <v>438</v>
      </c>
      <c r="E242" s="11" t="s">
        <v>13</v>
      </c>
    </row>
    <row r="243">
      <c r="A243" s="27"/>
      <c r="B243" s="28" t="s">
        <v>123</v>
      </c>
      <c r="C243" s="2"/>
      <c r="D243" s="3"/>
      <c r="E243" s="29"/>
    </row>
    <row r="244">
      <c r="A244" s="18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9">
        <v>0.6458333333333334</v>
      </c>
      <c r="B245" s="34" t="s">
        <v>1156</v>
      </c>
      <c r="C245" s="33" t="s">
        <v>260</v>
      </c>
      <c r="D245" s="34" t="s">
        <v>1157</v>
      </c>
      <c r="E245" s="11" t="s">
        <v>33</v>
      </c>
    </row>
    <row r="246">
      <c r="A246" s="19">
        <v>0.6458333333333334</v>
      </c>
      <c r="B246" s="34" t="s">
        <v>1158</v>
      </c>
      <c r="C246" s="33" t="s">
        <v>201</v>
      </c>
      <c r="D246" s="34" t="s">
        <v>1159</v>
      </c>
      <c r="E246" s="11" t="s">
        <v>37</v>
      </c>
    </row>
    <row r="247">
      <c r="A247" s="19">
        <v>0.6555555555555556</v>
      </c>
      <c r="B247" s="34" t="s">
        <v>1158</v>
      </c>
      <c r="C247" s="33" t="s">
        <v>270</v>
      </c>
      <c r="D247" s="34" t="s">
        <v>1157</v>
      </c>
      <c r="E247" s="11" t="s">
        <v>33</v>
      </c>
    </row>
    <row r="248">
      <c r="A248" s="19">
        <v>0.6555555555555556</v>
      </c>
      <c r="B248" s="34" t="s">
        <v>921</v>
      </c>
      <c r="C248" s="33" t="s">
        <v>285</v>
      </c>
      <c r="D248" s="34" t="s">
        <v>1159</v>
      </c>
      <c r="E248" s="11" t="s">
        <v>37</v>
      </c>
    </row>
    <row r="249">
      <c r="A249" s="19">
        <v>0.6659722222222222</v>
      </c>
      <c r="B249" s="34" t="s">
        <v>921</v>
      </c>
      <c r="C249" s="33" t="s">
        <v>239</v>
      </c>
      <c r="D249" s="34" t="s">
        <v>1158</v>
      </c>
      <c r="E249" s="11" t="s">
        <v>33</v>
      </c>
    </row>
    <row r="250">
      <c r="A250" s="19">
        <v>0.6659722222222222</v>
      </c>
      <c r="B250" s="34" t="s">
        <v>1159</v>
      </c>
      <c r="C250" s="33" t="s">
        <v>190</v>
      </c>
      <c r="D250" s="34" t="s">
        <v>1156</v>
      </c>
      <c r="E250" s="11" t="s">
        <v>37</v>
      </c>
    </row>
    <row r="251">
      <c r="A251" s="19">
        <v>0.6763888888888889</v>
      </c>
      <c r="B251" s="34" t="s">
        <v>921</v>
      </c>
      <c r="C251" s="33" t="s">
        <v>835</v>
      </c>
      <c r="D251" s="34" t="s">
        <v>1157</v>
      </c>
      <c r="E251" s="11" t="s">
        <v>33</v>
      </c>
    </row>
    <row r="252">
      <c r="A252" s="19">
        <v>0.6763888888888889</v>
      </c>
      <c r="B252" s="34" t="s">
        <v>1156</v>
      </c>
      <c r="C252" s="33" t="s">
        <v>20</v>
      </c>
      <c r="D252" s="34" t="s">
        <v>1158</v>
      </c>
      <c r="E252" s="11" t="s">
        <v>37</v>
      </c>
    </row>
    <row r="253">
      <c r="A253" s="19">
        <v>0.6861111111111111</v>
      </c>
      <c r="B253" s="34" t="s">
        <v>1159</v>
      </c>
      <c r="C253" s="33" t="s">
        <v>509</v>
      </c>
      <c r="D253" s="34" t="s">
        <v>1157</v>
      </c>
      <c r="E253" s="11" t="s">
        <v>33</v>
      </c>
    </row>
    <row r="254">
      <c r="A254" s="19">
        <v>0.6861111111111111</v>
      </c>
      <c r="B254" s="34" t="s">
        <v>1156</v>
      </c>
      <c r="C254" s="33" t="s">
        <v>70</v>
      </c>
      <c r="D254" s="34" t="s">
        <v>921</v>
      </c>
      <c r="E254" s="11" t="s">
        <v>37</v>
      </c>
    </row>
    <row r="255">
      <c r="A255" s="19">
        <v>0.6965277777777777</v>
      </c>
      <c r="B255" s="34" t="s">
        <v>1157</v>
      </c>
      <c r="C255" s="33" t="s">
        <v>286</v>
      </c>
      <c r="D255" s="34" t="s">
        <v>1156</v>
      </c>
      <c r="E255" s="11" t="s">
        <v>33</v>
      </c>
    </row>
    <row r="256">
      <c r="A256" s="19">
        <v>0.6965277777777777</v>
      </c>
      <c r="B256" s="34" t="s">
        <v>1159</v>
      </c>
      <c r="C256" s="33" t="s">
        <v>41</v>
      </c>
      <c r="D256" s="34" t="s">
        <v>1158</v>
      </c>
      <c r="E256" s="11" t="s">
        <v>37</v>
      </c>
    </row>
    <row r="257">
      <c r="A257" s="19">
        <v>0.7069444444444445</v>
      </c>
      <c r="B257" s="34" t="s">
        <v>1157</v>
      </c>
      <c r="C257" s="33" t="s">
        <v>58</v>
      </c>
      <c r="D257" s="34" t="s">
        <v>1158</v>
      </c>
      <c r="E257" s="11" t="s">
        <v>33</v>
      </c>
    </row>
    <row r="258">
      <c r="A258" s="19">
        <v>0.7069444444444445</v>
      </c>
      <c r="B258" s="34" t="s">
        <v>1159</v>
      </c>
      <c r="C258" s="33" t="s">
        <v>49</v>
      </c>
      <c r="D258" s="34" t="s">
        <v>921</v>
      </c>
      <c r="E258" s="11" t="s">
        <v>37</v>
      </c>
    </row>
    <row r="259">
      <c r="A259" s="19">
        <v>0.7166666666666667</v>
      </c>
      <c r="B259" s="34" t="s">
        <v>1158</v>
      </c>
      <c r="C259" s="33" t="s">
        <v>1067</v>
      </c>
      <c r="D259" s="34" t="s">
        <v>921</v>
      </c>
      <c r="E259" s="11" t="s">
        <v>33</v>
      </c>
    </row>
    <row r="260">
      <c r="A260" s="19">
        <v>0.7166666666666667</v>
      </c>
      <c r="B260" s="34" t="s">
        <v>1156</v>
      </c>
      <c r="C260" s="33" t="s">
        <v>14</v>
      </c>
      <c r="D260" s="34" t="s">
        <v>1159</v>
      </c>
      <c r="E260" s="11" t="s">
        <v>37</v>
      </c>
    </row>
    <row r="261">
      <c r="A261" s="19">
        <v>0.7270833333333333</v>
      </c>
      <c r="B261" s="34" t="s">
        <v>1157</v>
      </c>
      <c r="C261" s="33" t="s">
        <v>47</v>
      </c>
      <c r="D261" s="34" t="s">
        <v>921</v>
      </c>
      <c r="E261" s="11" t="s">
        <v>33</v>
      </c>
    </row>
    <row r="262">
      <c r="A262" s="19">
        <v>0.7270833333333333</v>
      </c>
      <c r="B262" s="34" t="s">
        <v>1158</v>
      </c>
      <c r="C262" s="33" t="s">
        <v>984</v>
      </c>
      <c r="D262" s="34" t="s">
        <v>1156</v>
      </c>
      <c r="E262" s="11" t="s">
        <v>37</v>
      </c>
    </row>
    <row r="263">
      <c r="A263" s="19">
        <v>0.7375</v>
      </c>
      <c r="B263" s="34" t="s">
        <v>1157</v>
      </c>
      <c r="C263" s="33" t="s">
        <v>195</v>
      </c>
      <c r="D263" s="34" t="s">
        <v>1159</v>
      </c>
      <c r="E263" s="11" t="s">
        <v>33</v>
      </c>
    </row>
    <row r="264">
      <c r="A264" s="19">
        <v>0.7375</v>
      </c>
      <c r="B264" s="34" t="s">
        <v>921</v>
      </c>
      <c r="C264" s="33" t="s">
        <v>18</v>
      </c>
      <c r="D264" s="34" t="s">
        <v>1156</v>
      </c>
      <c r="E264" s="11" t="s">
        <v>37</v>
      </c>
    </row>
    <row r="265">
      <c r="A265" s="27"/>
      <c r="B265" s="28" t="s">
        <v>134</v>
      </c>
      <c r="C265" s="2"/>
      <c r="D265" s="3"/>
      <c r="E265" s="29"/>
    </row>
    <row r="266">
      <c r="A266" s="18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9">
        <v>0.75</v>
      </c>
      <c r="B267" s="34" t="s">
        <v>863</v>
      </c>
      <c r="C267" s="53" t="s">
        <v>81</v>
      </c>
      <c r="D267" s="34" t="s">
        <v>1160</v>
      </c>
      <c r="E267" s="11" t="s">
        <v>9</v>
      </c>
    </row>
    <row r="268">
      <c r="A268" s="19">
        <v>0.75</v>
      </c>
      <c r="B268" s="34" t="s">
        <v>1161</v>
      </c>
      <c r="C268" s="37" t="s">
        <v>215</v>
      </c>
      <c r="D268" s="34" t="s">
        <v>1162</v>
      </c>
      <c r="E268" s="11" t="s">
        <v>13</v>
      </c>
    </row>
    <row r="269">
      <c r="A269" s="19">
        <v>0.7597222222222222</v>
      </c>
      <c r="B269" s="34" t="s">
        <v>1161</v>
      </c>
      <c r="C269" s="35" t="s">
        <v>285</v>
      </c>
      <c r="D269" s="34" t="s">
        <v>1160</v>
      </c>
      <c r="E269" s="11" t="s">
        <v>9</v>
      </c>
    </row>
    <row r="270">
      <c r="A270" s="19">
        <v>0.7597222222222222</v>
      </c>
      <c r="B270" s="34" t="s">
        <v>1163</v>
      </c>
      <c r="C270" s="35" t="s">
        <v>426</v>
      </c>
      <c r="D270" s="34" t="s">
        <v>1162</v>
      </c>
      <c r="E270" s="11" t="s">
        <v>13</v>
      </c>
    </row>
    <row r="271">
      <c r="A271" s="19">
        <v>0.7701388888888889</v>
      </c>
      <c r="B271" s="34" t="s">
        <v>1163</v>
      </c>
      <c r="C271" s="35" t="s">
        <v>16</v>
      </c>
      <c r="D271" s="34" t="s">
        <v>1161</v>
      </c>
      <c r="E271" s="11" t="s">
        <v>9</v>
      </c>
    </row>
    <row r="272">
      <c r="A272" s="19">
        <v>0.7701388888888889</v>
      </c>
      <c r="B272" s="34" t="s">
        <v>1162</v>
      </c>
      <c r="C272" s="35" t="s">
        <v>11</v>
      </c>
      <c r="D272" s="34" t="s">
        <v>863</v>
      </c>
      <c r="E272" s="11" t="s">
        <v>13</v>
      </c>
    </row>
    <row r="273">
      <c r="A273" s="19">
        <v>0.7805555555555556</v>
      </c>
      <c r="B273" s="34" t="s">
        <v>1163</v>
      </c>
      <c r="C273" s="35" t="s">
        <v>17</v>
      </c>
      <c r="D273" s="34" t="s">
        <v>1160</v>
      </c>
      <c r="E273" s="11" t="s">
        <v>9</v>
      </c>
    </row>
    <row r="274">
      <c r="A274" s="19">
        <v>0.7805555555555556</v>
      </c>
      <c r="B274" s="34" t="s">
        <v>863</v>
      </c>
      <c r="C274" s="35" t="s">
        <v>87</v>
      </c>
      <c r="D274" s="34" t="s">
        <v>1161</v>
      </c>
      <c r="E274" s="11" t="s">
        <v>13</v>
      </c>
    </row>
    <row r="275">
      <c r="A275" s="19">
        <v>0.7902777777777777</v>
      </c>
      <c r="B275" s="34" t="s">
        <v>1162</v>
      </c>
      <c r="C275" s="35" t="s">
        <v>321</v>
      </c>
      <c r="D275" s="34" t="s">
        <v>1160</v>
      </c>
      <c r="E275" s="11" t="s">
        <v>9</v>
      </c>
    </row>
    <row r="276">
      <c r="A276" s="19">
        <v>0.7902777777777777</v>
      </c>
      <c r="B276" s="34" t="s">
        <v>863</v>
      </c>
      <c r="C276" s="35" t="s">
        <v>212</v>
      </c>
      <c r="D276" s="34" t="s">
        <v>1163</v>
      </c>
      <c r="E276" s="11" t="s">
        <v>13</v>
      </c>
    </row>
    <row r="277">
      <c r="A277" s="19">
        <v>0.8006944444444445</v>
      </c>
      <c r="B277" s="34" t="s">
        <v>1160</v>
      </c>
      <c r="C277" s="35" t="s">
        <v>215</v>
      </c>
      <c r="D277" s="34" t="s">
        <v>863</v>
      </c>
      <c r="E277" s="11" t="s">
        <v>9</v>
      </c>
    </row>
    <row r="278">
      <c r="A278" s="19">
        <v>0.8006944444444445</v>
      </c>
      <c r="B278" s="34" t="s">
        <v>1162</v>
      </c>
      <c r="C278" s="35" t="s">
        <v>16</v>
      </c>
      <c r="D278" s="34" t="s">
        <v>1161</v>
      </c>
      <c r="E278" s="11" t="s">
        <v>13</v>
      </c>
    </row>
    <row r="279">
      <c r="A279" s="19">
        <v>0.8111111111111111</v>
      </c>
      <c r="B279" s="34" t="s">
        <v>1160</v>
      </c>
      <c r="C279" s="35" t="s">
        <v>201</v>
      </c>
      <c r="D279" s="34" t="s">
        <v>1161</v>
      </c>
      <c r="E279" s="11" t="s">
        <v>9</v>
      </c>
    </row>
    <row r="280">
      <c r="A280" s="19">
        <v>0.8111111111111111</v>
      </c>
      <c r="B280" s="34" t="s">
        <v>1162</v>
      </c>
      <c r="C280" s="35" t="s">
        <v>260</v>
      </c>
      <c r="D280" s="34" t="s">
        <v>1163</v>
      </c>
      <c r="E280" s="11" t="s">
        <v>13</v>
      </c>
    </row>
    <row r="281">
      <c r="A281" s="19">
        <v>0.8208333333333333</v>
      </c>
      <c r="B281" s="34" t="s">
        <v>1161</v>
      </c>
      <c r="C281" s="35" t="s">
        <v>41</v>
      </c>
      <c r="D281" s="34" t="s">
        <v>1163</v>
      </c>
      <c r="E281" s="11" t="s">
        <v>9</v>
      </c>
    </row>
    <row r="282">
      <c r="A282" s="19">
        <v>0.8208333333333333</v>
      </c>
      <c r="B282" s="34" t="s">
        <v>863</v>
      </c>
      <c r="C282" s="35" t="s">
        <v>218</v>
      </c>
      <c r="D282" s="34" t="s">
        <v>1162</v>
      </c>
      <c r="E282" s="11" t="s">
        <v>13</v>
      </c>
    </row>
    <row r="283">
      <c r="A283" s="19">
        <v>0.83125</v>
      </c>
      <c r="B283" s="34" t="s">
        <v>1160</v>
      </c>
      <c r="C283" s="35" t="s">
        <v>87</v>
      </c>
      <c r="D283" s="34" t="s">
        <v>1163</v>
      </c>
      <c r="E283" s="11" t="s">
        <v>9</v>
      </c>
    </row>
    <row r="284">
      <c r="A284" s="19">
        <v>0.83125</v>
      </c>
      <c r="B284" s="34" t="s">
        <v>1161</v>
      </c>
      <c r="C284" s="35" t="s">
        <v>218</v>
      </c>
      <c r="D284" s="34" t="s">
        <v>863</v>
      </c>
      <c r="E284" s="11" t="s">
        <v>13</v>
      </c>
    </row>
    <row r="285">
      <c r="A285" s="19">
        <v>0.8416666666666667</v>
      </c>
      <c r="B285" s="34" t="s">
        <v>1160</v>
      </c>
      <c r="C285" s="35" t="s">
        <v>285</v>
      </c>
      <c r="D285" s="34" t="s">
        <v>1162</v>
      </c>
      <c r="E285" s="11" t="s">
        <v>9</v>
      </c>
    </row>
    <row r="286">
      <c r="A286" s="19">
        <v>0.8416666666666667</v>
      </c>
      <c r="B286" s="34" t="s">
        <v>1163</v>
      </c>
      <c r="C286" s="35" t="s">
        <v>824</v>
      </c>
      <c r="D286" s="34" t="s">
        <v>863</v>
      </c>
      <c r="E286" s="11" t="s">
        <v>13</v>
      </c>
    </row>
    <row r="287">
      <c r="A287" s="27"/>
      <c r="B287" s="28" t="s">
        <v>134</v>
      </c>
      <c r="C287" s="2"/>
      <c r="D287" s="3"/>
      <c r="E287" s="29"/>
    </row>
    <row r="288">
      <c r="A288" s="18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9">
        <v>0.75</v>
      </c>
      <c r="B289" s="34" t="s">
        <v>1164</v>
      </c>
      <c r="C289" s="33" t="s">
        <v>190</v>
      </c>
      <c r="D289" s="34" t="s">
        <v>1165</v>
      </c>
      <c r="E289" s="11" t="s">
        <v>33</v>
      </c>
    </row>
    <row r="290">
      <c r="A290" s="19">
        <v>0.75</v>
      </c>
      <c r="B290" s="34" t="s">
        <v>311</v>
      </c>
      <c r="C290" s="33" t="s">
        <v>66</v>
      </c>
      <c r="D290" s="34" t="s">
        <v>772</v>
      </c>
      <c r="E290" s="11" t="s">
        <v>37</v>
      </c>
    </row>
    <row r="291">
      <c r="A291" s="19">
        <v>0.7597222222222222</v>
      </c>
      <c r="B291" s="34" t="s">
        <v>311</v>
      </c>
      <c r="C291" s="33" t="s">
        <v>286</v>
      </c>
      <c r="D291" s="34" t="s">
        <v>1165</v>
      </c>
      <c r="E291" s="11" t="s">
        <v>33</v>
      </c>
    </row>
    <row r="292">
      <c r="A292" s="19">
        <v>0.7597222222222222</v>
      </c>
      <c r="B292" s="34" t="s">
        <v>929</v>
      </c>
      <c r="C292" s="33" t="s">
        <v>35</v>
      </c>
      <c r="D292" s="34" t="s">
        <v>772</v>
      </c>
      <c r="E292" s="11" t="s">
        <v>37</v>
      </c>
    </row>
    <row r="293">
      <c r="A293" s="19">
        <v>0.7701388888888889</v>
      </c>
      <c r="B293" s="34" t="s">
        <v>929</v>
      </c>
      <c r="C293" s="33" t="s">
        <v>239</v>
      </c>
      <c r="D293" s="34" t="s">
        <v>311</v>
      </c>
      <c r="E293" s="11" t="s">
        <v>33</v>
      </c>
    </row>
    <row r="294">
      <c r="A294" s="19">
        <v>0.7701388888888889</v>
      </c>
      <c r="B294" s="34" t="s">
        <v>772</v>
      </c>
      <c r="C294" s="33" t="s">
        <v>589</v>
      </c>
      <c r="D294" s="34" t="s">
        <v>1164</v>
      </c>
      <c r="E294" s="11" t="s">
        <v>37</v>
      </c>
    </row>
    <row r="295">
      <c r="A295" s="19">
        <v>0.7805555555555556</v>
      </c>
      <c r="B295" s="34" t="s">
        <v>929</v>
      </c>
      <c r="C295" s="33" t="s">
        <v>244</v>
      </c>
      <c r="D295" s="34" t="s">
        <v>1165</v>
      </c>
      <c r="E295" s="11" t="s">
        <v>33</v>
      </c>
    </row>
    <row r="296">
      <c r="A296" s="19">
        <v>0.7805555555555556</v>
      </c>
      <c r="B296" s="34" t="s">
        <v>1164</v>
      </c>
      <c r="C296" s="33" t="s">
        <v>370</v>
      </c>
      <c r="D296" s="34" t="s">
        <v>311</v>
      </c>
      <c r="E296" s="11" t="s">
        <v>37</v>
      </c>
    </row>
    <row r="297">
      <c r="A297" s="19">
        <v>0.7902777777777777</v>
      </c>
      <c r="B297" s="34" t="s">
        <v>772</v>
      </c>
      <c r="C297" s="33" t="s">
        <v>286</v>
      </c>
      <c r="D297" s="34" t="s">
        <v>1165</v>
      </c>
      <c r="E297" s="11" t="s">
        <v>33</v>
      </c>
    </row>
    <row r="298">
      <c r="A298" s="19">
        <v>0.7902777777777777</v>
      </c>
      <c r="B298" s="34" t="s">
        <v>1164</v>
      </c>
      <c r="C298" s="33" t="s">
        <v>196</v>
      </c>
      <c r="D298" s="34" t="s">
        <v>929</v>
      </c>
      <c r="E298" s="11" t="s">
        <v>37</v>
      </c>
    </row>
    <row r="299">
      <c r="A299" s="19">
        <v>0.8006944444444445</v>
      </c>
      <c r="B299" s="34" t="s">
        <v>1165</v>
      </c>
      <c r="C299" s="33" t="s">
        <v>240</v>
      </c>
      <c r="D299" s="34" t="s">
        <v>1164</v>
      </c>
      <c r="E299" s="11" t="s">
        <v>33</v>
      </c>
    </row>
    <row r="300">
      <c r="A300" s="19">
        <v>0.8006944444444445</v>
      </c>
      <c r="B300" s="34" t="s">
        <v>772</v>
      </c>
      <c r="C300" s="33" t="s">
        <v>41</v>
      </c>
      <c r="D300" s="34" t="s">
        <v>311</v>
      </c>
      <c r="E300" s="11" t="s">
        <v>37</v>
      </c>
    </row>
    <row r="301">
      <c r="A301" s="19">
        <v>0.8111111111111111</v>
      </c>
      <c r="B301" s="34" t="s">
        <v>1165</v>
      </c>
      <c r="C301" s="33" t="s">
        <v>17</v>
      </c>
      <c r="D301" s="34" t="s">
        <v>311</v>
      </c>
      <c r="E301" s="11" t="s">
        <v>33</v>
      </c>
    </row>
    <row r="302">
      <c r="A302" s="19">
        <v>0.8111111111111111</v>
      </c>
      <c r="B302" s="34" t="s">
        <v>772</v>
      </c>
      <c r="C302" s="33" t="s">
        <v>282</v>
      </c>
      <c r="D302" s="34" t="s">
        <v>929</v>
      </c>
      <c r="E302" s="11" t="s">
        <v>37</v>
      </c>
    </row>
    <row r="303">
      <c r="A303" s="19">
        <v>0.8208333333333333</v>
      </c>
      <c r="B303" s="34" t="s">
        <v>311</v>
      </c>
      <c r="C303" s="33" t="s">
        <v>195</v>
      </c>
      <c r="D303" s="34" t="s">
        <v>929</v>
      </c>
      <c r="E303" s="11" t="s">
        <v>33</v>
      </c>
    </row>
    <row r="304">
      <c r="A304" s="19">
        <v>0.8208333333333333</v>
      </c>
      <c r="B304" s="34" t="s">
        <v>1164</v>
      </c>
      <c r="C304" s="33" t="s">
        <v>81</v>
      </c>
      <c r="D304" s="34" t="s">
        <v>772</v>
      </c>
      <c r="E304" s="11" t="s">
        <v>37</v>
      </c>
    </row>
    <row r="305">
      <c r="A305" s="19">
        <v>0.83125</v>
      </c>
      <c r="B305" s="34" t="s">
        <v>1165</v>
      </c>
      <c r="C305" s="33" t="s">
        <v>25</v>
      </c>
      <c r="D305" s="34" t="s">
        <v>929</v>
      </c>
      <c r="E305" s="11" t="s">
        <v>33</v>
      </c>
    </row>
    <row r="306">
      <c r="A306" s="19">
        <v>0.83125</v>
      </c>
      <c r="B306" s="34" t="s">
        <v>311</v>
      </c>
      <c r="C306" s="33" t="s">
        <v>835</v>
      </c>
      <c r="D306" s="34" t="s">
        <v>1164</v>
      </c>
      <c r="E306" s="11" t="s">
        <v>37</v>
      </c>
    </row>
    <row r="307">
      <c r="A307" s="19">
        <v>0.8416666666666667</v>
      </c>
      <c r="B307" s="34" t="s">
        <v>1165</v>
      </c>
      <c r="C307" s="33" t="s">
        <v>14</v>
      </c>
      <c r="D307" s="34" t="s">
        <v>772</v>
      </c>
      <c r="E307" s="11" t="s">
        <v>33</v>
      </c>
      <c r="H307" s="36"/>
    </row>
    <row r="308">
      <c r="A308" s="19">
        <v>0.8416666666666667</v>
      </c>
      <c r="B308" s="34" t="s">
        <v>929</v>
      </c>
      <c r="C308" s="33" t="s">
        <v>352</v>
      </c>
      <c r="D308" s="34" t="s">
        <v>1164</v>
      </c>
      <c r="E308" s="11" t="s">
        <v>37</v>
      </c>
    </row>
    <row r="309">
      <c r="A309" s="27"/>
      <c r="B309" s="28" t="s">
        <v>145</v>
      </c>
      <c r="C309" s="2"/>
      <c r="D309" s="3"/>
      <c r="E309" s="29"/>
    </row>
    <row r="310">
      <c r="A310" s="18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9">
        <v>0.8541666666666666</v>
      </c>
      <c r="B311" s="34" t="s">
        <v>1103</v>
      </c>
      <c r="C311" s="33" t="s">
        <v>494</v>
      </c>
      <c r="D311" s="34" t="s">
        <v>1166</v>
      </c>
      <c r="E311" s="11" t="s">
        <v>9</v>
      </c>
    </row>
    <row r="312">
      <c r="A312" s="19">
        <v>0.8541666666666666</v>
      </c>
      <c r="B312" s="34" t="s">
        <v>593</v>
      </c>
      <c r="C312" s="33" t="s">
        <v>87</v>
      </c>
      <c r="D312" s="34" t="s">
        <v>787</v>
      </c>
      <c r="E312" s="11" t="s">
        <v>13</v>
      </c>
    </row>
    <row r="313">
      <c r="A313" s="19">
        <v>0.8638888888888889</v>
      </c>
      <c r="B313" s="34" t="s">
        <v>593</v>
      </c>
      <c r="C313" s="33" t="s">
        <v>87</v>
      </c>
      <c r="D313" s="34" t="s">
        <v>1166</v>
      </c>
      <c r="E313" s="11" t="s">
        <v>9</v>
      </c>
    </row>
    <row r="314">
      <c r="A314" s="19">
        <v>0.8638888888888889</v>
      </c>
      <c r="B314" s="34" t="s">
        <v>1167</v>
      </c>
      <c r="C314" s="33" t="s">
        <v>295</v>
      </c>
      <c r="D314" s="34" t="s">
        <v>787</v>
      </c>
      <c r="E314" s="11" t="s">
        <v>13</v>
      </c>
    </row>
    <row r="315">
      <c r="A315" s="19">
        <v>0.8743055555555556</v>
      </c>
      <c r="B315" s="34" t="s">
        <v>1167</v>
      </c>
      <c r="C315" s="33" t="s">
        <v>239</v>
      </c>
      <c r="D315" s="34" t="s">
        <v>593</v>
      </c>
      <c r="E315" s="11" t="s">
        <v>9</v>
      </c>
    </row>
    <row r="316">
      <c r="A316" s="19">
        <v>0.8743055555555556</v>
      </c>
      <c r="B316" s="34" t="s">
        <v>787</v>
      </c>
      <c r="C316" s="33" t="s">
        <v>355</v>
      </c>
      <c r="D316" s="34" t="s">
        <v>1103</v>
      </c>
      <c r="E316" s="11" t="s">
        <v>13</v>
      </c>
    </row>
    <row r="317">
      <c r="A317" s="19">
        <v>0.8847222222222222</v>
      </c>
      <c r="B317" s="34" t="s">
        <v>1167</v>
      </c>
      <c r="C317" s="33" t="s">
        <v>190</v>
      </c>
      <c r="D317" s="34" t="s">
        <v>1166</v>
      </c>
      <c r="E317" s="11" t="s">
        <v>9</v>
      </c>
    </row>
    <row r="318">
      <c r="A318" s="19">
        <v>0.8847222222222222</v>
      </c>
      <c r="B318" s="34" t="s">
        <v>1103</v>
      </c>
      <c r="C318" s="33" t="s">
        <v>23</v>
      </c>
      <c r="D318" s="34" t="s">
        <v>593</v>
      </c>
      <c r="E318" s="11" t="s">
        <v>13</v>
      </c>
    </row>
    <row r="319">
      <c r="A319" s="19">
        <v>0.8944444444444445</v>
      </c>
      <c r="B319" s="34" t="s">
        <v>787</v>
      </c>
      <c r="C319" s="33" t="s">
        <v>1168</v>
      </c>
      <c r="D319" s="34" t="s">
        <v>1166</v>
      </c>
      <c r="E319" s="11" t="s">
        <v>9</v>
      </c>
    </row>
    <row r="320">
      <c r="A320" s="19">
        <v>0.8944444444444445</v>
      </c>
      <c r="B320" s="34" t="s">
        <v>1103</v>
      </c>
      <c r="C320" s="33" t="s">
        <v>285</v>
      </c>
      <c r="D320" s="34" t="s">
        <v>1167</v>
      </c>
      <c r="E320" s="11" t="s">
        <v>13</v>
      </c>
    </row>
    <row r="321">
      <c r="A321" s="19">
        <v>0.9048611111111111</v>
      </c>
      <c r="B321" s="34" t="s">
        <v>1166</v>
      </c>
      <c r="C321" s="33" t="s">
        <v>55</v>
      </c>
      <c r="D321" s="34" t="s">
        <v>1103</v>
      </c>
      <c r="E321" s="11" t="s">
        <v>9</v>
      </c>
    </row>
    <row r="322">
      <c r="A322" s="19">
        <v>0.9048611111111111</v>
      </c>
      <c r="B322" s="34" t="s">
        <v>787</v>
      </c>
      <c r="C322" s="33" t="s">
        <v>631</v>
      </c>
      <c r="D322" s="34" t="s">
        <v>593</v>
      </c>
      <c r="E322" s="11" t="s">
        <v>13</v>
      </c>
    </row>
    <row r="323">
      <c r="A323" s="19">
        <v>0.9152777777777777</v>
      </c>
      <c r="B323" s="34" t="s">
        <v>1166</v>
      </c>
      <c r="C323" s="35" t="s">
        <v>43</v>
      </c>
      <c r="D323" s="34" t="s">
        <v>593</v>
      </c>
      <c r="E323" s="11" t="s">
        <v>9</v>
      </c>
    </row>
    <row r="324">
      <c r="A324" s="19">
        <v>0.9152777777777777</v>
      </c>
      <c r="B324" s="34" t="s">
        <v>787</v>
      </c>
      <c r="C324" s="35" t="s">
        <v>65</v>
      </c>
      <c r="D324" s="34" t="s">
        <v>1167</v>
      </c>
      <c r="E324" s="11" t="s">
        <v>13</v>
      </c>
    </row>
    <row r="325">
      <c r="A325" s="19">
        <v>0.925</v>
      </c>
      <c r="B325" s="34" t="s">
        <v>593</v>
      </c>
      <c r="C325" s="35" t="s">
        <v>193</v>
      </c>
      <c r="D325" s="34" t="s">
        <v>1167</v>
      </c>
      <c r="E325" s="11" t="s">
        <v>9</v>
      </c>
    </row>
    <row r="326">
      <c r="A326" s="19">
        <v>0.925</v>
      </c>
      <c r="B326" s="34" t="s">
        <v>1103</v>
      </c>
      <c r="C326" s="35" t="s">
        <v>1169</v>
      </c>
      <c r="D326" s="34" t="s">
        <v>787</v>
      </c>
      <c r="E326" s="11" t="s">
        <v>13</v>
      </c>
    </row>
    <row r="327">
      <c r="A327" s="19">
        <v>0.9354166666666667</v>
      </c>
      <c r="B327" s="34" t="s">
        <v>1166</v>
      </c>
      <c r="C327" s="35" t="s">
        <v>81</v>
      </c>
      <c r="D327" s="34" t="s">
        <v>1167</v>
      </c>
      <c r="E327" s="11" t="s">
        <v>9</v>
      </c>
    </row>
    <row r="328">
      <c r="A328" s="19">
        <v>0.9354166666666667</v>
      </c>
      <c r="B328" s="34" t="s">
        <v>593</v>
      </c>
      <c r="C328" s="35" t="s">
        <v>284</v>
      </c>
      <c r="D328" s="34" t="s">
        <v>1103</v>
      </c>
      <c r="E328" s="11" t="s">
        <v>13</v>
      </c>
    </row>
    <row r="329">
      <c r="A329" s="19">
        <v>0.9458333333333333</v>
      </c>
      <c r="B329" s="34" t="s">
        <v>1166</v>
      </c>
      <c r="C329" s="35" t="s">
        <v>416</v>
      </c>
      <c r="D329" s="34" t="s">
        <v>787</v>
      </c>
      <c r="E329" s="11" t="s">
        <v>9</v>
      </c>
    </row>
    <row r="330">
      <c r="A330" s="19">
        <v>0.9458333333333333</v>
      </c>
      <c r="B330" s="34" t="s">
        <v>1167</v>
      </c>
      <c r="C330" s="35" t="s">
        <v>1170</v>
      </c>
      <c r="D330" s="34" t="s">
        <v>1103</v>
      </c>
      <c r="E330" s="11" t="s">
        <v>13</v>
      </c>
    </row>
    <row r="331">
      <c r="A331" s="27"/>
      <c r="B331" s="28" t="s">
        <v>145</v>
      </c>
      <c r="C331" s="2"/>
      <c r="D331" s="3"/>
      <c r="E331" s="29"/>
    </row>
    <row r="332">
      <c r="A332" s="18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9">
        <v>0.8541666666666666</v>
      </c>
      <c r="B333" s="34" t="s">
        <v>1171</v>
      </c>
      <c r="C333" s="33" t="s">
        <v>45</v>
      </c>
      <c r="D333" s="34" t="s">
        <v>1172</v>
      </c>
      <c r="E333" s="11" t="s">
        <v>33</v>
      </c>
    </row>
    <row r="334">
      <c r="A334" s="19">
        <v>0.8541666666666666</v>
      </c>
      <c r="B334" s="34" t="s">
        <v>1173</v>
      </c>
      <c r="C334" s="33" t="s">
        <v>434</v>
      </c>
      <c r="D334" s="34" t="s">
        <v>696</v>
      </c>
      <c r="E334" s="11" t="s">
        <v>37</v>
      </c>
    </row>
    <row r="335">
      <c r="A335" s="19">
        <v>0.8638888888888889</v>
      </c>
      <c r="B335" s="34" t="s">
        <v>1173</v>
      </c>
      <c r="C335" s="33" t="s">
        <v>329</v>
      </c>
      <c r="D335" s="34" t="s">
        <v>1172</v>
      </c>
      <c r="E335" s="11" t="s">
        <v>33</v>
      </c>
    </row>
    <row r="336">
      <c r="A336" s="19">
        <v>0.8638888888888889</v>
      </c>
      <c r="B336" s="34" t="s">
        <v>1174</v>
      </c>
      <c r="C336" s="33" t="s">
        <v>26</v>
      </c>
      <c r="D336" s="34" t="s">
        <v>696</v>
      </c>
      <c r="E336" s="11" t="s">
        <v>37</v>
      </c>
    </row>
    <row r="337">
      <c r="A337" s="19">
        <v>0.8743055555555556</v>
      </c>
      <c r="B337" s="34" t="s">
        <v>1174</v>
      </c>
      <c r="C337" s="33" t="s">
        <v>23</v>
      </c>
      <c r="D337" s="34" t="s">
        <v>1173</v>
      </c>
      <c r="E337" s="11" t="s">
        <v>33</v>
      </c>
    </row>
    <row r="338">
      <c r="A338" s="19">
        <v>0.8743055555555556</v>
      </c>
      <c r="B338" s="34" t="s">
        <v>696</v>
      </c>
      <c r="C338" s="33" t="s">
        <v>7</v>
      </c>
      <c r="D338" s="34" t="s">
        <v>1171</v>
      </c>
      <c r="E338" s="11" t="s">
        <v>37</v>
      </c>
    </row>
    <row r="339">
      <c r="A339" s="19">
        <v>0.8847222222222222</v>
      </c>
      <c r="B339" s="34" t="s">
        <v>1174</v>
      </c>
      <c r="C339" s="33" t="s">
        <v>41</v>
      </c>
      <c r="D339" s="34" t="s">
        <v>1172</v>
      </c>
      <c r="E339" s="11" t="s">
        <v>33</v>
      </c>
    </row>
    <row r="340">
      <c r="A340" s="19">
        <v>0.8847222222222222</v>
      </c>
      <c r="B340" s="34" t="s">
        <v>1171</v>
      </c>
      <c r="C340" s="33" t="s">
        <v>501</v>
      </c>
      <c r="D340" s="34" t="s">
        <v>1173</v>
      </c>
      <c r="E340" s="11" t="s">
        <v>37</v>
      </c>
    </row>
    <row r="341">
      <c r="A341" s="19">
        <v>0.8944444444444445</v>
      </c>
      <c r="B341" s="34" t="s">
        <v>696</v>
      </c>
      <c r="C341" s="33" t="s">
        <v>331</v>
      </c>
      <c r="D341" s="34" t="s">
        <v>1172</v>
      </c>
      <c r="E341" s="11" t="s">
        <v>33</v>
      </c>
    </row>
    <row r="342">
      <c r="A342" s="19">
        <v>0.8944444444444445</v>
      </c>
      <c r="B342" s="34" t="s">
        <v>1171</v>
      </c>
      <c r="C342" s="33" t="s">
        <v>72</v>
      </c>
      <c r="D342" s="34" t="s">
        <v>1174</v>
      </c>
      <c r="E342" s="11" t="s">
        <v>37</v>
      </c>
    </row>
    <row r="343">
      <c r="A343" s="19">
        <v>0.9048611111111111</v>
      </c>
      <c r="B343" s="34" t="s">
        <v>1172</v>
      </c>
      <c r="C343" s="33" t="s">
        <v>52</v>
      </c>
      <c r="D343" s="34" t="s">
        <v>1171</v>
      </c>
      <c r="E343" s="11" t="s">
        <v>33</v>
      </c>
    </row>
    <row r="344">
      <c r="A344" s="19">
        <v>0.9048611111111111</v>
      </c>
      <c r="B344" s="34" t="s">
        <v>696</v>
      </c>
      <c r="C344" s="33" t="s">
        <v>1175</v>
      </c>
      <c r="D344" s="34" t="s">
        <v>1173</v>
      </c>
      <c r="E344" s="11" t="s">
        <v>37</v>
      </c>
    </row>
    <row r="345">
      <c r="A345" s="19">
        <v>0.9152777777777777</v>
      </c>
      <c r="B345" s="34" t="s">
        <v>1172</v>
      </c>
      <c r="C345" s="33" t="s">
        <v>353</v>
      </c>
      <c r="D345" s="34" t="s">
        <v>1173</v>
      </c>
      <c r="E345" s="11" t="s">
        <v>33</v>
      </c>
    </row>
    <row r="346">
      <c r="A346" s="19">
        <v>0.9152777777777777</v>
      </c>
      <c r="B346" s="34" t="s">
        <v>696</v>
      </c>
      <c r="C346" s="33" t="s">
        <v>24</v>
      </c>
      <c r="D346" s="34" t="s">
        <v>1174</v>
      </c>
      <c r="E346" s="11" t="s">
        <v>37</v>
      </c>
    </row>
    <row r="347">
      <c r="A347" s="19">
        <v>0.925</v>
      </c>
      <c r="B347" s="34" t="s">
        <v>1173</v>
      </c>
      <c r="C347" s="33" t="s">
        <v>295</v>
      </c>
      <c r="D347" s="34" t="s">
        <v>1174</v>
      </c>
      <c r="E347" s="11" t="s">
        <v>33</v>
      </c>
    </row>
    <row r="348">
      <c r="A348" s="19">
        <v>0.925</v>
      </c>
      <c r="B348" s="34" t="s">
        <v>1171</v>
      </c>
      <c r="C348" s="33" t="s">
        <v>69</v>
      </c>
      <c r="D348" s="34" t="s">
        <v>696</v>
      </c>
      <c r="E348" s="11" t="s">
        <v>37</v>
      </c>
    </row>
    <row r="349">
      <c r="A349" s="19">
        <v>0.9354166666666667</v>
      </c>
      <c r="B349" s="34" t="s">
        <v>1172</v>
      </c>
      <c r="C349" s="33" t="s">
        <v>240</v>
      </c>
      <c r="D349" s="34" t="s">
        <v>1174</v>
      </c>
      <c r="E349" s="11" t="s">
        <v>33</v>
      </c>
    </row>
    <row r="350">
      <c r="A350" s="19">
        <v>0.9354166666666667</v>
      </c>
      <c r="B350" s="34" t="s">
        <v>1173</v>
      </c>
      <c r="C350" s="33" t="s">
        <v>62</v>
      </c>
      <c r="D350" s="34" t="s">
        <v>1171</v>
      </c>
      <c r="E350" s="11" t="s">
        <v>37</v>
      </c>
    </row>
    <row r="351">
      <c r="A351" s="19">
        <v>0.9458333333333333</v>
      </c>
      <c r="B351" s="34" t="s">
        <v>1172</v>
      </c>
      <c r="C351" s="33" t="s">
        <v>699</v>
      </c>
      <c r="D351" s="34" t="s">
        <v>696</v>
      </c>
      <c r="E351" s="11" t="s">
        <v>33</v>
      </c>
    </row>
    <row r="352">
      <c r="A352" s="19">
        <v>0.9458333333333333</v>
      </c>
      <c r="B352" s="34" t="s">
        <v>1174</v>
      </c>
      <c r="C352" s="33" t="s">
        <v>488</v>
      </c>
      <c r="D352" s="34" t="s">
        <v>1171</v>
      </c>
      <c r="E352" s="11" t="s">
        <v>37</v>
      </c>
    </row>
    <row r="353">
      <c r="A353" s="27"/>
      <c r="B353" s="28" t="s">
        <v>156</v>
      </c>
      <c r="C353" s="2"/>
      <c r="D353" s="3"/>
      <c r="E353" s="29"/>
    </row>
    <row r="354">
      <c r="A354" s="18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9">
        <v>0.9583333333333334</v>
      </c>
      <c r="B355" s="34" t="s">
        <v>1114</v>
      </c>
      <c r="C355" s="35" t="s">
        <v>17</v>
      </c>
      <c r="D355" s="34" t="s">
        <v>1115</v>
      </c>
      <c r="E355" s="11" t="s">
        <v>9</v>
      </c>
    </row>
    <row r="356">
      <c r="A356" s="19">
        <v>0.9583333333333334</v>
      </c>
      <c r="B356" s="34" t="s">
        <v>1116</v>
      </c>
      <c r="C356" s="35" t="s">
        <v>87</v>
      </c>
      <c r="D356" s="34" t="s">
        <v>1176</v>
      </c>
      <c r="E356" s="11" t="s">
        <v>13</v>
      </c>
    </row>
    <row r="357">
      <c r="A357" s="19">
        <v>0.9680555555555556</v>
      </c>
      <c r="B357" s="34" t="s">
        <v>1116</v>
      </c>
      <c r="C357" s="35" t="s">
        <v>472</v>
      </c>
      <c r="D357" s="34" t="s">
        <v>1115</v>
      </c>
      <c r="E357" s="11" t="s">
        <v>9</v>
      </c>
    </row>
    <row r="358">
      <c r="A358" s="19">
        <v>0.9680555555555556</v>
      </c>
      <c r="B358" s="34" t="s">
        <v>345</v>
      </c>
      <c r="C358" s="35" t="s">
        <v>62</v>
      </c>
      <c r="D358" s="34" t="s">
        <v>1176</v>
      </c>
      <c r="E358" s="11" t="s">
        <v>13</v>
      </c>
    </row>
    <row r="359">
      <c r="A359" s="19">
        <v>0.9784722222222222</v>
      </c>
      <c r="B359" s="34" t="s">
        <v>345</v>
      </c>
      <c r="C359" s="35" t="s">
        <v>389</v>
      </c>
      <c r="D359" s="34" t="s">
        <v>1116</v>
      </c>
      <c r="E359" s="11" t="s">
        <v>9</v>
      </c>
    </row>
    <row r="360">
      <c r="A360" s="19">
        <v>0.9784722222222222</v>
      </c>
      <c r="B360" s="34" t="s">
        <v>1176</v>
      </c>
      <c r="C360" s="35" t="s">
        <v>49</v>
      </c>
      <c r="D360" s="34" t="s">
        <v>1114</v>
      </c>
      <c r="E360" s="11" t="s">
        <v>13</v>
      </c>
    </row>
    <row r="361">
      <c r="A361" s="19">
        <v>0.9888888888888889</v>
      </c>
      <c r="B361" s="34" t="s">
        <v>345</v>
      </c>
      <c r="C361" s="35" t="s">
        <v>64</v>
      </c>
      <c r="D361" s="34" t="s">
        <v>1115</v>
      </c>
      <c r="E361" s="11" t="s">
        <v>9</v>
      </c>
    </row>
    <row r="362">
      <c r="A362" s="19">
        <v>0.9888888888888889</v>
      </c>
      <c r="B362" s="34" t="s">
        <v>1114</v>
      </c>
      <c r="C362" s="35" t="s">
        <v>14</v>
      </c>
      <c r="D362" s="34" t="s">
        <v>1116</v>
      </c>
      <c r="E362" s="11" t="s">
        <v>13</v>
      </c>
    </row>
    <row r="363">
      <c r="A363" s="19">
        <v>0.9986111111111111</v>
      </c>
      <c r="B363" s="34" t="s">
        <v>1176</v>
      </c>
      <c r="C363" s="35" t="s">
        <v>22</v>
      </c>
      <c r="D363" s="34" t="s">
        <v>1115</v>
      </c>
      <c r="E363" s="11" t="s">
        <v>9</v>
      </c>
    </row>
    <row r="364">
      <c r="A364" s="19">
        <v>0.9986111111111111</v>
      </c>
      <c r="B364" s="34" t="s">
        <v>1114</v>
      </c>
      <c r="C364" s="35" t="s">
        <v>19</v>
      </c>
      <c r="D364" s="34" t="s">
        <v>345</v>
      </c>
      <c r="E364" s="11" t="s">
        <v>13</v>
      </c>
    </row>
    <row r="365">
      <c r="A365" s="19">
        <v>0.009027777777777777</v>
      </c>
      <c r="B365" s="34" t="s">
        <v>1115</v>
      </c>
      <c r="C365" s="35" t="s">
        <v>87</v>
      </c>
      <c r="D365" s="34" t="s">
        <v>1114</v>
      </c>
      <c r="E365" s="11" t="s">
        <v>9</v>
      </c>
    </row>
    <row r="366">
      <c r="A366" s="19">
        <v>0.009027777777777777</v>
      </c>
      <c r="B366" s="34" t="s">
        <v>1176</v>
      </c>
      <c r="C366" s="35" t="s">
        <v>38</v>
      </c>
      <c r="D366" s="34" t="s">
        <v>1116</v>
      </c>
      <c r="E366" s="11" t="s">
        <v>13</v>
      </c>
    </row>
    <row r="367">
      <c r="A367" s="19">
        <v>0.019444444444444445</v>
      </c>
      <c r="B367" s="34" t="s">
        <v>1115</v>
      </c>
      <c r="C367" s="35" t="s">
        <v>282</v>
      </c>
      <c r="D367" s="34" t="s">
        <v>1116</v>
      </c>
      <c r="E367" s="11" t="s">
        <v>9</v>
      </c>
    </row>
    <row r="368">
      <c r="A368" s="19">
        <v>0.019444444444444445</v>
      </c>
      <c r="B368" s="34" t="s">
        <v>1176</v>
      </c>
      <c r="C368" s="35" t="s">
        <v>81</v>
      </c>
      <c r="D368" s="34" t="s">
        <v>345</v>
      </c>
      <c r="E368" s="11" t="s">
        <v>13</v>
      </c>
    </row>
    <row r="369">
      <c r="A369" s="19">
        <v>0.029166666666666667</v>
      </c>
      <c r="B369" s="34" t="s">
        <v>1116</v>
      </c>
      <c r="C369" s="35" t="s">
        <v>218</v>
      </c>
      <c r="D369" s="34" t="s">
        <v>345</v>
      </c>
      <c r="E369" s="11" t="s">
        <v>9</v>
      </c>
    </row>
    <row r="370">
      <c r="A370" s="19">
        <v>0.029166666666666667</v>
      </c>
      <c r="B370" s="34" t="s">
        <v>1114</v>
      </c>
      <c r="C370" s="35" t="s">
        <v>68</v>
      </c>
      <c r="D370" s="34" t="s">
        <v>1176</v>
      </c>
      <c r="E370" s="11" t="s">
        <v>13</v>
      </c>
    </row>
    <row r="371">
      <c r="A371" s="19">
        <v>0.03958333333333333</v>
      </c>
      <c r="B371" s="34" t="s">
        <v>1115</v>
      </c>
      <c r="C371" s="35" t="s">
        <v>25</v>
      </c>
      <c r="D371" s="34" t="s">
        <v>345</v>
      </c>
      <c r="E371" s="11" t="s">
        <v>9</v>
      </c>
    </row>
    <row r="372">
      <c r="A372" s="19">
        <v>0.03958333333333333</v>
      </c>
      <c r="B372" s="34" t="s">
        <v>1116</v>
      </c>
      <c r="C372" s="35" t="s">
        <v>195</v>
      </c>
      <c r="D372" s="34" t="s">
        <v>1114</v>
      </c>
      <c r="E372" s="11" t="s">
        <v>13</v>
      </c>
    </row>
    <row r="373">
      <c r="A373" s="19">
        <v>0.05</v>
      </c>
      <c r="B373" s="34" t="s">
        <v>1115</v>
      </c>
      <c r="C373" s="35" t="s">
        <v>17</v>
      </c>
      <c r="D373" s="34" t="s">
        <v>1176</v>
      </c>
      <c r="E373" s="11" t="s">
        <v>9</v>
      </c>
    </row>
    <row r="374">
      <c r="A374" s="19">
        <v>0.05</v>
      </c>
      <c r="B374" s="34" t="s">
        <v>345</v>
      </c>
      <c r="C374" s="35" t="s">
        <v>72</v>
      </c>
      <c r="D374" s="34" t="s">
        <v>1114</v>
      </c>
      <c r="E374" s="11" t="s">
        <v>13</v>
      </c>
    </row>
    <row r="375">
      <c r="B375" s="28" t="s">
        <v>156</v>
      </c>
      <c r="C375" s="2"/>
      <c r="D375" s="3"/>
      <c r="E375" s="29"/>
    </row>
    <row r="376">
      <c r="A376" s="18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9">
        <v>0.9583333333333334</v>
      </c>
      <c r="B377" s="34" t="s">
        <v>364</v>
      </c>
      <c r="C377" s="33" t="s">
        <v>42</v>
      </c>
      <c r="D377" s="34" t="s">
        <v>163</v>
      </c>
      <c r="E377" s="11" t="s">
        <v>33</v>
      </c>
    </row>
    <row r="378">
      <c r="A378" s="19">
        <v>0.9583333333333334</v>
      </c>
      <c r="B378" s="34" t="s">
        <v>1177</v>
      </c>
      <c r="C378" s="33" t="s">
        <v>434</v>
      </c>
      <c r="D378" s="34" t="s">
        <v>1178</v>
      </c>
      <c r="E378" s="11" t="s">
        <v>37</v>
      </c>
    </row>
    <row r="379">
      <c r="A379" s="19">
        <v>0.9680555555555556</v>
      </c>
      <c r="B379" s="34" t="s">
        <v>1177</v>
      </c>
      <c r="C379" s="33" t="s">
        <v>69</v>
      </c>
      <c r="D379" s="34" t="s">
        <v>163</v>
      </c>
      <c r="E379" s="11" t="s">
        <v>33</v>
      </c>
    </row>
    <row r="380">
      <c r="A380" s="19">
        <v>0.9680555555555556</v>
      </c>
      <c r="B380" s="34" t="s">
        <v>1179</v>
      </c>
      <c r="C380" s="33" t="s">
        <v>215</v>
      </c>
      <c r="D380" s="34" t="s">
        <v>1178</v>
      </c>
      <c r="E380" s="11" t="s">
        <v>37</v>
      </c>
    </row>
    <row r="381">
      <c r="A381" s="19">
        <v>0.9784722222222222</v>
      </c>
      <c r="B381" s="34" t="s">
        <v>1179</v>
      </c>
      <c r="C381" s="33" t="s">
        <v>42</v>
      </c>
      <c r="D381" s="34" t="s">
        <v>1177</v>
      </c>
      <c r="E381" s="11" t="s">
        <v>33</v>
      </c>
    </row>
    <row r="382">
      <c r="A382" s="19">
        <v>0.9784722222222222</v>
      </c>
      <c r="B382" s="34" t="s">
        <v>1178</v>
      </c>
      <c r="C382" s="33" t="s">
        <v>297</v>
      </c>
      <c r="D382" s="34" t="s">
        <v>364</v>
      </c>
      <c r="E382" s="11" t="s">
        <v>37</v>
      </c>
    </row>
    <row r="383">
      <c r="A383" s="19">
        <v>0.9888888888888889</v>
      </c>
      <c r="B383" s="34" t="s">
        <v>1179</v>
      </c>
      <c r="C383" s="33" t="s">
        <v>218</v>
      </c>
      <c r="D383" s="34" t="s">
        <v>163</v>
      </c>
      <c r="E383" s="11" t="s">
        <v>33</v>
      </c>
    </row>
    <row r="384">
      <c r="A384" s="19">
        <v>0.9888888888888889</v>
      </c>
      <c r="B384" s="34" t="s">
        <v>364</v>
      </c>
      <c r="C384" s="33" t="s">
        <v>286</v>
      </c>
      <c r="D384" s="34" t="s">
        <v>1177</v>
      </c>
      <c r="E384" s="11" t="s">
        <v>37</v>
      </c>
    </row>
    <row r="385">
      <c r="A385" s="19">
        <v>0.9986111111111111</v>
      </c>
      <c r="B385" s="34" t="s">
        <v>1178</v>
      </c>
      <c r="C385" s="33" t="s">
        <v>416</v>
      </c>
      <c r="D385" s="34" t="s">
        <v>163</v>
      </c>
      <c r="E385" s="11" t="s">
        <v>33</v>
      </c>
    </row>
    <row r="386">
      <c r="A386" s="19">
        <v>0.9986111111111111</v>
      </c>
      <c r="B386" s="34" t="s">
        <v>364</v>
      </c>
      <c r="C386" s="33" t="s">
        <v>218</v>
      </c>
      <c r="D386" s="34" t="s">
        <v>1179</v>
      </c>
      <c r="E386" s="11" t="s">
        <v>37</v>
      </c>
    </row>
    <row r="387">
      <c r="A387" s="19">
        <v>0.009027777777777777</v>
      </c>
      <c r="B387" s="34" t="s">
        <v>163</v>
      </c>
      <c r="C387" s="33" t="s">
        <v>239</v>
      </c>
      <c r="D387" s="34" t="s">
        <v>364</v>
      </c>
      <c r="E387" s="11" t="s">
        <v>33</v>
      </c>
    </row>
    <row r="388">
      <c r="A388" s="19">
        <v>0.009027777777777777</v>
      </c>
      <c r="B388" s="34" t="s">
        <v>1178</v>
      </c>
      <c r="C388" s="33" t="s">
        <v>62</v>
      </c>
      <c r="D388" s="34" t="s">
        <v>1177</v>
      </c>
      <c r="E388" s="11" t="s">
        <v>37</v>
      </c>
    </row>
    <row r="389">
      <c r="A389" s="19">
        <v>0.019444444444444445</v>
      </c>
      <c r="B389" s="34" t="s">
        <v>163</v>
      </c>
      <c r="C389" s="33" t="s">
        <v>578</v>
      </c>
      <c r="D389" s="34" t="s">
        <v>1177</v>
      </c>
      <c r="E389" s="11" t="s">
        <v>33</v>
      </c>
    </row>
    <row r="390">
      <c r="A390" s="19">
        <v>0.019444444444444445</v>
      </c>
      <c r="B390" s="34" t="s">
        <v>1178</v>
      </c>
      <c r="C390" s="33" t="s">
        <v>64</v>
      </c>
      <c r="D390" s="34" t="s">
        <v>1179</v>
      </c>
      <c r="E390" s="11" t="s">
        <v>37</v>
      </c>
    </row>
    <row r="391">
      <c r="A391" s="19">
        <v>0.029166666666666667</v>
      </c>
      <c r="B391" s="34" t="s">
        <v>1177</v>
      </c>
      <c r="C391" s="33" t="s">
        <v>17</v>
      </c>
      <c r="D391" s="34" t="s">
        <v>1179</v>
      </c>
      <c r="E391" s="11" t="s">
        <v>33</v>
      </c>
    </row>
    <row r="392">
      <c r="A392" s="19">
        <v>0.029166666666666667</v>
      </c>
      <c r="B392" s="34" t="s">
        <v>364</v>
      </c>
      <c r="C392" s="33" t="s">
        <v>43</v>
      </c>
      <c r="D392" s="34" t="s">
        <v>1178</v>
      </c>
      <c r="E392" s="11" t="s">
        <v>37</v>
      </c>
    </row>
    <row r="393">
      <c r="A393" s="19">
        <v>0.03958333333333333</v>
      </c>
      <c r="B393" s="34" t="s">
        <v>163</v>
      </c>
      <c r="C393" s="33" t="s">
        <v>19</v>
      </c>
      <c r="D393" s="34" t="s">
        <v>1179</v>
      </c>
      <c r="E393" s="11" t="s">
        <v>33</v>
      </c>
    </row>
    <row r="394">
      <c r="A394" s="19">
        <v>0.03958333333333333</v>
      </c>
      <c r="B394" s="34" t="s">
        <v>1177</v>
      </c>
      <c r="C394" s="33" t="s">
        <v>413</v>
      </c>
      <c r="D394" s="34" t="s">
        <v>364</v>
      </c>
      <c r="E394" s="11" t="s">
        <v>37</v>
      </c>
    </row>
    <row r="395">
      <c r="A395" s="19">
        <v>0.05</v>
      </c>
      <c r="B395" s="34" t="s">
        <v>163</v>
      </c>
      <c r="C395" s="33" t="s">
        <v>193</v>
      </c>
      <c r="D395" s="34" t="s">
        <v>1178</v>
      </c>
      <c r="E395" s="11" t="s">
        <v>33</v>
      </c>
    </row>
    <row r="396">
      <c r="A396" s="19">
        <v>0.05</v>
      </c>
      <c r="B396" s="34" t="s">
        <v>1179</v>
      </c>
      <c r="C396" s="33" t="s">
        <v>506</v>
      </c>
      <c r="D396" s="34" t="s">
        <v>364</v>
      </c>
      <c r="E396" s="11" t="s">
        <v>37</v>
      </c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46"/>
      <c r="B1" s="1" t="s">
        <v>0</v>
      </c>
      <c r="C1" s="2"/>
      <c r="D1" s="3"/>
      <c r="E1" s="29"/>
    </row>
    <row r="2">
      <c r="A2" s="47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19">
        <v>0.0625</v>
      </c>
      <c r="B3" s="32" t="s">
        <v>1180</v>
      </c>
      <c r="C3" s="33" t="s">
        <v>22</v>
      </c>
      <c r="D3" s="34" t="s">
        <v>1181</v>
      </c>
      <c r="E3" s="11" t="s">
        <v>9</v>
      </c>
    </row>
    <row r="4">
      <c r="A4" s="19">
        <v>0.0625</v>
      </c>
      <c r="B4" s="32" t="s">
        <v>1182</v>
      </c>
      <c r="C4" s="33" t="s">
        <v>217</v>
      </c>
      <c r="D4" s="32" t="s">
        <v>1183</v>
      </c>
      <c r="E4" s="11" t="s">
        <v>13</v>
      </c>
    </row>
    <row r="5">
      <c r="A5" s="19">
        <v>0.07222222222222222</v>
      </c>
      <c r="B5" s="34" t="s">
        <v>1182</v>
      </c>
      <c r="C5" s="33" t="s">
        <v>270</v>
      </c>
      <c r="D5" s="32" t="s">
        <v>1181</v>
      </c>
      <c r="E5" s="11" t="s">
        <v>9</v>
      </c>
    </row>
    <row r="6">
      <c r="A6" s="19">
        <v>0.07222222222222222</v>
      </c>
      <c r="B6" s="32" t="s">
        <v>1032</v>
      </c>
      <c r="C6" s="33" t="s">
        <v>31</v>
      </c>
      <c r="D6" s="34" t="s">
        <v>1183</v>
      </c>
      <c r="E6" s="11" t="s">
        <v>13</v>
      </c>
    </row>
    <row r="7">
      <c r="A7" s="19">
        <v>0.08263888888888889</v>
      </c>
      <c r="B7" s="34" t="s">
        <v>1032</v>
      </c>
      <c r="C7" s="33" t="s">
        <v>19</v>
      </c>
      <c r="D7" s="32" t="s">
        <v>1182</v>
      </c>
      <c r="E7" s="11" t="s">
        <v>9</v>
      </c>
    </row>
    <row r="8">
      <c r="A8" s="19">
        <v>0.08263888888888889</v>
      </c>
      <c r="B8" s="32" t="s">
        <v>1183</v>
      </c>
      <c r="C8" s="33" t="s">
        <v>43</v>
      </c>
      <c r="D8" s="32" t="s">
        <v>1180</v>
      </c>
      <c r="E8" s="11" t="s">
        <v>13</v>
      </c>
    </row>
    <row r="9">
      <c r="A9" s="19">
        <v>0.09305555555555556</v>
      </c>
      <c r="B9" s="34" t="s">
        <v>1032</v>
      </c>
      <c r="C9" s="33" t="s">
        <v>80</v>
      </c>
      <c r="D9" s="34" t="s">
        <v>1181</v>
      </c>
      <c r="E9" s="11" t="s">
        <v>9</v>
      </c>
    </row>
    <row r="10">
      <c r="A10" s="19">
        <v>0.09305555555555556</v>
      </c>
      <c r="B10" s="32" t="s">
        <v>1180</v>
      </c>
      <c r="C10" s="33" t="s">
        <v>1184</v>
      </c>
      <c r="D10" s="32" t="s">
        <v>1182</v>
      </c>
      <c r="E10" s="11" t="s">
        <v>13</v>
      </c>
      <c r="G10" s="54"/>
    </row>
    <row r="11">
      <c r="A11" s="19">
        <v>0.10277777777777777</v>
      </c>
      <c r="B11" s="34" t="s">
        <v>1183</v>
      </c>
      <c r="C11" s="33" t="s">
        <v>251</v>
      </c>
      <c r="D11" s="32" t="s">
        <v>1181</v>
      </c>
      <c r="E11" s="11" t="s">
        <v>9</v>
      </c>
    </row>
    <row r="12">
      <c r="A12" s="19">
        <v>0.10277777777777777</v>
      </c>
      <c r="B12" s="32" t="s">
        <v>1180</v>
      </c>
      <c r="C12" s="33" t="s">
        <v>87</v>
      </c>
      <c r="D12" s="34" t="s">
        <v>1032</v>
      </c>
      <c r="E12" s="11" t="s">
        <v>13</v>
      </c>
    </row>
    <row r="13">
      <c r="A13" s="19">
        <v>0.11319444444444444</v>
      </c>
      <c r="B13" s="34" t="s">
        <v>1181</v>
      </c>
      <c r="C13" s="33" t="s">
        <v>48</v>
      </c>
      <c r="D13" s="32" t="s">
        <v>1180</v>
      </c>
      <c r="E13" s="11" t="s">
        <v>9</v>
      </c>
    </row>
    <row r="14">
      <c r="A14" s="19">
        <v>0.11319444444444444</v>
      </c>
      <c r="B14" s="32" t="s">
        <v>1183</v>
      </c>
      <c r="C14" s="33" t="s">
        <v>196</v>
      </c>
      <c r="D14" s="32" t="s">
        <v>1182</v>
      </c>
      <c r="E14" s="11" t="s">
        <v>13</v>
      </c>
    </row>
    <row r="15">
      <c r="A15" s="19">
        <v>0.12361111111111112</v>
      </c>
      <c r="B15" s="32" t="s">
        <v>1181</v>
      </c>
      <c r="C15" s="35" t="s">
        <v>267</v>
      </c>
      <c r="D15" s="34" t="s">
        <v>1182</v>
      </c>
      <c r="E15" s="11" t="s">
        <v>9</v>
      </c>
    </row>
    <row r="16">
      <c r="A16" s="19">
        <v>0.12361111111111112</v>
      </c>
      <c r="B16" s="34" t="s">
        <v>1183</v>
      </c>
      <c r="C16" s="35" t="s">
        <v>28</v>
      </c>
      <c r="D16" s="32" t="s">
        <v>1032</v>
      </c>
      <c r="E16" s="11" t="s">
        <v>13</v>
      </c>
    </row>
    <row r="17">
      <c r="A17" s="19">
        <v>0.13333333333333333</v>
      </c>
      <c r="B17" s="32" t="s">
        <v>1182</v>
      </c>
      <c r="C17" s="35" t="s">
        <v>686</v>
      </c>
      <c r="D17" s="34" t="s">
        <v>1032</v>
      </c>
      <c r="E17" s="11" t="s">
        <v>9</v>
      </c>
    </row>
    <row r="18">
      <c r="A18" s="19">
        <v>0.13333333333333333</v>
      </c>
      <c r="B18" s="32" t="s">
        <v>1180</v>
      </c>
      <c r="C18" s="35" t="s">
        <v>260</v>
      </c>
      <c r="D18" s="32" t="s">
        <v>1183</v>
      </c>
      <c r="E18" s="11" t="s">
        <v>13</v>
      </c>
    </row>
    <row r="19">
      <c r="A19" s="19">
        <v>0.14375</v>
      </c>
      <c r="B19" s="34" t="s">
        <v>1181</v>
      </c>
      <c r="C19" s="35" t="s">
        <v>369</v>
      </c>
      <c r="D19" s="34" t="s">
        <v>1032</v>
      </c>
      <c r="E19" s="11" t="s">
        <v>9</v>
      </c>
    </row>
    <row r="20">
      <c r="A20" s="19">
        <v>0.14375</v>
      </c>
      <c r="B20" s="32" t="s">
        <v>1182</v>
      </c>
      <c r="C20" s="35" t="s">
        <v>18</v>
      </c>
      <c r="D20" s="32" t="s">
        <v>1180</v>
      </c>
      <c r="E20" s="11" t="s">
        <v>13</v>
      </c>
    </row>
    <row r="21">
      <c r="A21" s="19">
        <v>0.15416666666666667</v>
      </c>
      <c r="B21" s="32" t="s">
        <v>1181</v>
      </c>
      <c r="C21" s="35" t="s">
        <v>282</v>
      </c>
      <c r="D21" s="34" t="s">
        <v>1183</v>
      </c>
      <c r="E21" s="11" t="s">
        <v>9</v>
      </c>
    </row>
    <row r="22">
      <c r="A22" s="19">
        <v>0.15416666666666667</v>
      </c>
      <c r="B22" s="34" t="s">
        <v>1032</v>
      </c>
      <c r="C22" s="35" t="s">
        <v>14</v>
      </c>
      <c r="D22" s="32" t="s">
        <v>1180</v>
      </c>
      <c r="E22" s="11" t="s">
        <v>13</v>
      </c>
    </row>
    <row r="23">
      <c r="A23" s="27"/>
      <c r="B23" s="1" t="s">
        <v>29</v>
      </c>
      <c r="C23" s="2"/>
      <c r="D23" s="3"/>
      <c r="E23" s="48"/>
    </row>
    <row r="24">
      <c r="A24" s="18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9">
        <v>0.0625</v>
      </c>
      <c r="B25" s="32" t="s">
        <v>1185</v>
      </c>
      <c r="C25" s="33" t="s">
        <v>197</v>
      </c>
      <c r="D25" s="32" t="s">
        <v>803</v>
      </c>
      <c r="E25" s="11" t="s">
        <v>33</v>
      </c>
    </row>
    <row r="26">
      <c r="A26" s="19">
        <v>0.0625</v>
      </c>
      <c r="B26" s="32" t="s">
        <v>172</v>
      </c>
      <c r="C26" s="33" t="s">
        <v>41</v>
      </c>
      <c r="D26" s="32" t="s">
        <v>175</v>
      </c>
      <c r="E26" s="11" t="s">
        <v>37</v>
      </c>
    </row>
    <row r="27">
      <c r="A27" s="19">
        <v>0.07222222222222222</v>
      </c>
      <c r="B27" s="34" t="s">
        <v>172</v>
      </c>
      <c r="C27" s="33" t="s">
        <v>20</v>
      </c>
      <c r="D27" s="34" t="s">
        <v>803</v>
      </c>
      <c r="E27" s="11" t="s">
        <v>33</v>
      </c>
    </row>
    <row r="28">
      <c r="A28" s="19">
        <v>0.07222222222222222</v>
      </c>
      <c r="B28" s="32" t="s">
        <v>176</v>
      </c>
      <c r="C28" s="33" t="s">
        <v>86</v>
      </c>
      <c r="D28" s="32" t="s">
        <v>175</v>
      </c>
      <c r="E28" s="11" t="s">
        <v>37</v>
      </c>
    </row>
    <row r="29">
      <c r="A29" s="19">
        <v>0.08263888888888889</v>
      </c>
      <c r="B29" s="34" t="s">
        <v>176</v>
      </c>
      <c r="C29" s="33" t="s">
        <v>319</v>
      </c>
      <c r="D29" s="32" t="s">
        <v>172</v>
      </c>
      <c r="E29" s="11" t="s">
        <v>33</v>
      </c>
    </row>
    <row r="30">
      <c r="A30" s="19">
        <v>0.08263888888888889</v>
      </c>
      <c r="B30" s="32" t="s">
        <v>175</v>
      </c>
      <c r="C30" s="33" t="s">
        <v>197</v>
      </c>
      <c r="D30" s="32" t="s">
        <v>1185</v>
      </c>
      <c r="E30" s="11" t="s">
        <v>37</v>
      </c>
    </row>
    <row r="31">
      <c r="A31" s="19">
        <v>0.09305555555555556</v>
      </c>
      <c r="B31" s="34" t="s">
        <v>176</v>
      </c>
      <c r="C31" s="33" t="s">
        <v>64</v>
      </c>
      <c r="D31" s="32" t="s">
        <v>803</v>
      </c>
      <c r="E31" s="11" t="s">
        <v>33</v>
      </c>
    </row>
    <row r="32">
      <c r="A32" s="19">
        <v>0.09305555555555556</v>
      </c>
      <c r="B32" s="32" t="s">
        <v>1185</v>
      </c>
      <c r="C32" s="33" t="s">
        <v>41</v>
      </c>
      <c r="D32" s="34" t="s">
        <v>172</v>
      </c>
      <c r="E32" s="11" t="s">
        <v>37</v>
      </c>
    </row>
    <row r="33">
      <c r="A33" s="19">
        <v>0.10277777777777777</v>
      </c>
      <c r="B33" s="32" t="s">
        <v>175</v>
      </c>
      <c r="C33" s="33" t="s">
        <v>7</v>
      </c>
      <c r="D33" s="32" t="s">
        <v>803</v>
      </c>
      <c r="E33" s="11" t="s">
        <v>33</v>
      </c>
    </row>
    <row r="34">
      <c r="A34" s="19">
        <v>0.10277777777777777</v>
      </c>
      <c r="B34" s="32" t="s">
        <v>1185</v>
      </c>
      <c r="C34" s="33" t="s">
        <v>52</v>
      </c>
      <c r="D34" s="32" t="s">
        <v>176</v>
      </c>
      <c r="E34" s="11" t="s">
        <v>37</v>
      </c>
    </row>
    <row r="35">
      <c r="A35" s="19">
        <v>0.11319444444444444</v>
      </c>
      <c r="B35" s="32" t="s">
        <v>803</v>
      </c>
      <c r="C35" s="33" t="s">
        <v>260</v>
      </c>
      <c r="D35" s="32" t="s">
        <v>1185</v>
      </c>
      <c r="E35" s="11" t="s">
        <v>33</v>
      </c>
    </row>
    <row r="36">
      <c r="A36" s="19">
        <v>0.11319444444444444</v>
      </c>
      <c r="B36" s="32" t="s">
        <v>175</v>
      </c>
      <c r="C36" s="33" t="s">
        <v>411</v>
      </c>
      <c r="D36" s="32" t="s">
        <v>172</v>
      </c>
      <c r="E36" s="11" t="s">
        <v>37</v>
      </c>
    </row>
    <row r="37">
      <c r="A37" s="19">
        <v>0.12361111111111112</v>
      </c>
      <c r="B37" s="34" t="s">
        <v>803</v>
      </c>
      <c r="C37" s="33" t="s">
        <v>16</v>
      </c>
      <c r="D37" s="34" t="s">
        <v>172</v>
      </c>
      <c r="E37" s="11" t="s">
        <v>33</v>
      </c>
    </row>
    <row r="38">
      <c r="A38" s="19">
        <v>0.12361111111111112</v>
      </c>
      <c r="B38" s="32" t="s">
        <v>175</v>
      </c>
      <c r="C38" s="33" t="s">
        <v>72</v>
      </c>
      <c r="D38" s="32" t="s">
        <v>176</v>
      </c>
      <c r="E38" s="11" t="s">
        <v>37</v>
      </c>
    </row>
    <row r="39">
      <c r="A39" s="19">
        <v>0.13333333333333333</v>
      </c>
      <c r="B39" s="32" t="s">
        <v>172</v>
      </c>
      <c r="C39" s="33" t="s">
        <v>1186</v>
      </c>
      <c r="D39" s="34" t="s">
        <v>176</v>
      </c>
      <c r="E39" s="11" t="s">
        <v>33</v>
      </c>
    </row>
    <row r="40">
      <c r="A40" s="19">
        <v>0.13333333333333333</v>
      </c>
      <c r="B40" s="32" t="s">
        <v>1185</v>
      </c>
      <c r="C40" s="33" t="s">
        <v>62</v>
      </c>
      <c r="D40" s="32" t="s">
        <v>175</v>
      </c>
      <c r="E40" s="11" t="s">
        <v>37</v>
      </c>
    </row>
    <row r="41">
      <c r="A41" s="19">
        <v>0.14375</v>
      </c>
      <c r="B41" s="32" t="s">
        <v>803</v>
      </c>
      <c r="C41" s="33" t="s">
        <v>21</v>
      </c>
      <c r="D41" s="34" t="s">
        <v>176</v>
      </c>
      <c r="E41" s="11" t="s">
        <v>33</v>
      </c>
    </row>
    <row r="42">
      <c r="A42" s="19">
        <v>0.14375</v>
      </c>
      <c r="B42" s="34" t="s">
        <v>172</v>
      </c>
      <c r="C42" s="33" t="s">
        <v>87</v>
      </c>
      <c r="D42" s="32" t="s">
        <v>1185</v>
      </c>
      <c r="E42" s="11" t="s">
        <v>37</v>
      </c>
    </row>
    <row r="43">
      <c r="A43" s="19">
        <v>0.15416666666666667</v>
      </c>
      <c r="B43" s="32" t="s">
        <v>803</v>
      </c>
      <c r="C43" s="33" t="s">
        <v>872</v>
      </c>
      <c r="D43" s="32" t="s">
        <v>175</v>
      </c>
      <c r="E43" s="11" t="s">
        <v>33</v>
      </c>
    </row>
    <row r="44">
      <c r="A44" s="19">
        <v>0.15416666666666667</v>
      </c>
      <c r="B44" s="32" t="s">
        <v>176</v>
      </c>
      <c r="C44" s="33" t="s">
        <v>319</v>
      </c>
      <c r="D44" s="32" t="s">
        <v>1185</v>
      </c>
      <c r="E44" s="11" t="s">
        <v>37</v>
      </c>
    </row>
    <row r="45">
      <c r="A45" s="27"/>
      <c r="B45" s="1" t="s">
        <v>53</v>
      </c>
      <c r="C45" s="2"/>
      <c r="D45" s="3"/>
      <c r="E45" s="14"/>
    </row>
    <row r="46">
      <c r="A46" s="18" t="s">
        <v>1</v>
      </c>
      <c r="B46" s="16" t="s">
        <v>2</v>
      </c>
      <c r="C46" s="16" t="s">
        <v>3</v>
      </c>
      <c r="D46" s="16" t="s">
        <v>4</v>
      </c>
      <c r="E46" s="16" t="s">
        <v>5</v>
      </c>
    </row>
    <row r="47">
      <c r="A47" s="19">
        <v>0.16666666666666666</v>
      </c>
      <c r="B47" s="32" t="s">
        <v>1187</v>
      </c>
      <c r="C47" s="35" t="s">
        <v>42</v>
      </c>
      <c r="D47" s="32" t="s">
        <v>59</v>
      </c>
      <c r="E47" s="11" t="s">
        <v>9</v>
      </c>
    </row>
    <row r="48">
      <c r="A48" s="19">
        <v>0.16666666666666666</v>
      </c>
      <c r="B48" s="32" t="s">
        <v>57</v>
      </c>
      <c r="C48" s="35" t="s">
        <v>251</v>
      </c>
      <c r="D48" s="32" t="s">
        <v>1188</v>
      </c>
      <c r="E48" s="11" t="s">
        <v>13</v>
      </c>
    </row>
    <row r="49">
      <c r="A49" s="19">
        <v>0.1763888888888889</v>
      </c>
      <c r="B49" s="32" t="s">
        <v>57</v>
      </c>
      <c r="C49" s="35" t="s">
        <v>72</v>
      </c>
      <c r="D49" s="32" t="s">
        <v>59</v>
      </c>
      <c r="E49" s="11" t="s">
        <v>9</v>
      </c>
    </row>
    <row r="50">
      <c r="A50" s="19">
        <v>0.1763888888888889</v>
      </c>
      <c r="B50" s="32" t="s">
        <v>1189</v>
      </c>
      <c r="C50" s="35" t="s">
        <v>7</v>
      </c>
      <c r="D50" s="32" t="s">
        <v>1188</v>
      </c>
      <c r="E50" s="11" t="s">
        <v>13</v>
      </c>
    </row>
    <row r="51">
      <c r="A51" s="19">
        <v>0.18680555555555556</v>
      </c>
      <c r="B51" s="32" t="s">
        <v>1189</v>
      </c>
      <c r="C51" s="35" t="s">
        <v>320</v>
      </c>
      <c r="D51" s="32" t="s">
        <v>57</v>
      </c>
      <c r="E51" s="11" t="s">
        <v>9</v>
      </c>
    </row>
    <row r="52">
      <c r="A52" s="19">
        <v>0.18680555555555556</v>
      </c>
      <c r="B52" s="32" t="s">
        <v>1188</v>
      </c>
      <c r="C52" s="35" t="s">
        <v>43</v>
      </c>
      <c r="D52" s="32" t="s">
        <v>1187</v>
      </c>
      <c r="E52" s="11" t="s">
        <v>13</v>
      </c>
    </row>
    <row r="53">
      <c r="A53" s="19">
        <v>0.19722222222222222</v>
      </c>
      <c r="B53" s="32" t="s">
        <v>1189</v>
      </c>
      <c r="C53" s="35" t="s">
        <v>82</v>
      </c>
      <c r="D53" s="32" t="s">
        <v>59</v>
      </c>
      <c r="E53" s="11" t="s">
        <v>9</v>
      </c>
    </row>
    <row r="54">
      <c r="A54" s="19">
        <v>0.19722222222222222</v>
      </c>
      <c r="B54" s="32" t="s">
        <v>1187</v>
      </c>
      <c r="C54" s="35" t="s">
        <v>68</v>
      </c>
      <c r="D54" s="32" t="s">
        <v>57</v>
      </c>
      <c r="E54" s="11" t="s">
        <v>13</v>
      </c>
    </row>
    <row r="55">
      <c r="A55" s="19">
        <v>0.20694444444444443</v>
      </c>
      <c r="B55" s="32" t="s">
        <v>1188</v>
      </c>
      <c r="C55" s="35" t="s">
        <v>249</v>
      </c>
      <c r="D55" s="32" t="s">
        <v>59</v>
      </c>
      <c r="E55" s="11" t="s">
        <v>9</v>
      </c>
    </row>
    <row r="56">
      <c r="A56" s="19">
        <v>0.20694444444444443</v>
      </c>
      <c r="B56" s="32" t="s">
        <v>1187</v>
      </c>
      <c r="C56" s="35" t="s">
        <v>14</v>
      </c>
      <c r="D56" s="32" t="s">
        <v>1189</v>
      </c>
      <c r="E56" s="11" t="s">
        <v>13</v>
      </c>
    </row>
    <row r="57">
      <c r="A57" s="19">
        <v>0.21736111111111112</v>
      </c>
      <c r="B57" s="32" t="s">
        <v>59</v>
      </c>
      <c r="C57" s="35" t="s">
        <v>87</v>
      </c>
      <c r="D57" s="32" t="s">
        <v>1187</v>
      </c>
      <c r="E57" s="11" t="s">
        <v>9</v>
      </c>
    </row>
    <row r="58">
      <c r="A58" s="19">
        <v>0.21736111111111112</v>
      </c>
      <c r="B58" s="32" t="s">
        <v>1188</v>
      </c>
      <c r="C58" s="35" t="s">
        <v>1190</v>
      </c>
      <c r="D58" s="32" t="s">
        <v>57</v>
      </c>
      <c r="E58" s="11" t="s">
        <v>13</v>
      </c>
    </row>
    <row r="59">
      <c r="A59" s="19">
        <v>0.22777777777777777</v>
      </c>
      <c r="B59" s="32" t="s">
        <v>59</v>
      </c>
      <c r="C59" s="35" t="s">
        <v>1191</v>
      </c>
      <c r="D59" s="32" t="s">
        <v>57</v>
      </c>
      <c r="E59" s="11" t="s">
        <v>9</v>
      </c>
    </row>
    <row r="60">
      <c r="A60" s="19">
        <v>0.22777777777777777</v>
      </c>
      <c r="B60" s="32" t="s">
        <v>1188</v>
      </c>
      <c r="C60" s="35" t="s">
        <v>687</v>
      </c>
      <c r="D60" s="32" t="s">
        <v>1189</v>
      </c>
      <c r="E60" s="11" t="s">
        <v>13</v>
      </c>
    </row>
    <row r="61">
      <c r="A61" s="19">
        <v>0.2375</v>
      </c>
      <c r="B61" s="32" t="s">
        <v>57</v>
      </c>
      <c r="C61" s="35" t="s">
        <v>20</v>
      </c>
      <c r="D61" s="32" t="s">
        <v>1189</v>
      </c>
      <c r="E61" s="11" t="s">
        <v>9</v>
      </c>
    </row>
    <row r="62">
      <c r="A62" s="19">
        <v>0.2375</v>
      </c>
      <c r="B62" s="32" t="s">
        <v>1187</v>
      </c>
      <c r="C62" s="35" t="s">
        <v>215</v>
      </c>
      <c r="D62" s="32" t="s">
        <v>1188</v>
      </c>
      <c r="E62" s="11" t="s">
        <v>13</v>
      </c>
    </row>
    <row r="63">
      <c r="A63" s="19">
        <v>0.24791666666666667</v>
      </c>
      <c r="B63" s="32" t="s">
        <v>59</v>
      </c>
      <c r="C63" s="35" t="s">
        <v>488</v>
      </c>
      <c r="D63" s="32" t="s">
        <v>1189</v>
      </c>
      <c r="E63" s="11" t="s">
        <v>9</v>
      </c>
    </row>
    <row r="64">
      <c r="A64" s="19">
        <v>0.24791666666666667</v>
      </c>
      <c r="B64" s="32" t="s">
        <v>57</v>
      </c>
      <c r="C64" s="35" t="s">
        <v>201</v>
      </c>
      <c r="D64" s="32" t="s">
        <v>1187</v>
      </c>
      <c r="E64" s="11" t="s">
        <v>13</v>
      </c>
    </row>
    <row r="65">
      <c r="A65" s="19">
        <v>0.25833333333333336</v>
      </c>
      <c r="B65" s="32" t="s">
        <v>59</v>
      </c>
      <c r="C65" s="35" t="s">
        <v>197</v>
      </c>
      <c r="D65" s="32" t="s">
        <v>1188</v>
      </c>
      <c r="E65" s="11" t="s">
        <v>9</v>
      </c>
    </row>
    <row r="66">
      <c r="A66" s="19">
        <v>0.25833333333333336</v>
      </c>
      <c r="B66" s="32" t="s">
        <v>1189</v>
      </c>
      <c r="C66" s="35" t="s">
        <v>218</v>
      </c>
      <c r="D66" s="32" t="s">
        <v>1187</v>
      </c>
      <c r="E66" s="11" t="s">
        <v>13</v>
      </c>
    </row>
    <row r="67">
      <c r="A67" s="27"/>
      <c r="B67" s="1" t="s">
        <v>53</v>
      </c>
      <c r="C67" s="2"/>
      <c r="D67" s="3"/>
      <c r="E67" s="4"/>
    </row>
    <row r="68">
      <c r="A68" s="18" t="s">
        <v>1</v>
      </c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19">
        <v>0.16666666666666666</v>
      </c>
      <c r="B69" s="32" t="s">
        <v>1192</v>
      </c>
      <c r="C69" s="33" t="s">
        <v>21</v>
      </c>
      <c r="D69" s="32" t="s">
        <v>1193</v>
      </c>
      <c r="E69" s="11" t="s">
        <v>33</v>
      </c>
    </row>
    <row r="70">
      <c r="A70" s="19">
        <v>0.16666666666666666</v>
      </c>
      <c r="B70" s="32" t="s">
        <v>79</v>
      </c>
      <c r="C70" s="33" t="s">
        <v>45</v>
      </c>
      <c r="D70" s="32" t="s">
        <v>1194</v>
      </c>
      <c r="E70" s="11" t="s">
        <v>37</v>
      </c>
    </row>
    <row r="71">
      <c r="A71" s="19">
        <v>0.1763888888888889</v>
      </c>
      <c r="B71" s="32" t="s">
        <v>79</v>
      </c>
      <c r="C71" s="33" t="s">
        <v>239</v>
      </c>
      <c r="D71" s="32" t="s">
        <v>1193</v>
      </c>
      <c r="E71" s="11" t="s">
        <v>33</v>
      </c>
    </row>
    <row r="72">
      <c r="A72" s="19">
        <v>0.1763888888888889</v>
      </c>
      <c r="B72" s="32" t="s">
        <v>1195</v>
      </c>
      <c r="C72" s="33" t="s">
        <v>18</v>
      </c>
      <c r="D72" s="32" t="s">
        <v>1194</v>
      </c>
      <c r="E72" s="11" t="s">
        <v>37</v>
      </c>
    </row>
    <row r="73">
      <c r="A73" s="19">
        <v>0.18680555555555556</v>
      </c>
      <c r="B73" s="32" t="s">
        <v>1195</v>
      </c>
      <c r="C73" s="33" t="s">
        <v>980</v>
      </c>
      <c r="D73" s="32" t="s">
        <v>79</v>
      </c>
      <c r="E73" s="11" t="s">
        <v>33</v>
      </c>
    </row>
    <row r="74">
      <c r="A74" s="19">
        <v>0.18680555555555556</v>
      </c>
      <c r="B74" s="32" t="s">
        <v>1194</v>
      </c>
      <c r="C74" s="33" t="s">
        <v>68</v>
      </c>
      <c r="D74" s="32" t="s">
        <v>1192</v>
      </c>
      <c r="E74" s="11" t="s">
        <v>37</v>
      </c>
    </row>
    <row r="75">
      <c r="A75" s="19">
        <v>0.19722222222222222</v>
      </c>
      <c r="B75" s="32" t="s">
        <v>1195</v>
      </c>
      <c r="C75" s="33" t="s">
        <v>482</v>
      </c>
      <c r="D75" s="32" t="s">
        <v>1193</v>
      </c>
      <c r="E75" s="11" t="s">
        <v>33</v>
      </c>
    </row>
    <row r="76">
      <c r="A76" s="19">
        <v>0.19722222222222222</v>
      </c>
      <c r="B76" s="32" t="s">
        <v>1192</v>
      </c>
      <c r="C76" s="33" t="s">
        <v>284</v>
      </c>
      <c r="D76" s="32" t="s">
        <v>79</v>
      </c>
      <c r="E76" s="11" t="s">
        <v>37</v>
      </c>
    </row>
    <row r="77">
      <c r="A77" s="19">
        <v>0.20694444444444443</v>
      </c>
      <c r="B77" s="32" t="s">
        <v>1194</v>
      </c>
      <c r="C77" s="33" t="s">
        <v>11</v>
      </c>
      <c r="D77" s="32" t="s">
        <v>1193</v>
      </c>
      <c r="E77" s="11" t="s">
        <v>33</v>
      </c>
    </row>
    <row r="78">
      <c r="A78" s="19">
        <v>0.20694444444444443</v>
      </c>
      <c r="B78" s="32" t="s">
        <v>1192</v>
      </c>
      <c r="C78" s="33" t="s">
        <v>542</v>
      </c>
      <c r="D78" s="32" t="s">
        <v>1195</v>
      </c>
      <c r="E78" s="11" t="s">
        <v>37</v>
      </c>
    </row>
    <row r="79">
      <c r="A79" s="19">
        <v>0.21736111111111112</v>
      </c>
      <c r="B79" s="32" t="s">
        <v>1193</v>
      </c>
      <c r="C79" s="33" t="s">
        <v>797</v>
      </c>
      <c r="D79" s="32" t="s">
        <v>1192</v>
      </c>
      <c r="E79" s="11" t="s">
        <v>33</v>
      </c>
    </row>
    <row r="80">
      <c r="A80" s="19">
        <v>0.21736111111111112</v>
      </c>
      <c r="B80" s="32" t="s">
        <v>1194</v>
      </c>
      <c r="C80" s="33" t="s">
        <v>217</v>
      </c>
      <c r="D80" s="32" t="s">
        <v>79</v>
      </c>
      <c r="E80" s="11" t="s">
        <v>37</v>
      </c>
    </row>
    <row r="81">
      <c r="A81" s="19">
        <v>0.22777777777777777</v>
      </c>
      <c r="B81" s="32" t="s">
        <v>1193</v>
      </c>
      <c r="C81" s="33" t="s">
        <v>14</v>
      </c>
      <c r="D81" s="32" t="s">
        <v>79</v>
      </c>
      <c r="E81" s="11" t="s">
        <v>33</v>
      </c>
    </row>
    <row r="82">
      <c r="A82" s="19">
        <v>0.22777777777777777</v>
      </c>
      <c r="B82" s="32" t="s">
        <v>1194</v>
      </c>
      <c r="C82" s="33" t="s">
        <v>196</v>
      </c>
      <c r="D82" s="32" t="s">
        <v>1195</v>
      </c>
      <c r="E82" s="11" t="s">
        <v>37</v>
      </c>
    </row>
    <row r="83">
      <c r="A83" s="19">
        <v>0.2375</v>
      </c>
      <c r="B83" s="32" t="s">
        <v>79</v>
      </c>
      <c r="C83" s="33" t="s">
        <v>72</v>
      </c>
      <c r="D83" s="32" t="s">
        <v>1195</v>
      </c>
      <c r="E83" s="11" t="s">
        <v>33</v>
      </c>
    </row>
    <row r="84">
      <c r="A84" s="19">
        <v>0.2375</v>
      </c>
      <c r="B84" s="32" t="s">
        <v>1192</v>
      </c>
      <c r="C84" s="33" t="s">
        <v>261</v>
      </c>
      <c r="D84" s="32" t="s">
        <v>1194</v>
      </c>
      <c r="E84" s="11" t="s">
        <v>37</v>
      </c>
    </row>
    <row r="85">
      <c r="A85" s="19">
        <v>0.24791666666666667</v>
      </c>
      <c r="B85" s="32" t="s">
        <v>1193</v>
      </c>
      <c r="C85" s="33" t="s">
        <v>726</v>
      </c>
      <c r="D85" s="32" t="s">
        <v>1195</v>
      </c>
      <c r="E85" s="11" t="s">
        <v>33</v>
      </c>
    </row>
    <row r="86">
      <c r="A86" s="19">
        <v>0.24791666666666667</v>
      </c>
      <c r="B86" s="32" t="s">
        <v>79</v>
      </c>
      <c r="C86" s="33" t="s">
        <v>41</v>
      </c>
      <c r="D86" s="32" t="s">
        <v>1192</v>
      </c>
      <c r="E86" s="11" t="s">
        <v>37</v>
      </c>
    </row>
    <row r="87">
      <c r="A87" s="19">
        <v>0.25833333333333336</v>
      </c>
      <c r="B87" s="32" t="s">
        <v>1193</v>
      </c>
      <c r="C87" s="33" t="s">
        <v>68</v>
      </c>
      <c r="D87" s="32" t="s">
        <v>1194</v>
      </c>
      <c r="E87" s="11" t="s">
        <v>33</v>
      </c>
    </row>
    <row r="88">
      <c r="A88" s="19">
        <v>0.25833333333333336</v>
      </c>
      <c r="B88" s="32" t="s">
        <v>1195</v>
      </c>
      <c r="C88" s="33" t="s">
        <v>951</v>
      </c>
      <c r="D88" s="32" t="s">
        <v>1192</v>
      </c>
      <c r="E88" s="11" t="s">
        <v>37</v>
      </c>
    </row>
    <row r="89">
      <c r="B89" s="1" t="s">
        <v>90</v>
      </c>
      <c r="C89" s="2"/>
      <c r="D89" s="3"/>
      <c r="E89" s="4"/>
    </row>
    <row r="90">
      <c r="A90" s="18" t="s">
        <v>1</v>
      </c>
      <c r="B90" s="16" t="s">
        <v>2</v>
      </c>
      <c r="C90" s="16" t="s">
        <v>3</v>
      </c>
      <c r="D90" s="16" t="s">
        <v>4</v>
      </c>
      <c r="E90" s="16" t="s">
        <v>5</v>
      </c>
    </row>
    <row r="91">
      <c r="A91" s="19">
        <v>0.3333333333333333</v>
      </c>
      <c r="B91" s="32" t="s">
        <v>1138</v>
      </c>
      <c r="C91" s="35" t="s">
        <v>66</v>
      </c>
      <c r="D91" s="32" t="s">
        <v>1196</v>
      </c>
      <c r="E91" s="11" t="s">
        <v>9</v>
      </c>
    </row>
    <row r="92">
      <c r="A92" s="19">
        <v>0.3333333333333333</v>
      </c>
      <c r="B92" s="32" t="s">
        <v>1197</v>
      </c>
      <c r="C92" s="35" t="s">
        <v>25</v>
      </c>
      <c r="D92" s="32" t="s">
        <v>1198</v>
      </c>
      <c r="E92" s="11" t="s">
        <v>13</v>
      </c>
    </row>
    <row r="93">
      <c r="A93" s="19">
        <v>0.34305555555555556</v>
      </c>
      <c r="B93" s="32" t="s">
        <v>1197</v>
      </c>
      <c r="C93" s="35" t="s">
        <v>251</v>
      </c>
      <c r="D93" s="32" t="s">
        <v>1196</v>
      </c>
      <c r="E93" s="11" t="s">
        <v>9</v>
      </c>
    </row>
    <row r="94">
      <c r="A94" s="19">
        <v>0.34305555555555556</v>
      </c>
      <c r="B94" s="32" t="s">
        <v>1199</v>
      </c>
      <c r="C94" s="35" t="s">
        <v>87</v>
      </c>
      <c r="D94" s="32" t="s">
        <v>1198</v>
      </c>
      <c r="E94" s="11" t="s">
        <v>13</v>
      </c>
    </row>
    <row r="95">
      <c r="A95" s="19">
        <v>0.35347222222222224</v>
      </c>
      <c r="B95" s="32" t="s">
        <v>1199</v>
      </c>
      <c r="C95" s="35" t="s">
        <v>64</v>
      </c>
      <c r="D95" s="32" t="s">
        <v>1197</v>
      </c>
      <c r="E95" s="11" t="s">
        <v>9</v>
      </c>
    </row>
    <row r="96">
      <c r="A96" s="19">
        <v>0.35347222222222224</v>
      </c>
      <c r="B96" s="32" t="s">
        <v>1198</v>
      </c>
      <c r="C96" s="35" t="s">
        <v>42</v>
      </c>
      <c r="D96" s="32" t="s">
        <v>1138</v>
      </c>
      <c r="E96" s="11" t="s">
        <v>13</v>
      </c>
    </row>
    <row r="97">
      <c r="A97" s="19">
        <v>0.3638888888888889</v>
      </c>
      <c r="B97" s="32" t="s">
        <v>1199</v>
      </c>
      <c r="C97" s="35" t="s">
        <v>24</v>
      </c>
      <c r="D97" s="32" t="s">
        <v>1196</v>
      </c>
      <c r="E97" s="11" t="s">
        <v>9</v>
      </c>
    </row>
    <row r="98">
      <c r="A98" s="19">
        <v>0.3638888888888889</v>
      </c>
      <c r="B98" s="32" t="s">
        <v>1138</v>
      </c>
      <c r="C98" s="35" t="s">
        <v>19</v>
      </c>
      <c r="D98" s="32" t="s">
        <v>1197</v>
      </c>
      <c r="E98" s="11" t="s">
        <v>13</v>
      </c>
    </row>
    <row r="99">
      <c r="A99" s="19">
        <v>0.3736111111111111</v>
      </c>
      <c r="B99" s="32" t="s">
        <v>1198</v>
      </c>
      <c r="C99" s="35" t="s">
        <v>232</v>
      </c>
      <c r="D99" s="32" t="s">
        <v>1196</v>
      </c>
      <c r="E99" s="11" t="s">
        <v>9</v>
      </c>
    </row>
    <row r="100">
      <c r="A100" s="19">
        <v>0.3736111111111111</v>
      </c>
      <c r="B100" s="32" t="s">
        <v>1138</v>
      </c>
      <c r="C100" s="35" t="s">
        <v>201</v>
      </c>
      <c r="D100" s="32" t="s">
        <v>1199</v>
      </c>
      <c r="E100" s="11" t="s">
        <v>13</v>
      </c>
    </row>
    <row r="101">
      <c r="A101" s="19">
        <v>0.3840277777777778</v>
      </c>
      <c r="B101" s="32" t="s">
        <v>1196</v>
      </c>
      <c r="C101" s="35" t="s">
        <v>426</v>
      </c>
      <c r="D101" s="32" t="s">
        <v>1138</v>
      </c>
      <c r="E101" s="11" t="s">
        <v>9</v>
      </c>
    </row>
    <row r="102">
      <c r="A102" s="19">
        <v>0.3840277777777778</v>
      </c>
      <c r="B102" s="32" t="s">
        <v>1198</v>
      </c>
      <c r="C102" s="35" t="s">
        <v>446</v>
      </c>
      <c r="D102" s="32" t="s">
        <v>1197</v>
      </c>
      <c r="E102" s="11" t="s">
        <v>13</v>
      </c>
    </row>
    <row r="103">
      <c r="A103" s="19">
        <v>0.39444444444444443</v>
      </c>
      <c r="B103" s="32" t="s">
        <v>1196</v>
      </c>
      <c r="C103" s="35" t="s">
        <v>68</v>
      </c>
      <c r="D103" s="32" t="s">
        <v>1197</v>
      </c>
      <c r="E103" s="11" t="s">
        <v>9</v>
      </c>
    </row>
    <row r="104">
      <c r="A104" s="19">
        <v>0.39444444444444443</v>
      </c>
      <c r="B104" s="32" t="s">
        <v>1198</v>
      </c>
      <c r="C104" s="35" t="s">
        <v>17</v>
      </c>
      <c r="D104" s="32" t="s">
        <v>1199</v>
      </c>
      <c r="E104" s="11" t="s">
        <v>13</v>
      </c>
    </row>
    <row r="105">
      <c r="A105" s="19">
        <v>0.4041666666666667</v>
      </c>
      <c r="B105" s="32" t="s">
        <v>1197</v>
      </c>
      <c r="C105" s="35" t="s">
        <v>286</v>
      </c>
      <c r="D105" s="32" t="s">
        <v>1199</v>
      </c>
      <c r="E105" s="11" t="s">
        <v>9</v>
      </c>
    </row>
    <row r="106">
      <c r="A106" s="19">
        <v>0.4041666666666667</v>
      </c>
      <c r="B106" s="32" t="s">
        <v>1138</v>
      </c>
      <c r="C106" s="35" t="s">
        <v>87</v>
      </c>
      <c r="D106" s="32" t="s">
        <v>1198</v>
      </c>
      <c r="E106" s="11" t="s">
        <v>13</v>
      </c>
    </row>
    <row r="107">
      <c r="A107" s="19">
        <v>0.41458333333333336</v>
      </c>
      <c r="B107" s="32" t="s">
        <v>1196</v>
      </c>
      <c r="C107" s="35" t="s">
        <v>201</v>
      </c>
      <c r="D107" s="32" t="s">
        <v>1199</v>
      </c>
      <c r="E107" s="11" t="s">
        <v>9</v>
      </c>
    </row>
    <row r="108">
      <c r="A108" s="19">
        <v>0.41458333333333336</v>
      </c>
      <c r="B108" s="32" t="s">
        <v>1197</v>
      </c>
      <c r="C108" s="35" t="s">
        <v>35</v>
      </c>
      <c r="D108" s="32" t="s">
        <v>1138</v>
      </c>
      <c r="E108" s="11" t="s">
        <v>13</v>
      </c>
    </row>
    <row r="109">
      <c r="A109" s="19">
        <v>0.425</v>
      </c>
      <c r="B109" s="32" t="s">
        <v>1196</v>
      </c>
      <c r="C109" s="35"/>
      <c r="D109" s="32" t="s">
        <v>1198</v>
      </c>
      <c r="E109" s="11" t="s">
        <v>9</v>
      </c>
    </row>
    <row r="110">
      <c r="A110" s="19">
        <v>0.425</v>
      </c>
      <c r="B110" s="32" t="s">
        <v>1199</v>
      </c>
      <c r="C110" s="35" t="s">
        <v>81</v>
      </c>
      <c r="D110" s="32" t="s">
        <v>1138</v>
      </c>
      <c r="E110" s="11" t="s">
        <v>13</v>
      </c>
    </row>
    <row r="111">
      <c r="A111" s="27"/>
      <c r="B111" s="1" t="s">
        <v>90</v>
      </c>
      <c r="C111" s="2"/>
      <c r="D111" s="3"/>
      <c r="E111" s="4"/>
    </row>
    <row r="112">
      <c r="A112" s="18" t="s">
        <v>1</v>
      </c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A113" s="19">
        <v>0.3333333333333333</v>
      </c>
      <c r="B113" s="32" t="s">
        <v>1200</v>
      </c>
      <c r="C113" s="33" t="s">
        <v>260</v>
      </c>
      <c r="D113" s="32" t="s">
        <v>1201</v>
      </c>
      <c r="E113" s="11" t="s">
        <v>33</v>
      </c>
    </row>
    <row r="114">
      <c r="A114" s="19">
        <v>0.3333333333333333</v>
      </c>
      <c r="B114" s="32" t="s">
        <v>1202</v>
      </c>
      <c r="C114" s="33" t="s">
        <v>55</v>
      </c>
      <c r="D114" s="32" t="s">
        <v>1203</v>
      </c>
      <c r="E114" s="11" t="s">
        <v>37</v>
      </c>
    </row>
    <row r="115">
      <c r="A115" s="19">
        <v>0.34305555555555556</v>
      </c>
      <c r="B115" s="32" t="s">
        <v>1202</v>
      </c>
      <c r="C115" s="33" t="s">
        <v>215</v>
      </c>
      <c r="D115" s="32" t="s">
        <v>1201</v>
      </c>
      <c r="E115" s="11" t="s">
        <v>33</v>
      </c>
    </row>
    <row r="116">
      <c r="A116" s="19">
        <v>0.34305555555555556</v>
      </c>
      <c r="B116" s="32" t="s">
        <v>749</v>
      </c>
      <c r="C116" s="33" t="s">
        <v>67</v>
      </c>
      <c r="D116" s="32" t="s">
        <v>1203</v>
      </c>
      <c r="E116" s="11" t="s">
        <v>37</v>
      </c>
    </row>
    <row r="117">
      <c r="A117" s="19">
        <v>0.35347222222222224</v>
      </c>
      <c r="B117" s="32" t="s">
        <v>749</v>
      </c>
      <c r="C117" s="33" t="s">
        <v>509</v>
      </c>
      <c r="D117" s="32" t="s">
        <v>1202</v>
      </c>
      <c r="E117" s="11" t="s">
        <v>33</v>
      </c>
    </row>
    <row r="118">
      <c r="A118" s="19">
        <v>0.35347222222222224</v>
      </c>
      <c r="B118" s="32" t="s">
        <v>1203</v>
      </c>
      <c r="C118" s="33" t="s">
        <v>1204</v>
      </c>
      <c r="D118" s="32" t="s">
        <v>1200</v>
      </c>
      <c r="E118" s="11" t="s">
        <v>37</v>
      </c>
    </row>
    <row r="119">
      <c r="A119" s="19">
        <v>0.3638888888888889</v>
      </c>
      <c r="B119" s="32" t="s">
        <v>749</v>
      </c>
      <c r="C119" s="33" t="s">
        <v>1205</v>
      </c>
      <c r="D119" s="32" t="s">
        <v>1201</v>
      </c>
      <c r="E119" s="11" t="s">
        <v>33</v>
      </c>
    </row>
    <row r="120">
      <c r="A120" s="19">
        <v>0.3638888888888889</v>
      </c>
      <c r="B120" s="32" t="s">
        <v>1200</v>
      </c>
      <c r="C120" s="33" t="s">
        <v>194</v>
      </c>
      <c r="D120" s="32" t="s">
        <v>1202</v>
      </c>
      <c r="E120" s="11" t="s">
        <v>37</v>
      </c>
    </row>
    <row r="121">
      <c r="A121" s="19">
        <v>0.3736111111111111</v>
      </c>
      <c r="B121" s="32" t="s">
        <v>1203</v>
      </c>
      <c r="C121" s="33" t="s">
        <v>87</v>
      </c>
      <c r="D121" s="32" t="s">
        <v>1201</v>
      </c>
      <c r="E121" s="11" t="s">
        <v>33</v>
      </c>
    </row>
    <row r="122">
      <c r="A122" s="19">
        <v>0.3736111111111111</v>
      </c>
      <c r="B122" s="32" t="s">
        <v>1200</v>
      </c>
      <c r="C122" s="33" t="s">
        <v>217</v>
      </c>
      <c r="D122" s="32" t="s">
        <v>749</v>
      </c>
      <c r="E122" s="11" t="s">
        <v>37</v>
      </c>
    </row>
    <row r="123">
      <c r="A123" s="19">
        <v>0.3840277777777778</v>
      </c>
      <c r="B123" s="32" t="s">
        <v>1201</v>
      </c>
      <c r="C123" s="33" t="s">
        <v>52</v>
      </c>
      <c r="D123" s="32" t="s">
        <v>1200</v>
      </c>
      <c r="E123" s="11" t="s">
        <v>33</v>
      </c>
    </row>
    <row r="124">
      <c r="A124" s="19">
        <v>0.3840277777777778</v>
      </c>
      <c r="B124" s="32" t="s">
        <v>1203</v>
      </c>
      <c r="C124" s="33" t="s">
        <v>16</v>
      </c>
      <c r="D124" s="32" t="s">
        <v>1202</v>
      </c>
      <c r="E124" s="11" t="s">
        <v>37</v>
      </c>
    </row>
    <row r="125">
      <c r="A125" s="19">
        <v>0.39444444444444443</v>
      </c>
      <c r="B125" s="32" t="s">
        <v>1201</v>
      </c>
      <c r="C125" s="35" t="s">
        <v>320</v>
      </c>
      <c r="D125" s="32" t="s">
        <v>1202</v>
      </c>
      <c r="E125" s="11" t="s">
        <v>33</v>
      </c>
    </row>
    <row r="126">
      <c r="A126" s="19">
        <v>0.39444444444444443</v>
      </c>
      <c r="B126" s="32" t="s">
        <v>1203</v>
      </c>
      <c r="C126" s="35" t="s">
        <v>536</v>
      </c>
      <c r="D126" s="32" t="s">
        <v>749</v>
      </c>
      <c r="E126" s="11" t="s">
        <v>37</v>
      </c>
    </row>
    <row r="127">
      <c r="A127" s="19">
        <v>0.4041666666666667</v>
      </c>
      <c r="B127" s="32" t="s">
        <v>1202</v>
      </c>
      <c r="C127" s="35" t="s">
        <v>14</v>
      </c>
      <c r="D127" s="32" t="s">
        <v>749</v>
      </c>
      <c r="E127" s="11" t="s">
        <v>33</v>
      </c>
    </row>
    <row r="128">
      <c r="A128" s="19">
        <v>0.4041666666666667</v>
      </c>
      <c r="B128" s="32" t="s">
        <v>1200</v>
      </c>
      <c r="C128" s="35" t="s">
        <v>81</v>
      </c>
      <c r="D128" s="32" t="s">
        <v>1203</v>
      </c>
      <c r="E128" s="11" t="s">
        <v>37</v>
      </c>
    </row>
    <row r="129">
      <c r="A129" s="19">
        <v>0.41458333333333336</v>
      </c>
      <c r="B129" s="32" t="s">
        <v>1201</v>
      </c>
      <c r="C129" s="35" t="s">
        <v>83</v>
      </c>
      <c r="D129" s="32" t="s">
        <v>749</v>
      </c>
      <c r="E129" s="11" t="s">
        <v>33</v>
      </c>
    </row>
    <row r="130">
      <c r="A130" s="19">
        <v>0.41458333333333336</v>
      </c>
      <c r="B130" s="32" t="s">
        <v>1202</v>
      </c>
      <c r="C130" s="35" t="s">
        <v>190</v>
      </c>
      <c r="D130" s="32" t="s">
        <v>1200</v>
      </c>
      <c r="E130" s="11" t="s">
        <v>37</v>
      </c>
    </row>
    <row r="131">
      <c r="A131" s="19">
        <v>0.425</v>
      </c>
      <c r="B131" s="32" t="s">
        <v>1201</v>
      </c>
      <c r="C131" s="35" t="s">
        <v>87</v>
      </c>
      <c r="D131" s="32" t="s">
        <v>1203</v>
      </c>
      <c r="E131" s="11" t="s">
        <v>33</v>
      </c>
    </row>
    <row r="132">
      <c r="A132" s="19">
        <v>0.425</v>
      </c>
      <c r="B132" s="32" t="s">
        <v>749</v>
      </c>
      <c r="C132" s="35" t="s">
        <v>331</v>
      </c>
      <c r="D132" s="32" t="s">
        <v>1200</v>
      </c>
      <c r="E132" s="11" t="s">
        <v>37</v>
      </c>
    </row>
    <row r="133">
      <c r="A133" s="27"/>
      <c r="B133" s="1" t="s">
        <v>101</v>
      </c>
      <c r="C133" s="2"/>
      <c r="D133" s="3"/>
      <c r="E133" s="4"/>
    </row>
    <row r="134">
      <c r="A134" s="18" t="s">
        <v>1</v>
      </c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A135" s="19">
        <v>0.4375</v>
      </c>
      <c r="B135" s="32" t="s">
        <v>1206</v>
      </c>
      <c r="C135" s="33" t="s">
        <v>20</v>
      </c>
      <c r="D135" s="32" t="s">
        <v>1207</v>
      </c>
      <c r="E135" s="11" t="s">
        <v>9</v>
      </c>
    </row>
    <row r="136">
      <c r="A136" s="19">
        <v>0.4375</v>
      </c>
      <c r="B136" s="32" t="s">
        <v>1208</v>
      </c>
      <c r="C136" s="33" t="s">
        <v>82</v>
      </c>
      <c r="D136" s="32" t="s">
        <v>1209</v>
      </c>
      <c r="E136" s="11" t="s">
        <v>13</v>
      </c>
    </row>
    <row r="137">
      <c r="A137" s="19">
        <v>0.44722222222222224</v>
      </c>
      <c r="B137" s="32" t="s">
        <v>1208</v>
      </c>
      <c r="C137" s="33" t="s">
        <v>872</v>
      </c>
      <c r="D137" s="32" t="s">
        <v>1207</v>
      </c>
      <c r="E137" s="11" t="s">
        <v>9</v>
      </c>
    </row>
    <row r="138">
      <c r="A138" s="19">
        <v>0.44722222222222224</v>
      </c>
      <c r="B138" s="32" t="s">
        <v>1210</v>
      </c>
      <c r="C138" s="33" t="s">
        <v>81</v>
      </c>
      <c r="D138" s="32" t="s">
        <v>1209</v>
      </c>
      <c r="E138" s="11" t="s">
        <v>13</v>
      </c>
    </row>
    <row r="139">
      <c r="A139" s="19">
        <v>0.4576388888888889</v>
      </c>
      <c r="B139" s="32" t="s">
        <v>1210</v>
      </c>
      <c r="C139" s="33" t="s">
        <v>201</v>
      </c>
      <c r="D139" s="32" t="s">
        <v>1208</v>
      </c>
      <c r="E139" s="11" t="s">
        <v>9</v>
      </c>
    </row>
    <row r="140">
      <c r="A140" s="19">
        <v>0.4576388888888889</v>
      </c>
      <c r="B140" s="32" t="s">
        <v>1209</v>
      </c>
      <c r="C140" s="33" t="s">
        <v>239</v>
      </c>
      <c r="D140" s="32" t="s">
        <v>1206</v>
      </c>
      <c r="E140" s="11" t="s">
        <v>13</v>
      </c>
    </row>
    <row r="141">
      <c r="A141" s="19">
        <v>0.46805555555555556</v>
      </c>
      <c r="B141" s="32" t="s">
        <v>1210</v>
      </c>
      <c r="C141" s="33" t="s">
        <v>260</v>
      </c>
      <c r="D141" s="32" t="s">
        <v>1207</v>
      </c>
      <c r="E141" s="11" t="s">
        <v>9</v>
      </c>
    </row>
    <row r="142">
      <c r="A142" s="19">
        <v>0.46805555555555556</v>
      </c>
      <c r="B142" s="32" t="s">
        <v>1206</v>
      </c>
      <c r="C142" s="33" t="s">
        <v>195</v>
      </c>
      <c r="D142" s="32" t="s">
        <v>1208</v>
      </c>
      <c r="E142" s="11" t="s">
        <v>13</v>
      </c>
    </row>
    <row r="143">
      <c r="A143" s="19">
        <v>0.4777777777777778</v>
      </c>
      <c r="B143" s="32" t="s">
        <v>1209</v>
      </c>
      <c r="C143" s="33" t="s">
        <v>196</v>
      </c>
      <c r="D143" s="32" t="s">
        <v>1207</v>
      </c>
      <c r="E143" s="11" t="s">
        <v>9</v>
      </c>
    </row>
    <row r="144">
      <c r="A144" s="19">
        <v>0.4777777777777778</v>
      </c>
      <c r="B144" s="32" t="s">
        <v>1206</v>
      </c>
      <c r="C144" s="33" t="s">
        <v>251</v>
      </c>
      <c r="D144" s="32" t="s">
        <v>1210</v>
      </c>
      <c r="E144" s="11" t="s">
        <v>13</v>
      </c>
    </row>
    <row r="145">
      <c r="A145" s="19">
        <v>0.48819444444444443</v>
      </c>
      <c r="B145" s="32" t="s">
        <v>1207</v>
      </c>
      <c r="C145" s="33" t="s">
        <v>201</v>
      </c>
      <c r="D145" s="32" t="s">
        <v>1206</v>
      </c>
      <c r="E145" s="11" t="s">
        <v>9</v>
      </c>
    </row>
    <row r="146">
      <c r="A146" s="19">
        <v>0.48819444444444443</v>
      </c>
      <c r="B146" s="32" t="s">
        <v>1209</v>
      </c>
      <c r="C146" s="33" t="s">
        <v>52</v>
      </c>
      <c r="D146" s="32" t="s">
        <v>1208</v>
      </c>
      <c r="E146" s="11" t="s">
        <v>13</v>
      </c>
    </row>
    <row r="147">
      <c r="A147" s="19">
        <v>0.4986111111111111</v>
      </c>
      <c r="B147" s="32" t="s">
        <v>1207</v>
      </c>
      <c r="C147" s="35" t="s">
        <v>201</v>
      </c>
      <c r="D147" s="32" t="s">
        <v>1208</v>
      </c>
      <c r="E147" s="11" t="s">
        <v>9</v>
      </c>
    </row>
    <row r="148">
      <c r="A148" s="19">
        <v>0.4986111111111111</v>
      </c>
      <c r="B148" s="32" t="s">
        <v>1209</v>
      </c>
      <c r="C148" s="35" t="s">
        <v>38</v>
      </c>
      <c r="D148" s="32" t="s">
        <v>1210</v>
      </c>
      <c r="E148" s="11" t="s">
        <v>13</v>
      </c>
    </row>
    <row r="149">
      <c r="A149" s="19">
        <v>0.5083333333333333</v>
      </c>
      <c r="B149" s="32" t="s">
        <v>1208</v>
      </c>
      <c r="C149" s="35" t="s">
        <v>52</v>
      </c>
      <c r="D149" s="32" t="s">
        <v>1210</v>
      </c>
      <c r="E149" s="11" t="s">
        <v>9</v>
      </c>
    </row>
    <row r="150">
      <c r="A150" s="19">
        <v>0.5083333333333333</v>
      </c>
      <c r="B150" s="32" t="s">
        <v>1206</v>
      </c>
      <c r="C150" s="35" t="s">
        <v>16</v>
      </c>
      <c r="D150" s="32" t="s">
        <v>1209</v>
      </c>
      <c r="E150" s="11" t="s">
        <v>13</v>
      </c>
    </row>
    <row r="151">
      <c r="A151" s="19">
        <v>0.51875</v>
      </c>
      <c r="B151" s="32" t="s">
        <v>1207</v>
      </c>
      <c r="C151" s="35" t="s">
        <v>62</v>
      </c>
      <c r="D151" s="32" t="s">
        <v>1210</v>
      </c>
      <c r="E151" s="11" t="s">
        <v>9</v>
      </c>
    </row>
    <row r="152">
      <c r="A152" s="19">
        <v>0.51875</v>
      </c>
      <c r="B152" s="32" t="s">
        <v>1208</v>
      </c>
      <c r="C152" s="35" t="s">
        <v>201</v>
      </c>
      <c r="D152" s="32" t="s">
        <v>1206</v>
      </c>
      <c r="E152" s="11" t="s">
        <v>13</v>
      </c>
    </row>
    <row r="153">
      <c r="A153" s="19">
        <v>0.5291666666666667</v>
      </c>
      <c r="B153" s="32" t="s">
        <v>1207</v>
      </c>
      <c r="C153" s="35" t="s">
        <v>64</v>
      </c>
      <c r="D153" s="32" t="s">
        <v>1209</v>
      </c>
      <c r="E153" s="11" t="s">
        <v>9</v>
      </c>
    </row>
    <row r="154">
      <c r="A154" s="19">
        <v>0.5291666666666667</v>
      </c>
      <c r="B154" s="32" t="s">
        <v>1210</v>
      </c>
      <c r="C154" s="35" t="s">
        <v>195</v>
      </c>
      <c r="D154" s="32" t="s">
        <v>1206</v>
      </c>
      <c r="E154" s="11" t="s">
        <v>13</v>
      </c>
    </row>
    <row r="155">
      <c r="A155" s="27"/>
      <c r="B155" s="1" t="s">
        <v>101</v>
      </c>
      <c r="C155" s="2"/>
      <c r="D155" s="3"/>
      <c r="E155" s="4"/>
    </row>
    <row r="156">
      <c r="A156" s="18" t="s">
        <v>1</v>
      </c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A157" s="19">
        <v>0.4375</v>
      </c>
      <c r="B157" s="32" t="s">
        <v>1211</v>
      </c>
      <c r="C157" s="33" t="s">
        <v>66</v>
      </c>
      <c r="D157" s="32" t="s">
        <v>253</v>
      </c>
      <c r="E157" s="11" t="s">
        <v>33</v>
      </c>
    </row>
    <row r="158">
      <c r="A158" s="19">
        <v>0.4375</v>
      </c>
      <c r="B158" s="32" t="s">
        <v>1212</v>
      </c>
      <c r="C158" s="33" t="s">
        <v>413</v>
      </c>
      <c r="D158" s="32" t="s">
        <v>1213</v>
      </c>
      <c r="E158" s="11" t="s">
        <v>37</v>
      </c>
    </row>
    <row r="159">
      <c r="A159" s="19">
        <v>0.44722222222222224</v>
      </c>
      <c r="B159" s="32" t="s">
        <v>1212</v>
      </c>
      <c r="C159" s="33" t="s">
        <v>217</v>
      </c>
      <c r="D159" s="32" t="s">
        <v>253</v>
      </c>
      <c r="E159" s="11" t="s">
        <v>33</v>
      </c>
    </row>
    <row r="160">
      <c r="A160" s="19">
        <v>0.44722222222222224</v>
      </c>
      <c r="B160" s="32" t="s">
        <v>739</v>
      </c>
      <c r="C160" s="33" t="s">
        <v>11</v>
      </c>
      <c r="D160" s="32" t="s">
        <v>1213</v>
      </c>
      <c r="E160" s="11" t="s">
        <v>37</v>
      </c>
    </row>
    <row r="161">
      <c r="A161" s="19">
        <v>0.4576388888888889</v>
      </c>
      <c r="B161" s="32" t="s">
        <v>739</v>
      </c>
      <c r="C161" s="33" t="s">
        <v>352</v>
      </c>
      <c r="D161" s="32" t="s">
        <v>1212</v>
      </c>
      <c r="E161" s="11" t="s">
        <v>33</v>
      </c>
    </row>
    <row r="162">
      <c r="A162" s="19">
        <v>0.4576388888888889</v>
      </c>
      <c r="B162" s="32" t="s">
        <v>1213</v>
      </c>
      <c r="C162" s="33" t="s">
        <v>693</v>
      </c>
      <c r="D162" s="32" t="s">
        <v>1211</v>
      </c>
      <c r="E162" s="11" t="s">
        <v>37</v>
      </c>
    </row>
    <row r="163">
      <c r="A163" s="19">
        <v>0.46805555555555556</v>
      </c>
      <c r="B163" s="32" t="s">
        <v>739</v>
      </c>
      <c r="C163" s="33" t="s">
        <v>286</v>
      </c>
      <c r="D163" s="32" t="s">
        <v>253</v>
      </c>
      <c r="E163" s="11" t="s">
        <v>33</v>
      </c>
    </row>
    <row r="164">
      <c r="A164" s="19">
        <v>0.46805555555555556</v>
      </c>
      <c r="B164" s="32" t="s">
        <v>1211</v>
      </c>
      <c r="C164" s="33" t="s">
        <v>337</v>
      </c>
      <c r="D164" s="32" t="s">
        <v>1212</v>
      </c>
      <c r="E164" s="11" t="s">
        <v>37</v>
      </c>
    </row>
    <row r="165">
      <c r="A165" s="19">
        <v>0.4777777777777778</v>
      </c>
      <c r="B165" s="32" t="s">
        <v>1213</v>
      </c>
      <c r="C165" s="33" t="s">
        <v>81</v>
      </c>
      <c r="D165" s="32" t="s">
        <v>253</v>
      </c>
      <c r="E165" s="11" t="s">
        <v>33</v>
      </c>
    </row>
    <row r="166">
      <c r="A166" s="19">
        <v>0.4777777777777778</v>
      </c>
      <c r="B166" s="32" t="s">
        <v>1211</v>
      </c>
      <c r="C166" s="33" t="s">
        <v>64</v>
      </c>
      <c r="D166" s="32" t="s">
        <v>739</v>
      </c>
      <c r="E166" s="11" t="s">
        <v>37</v>
      </c>
    </row>
    <row r="167">
      <c r="A167" s="19">
        <v>0.48819444444444443</v>
      </c>
      <c r="B167" s="32" t="s">
        <v>253</v>
      </c>
      <c r="C167" s="33" t="s">
        <v>72</v>
      </c>
      <c r="D167" s="32" t="s">
        <v>1211</v>
      </c>
      <c r="E167" s="11" t="s">
        <v>33</v>
      </c>
    </row>
    <row r="168">
      <c r="A168" s="19">
        <v>0.48819444444444443</v>
      </c>
      <c r="B168" s="32" t="s">
        <v>1213</v>
      </c>
      <c r="C168" s="33" t="s">
        <v>43</v>
      </c>
      <c r="D168" s="32" t="s">
        <v>1212</v>
      </c>
      <c r="E168" s="11" t="s">
        <v>37</v>
      </c>
    </row>
    <row r="169">
      <c r="A169" s="19">
        <v>0.4986111111111111</v>
      </c>
      <c r="B169" s="32" t="s">
        <v>253</v>
      </c>
      <c r="C169" s="35" t="s">
        <v>16</v>
      </c>
      <c r="D169" s="32" t="s">
        <v>1212</v>
      </c>
      <c r="E169" s="11" t="s">
        <v>33</v>
      </c>
    </row>
    <row r="170">
      <c r="A170" s="19">
        <v>0.4986111111111111</v>
      </c>
      <c r="B170" s="32" t="s">
        <v>1213</v>
      </c>
      <c r="C170" s="35" t="s">
        <v>722</v>
      </c>
      <c r="D170" s="32" t="s">
        <v>739</v>
      </c>
      <c r="E170" s="11" t="s">
        <v>37</v>
      </c>
    </row>
    <row r="171">
      <c r="A171" s="19">
        <v>0.5083333333333333</v>
      </c>
      <c r="B171" s="32" t="s">
        <v>1212</v>
      </c>
      <c r="C171" s="35" t="s">
        <v>514</v>
      </c>
      <c r="D171" s="32" t="s">
        <v>739</v>
      </c>
      <c r="E171" s="11" t="s">
        <v>33</v>
      </c>
    </row>
    <row r="172">
      <c r="A172" s="19">
        <v>0.5083333333333333</v>
      </c>
      <c r="B172" s="32" t="s">
        <v>1211</v>
      </c>
      <c r="C172" s="35" t="s">
        <v>614</v>
      </c>
      <c r="D172" s="32" t="s">
        <v>1213</v>
      </c>
      <c r="E172" s="11" t="s">
        <v>37</v>
      </c>
    </row>
    <row r="173">
      <c r="A173" s="19">
        <v>0.51875</v>
      </c>
      <c r="B173" s="32" t="s">
        <v>253</v>
      </c>
      <c r="C173" s="35" t="s">
        <v>18</v>
      </c>
      <c r="D173" s="32" t="s">
        <v>739</v>
      </c>
      <c r="E173" s="11" t="s">
        <v>33</v>
      </c>
    </row>
    <row r="174">
      <c r="A174" s="19">
        <v>0.51875</v>
      </c>
      <c r="B174" s="32" t="s">
        <v>1212</v>
      </c>
      <c r="C174" s="35" t="s">
        <v>38</v>
      </c>
      <c r="D174" s="32" t="s">
        <v>1211</v>
      </c>
      <c r="E174" s="11" t="s">
        <v>37</v>
      </c>
    </row>
    <row r="175">
      <c r="A175" s="19">
        <v>0.5291666666666667</v>
      </c>
      <c r="B175" s="32" t="s">
        <v>253</v>
      </c>
      <c r="C175" s="35" t="s">
        <v>62</v>
      </c>
      <c r="D175" s="32" t="s">
        <v>1213</v>
      </c>
      <c r="E175" s="11" t="s">
        <v>33</v>
      </c>
    </row>
    <row r="176">
      <c r="A176" s="19">
        <v>0.5291666666666667</v>
      </c>
      <c r="B176" s="32" t="s">
        <v>739</v>
      </c>
      <c r="C176" s="35" t="s">
        <v>724</v>
      </c>
      <c r="D176" s="32" t="s">
        <v>1211</v>
      </c>
      <c r="E176" s="11" t="s">
        <v>37</v>
      </c>
    </row>
    <row r="177">
      <c r="A177" s="27"/>
      <c r="B177" s="1" t="s">
        <v>112</v>
      </c>
      <c r="C177" s="2"/>
      <c r="D177" s="3"/>
      <c r="E177" s="4"/>
    </row>
    <row r="178">
      <c r="A178" s="18" t="s">
        <v>1</v>
      </c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A179" s="19">
        <v>0.5416666666666666</v>
      </c>
      <c r="B179" s="32" t="s">
        <v>117</v>
      </c>
      <c r="C179" s="35" t="s">
        <v>201</v>
      </c>
      <c r="D179" s="32" t="s">
        <v>1214</v>
      </c>
      <c r="E179" s="11" t="s">
        <v>9</v>
      </c>
    </row>
    <row r="180">
      <c r="A180" s="19">
        <v>0.5416666666666666</v>
      </c>
      <c r="B180" s="32" t="s">
        <v>1215</v>
      </c>
      <c r="C180" s="35" t="s">
        <v>260</v>
      </c>
      <c r="D180" s="32" t="s">
        <v>1216</v>
      </c>
      <c r="E180" s="11" t="s">
        <v>13</v>
      </c>
    </row>
    <row r="181">
      <c r="A181" s="19">
        <v>0.5513888888888889</v>
      </c>
      <c r="B181" s="32" t="s">
        <v>1215</v>
      </c>
      <c r="C181" s="35" t="s">
        <v>274</v>
      </c>
      <c r="D181" s="32" t="s">
        <v>1214</v>
      </c>
      <c r="E181" s="11" t="s">
        <v>9</v>
      </c>
    </row>
    <row r="182">
      <c r="A182" s="19">
        <v>0.5513888888888889</v>
      </c>
      <c r="B182" s="32" t="s">
        <v>1217</v>
      </c>
      <c r="C182" s="35" t="s">
        <v>218</v>
      </c>
      <c r="D182" s="32" t="s">
        <v>1216</v>
      </c>
      <c r="E182" s="11" t="s">
        <v>13</v>
      </c>
    </row>
    <row r="183">
      <c r="A183" s="19">
        <v>0.5618055555555556</v>
      </c>
      <c r="B183" s="32" t="s">
        <v>1217</v>
      </c>
      <c r="C183" s="35" t="s">
        <v>18</v>
      </c>
      <c r="D183" s="32" t="s">
        <v>1215</v>
      </c>
      <c r="E183" s="11" t="s">
        <v>9</v>
      </c>
    </row>
    <row r="184">
      <c r="A184" s="19">
        <v>0.5618055555555556</v>
      </c>
      <c r="B184" s="32" t="s">
        <v>1216</v>
      </c>
      <c r="C184" s="35" t="s">
        <v>18</v>
      </c>
      <c r="D184" s="32" t="s">
        <v>117</v>
      </c>
      <c r="E184" s="11" t="s">
        <v>13</v>
      </c>
    </row>
    <row r="185">
      <c r="A185" s="19">
        <v>0.5722222222222222</v>
      </c>
      <c r="B185" s="32" t="s">
        <v>1217</v>
      </c>
      <c r="C185" s="35" t="s">
        <v>66</v>
      </c>
      <c r="D185" s="32" t="s">
        <v>1214</v>
      </c>
      <c r="E185" s="11" t="s">
        <v>9</v>
      </c>
    </row>
    <row r="186">
      <c r="A186" s="19">
        <v>0.5722222222222222</v>
      </c>
      <c r="B186" s="32" t="s">
        <v>117</v>
      </c>
      <c r="C186" s="35" t="s">
        <v>22</v>
      </c>
      <c r="D186" s="32" t="s">
        <v>1215</v>
      </c>
      <c r="E186" s="11" t="s">
        <v>13</v>
      </c>
    </row>
    <row r="187">
      <c r="A187" s="19">
        <v>0.5819444444444445</v>
      </c>
      <c r="B187" s="32" t="s">
        <v>1216</v>
      </c>
      <c r="C187" s="35" t="s">
        <v>71</v>
      </c>
      <c r="D187" s="32" t="s">
        <v>1214</v>
      </c>
      <c r="E187" s="11" t="s">
        <v>9</v>
      </c>
    </row>
    <row r="188">
      <c r="A188" s="19">
        <v>0.5819444444444445</v>
      </c>
      <c r="B188" s="32" t="s">
        <v>117</v>
      </c>
      <c r="C188" s="35" t="s">
        <v>544</v>
      </c>
      <c r="D188" s="32" t="s">
        <v>1217</v>
      </c>
      <c r="E188" s="11" t="s">
        <v>13</v>
      </c>
    </row>
    <row r="189">
      <c r="A189" s="19">
        <v>0.5923611111111111</v>
      </c>
      <c r="B189" s="32" t="s">
        <v>1214</v>
      </c>
      <c r="C189" s="35" t="s">
        <v>16</v>
      </c>
      <c r="D189" s="32" t="s">
        <v>117</v>
      </c>
      <c r="E189" s="11" t="s">
        <v>9</v>
      </c>
    </row>
    <row r="190">
      <c r="A190" s="19">
        <v>0.5923611111111111</v>
      </c>
      <c r="B190" s="32" t="s">
        <v>1216</v>
      </c>
      <c r="C190" s="35" t="s">
        <v>369</v>
      </c>
      <c r="D190" s="32" t="s">
        <v>1215</v>
      </c>
      <c r="E190" s="11" t="s">
        <v>13</v>
      </c>
    </row>
    <row r="191">
      <c r="A191" s="19">
        <v>0.6027777777777777</v>
      </c>
      <c r="B191" s="32" t="s">
        <v>1214</v>
      </c>
      <c r="C191" s="35" t="s">
        <v>64</v>
      </c>
      <c r="D191" s="32" t="s">
        <v>1215</v>
      </c>
      <c r="E191" s="11" t="s">
        <v>9</v>
      </c>
    </row>
    <row r="192">
      <c r="A192" s="19">
        <v>0.6027777777777777</v>
      </c>
      <c r="B192" s="32" t="s">
        <v>1216</v>
      </c>
      <c r="C192" s="35" t="s">
        <v>578</v>
      </c>
      <c r="D192" s="32" t="s">
        <v>1217</v>
      </c>
      <c r="E192" s="11" t="s">
        <v>13</v>
      </c>
    </row>
    <row r="193">
      <c r="A193" s="19">
        <v>0.6125</v>
      </c>
      <c r="B193" s="32" t="s">
        <v>1215</v>
      </c>
      <c r="C193" s="35" t="s">
        <v>426</v>
      </c>
      <c r="D193" s="32" t="s">
        <v>1217</v>
      </c>
      <c r="E193" s="11" t="s">
        <v>9</v>
      </c>
    </row>
    <row r="194">
      <c r="A194" s="19">
        <v>0.6125</v>
      </c>
      <c r="B194" s="32" t="s">
        <v>117</v>
      </c>
      <c r="C194" s="35" t="s">
        <v>251</v>
      </c>
      <c r="D194" s="32" t="s">
        <v>1216</v>
      </c>
      <c r="E194" s="11" t="s">
        <v>13</v>
      </c>
    </row>
    <row r="195">
      <c r="A195" s="19">
        <v>0.6229166666666667</v>
      </c>
      <c r="B195" s="32" t="s">
        <v>1214</v>
      </c>
      <c r="C195" s="35" t="s">
        <v>16</v>
      </c>
      <c r="D195" s="32" t="s">
        <v>1217</v>
      </c>
      <c r="E195" s="11" t="s">
        <v>9</v>
      </c>
    </row>
    <row r="196">
      <c r="A196" s="19">
        <v>0.6229166666666667</v>
      </c>
      <c r="B196" s="32" t="s">
        <v>1215</v>
      </c>
      <c r="C196" s="35" t="s">
        <v>19</v>
      </c>
      <c r="D196" s="32" t="s">
        <v>117</v>
      </c>
      <c r="E196" s="11" t="s">
        <v>13</v>
      </c>
    </row>
    <row r="197">
      <c r="A197" s="19">
        <v>0.6333333333333333</v>
      </c>
      <c r="B197" s="32" t="s">
        <v>1214</v>
      </c>
      <c r="C197" s="35" t="s">
        <v>87</v>
      </c>
      <c r="D197" s="32" t="s">
        <v>1216</v>
      </c>
      <c r="E197" s="11" t="s">
        <v>9</v>
      </c>
    </row>
    <row r="198">
      <c r="A198" s="19">
        <v>0.6333333333333333</v>
      </c>
      <c r="B198" s="32" t="s">
        <v>1217</v>
      </c>
      <c r="C198" s="35" t="s">
        <v>215</v>
      </c>
      <c r="D198" s="32" t="s">
        <v>117</v>
      </c>
      <c r="E198" s="11" t="s">
        <v>13</v>
      </c>
    </row>
    <row r="199">
      <c r="A199" s="27"/>
      <c r="B199" s="1" t="s">
        <v>112</v>
      </c>
      <c r="C199" s="2"/>
      <c r="D199" s="3"/>
      <c r="E199" s="4"/>
    </row>
    <row r="200">
      <c r="A200" s="18" t="s">
        <v>1</v>
      </c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A201" s="19">
        <v>0.5416666666666666</v>
      </c>
      <c r="B201" s="32" t="s">
        <v>1218</v>
      </c>
      <c r="C201" s="33" t="s">
        <v>482</v>
      </c>
      <c r="D201" s="32" t="s">
        <v>1219</v>
      </c>
      <c r="E201" s="11" t="s">
        <v>33</v>
      </c>
    </row>
    <row r="202">
      <c r="A202" s="19">
        <v>0.5416666666666666</v>
      </c>
      <c r="B202" s="32" t="s">
        <v>1220</v>
      </c>
      <c r="C202" s="33" t="s">
        <v>64</v>
      </c>
      <c r="D202" s="32" t="s">
        <v>1221</v>
      </c>
      <c r="E202" s="11" t="s">
        <v>37</v>
      </c>
    </row>
    <row r="203">
      <c r="A203" s="19">
        <v>0.5513888888888889</v>
      </c>
      <c r="B203" s="32" t="s">
        <v>1220</v>
      </c>
      <c r="C203" s="33" t="s">
        <v>66</v>
      </c>
      <c r="D203" s="32" t="s">
        <v>1219</v>
      </c>
      <c r="E203" s="11" t="s">
        <v>33</v>
      </c>
    </row>
    <row r="204">
      <c r="A204" s="19">
        <v>0.5513888888888889</v>
      </c>
      <c r="B204" s="32" t="s">
        <v>1222</v>
      </c>
      <c r="C204" s="33" t="s">
        <v>17</v>
      </c>
      <c r="D204" s="32" t="s">
        <v>1221</v>
      </c>
      <c r="E204" s="11" t="s">
        <v>37</v>
      </c>
    </row>
    <row r="205">
      <c r="A205" s="19">
        <v>0.5618055555555556</v>
      </c>
      <c r="B205" s="32" t="s">
        <v>1222</v>
      </c>
      <c r="C205" s="33" t="s">
        <v>1223</v>
      </c>
      <c r="D205" s="32" t="s">
        <v>1220</v>
      </c>
      <c r="E205" s="11" t="s">
        <v>33</v>
      </c>
    </row>
    <row r="206">
      <c r="A206" s="19">
        <v>0.5618055555555556</v>
      </c>
      <c r="B206" s="32" t="s">
        <v>1221</v>
      </c>
      <c r="C206" s="33" t="s">
        <v>17</v>
      </c>
      <c r="D206" s="32" t="s">
        <v>1218</v>
      </c>
      <c r="E206" s="11" t="s">
        <v>37</v>
      </c>
    </row>
    <row r="207">
      <c r="A207" s="19">
        <v>0.5722222222222222</v>
      </c>
      <c r="B207" s="32" t="s">
        <v>1222</v>
      </c>
      <c r="C207" s="33" t="s">
        <v>414</v>
      </c>
      <c r="D207" s="32" t="s">
        <v>1219</v>
      </c>
      <c r="E207" s="11" t="s">
        <v>33</v>
      </c>
    </row>
    <row r="208">
      <c r="A208" s="19">
        <v>0.5722222222222222</v>
      </c>
      <c r="B208" s="32" t="s">
        <v>1218</v>
      </c>
      <c r="C208" s="33" t="s">
        <v>21</v>
      </c>
      <c r="D208" s="32" t="s">
        <v>1220</v>
      </c>
      <c r="E208" s="11" t="s">
        <v>37</v>
      </c>
    </row>
    <row r="209">
      <c r="A209" s="19">
        <v>0.5819444444444445</v>
      </c>
      <c r="B209" s="32" t="s">
        <v>1221</v>
      </c>
      <c r="C209" s="33" t="s">
        <v>55</v>
      </c>
      <c r="D209" s="32" t="s">
        <v>1219</v>
      </c>
      <c r="E209" s="11" t="s">
        <v>33</v>
      </c>
    </row>
    <row r="210">
      <c r="A210" s="19">
        <v>0.5819444444444445</v>
      </c>
      <c r="B210" s="32" t="s">
        <v>1218</v>
      </c>
      <c r="C210" s="33" t="s">
        <v>217</v>
      </c>
      <c r="D210" s="32" t="s">
        <v>1222</v>
      </c>
      <c r="E210" s="11" t="s">
        <v>37</v>
      </c>
    </row>
    <row r="211">
      <c r="A211" s="19">
        <v>0.5923611111111111</v>
      </c>
      <c r="B211" s="32" t="s">
        <v>1219</v>
      </c>
      <c r="C211" s="33" t="s">
        <v>352</v>
      </c>
      <c r="D211" s="32" t="s">
        <v>1218</v>
      </c>
      <c r="E211" s="11" t="s">
        <v>33</v>
      </c>
    </row>
    <row r="212">
      <c r="A212" s="19">
        <v>0.5923611111111111</v>
      </c>
      <c r="B212" s="32" t="s">
        <v>1221</v>
      </c>
      <c r="C212" s="33" t="s">
        <v>31</v>
      </c>
      <c r="D212" s="32" t="s">
        <v>1220</v>
      </c>
      <c r="E212" s="11" t="s">
        <v>37</v>
      </c>
    </row>
    <row r="213">
      <c r="A213" s="19">
        <v>0.6027777777777777</v>
      </c>
      <c r="B213" s="32" t="s">
        <v>1219</v>
      </c>
      <c r="C213" s="35" t="s">
        <v>336</v>
      </c>
      <c r="D213" s="32" t="s">
        <v>1220</v>
      </c>
      <c r="E213" s="11" t="s">
        <v>33</v>
      </c>
    </row>
    <row r="214">
      <c r="A214" s="19">
        <v>0.6027777777777777</v>
      </c>
      <c r="B214" s="32" t="s">
        <v>1221</v>
      </c>
      <c r="C214" s="35" t="s">
        <v>282</v>
      </c>
      <c r="D214" s="32" t="s">
        <v>1222</v>
      </c>
      <c r="E214" s="11" t="s">
        <v>37</v>
      </c>
    </row>
    <row r="215">
      <c r="A215" s="19">
        <v>0.6125</v>
      </c>
      <c r="B215" s="32" t="s">
        <v>1220</v>
      </c>
      <c r="C215" s="35" t="s">
        <v>217</v>
      </c>
      <c r="D215" s="32" t="s">
        <v>1222</v>
      </c>
      <c r="E215" s="11" t="s">
        <v>33</v>
      </c>
    </row>
    <row r="216">
      <c r="A216" s="19">
        <v>0.6125</v>
      </c>
      <c r="B216" s="32" t="s">
        <v>1218</v>
      </c>
      <c r="C216" s="35" t="s">
        <v>217</v>
      </c>
      <c r="D216" s="32" t="s">
        <v>1221</v>
      </c>
      <c r="E216" s="11" t="s">
        <v>37</v>
      </c>
    </row>
    <row r="217">
      <c r="A217" s="19">
        <v>0.6229166666666667</v>
      </c>
      <c r="B217" s="32" t="s">
        <v>1219</v>
      </c>
      <c r="C217" s="35" t="s">
        <v>1067</v>
      </c>
      <c r="D217" s="32" t="s">
        <v>1222</v>
      </c>
      <c r="E217" s="11" t="s">
        <v>33</v>
      </c>
    </row>
    <row r="218">
      <c r="A218" s="19">
        <v>0.6229166666666667</v>
      </c>
      <c r="B218" s="32" t="s">
        <v>1220</v>
      </c>
      <c r="C218" s="35" t="s">
        <v>239</v>
      </c>
      <c r="D218" s="32" t="s">
        <v>1218</v>
      </c>
      <c r="E218" s="11" t="s">
        <v>37</v>
      </c>
    </row>
    <row r="219">
      <c r="A219" s="19">
        <v>0.6333333333333333</v>
      </c>
      <c r="B219" s="32" t="s">
        <v>1219</v>
      </c>
      <c r="C219" s="35" t="s">
        <v>699</v>
      </c>
      <c r="D219" s="32" t="s">
        <v>1221</v>
      </c>
      <c r="E219" s="24" t="s">
        <v>33</v>
      </c>
    </row>
    <row r="220">
      <c r="A220" s="19">
        <v>0.6333333333333333</v>
      </c>
      <c r="B220" s="32" t="s">
        <v>1222</v>
      </c>
      <c r="C220" s="35" t="s">
        <v>442</v>
      </c>
      <c r="D220" s="32" t="s">
        <v>1218</v>
      </c>
      <c r="E220" s="11" t="s">
        <v>37</v>
      </c>
    </row>
    <row r="221">
      <c r="A221" s="27"/>
      <c r="B221" s="28" t="s">
        <v>123</v>
      </c>
      <c r="C221" s="2"/>
      <c r="D221" s="3"/>
      <c r="E221" s="29"/>
    </row>
    <row r="222">
      <c r="A222" s="18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9">
        <v>0.6458333333333334</v>
      </c>
      <c r="B223" s="34" t="s">
        <v>1224</v>
      </c>
      <c r="C223" s="33" t="s">
        <v>19</v>
      </c>
      <c r="D223" s="34" t="s">
        <v>1080</v>
      </c>
      <c r="E223" s="11" t="s">
        <v>9</v>
      </c>
    </row>
    <row r="224">
      <c r="A224" s="19">
        <v>0.6458333333333334</v>
      </c>
      <c r="B224" s="34" t="s">
        <v>1225</v>
      </c>
      <c r="C224" s="33" t="s">
        <v>260</v>
      </c>
      <c r="D224" s="34" t="s">
        <v>1226</v>
      </c>
      <c r="E224" s="11" t="s">
        <v>13</v>
      </c>
    </row>
    <row r="225">
      <c r="A225" s="19">
        <v>0.6555555555555556</v>
      </c>
      <c r="B225" s="34" t="s">
        <v>1225</v>
      </c>
      <c r="C225" s="33" t="s">
        <v>43</v>
      </c>
      <c r="D225" s="34" t="s">
        <v>1080</v>
      </c>
      <c r="E225" s="11" t="s">
        <v>9</v>
      </c>
    </row>
    <row r="226">
      <c r="A226" s="19">
        <v>0.6555555555555556</v>
      </c>
      <c r="B226" s="34" t="s">
        <v>1082</v>
      </c>
      <c r="C226" s="33" t="s">
        <v>66</v>
      </c>
      <c r="D226" s="34" t="s">
        <v>1226</v>
      </c>
      <c r="E226" s="11" t="s">
        <v>13</v>
      </c>
    </row>
    <row r="227">
      <c r="A227" s="19">
        <v>0.6659722222222222</v>
      </c>
      <c r="B227" s="34" t="s">
        <v>1082</v>
      </c>
      <c r="C227" s="33" t="s">
        <v>62</v>
      </c>
      <c r="D227" s="34" t="s">
        <v>1225</v>
      </c>
      <c r="E227" s="11" t="s">
        <v>9</v>
      </c>
    </row>
    <row r="228">
      <c r="A228" s="19">
        <v>0.6659722222222222</v>
      </c>
      <c r="B228" s="34" t="s">
        <v>1226</v>
      </c>
      <c r="C228" s="33" t="s">
        <v>699</v>
      </c>
      <c r="D228" s="34" t="s">
        <v>1224</v>
      </c>
      <c r="E228" s="11" t="s">
        <v>13</v>
      </c>
    </row>
    <row r="229">
      <c r="A229" s="19">
        <v>0.6763888888888889</v>
      </c>
      <c r="B229" s="34" t="s">
        <v>1082</v>
      </c>
      <c r="C229" s="33" t="s">
        <v>284</v>
      </c>
      <c r="D229" s="34" t="s">
        <v>1080</v>
      </c>
      <c r="E229" s="11" t="s">
        <v>9</v>
      </c>
    </row>
    <row r="230">
      <c r="A230" s="19">
        <v>0.6763888888888889</v>
      </c>
      <c r="B230" s="34" t="s">
        <v>1224</v>
      </c>
      <c r="C230" s="33" t="s">
        <v>201</v>
      </c>
      <c r="D230" s="34" t="s">
        <v>1225</v>
      </c>
      <c r="E230" s="11" t="s">
        <v>13</v>
      </c>
    </row>
    <row r="231">
      <c r="A231" s="19">
        <v>0.6861111111111111</v>
      </c>
      <c r="B231" s="34" t="s">
        <v>1226</v>
      </c>
      <c r="C231" s="33" t="s">
        <v>25</v>
      </c>
      <c r="D231" s="34" t="s">
        <v>1080</v>
      </c>
      <c r="E231" s="11" t="s">
        <v>9</v>
      </c>
    </row>
    <row r="232">
      <c r="A232" s="19">
        <v>0.6861111111111111</v>
      </c>
      <c r="B232" s="34" t="s">
        <v>1224</v>
      </c>
      <c r="C232" s="33" t="s">
        <v>72</v>
      </c>
      <c r="D232" s="34" t="s">
        <v>1082</v>
      </c>
      <c r="E232" s="11" t="s">
        <v>13</v>
      </c>
    </row>
    <row r="233">
      <c r="A233" s="19">
        <v>0.6965277777777777</v>
      </c>
      <c r="B233" s="34" t="s">
        <v>1080</v>
      </c>
      <c r="C233" s="33" t="s">
        <v>78</v>
      </c>
      <c r="D233" s="34" t="s">
        <v>1224</v>
      </c>
      <c r="E233" s="11" t="s">
        <v>9</v>
      </c>
    </row>
    <row r="234">
      <c r="A234" s="19">
        <v>0.6965277777777777</v>
      </c>
      <c r="B234" s="34" t="s">
        <v>1226</v>
      </c>
      <c r="C234" s="33" t="s">
        <v>72</v>
      </c>
      <c r="D234" s="34" t="s">
        <v>1225</v>
      </c>
      <c r="E234" s="11" t="s">
        <v>13</v>
      </c>
    </row>
    <row r="235">
      <c r="A235" s="19">
        <v>0.7069444444444445</v>
      </c>
      <c r="B235" s="34" t="s">
        <v>1080</v>
      </c>
      <c r="C235" s="35" t="s">
        <v>195</v>
      </c>
      <c r="D235" s="34" t="s">
        <v>1225</v>
      </c>
      <c r="E235" s="11" t="s">
        <v>9</v>
      </c>
    </row>
    <row r="236">
      <c r="A236" s="19">
        <v>0.7069444444444445</v>
      </c>
      <c r="B236" s="34" t="s">
        <v>1226</v>
      </c>
      <c r="C236" s="35" t="s">
        <v>556</v>
      </c>
      <c r="D236" s="34" t="s">
        <v>1082</v>
      </c>
      <c r="E236" s="11" t="s">
        <v>13</v>
      </c>
    </row>
    <row r="237">
      <c r="A237" s="19">
        <v>0.7166666666666667</v>
      </c>
      <c r="B237" s="34" t="s">
        <v>1225</v>
      </c>
      <c r="C237" s="35" t="s">
        <v>45</v>
      </c>
      <c r="D237" s="34" t="s">
        <v>1082</v>
      </c>
      <c r="E237" s="11" t="s">
        <v>9</v>
      </c>
    </row>
    <row r="238">
      <c r="A238" s="19">
        <v>0.7166666666666667</v>
      </c>
      <c r="B238" s="34" t="s">
        <v>1224</v>
      </c>
      <c r="C238" s="35" t="s">
        <v>194</v>
      </c>
      <c r="D238" s="34" t="s">
        <v>1226</v>
      </c>
      <c r="E238" s="11" t="s">
        <v>13</v>
      </c>
    </row>
    <row r="239">
      <c r="A239" s="19">
        <v>0.7270833333333333</v>
      </c>
      <c r="B239" s="34" t="s">
        <v>1080</v>
      </c>
      <c r="C239" s="35" t="s">
        <v>193</v>
      </c>
      <c r="D239" s="34" t="s">
        <v>1082</v>
      </c>
      <c r="E239" s="11" t="s">
        <v>9</v>
      </c>
    </row>
    <row r="240">
      <c r="A240" s="19">
        <v>0.7270833333333333</v>
      </c>
      <c r="B240" s="34" t="s">
        <v>1225</v>
      </c>
      <c r="C240" s="35" t="s">
        <v>195</v>
      </c>
      <c r="D240" s="34" t="s">
        <v>1224</v>
      </c>
      <c r="E240" s="11" t="s">
        <v>13</v>
      </c>
    </row>
    <row r="241">
      <c r="A241" s="19">
        <v>0.7375</v>
      </c>
      <c r="B241" s="34" t="s">
        <v>1080</v>
      </c>
      <c r="C241" s="35" t="s">
        <v>66</v>
      </c>
      <c r="D241" s="34" t="s">
        <v>1226</v>
      </c>
      <c r="E241" s="11" t="s">
        <v>9</v>
      </c>
    </row>
    <row r="242">
      <c r="A242" s="19">
        <v>0.7375</v>
      </c>
      <c r="B242" s="34" t="s">
        <v>1082</v>
      </c>
      <c r="C242" s="35" t="s">
        <v>25</v>
      </c>
      <c r="D242" s="34" t="s">
        <v>1224</v>
      </c>
      <c r="E242" s="11" t="s">
        <v>13</v>
      </c>
    </row>
    <row r="243">
      <c r="A243" s="27"/>
      <c r="B243" s="28" t="s">
        <v>123</v>
      </c>
      <c r="C243" s="2"/>
      <c r="D243" s="3"/>
      <c r="E243" s="29"/>
    </row>
    <row r="244">
      <c r="A244" s="18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9">
        <v>0.6458333333333334</v>
      </c>
      <c r="B245" s="34" t="s">
        <v>1157</v>
      </c>
      <c r="C245" s="35" t="s">
        <v>544</v>
      </c>
      <c r="D245" s="34" t="s">
        <v>1227</v>
      </c>
      <c r="E245" s="11" t="s">
        <v>33</v>
      </c>
    </row>
    <row r="246">
      <c r="A246" s="19">
        <v>0.6458333333333334</v>
      </c>
      <c r="B246" s="34" t="s">
        <v>292</v>
      </c>
      <c r="C246" s="35" t="s">
        <v>190</v>
      </c>
      <c r="D246" s="34" t="s">
        <v>1156</v>
      </c>
      <c r="E246" s="11" t="s">
        <v>37</v>
      </c>
    </row>
    <row r="247">
      <c r="A247" s="19">
        <v>0.6555555555555556</v>
      </c>
      <c r="B247" s="34" t="s">
        <v>292</v>
      </c>
      <c r="C247" s="35" t="s">
        <v>14</v>
      </c>
      <c r="D247" s="34" t="s">
        <v>1227</v>
      </c>
      <c r="E247" s="11" t="s">
        <v>33</v>
      </c>
    </row>
    <row r="248">
      <c r="A248" s="19">
        <v>0.6555555555555556</v>
      </c>
      <c r="B248" s="34" t="s">
        <v>1228</v>
      </c>
      <c r="C248" s="35" t="s">
        <v>380</v>
      </c>
      <c r="D248" s="34" t="s">
        <v>1156</v>
      </c>
      <c r="E248" s="11" t="s">
        <v>37</v>
      </c>
    </row>
    <row r="249">
      <c r="A249" s="19">
        <v>0.6659722222222222</v>
      </c>
      <c r="B249" s="34" t="s">
        <v>1228</v>
      </c>
      <c r="C249" s="35" t="s">
        <v>233</v>
      </c>
      <c r="D249" s="34" t="s">
        <v>292</v>
      </c>
      <c r="E249" s="11" t="s">
        <v>33</v>
      </c>
    </row>
    <row r="250">
      <c r="A250" s="19">
        <v>0.6659722222222222</v>
      </c>
      <c r="B250" s="34" t="s">
        <v>1156</v>
      </c>
      <c r="C250" s="35" t="s">
        <v>22</v>
      </c>
      <c r="D250" s="34" t="s">
        <v>1157</v>
      </c>
      <c r="E250" s="11" t="s">
        <v>37</v>
      </c>
    </row>
    <row r="251">
      <c r="A251" s="19">
        <v>0.6763888888888889</v>
      </c>
      <c r="B251" s="34" t="s">
        <v>1228</v>
      </c>
      <c r="C251" s="35" t="s">
        <v>509</v>
      </c>
      <c r="D251" s="34" t="s">
        <v>1227</v>
      </c>
      <c r="E251" s="11" t="s">
        <v>33</v>
      </c>
    </row>
    <row r="252">
      <c r="A252" s="19">
        <v>0.6763888888888889</v>
      </c>
      <c r="B252" s="34" t="s">
        <v>1157</v>
      </c>
      <c r="C252" s="35" t="s">
        <v>81</v>
      </c>
      <c r="D252" s="34" t="s">
        <v>292</v>
      </c>
      <c r="E252" s="11" t="s">
        <v>37</v>
      </c>
    </row>
    <row r="253">
      <c r="A253" s="19">
        <v>0.6861111111111111</v>
      </c>
      <c r="B253" s="34" t="s">
        <v>1156</v>
      </c>
      <c r="C253" s="35" t="s">
        <v>260</v>
      </c>
      <c r="D253" s="34" t="s">
        <v>1227</v>
      </c>
      <c r="E253" s="11" t="s">
        <v>33</v>
      </c>
    </row>
    <row r="254">
      <c r="A254" s="19">
        <v>0.6861111111111111</v>
      </c>
      <c r="B254" s="34" t="s">
        <v>1157</v>
      </c>
      <c r="C254" s="35" t="s">
        <v>456</v>
      </c>
      <c r="D254" s="34" t="s">
        <v>1228</v>
      </c>
      <c r="E254" s="11" t="s">
        <v>37</v>
      </c>
    </row>
    <row r="255">
      <c r="A255" s="19">
        <v>0.6965277777777777</v>
      </c>
      <c r="B255" s="34" t="s">
        <v>1227</v>
      </c>
      <c r="C255" s="35" t="s">
        <v>722</v>
      </c>
      <c r="D255" s="34" t="s">
        <v>1157</v>
      </c>
      <c r="E255" s="11" t="s">
        <v>33</v>
      </c>
    </row>
    <row r="256">
      <c r="A256" s="19">
        <v>0.6965277777777777</v>
      </c>
      <c r="B256" s="34" t="s">
        <v>1156</v>
      </c>
      <c r="C256" s="35" t="s">
        <v>43</v>
      </c>
      <c r="D256" s="34" t="s">
        <v>292</v>
      </c>
      <c r="E256" s="11" t="s">
        <v>37</v>
      </c>
    </row>
    <row r="257">
      <c r="A257" s="19">
        <v>0.7069444444444445</v>
      </c>
      <c r="B257" s="34" t="s">
        <v>1227</v>
      </c>
      <c r="C257" s="35" t="s">
        <v>68</v>
      </c>
      <c r="D257" s="34" t="s">
        <v>292</v>
      </c>
      <c r="E257" s="11" t="s">
        <v>33</v>
      </c>
    </row>
    <row r="258">
      <c r="A258" s="19">
        <v>0.7069444444444445</v>
      </c>
      <c r="B258" s="34" t="s">
        <v>1156</v>
      </c>
      <c r="C258" s="35" t="s">
        <v>20</v>
      </c>
      <c r="D258" s="34" t="s">
        <v>1228</v>
      </c>
      <c r="E258" s="11" t="s">
        <v>37</v>
      </c>
    </row>
    <row r="259">
      <c r="A259" s="19">
        <v>0.7166666666666667</v>
      </c>
      <c r="B259" s="34" t="s">
        <v>292</v>
      </c>
      <c r="C259" s="35" t="s">
        <v>289</v>
      </c>
      <c r="D259" s="34" t="s">
        <v>1228</v>
      </c>
      <c r="E259" s="11" t="s">
        <v>33</v>
      </c>
    </row>
    <row r="260">
      <c r="A260" s="19">
        <v>0.7166666666666667</v>
      </c>
      <c r="B260" s="34" t="s">
        <v>1157</v>
      </c>
      <c r="C260" s="35" t="s">
        <v>201</v>
      </c>
      <c r="D260" s="34" t="s">
        <v>1156</v>
      </c>
      <c r="E260" s="11" t="s">
        <v>37</v>
      </c>
    </row>
    <row r="261">
      <c r="A261" s="19">
        <v>0.7270833333333333</v>
      </c>
      <c r="B261" s="34" t="s">
        <v>1227</v>
      </c>
      <c r="C261" s="35" t="s">
        <v>293</v>
      </c>
      <c r="D261" s="34" t="s">
        <v>1228</v>
      </c>
      <c r="E261" s="11" t="s">
        <v>33</v>
      </c>
    </row>
    <row r="262">
      <c r="A262" s="19">
        <v>0.7270833333333333</v>
      </c>
      <c r="B262" s="34" t="s">
        <v>292</v>
      </c>
      <c r="C262" s="35" t="s">
        <v>88</v>
      </c>
      <c r="D262" s="34" t="s">
        <v>1157</v>
      </c>
      <c r="E262" s="11" t="s">
        <v>37</v>
      </c>
    </row>
    <row r="263">
      <c r="A263" s="19">
        <v>0.7375</v>
      </c>
      <c r="B263" s="34" t="s">
        <v>1227</v>
      </c>
      <c r="C263" s="35" t="s">
        <v>193</v>
      </c>
      <c r="D263" s="34" t="s">
        <v>1156</v>
      </c>
      <c r="E263" s="11" t="s">
        <v>33</v>
      </c>
    </row>
    <row r="264">
      <c r="A264" s="19">
        <v>0.7375</v>
      </c>
      <c r="B264" s="34" t="s">
        <v>1228</v>
      </c>
      <c r="C264" s="35" t="s">
        <v>286</v>
      </c>
      <c r="D264" s="34" t="s">
        <v>1157</v>
      </c>
      <c r="E264" s="11" t="s">
        <v>37</v>
      </c>
    </row>
    <row r="265">
      <c r="A265" s="27"/>
      <c r="B265" s="28" t="s">
        <v>134</v>
      </c>
      <c r="C265" s="2"/>
      <c r="D265" s="3"/>
      <c r="E265" s="29"/>
    </row>
    <row r="266">
      <c r="A266" s="18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9">
        <v>0.75</v>
      </c>
      <c r="B267" s="34" t="s">
        <v>1229</v>
      </c>
      <c r="C267" s="35" t="s">
        <v>190</v>
      </c>
      <c r="D267" s="34" t="s">
        <v>1230</v>
      </c>
      <c r="E267" s="11" t="s">
        <v>9</v>
      </c>
    </row>
    <row r="268">
      <c r="A268" s="19">
        <v>0.75</v>
      </c>
      <c r="B268" s="34" t="s">
        <v>1231</v>
      </c>
      <c r="C268" s="35" t="s">
        <v>16</v>
      </c>
      <c r="D268" s="34" t="s">
        <v>1232</v>
      </c>
      <c r="E268" s="11" t="s">
        <v>13</v>
      </c>
    </row>
    <row r="269">
      <c r="A269" s="19">
        <v>0.7597222222222222</v>
      </c>
      <c r="B269" s="34" t="s">
        <v>1231</v>
      </c>
      <c r="C269" s="35" t="s">
        <v>282</v>
      </c>
      <c r="D269" s="34" t="s">
        <v>1230</v>
      </c>
      <c r="E269" s="11" t="s">
        <v>9</v>
      </c>
    </row>
    <row r="270">
      <c r="A270" s="19">
        <v>0.7597222222222222</v>
      </c>
      <c r="B270" s="34" t="s">
        <v>773</v>
      </c>
      <c r="C270" s="35" t="s">
        <v>25</v>
      </c>
      <c r="D270" s="34" t="s">
        <v>1232</v>
      </c>
      <c r="E270" s="11" t="s">
        <v>13</v>
      </c>
      <c r="G270" s="36"/>
    </row>
    <row r="271">
      <c r="A271" s="19">
        <v>0.7701388888888889</v>
      </c>
      <c r="B271" s="34" t="s">
        <v>773</v>
      </c>
      <c r="C271" s="35" t="s">
        <v>258</v>
      </c>
      <c r="D271" s="34" t="s">
        <v>1231</v>
      </c>
      <c r="E271" s="11" t="s">
        <v>9</v>
      </c>
    </row>
    <row r="272">
      <c r="A272" s="19">
        <v>0.7701388888888889</v>
      </c>
      <c r="B272" s="34" t="s">
        <v>1232</v>
      </c>
      <c r="C272" s="35" t="s">
        <v>193</v>
      </c>
      <c r="D272" s="34" t="s">
        <v>1229</v>
      </c>
      <c r="E272" s="11" t="s">
        <v>13</v>
      </c>
    </row>
    <row r="273">
      <c r="A273" s="19">
        <v>0.7805555555555556</v>
      </c>
      <c r="B273" s="34" t="s">
        <v>773</v>
      </c>
      <c r="C273" s="35" t="s">
        <v>190</v>
      </c>
      <c r="D273" s="34" t="s">
        <v>1230</v>
      </c>
      <c r="E273" s="11" t="s">
        <v>9</v>
      </c>
    </row>
    <row r="274">
      <c r="A274" s="19">
        <v>0.7805555555555556</v>
      </c>
      <c r="B274" s="34" t="s">
        <v>1229</v>
      </c>
      <c r="C274" s="35" t="s">
        <v>351</v>
      </c>
      <c r="D274" s="34" t="s">
        <v>1231</v>
      </c>
      <c r="E274" s="11" t="s">
        <v>13</v>
      </c>
    </row>
    <row r="275">
      <c r="A275" s="19">
        <v>0.7902777777777777</v>
      </c>
      <c r="B275" s="34" t="s">
        <v>1232</v>
      </c>
      <c r="C275" s="35" t="s">
        <v>72</v>
      </c>
      <c r="D275" s="34" t="s">
        <v>1230</v>
      </c>
      <c r="E275" s="11" t="s">
        <v>9</v>
      </c>
    </row>
    <row r="276">
      <c r="A276" s="19">
        <v>0.7902777777777777</v>
      </c>
      <c r="B276" s="34" t="s">
        <v>1229</v>
      </c>
      <c r="C276" s="35" t="s">
        <v>201</v>
      </c>
      <c r="D276" s="34" t="s">
        <v>773</v>
      </c>
      <c r="E276" s="11" t="s">
        <v>13</v>
      </c>
    </row>
    <row r="277">
      <c r="A277" s="19">
        <v>0.8006944444444445</v>
      </c>
      <c r="B277" s="34" t="s">
        <v>1230</v>
      </c>
      <c r="C277" s="35" t="s">
        <v>194</v>
      </c>
      <c r="D277" s="34" t="s">
        <v>1229</v>
      </c>
      <c r="E277" s="11" t="s">
        <v>9</v>
      </c>
    </row>
    <row r="278">
      <c r="A278" s="19">
        <v>0.8006944444444445</v>
      </c>
      <c r="B278" s="34" t="s">
        <v>1232</v>
      </c>
      <c r="C278" s="35" t="s">
        <v>62</v>
      </c>
      <c r="D278" s="34" t="s">
        <v>1231</v>
      </c>
      <c r="E278" s="11" t="s">
        <v>13</v>
      </c>
    </row>
    <row r="279">
      <c r="A279" s="19">
        <v>0.8111111111111111</v>
      </c>
      <c r="B279" s="34" t="s">
        <v>1230</v>
      </c>
      <c r="C279" s="35" t="s">
        <v>267</v>
      </c>
      <c r="D279" s="34" t="s">
        <v>1231</v>
      </c>
      <c r="E279" s="11" t="s">
        <v>9</v>
      </c>
    </row>
    <row r="280">
      <c r="A280" s="19">
        <v>0.8111111111111111</v>
      </c>
      <c r="B280" s="34" t="s">
        <v>1232</v>
      </c>
      <c r="C280" s="35" t="s">
        <v>27</v>
      </c>
      <c r="D280" s="34" t="s">
        <v>773</v>
      </c>
      <c r="E280" s="11" t="s">
        <v>13</v>
      </c>
    </row>
    <row r="281">
      <c r="A281" s="19">
        <v>0.8208333333333333</v>
      </c>
      <c r="B281" s="34" t="s">
        <v>1231</v>
      </c>
      <c r="C281" s="35" t="s">
        <v>195</v>
      </c>
      <c r="D281" s="34" t="s">
        <v>773</v>
      </c>
      <c r="E281" s="11" t="s">
        <v>9</v>
      </c>
    </row>
    <row r="282">
      <c r="A282" s="19">
        <v>0.8208333333333333</v>
      </c>
      <c r="B282" s="34" t="s">
        <v>1229</v>
      </c>
      <c r="C282" s="35" t="s">
        <v>194</v>
      </c>
      <c r="D282" s="34" t="s">
        <v>1232</v>
      </c>
      <c r="E282" s="11" t="s">
        <v>13</v>
      </c>
    </row>
    <row r="283">
      <c r="A283" s="19">
        <v>0.83125</v>
      </c>
      <c r="B283" s="34" t="s">
        <v>1230</v>
      </c>
      <c r="C283" s="35" t="s">
        <v>1233</v>
      </c>
      <c r="D283" s="34" t="s">
        <v>773</v>
      </c>
      <c r="E283" s="11" t="s">
        <v>9</v>
      </c>
    </row>
    <row r="284">
      <c r="A284" s="19">
        <v>0.83125</v>
      </c>
      <c r="B284" s="34" t="s">
        <v>1231</v>
      </c>
      <c r="C284" s="35" t="s">
        <v>21</v>
      </c>
      <c r="D284" s="34" t="s">
        <v>1229</v>
      </c>
      <c r="E284" s="11" t="s">
        <v>13</v>
      </c>
    </row>
    <row r="285">
      <c r="A285" s="19">
        <v>0.8416666666666667</v>
      </c>
      <c r="B285" s="34" t="s">
        <v>1230</v>
      </c>
      <c r="C285" s="35" t="s">
        <v>87</v>
      </c>
      <c r="D285" s="34" t="s">
        <v>1232</v>
      </c>
      <c r="E285" s="11" t="s">
        <v>9</v>
      </c>
    </row>
    <row r="286">
      <c r="A286" s="19">
        <v>0.8416666666666667</v>
      </c>
      <c r="B286" s="34" t="s">
        <v>773</v>
      </c>
      <c r="C286" s="35" t="s">
        <v>14</v>
      </c>
      <c r="D286" s="34" t="s">
        <v>1229</v>
      </c>
      <c r="E286" s="11" t="s">
        <v>13</v>
      </c>
    </row>
    <row r="287">
      <c r="A287" s="27"/>
      <c r="B287" s="28" t="s">
        <v>134</v>
      </c>
      <c r="C287" s="2"/>
      <c r="D287" s="3"/>
      <c r="E287" s="29"/>
    </row>
    <row r="288">
      <c r="A288" s="18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9">
        <v>0.75</v>
      </c>
      <c r="B289" s="34" t="s">
        <v>1234</v>
      </c>
      <c r="C289" s="35" t="s">
        <v>81</v>
      </c>
      <c r="D289" s="34" t="s">
        <v>774</v>
      </c>
      <c r="E289" s="11" t="s">
        <v>33</v>
      </c>
    </row>
    <row r="290">
      <c r="A290" s="19">
        <v>0.75</v>
      </c>
      <c r="B290" s="34" t="s">
        <v>688</v>
      </c>
      <c r="C290" s="35" t="s">
        <v>76</v>
      </c>
      <c r="D290" s="34" t="s">
        <v>1099</v>
      </c>
      <c r="E290" s="11" t="s">
        <v>37</v>
      </c>
    </row>
    <row r="291">
      <c r="A291" s="19">
        <v>0.7597222222222222</v>
      </c>
      <c r="B291" s="34" t="s">
        <v>688</v>
      </c>
      <c r="C291" s="35" t="s">
        <v>187</v>
      </c>
      <c r="D291" s="34" t="s">
        <v>774</v>
      </c>
      <c r="E291" s="11" t="s">
        <v>33</v>
      </c>
    </row>
    <row r="292">
      <c r="A292" s="19">
        <v>0.7597222222222222</v>
      </c>
      <c r="B292" s="34" t="s">
        <v>1235</v>
      </c>
      <c r="C292" s="35" t="s">
        <v>45</v>
      </c>
      <c r="D292" s="34" t="s">
        <v>1099</v>
      </c>
      <c r="E292" s="11" t="s">
        <v>37</v>
      </c>
    </row>
    <row r="293">
      <c r="A293" s="19">
        <v>0.7701388888888889</v>
      </c>
      <c r="B293" s="34" t="s">
        <v>1235</v>
      </c>
      <c r="C293" s="35" t="s">
        <v>21</v>
      </c>
      <c r="D293" s="34" t="s">
        <v>688</v>
      </c>
      <c r="E293" s="11" t="s">
        <v>33</v>
      </c>
    </row>
    <row r="294">
      <c r="A294" s="19">
        <v>0.7701388888888889</v>
      </c>
      <c r="B294" s="34" t="s">
        <v>1099</v>
      </c>
      <c r="C294" s="35" t="s">
        <v>194</v>
      </c>
      <c r="D294" s="34" t="s">
        <v>1234</v>
      </c>
      <c r="E294" s="11" t="s">
        <v>37</v>
      </c>
    </row>
    <row r="295">
      <c r="A295" s="19">
        <v>0.7805555555555556</v>
      </c>
      <c r="B295" s="34" t="s">
        <v>1235</v>
      </c>
      <c r="C295" s="35" t="s">
        <v>68</v>
      </c>
      <c r="D295" s="34" t="s">
        <v>774</v>
      </c>
      <c r="E295" s="11" t="s">
        <v>33</v>
      </c>
    </row>
    <row r="296">
      <c r="A296" s="19">
        <v>0.7805555555555556</v>
      </c>
      <c r="B296" s="34" t="s">
        <v>1234</v>
      </c>
      <c r="C296" s="35" t="s">
        <v>88</v>
      </c>
      <c r="D296" s="34" t="s">
        <v>688</v>
      </c>
      <c r="E296" s="11" t="s">
        <v>37</v>
      </c>
    </row>
    <row r="297">
      <c r="A297" s="19">
        <v>0.7902777777777777</v>
      </c>
      <c r="B297" s="34" t="s">
        <v>1099</v>
      </c>
      <c r="C297" s="35" t="s">
        <v>434</v>
      </c>
      <c r="D297" s="34" t="s">
        <v>774</v>
      </c>
      <c r="E297" s="11" t="s">
        <v>33</v>
      </c>
    </row>
    <row r="298">
      <c r="A298" s="19">
        <v>0.7902777777777777</v>
      </c>
      <c r="B298" s="34" t="s">
        <v>1234</v>
      </c>
      <c r="C298" s="35" t="s">
        <v>22</v>
      </c>
      <c r="D298" s="34" t="s">
        <v>1235</v>
      </c>
      <c r="E298" s="11" t="s">
        <v>37</v>
      </c>
    </row>
    <row r="299">
      <c r="A299" s="19">
        <v>0.8006944444444445</v>
      </c>
      <c r="B299" s="34" t="s">
        <v>774</v>
      </c>
      <c r="C299" s="35" t="s">
        <v>196</v>
      </c>
      <c r="D299" s="34" t="s">
        <v>1234</v>
      </c>
      <c r="E299" s="11" t="s">
        <v>33</v>
      </c>
    </row>
    <row r="300">
      <c r="A300" s="19">
        <v>0.8006944444444445</v>
      </c>
      <c r="B300" s="34" t="s">
        <v>1099</v>
      </c>
      <c r="C300" s="35" t="s">
        <v>295</v>
      </c>
      <c r="D300" s="34" t="s">
        <v>688</v>
      </c>
      <c r="E300" s="11" t="s">
        <v>37</v>
      </c>
    </row>
    <row r="301">
      <c r="A301" s="19">
        <v>0.8111111111111111</v>
      </c>
      <c r="B301" s="34" t="s">
        <v>774</v>
      </c>
      <c r="C301" s="35" t="s">
        <v>87</v>
      </c>
      <c r="D301" s="34" t="s">
        <v>688</v>
      </c>
      <c r="E301" s="11" t="s">
        <v>33</v>
      </c>
    </row>
    <row r="302">
      <c r="A302" s="19">
        <v>0.8111111111111111</v>
      </c>
      <c r="B302" s="34" t="s">
        <v>1099</v>
      </c>
      <c r="C302" s="35" t="s">
        <v>494</v>
      </c>
      <c r="D302" s="34" t="s">
        <v>1235</v>
      </c>
      <c r="E302" s="11" t="s">
        <v>37</v>
      </c>
    </row>
    <row r="303">
      <c r="A303" s="19">
        <v>0.8208333333333333</v>
      </c>
      <c r="B303" s="34" t="s">
        <v>688</v>
      </c>
      <c r="C303" s="35" t="s">
        <v>14</v>
      </c>
      <c r="D303" s="34" t="s">
        <v>1235</v>
      </c>
      <c r="E303" s="11" t="s">
        <v>33</v>
      </c>
    </row>
    <row r="304">
      <c r="A304" s="19">
        <v>0.8208333333333333</v>
      </c>
      <c r="B304" s="34" t="s">
        <v>1234</v>
      </c>
      <c r="C304" s="35" t="s">
        <v>45</v>
      </c>
      <c r="D304" s="34" t="s">
        <v>1099</v>
      </c>
      <c r="E304" s="11" t="s">
        <v>37</v>
      </c>
    </row>
    <row r="305">
      <c r="A305" s="19">
        <v>0.83125</v>
      </c>
      <c r="B305" s="34" t="s">
        <v>774</v>
      </c>
      <c r="C305" s="35" t="s">
        <v>400</v>
      </c>
      <c r="D305" s="34" t="s">
        <v>1235</v>
      </c>
      <c r="E305" s="11" t="s">
        <v>33</v>
      </c>
    </row>
    <row r="306">
      <c r="A306" s="19">
        <v>0.83125</v>
      </c>
      <c r="B306" s="34" t="s">
        <v>688</v>
      </c>
      <c r="C306" s="35" t="s">
        <v>218</v>
      </c>
      <c r="D306" s="34" t="s">
        <v>1234</v>
      </c>
      <c r="E306" s="11" t="s">
        <v>37</v>
      </c>
    </row>
    <row r="307">
      <c r="A307" s="19">
        <v>0.8416666666666667</v>
      </c>
      <c r="B307" s="34" t="s">
        <v>774</v>
      </c>
      <c r="C307" s="35" t="s">
        <v>43</v>
      </c>
      <c r="D307" s="34" t="s">
        <v>1099</v>
      </c>
      <c r="E307" s="11" t="s">
        <v>33</v>
      </c>
    </row>
    <row r="308">
      <c r="A308" s="19">
        <v>0.8416666666666667</v>
      </c>
      <c r="B308" s="34" t="s">
        <v>1235</v>
      </c>
      <c r="C308" s="35" t="s">
        <v>239</v>
      </c>
      <c r="D308" s="34" t="s">
        <v>1234</v>
      </c>
      <c r="E308" s="11" t="s">
        <v>37</v>
      </c>
    </row>
    <row r="309">
      <c r="A309" s="27"/>
      <c r="B309" s="28" t="s">
        <v>145</v>
      </c>
      <c r="C309" s="2"/>
      <c r="D309" s="3"/>
      <c r="E309" s="29"/>
    </row>
    <row r="310">
      <c r="A310" s="18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9">
        <v>0.8541666666666666</v>
      </c>
      <c r="B311" s="34" t="s">
        <v>1236</v>
      </c>
      <c r="C311" s="33" t="s">
        <v>69</v>
      </c>
      <c r="D311" s="34" t="s">
        <v>1105</v>
      </c>
      <c r="E311" s="11" t="s">
        <v>9</v>
      </c>
    </row>
    <row r="312">
      <c r="A312" s="19">
        <v>0.8541666666666666</v>
      </c>
      <c r="B312" s="34" t="s">
        <v>1237</v>
      </c>
      <c r="C312" s="33" t="s">
        <v>66</v>
      </c>
      <c r="D312" s="34" t="s">
        <v>1238</v>
      </c>
      <c r="E312" s="11" t="s">
        <v>13</v>
      </c>
    </row>
    <row r="313">
      <c r="A313" s="19">
        <v>0.8638888888888889</v>
      </c>
      <c r="B313" s="34" t="s">
        <v>1237</v>
      </c>
      <c r="C313" s="33" t="s">
        <v>190</v>
      </c>
      <c r="D313" s="34" t="s">
        <v>1105</v>
      </c>
      <c r="E313" s="11" t="s">
        <v>9</v>
      </c>
    </row>
    <row r="314">
      <c r="A314" s="19">
        <v>0.8638888888888889</v>
      </c>
      <c r="B314" s="34" t="s">
        <v>1239</v>
      </c>
      <c r="C314" s="33" t="s">
        <v>215</v>
      </c>
      <c r="D314" s="34" t="s">
        <v>1238</v>
      </c>
      <c r="E314" s="11" t="s">
        <v>13</v>
      </c>
    </row>
    <row r="315">
      <c r="A315" s="19">
        <v>0.8743055555555556</v>
      </c>
      <c r="B315" s="34" t="s">
        <v>1239</v>
      </c>
      <c r="C315" s="33" t="s">
        <v>283</v>
      </c>
      <c r="D315" s="34" t="s">
        <v>1237</v>
      </c>
      <c r="E315" s="11" t="s">
        <v>9</v>
      </c>
    </row>
    <row r="316">
      <c r="A316" s="19">
        <v>0.8743055555555556</v>
      </c>
      <c r="B316" s="34" t="s">
        <v>1238</v>
      </c>
      <c r="C316" s="33" t="s">
        <v>201</v>
      </c>
      <c r="D316" s="34" t="s">
        <v>1236</v>
      </c>
      <c r="E316" s="11" t="s">
        <v>13</v>
      </c>
    </row>
    <row r="317">
      <c r="A317" s="19">
        <v>0.8847222222222222</v>
      </c>
      <c r="B317" s="34" t="s">
        <v>1239</v>
      </c>
      <c r="C317" s="33" t="s">
        <v>362</v>
      </c>
      <c r="D317" s="34" t="s">
        <v>1105</v>
      </c>
      <c r="E317" s="11" t="s">
        <v>9</v>
      </c>
    </row>
    <row r="318">
      <c r="A318" s="19">
        <v>0.8847222222222222</v>
      </c>
      <c r="B318" s="34" t="s">
        <v>1236</v>
      </c>
      <c r="C318" s="33" t="s">
        <v>83</v>
      </c>
      <c r="D318" s="34" t="s">
        <v>1237</v>
      </c>
      <c r="E318" s="11" t="s">
        <v>13</v>
      </c>
    </row>
    <row r="319">
      <c r="A319" s="19">
        <v>0.8944444444444445</v>
      </c>
      <c r="B319" s="34" t="s">
        <v>1238</v>
      </c>
      <c r="C319" s="33" t="s">
        <v>52</v>
      </c>
      <c r="D319" s="34" t="s">
        <v>1105</v>
      </c>
      <c r="E319" s="11" t="s">
        <v>9</v>
      </c>
    </row>
    <row r="320">
      <c r="A320" s="19">
        <v>0.8944444444444445</v>
      </c>
      <c r="B320" s="34" t="s">
        <v>1236</v>
      </c>
      <c r="C320" s="33" t="s">
        <v>197</v>
      </c>
      <c r="D320" s="34" t="s">
        <v>1239</v>
      </c>
      <c r="E320" s="11" t="s">
        <v>13</v>
      </c>
    </row>
    <row r="321">
      <c r="A321" s="19">
        <v>0.9048611111111111</v>
      </c>
      <c r="B321" s="34" t="s">
        <v>1105</v>
      </c>
      <c r="C321" s="33" t="s">
        <v>196</v>
      </c>
      <c r="D321" s="34" t="s">
        <v>1236</v>
      </c>
      <c r="E321" s="11" t="s">
        <v>9</v>
      </c>
    </row>
    <row r="322">
      <c r="A322" s="19">
        <v>0.9048611111111111</v>
      </c>
      <c r="B322" s="34" t="s">
        <v>1238</v>
      </c>
      <c r="C322" s="33" t="s">
        <v>578</v>
      </c>
      <c r="D322" s="34" t="s">
        <v>1237</v>
      </c>
      <c r="E322" s="11" t="s">
        <v>13</v>
      </c>
    </row>
    <row r="323">
      <c r="A323" s="19">
        <v>0.9152777777777777</v>
      </c>
      <c r="B323" s="34" t="s">
        <v>1105</v>
      </c>
      <c r="C323" s="35" t="s">
        <v>81</v>
      </c>
      <c r="D323" s="34" t="s">
        <v>1237</v>
      </c>
      <c r="E323" s="11" t="s">
        <v>9</v>
      </c>
    </row>
    <row r="324">
      <c r="A324" s="19">
        <v>0.9152777777777777</v>
      </c>
      <c r="B324" s="34" t="s">
        <v>1238</v>
      </c>
      <c r="C324" s="35" t="s">
        <v>22</v>
      </c>
      <c r="D324" s="34" t="s">
        <v>1239</v>
      </c>
      <c r="E324" s="11" t="s">
        <v>13</v>
      </c>
    </row>
    <row r="325">
      <c r="A325" s="19">
        <v>0.925</v>
      </c>
      <c r="B325" s="34" t="s">
        <v>1237</v>
      </c>
      <c r="C325" s="35" t="s">
        <v>260</v>
      </c>
      <c r="D325" s="34" t="s">
        <v>1239</v>
      </c>
      <c r="E325" s="11" t="s">
        <v>9</v>
      </c>
    </row>
    <row r="326">
      <c r="A326" s="19">
        <v>0.925</v>
      </c>
      <c r="B326" s="34" t="s">
        <v>1236</v>
      </c>
      <c r="C326" s="35" t="s">
        <v>286</v>
      </c>
      <c r="D326" s="34" t="s">
        <v>1238</v>
      </c>
      <c r="E326" s="11" t="s">
        <v>13</v>
      </c>
    </row>
    <row r="327">
      <c r="A327" s="19">
        <v>0.9354166666666667</v>
      </c>
      <c r="B327" s="34" t="s">
        <v>1105</v>
      </c>
      <c r="C327" s="35" t="s">
        <v>197</v>
      </c>
      <c r="D327" s="34" t="s">
        <v>1239</v>
      </c>
      <c r="E327" s="11" t="s">
        <v>9</v>
      </c>
    </row>
    <row r="328">
      <c r="A328" s="19">
        <v>0.9354166666666667</v>
      </c>
      <c r="B328" s="34" t="s">
        <v>1237</v>
      </c>
      <c r="C328" s="35" t="s">
        <v>55</v>
      </c>
      <c r="D328" s="34" t="s">
        <v>1236</v>
      </c>
      <c r="E328" s="11" t="s">
        <v>13</v>
      </c>
    </row>
    <row r="329">
      <c r="A329" s="19">
        <v>0.9458333333333333</v>
      </c>
      <c r="B329" s="34" t="s">
        <v>1105</v>
      </c>
      <c r="C329" s="35" t="s">
        <v>446</v>
      </c>
      <c r="D329" s="34" t="s">
        <v>1238</v>
      </c>
      <c r="E329" s="11" t="s">
        <v>9</v>
      </c>
    </row>
    <row r="330">
      <c r="A330" s="19">
        <v>0.9458333333333333</v>
      </c>
      <c r="B330" s="34" t="s">
        <v>1239</v>
      </c>
      <c r="C330" s="35" t="s">
        <v>20</v>
      </c>
      <c r="D330" s="34" t="s">
        <v>1236</v>
      </c>
      <c r="E330" s="11" t="s">
        <v>13</v>
      </c>
    </row>
    <row r="331">
      <c r="A331" s="27"/>
      <c r="B331" s="28" t="s">
        <v>145</v>
      </c>
      <c r="C331" s="2"/>
      <c r="D331" s="3"/>
      <c r="E331" s="29"/>
    </row>
    <row r="332">
      <c r="A332" s="18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9">
        <v>0.8541666666666666</v>
      </c>
      <c r="B333" s="34" t="s">
        <v>1240</v>
      </c>
      <c r="C333" s="35" t="s">
        <v>282</v>
      </c>
      <c r="D333" s="34" t="s">
        <v>1241</v>
      </c>
      <c r="E333" s="11" t="s">
        <v>33</v>
      </c>
    </row>
    <row r="334">
      <c r="A334" s="19">
        <v>0.8541666666666666</v>
      </c>
      <c r="B334" s="34" t="s">
        <v>1242</v>
      </c>
      <c r="C334" s="35" t="s">
        <v>270</v>
      </c>
      <c r="D334" s="34" t="s">
        <v>1171</v>
      </c>
      <c r="E334" s="11" t="s">
        <v>37</v>
      </c>
    </row>
    <row r="335">
      <c r="A335" s="19">
        <v>0.8638888888888889</v>
      </c>
      <c r="B335" s="34" t="s">
        <v>1242</v>
      </c>
      <c r="C335" s="35" t="s">
        <v>78</v>
      </c>
      <c r="D335" s="34" t="s">
        <v>1241</v>
      </c>
      <c r="E335" s="11" t="s">
        <v>33</v>
      </c>
    </row>
    <row r="336">
      <c r="A336" s="19">
        <v>0.8638888888888889</v>
      </c>
      <c r="B336" s="34" t="s">
        <v>1222</v>
      </c>
      <c r="C336" s="35" t="s">
        <v>42</v>
      </c>
      <c r="D336" s="34" t="s">
        <v>1171</v>
      </c>
      <c r="E336" s="11" t="s">
        <v>37</v>
      </c>
    </row>
    <row r="337">
      <c r="A337" s="19">
        <v>0.8743055555555556</v>
      </c>
      <c r="B337" s="34" t="s">
        <v>1222</v>
      </c>
      <c r="C337" s="35" t="s">
        <v>45</v>
      </c>
      <c r="D337" s="34" t="s">
        <v>1242</v>
      </c>
      <c r="E337" s="11" t="s">
        <v>33</v>
      </c>
    </row>
    <row r="338">
      <c r="A338" s="19">
        <v>0.8743055555555556</v>
      </c>
      <c r="B338" s="34" t="s">
        <v>1171</v>
      </c>
      <c r="C338" s="35" t="s">
        <v>19</v>
      </c>
      <c r="D338" s="34" t="s">
        <v>1240</v>
      </c>
      <c r="E338" s="11" t="s">
        <v>37</v>
      </c>
    </row>
    <row r="339">
      <c r="A339" s="19">
        <v>0.8847222222222222</v>
      </c>
      <c r="B339" s="34" t="s">
        <v>1222</v>
      </c>
      <c r="C339" s="35" t="s">
        <v>11</v>
      </c>
      <c r="D339" s="34" t="s">
        <v>1241</v>
      </c>
      <c r="E339" s="11" t="s">
        <v>33</v>
      </c>
    </row>
    <row r="340">
      <c r="A340" s="19">
        <v>0.8847222222222222</v>
      </c>
      <c r="B340" s="34" t="s">
        <v>1240</v>
      </c>
      <c r="C340" s="35" t="s">
        <v>87</v>
      </c>
      <c r="D340" s="34" t="s">
        <v>1242</v>
      </c>
      <c r="E340" s="11" t="s">
        <v>37</v>
      </c>
    </row>
    <row r="341">
      <c r="A341" s="19">
        <v>0.8944444444444445</v>
      </c>
      <c r="B341" s="34" t="s">
        <v>1171</v>
      </c>
      <c r="C341" s="35" t="s">
        <v>312</v>
      </c>
      <c r="D341" s="34" t="s">
        <v>1241</v>
      </c>
      <c r="E341" s="11" t="s">
        <v>33</v>
      </c>
    </row>
    <row r="342">
      <c r="A342" s="19">
        <v>0.8944444444444445</v>
      </c>
      <c r="B342" s="34" t="s">
        <v>1240</v>
      </c>
      <c r="C342" s="35" t="s">
        <v>64</v>
      </c>
      <c r="D342" s="34" t="s">
        <v>1222</v>
      </c>
      <c r="E342" s="11" t="s">
        <v>37</v>
      </c>
    </row>
    <row r="343">
      <c r="A343" s="19">
        <v>0.9048611111111111</v>
      </c>
      <c r="B343" s="34" t="s">
        <v>1241</v>
      </c>
      <c r="C343" s="35" t="s">
        <v>270</v>
      </c>
      <c r="D343" s="34" t="s">
        <v>1240</v>
      </c>
      <c r="E343" s="11" t="s">
        <v>33</v>
      </c>
    </row>
    <row r="344">
      <c r="A344" s="19">
        <v>0.9048611111111111</v>
      </c>
      <c r="B344" s="34" t="s">
        <v>1171</v>
      </c>
      <c r="C344" s="35" t="s">
        <v>84</v>
      </c>
      <c r="D344" s="34" t="s">
        <v>1242</v>
      </c>
      <c r="E344" s="11" t="s">
        <v>37</v>
      </c>
      <c r="I344" s="36" t="s">
        <v>242</v>
      </c>
    </row>
    <row r="345">
      <c r="A345" s="19">
        <v>0.9152777777777777</v>
      </c>
      <c r="B345" s="34" t="s">
        <v>1241</v>
      </c>
      <c r="C345" s="35" t="s">
        <v>22</v>
      </c>
      <c r="D345" s="34" t="s">
        <v>1242</v>
      </c>
      <c r="E345" s="11" t="s">
        <v>33</v>
      </c>
    </row>
    <row r="346">
      <c r="A346" s="19">
        <v>0.9152777777777777</v>
      </c>
      <c r="B346" s="34" t="s">
        <v>1171</v>
      </c>
      <c r="C346" s="35" t="s">
        <v>218</v>
      </c>
      <c r="D346" s="34" t="s">
        <v>1222</v>
      </c>
      <c r="E346" s="11" t="s">
        <v>37</v>
      </c>
    </row>
    <row r="347">
      <c r="A347" s="19">
        <v>0.925</v>
      </c>
      <c r="B347" s="34" t="s">
        <v>1242</v>
      </c>
      <c r="C347" s="35" t="s">
        <v>58</v>
      </c>
      <c r="D347" s="34" t="s">
        <v>1222</v>
      </c>
      <c r="E347" s="11" t="s">
        <v>33</v>
      </c>
    </row>
    <row r="348">
      <c r="A348" s="19">
        <v>0.925</v>
      </c>
      <c r="B348" s="34" t="s">
        <v>1240</v>
      </c>
      <c r="C348" s="35" t="s">
        <v>68</v>
      </c>
      <c r="D348" s="34" t="s">
        <v>1171</v>
      </c>
      <c r="E348" s="11" t="s">
        <v>37</v>
      </c>
    </row>
    <row r="349">
      <c r="A349" s="19">
        <v>0.9354166666666667</v>
      </c>
      <c r="B349" s="34" t="s">
        <v>1241</v>
      </c>
      <c r="C349" s="35" t="s">
        <v>41</v>
      </c>
      <c r="D349" s="34" t="s">
        <v>1222</v>
      </c>
      <c r="E349" s="11" t="s">
        <v>33</v>
      </c>
    </row>
    <row r="350">
      <c r="A350" s="19">
        <v>0.9354166666666667</v>
      </c>
      <c r="B350" s="34" t="s">
        <v>1242</v>
      </c>
      <c r="C350" s="35" t="s">
        <v>81</v>
      </c>
      <c r="D350" s="34" t="s">
        <v>1240</v>
      </c>
      <c r="E350" s="11" t="s">
        <v>37</v>
      </c>
    </row>
    <row r="351">
      <c r="A351" s="19">
        <v>0.9458333333333333</v>
      </c>
      <c r="B351" s="34" t="s">
        <v>1241</v>
      </c>
      <c r="C351" s="35" t="s">
        <v>55</v>
      </c>
      <c r="D351" s="34" t="s">
        <v>1171</v>
      </c>
      <c r="E351" s="11" t="s">
        <v>33</v>
      </c>
    </row>
    <row r="352">
      <c r="A352" s="19">
        <v>0.9458333333333333</v>
      </c>
      <c r="B352" s="34" t="s">
        <v>1222</v>
      </c>
      <c r="C352" s="35" t="s">
        <v>43</v>
      </c>
      <c r="D352" s="34" t="s">
        <v>1240</v>
      </c>
      <c r="E352" s="11" t="s">
        <v>37</v>
      </c>
    </row>
    <row r="353">
      <c r="A353" s="27"/>
      <c r="B353" s="28" t="s">
        <v>156</v>
      </c>
      <c r="C353" s="2"/>
      <c r="D353" s="3"/>
      <c r="E353" s="29"/>
    </row>
    <row r="354">
      <c r="A354" s="18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9">
        <v>0.9583333333333334</v>
      </c>
      <c r="B355" s="34" t="s">
        <v>1243</v>
      </c>
      <c r="C355" s="35" t="s">
        <v>218</v>
      </c>
      <c r="D355" s="34" t="s">
        <v>1176</v>
      </c>
      <c r="E355" s="11" t="s">
        <v>9</v>
      </c>
    </row>
    <row r="356">
      <c r="A356" s="19">
        <v>0.9583333333333334</v>
      </c>
      <c r="B356" s="34" t="s">
        <v>1244</v>
      </c>
      <c r="C356" s="35" t="s">
        <v>25</v>
      </c>
      <c r="D356" s="34" t="s">
        <v>1245</v>
      </c>
      <c r="E356" s="11" t="s">
        <v>13</v>
      </c>
    </row>
    <row r="357">
      <c r="A357" s="19">
        <v>0.9680555555555556</v>
      </c>
      <c r="B357" s="34" t="s">
        <v>1244</v>
      </c>
      <c r="C357" s="35" t="s">
        <v>66</v>
      </c>
      <c r="D357" s="34" t="s">
        <v>1176</v>
      </c>
      <c r="E357" s="11" t="s">
        <v>9</v>
      </c>
    </row>
    <row r="358">
      <c r="A358" s="19">
        <v>0.9680555555555556</v>
      </c>
      <c r="B358" s="34" t="s">
        <v>1246</v>
      </c>
      <c r="C358" s="35" t="s">
        <v>43</v>
      </c>
      <c r="D358" s="34" t="s">
        <v>1245</v>
      </c>
      <c r="E358" s="11" t="s">
        <v>13</v>
      </c>
    </row>
    <row r="359">
      <c r="A359" s="19">
        <v>0.9784722222222222</v>
      </c>
      <c r="B359" s="34" t="s">
        <v>1246</v>
      </c>
      <c r="C359" s="35" t="s">
        <v>842</v>
      </c>
      <c r="D359" s="34" t="s">
        <v>1244</v>
      </c>
      <c r="E359" s="11" t="s">
        <v>9</v>
      </c>
    </row>
    <row r="360">
      <c r="A360" s="19">
        <v>0.9784722222222222</v>
      </c>
      <c r="B360" s="34" t="s">
        <v>1245</v>
      </c>
      <c r="C360" s="35" t="s">
        <v>80</v>
      </c>
      <c r="D360" s="34" t="s">
        <v>1243</v>
      </c>
      <c r="E360" s="11" t="s">
        <v>13</v>
      </c>
    </row>
    <row r="361">
      <c r="A361" s="19">
        <v>0.9888888888888889</v>
      </c>
      <c r="B361" s="34" t="s">
        <v>1246</v>
      </c>
      <c r="C361" s="35" t="s">
        <v>43</v>
      </c>
      <c r="D361" s="34" t="s">
        <v>1176</v>
      </c>
      <c r="E361" s="11" t="s">
        <v>9</v>
      </c>
    </row>
    <row r="362">
      <c r="A362" s="19">
        <v>0.9888888888888889</v>
      </c>
      <c r="B362" s="34" t="s">
        <v>1243</v>
      </c>
      <c r="C362" s="35" t="s">
        <v>18</v>
      </c>
      <c r="D362" s="34" t="s">
        <v>1244</v>
      </c>
      <c r="E362" s="11" t="s">
        <v>13</v>
      </c>
    </row>
    <row r="363">
      <c r="A363" s="19">
        <v>0.9986111111111111</v>
      </c>
      <c r="B363" s="34" t="s">
        <v>1245</v>
      </c>
      <c r="C363" s="35" t="s">
        <v>270</v>
      </c>
      <c r="D363" s="34" t="s">
        <v>1176</v>
      </c>
      <c r="E363" s="11" t="s">
        <v>9</v>
      </c>
    </row>
    <row r="364">
      <c r="A364" s="19">
        <v>0.9986111111111111</v>
      </c>
      <c r="B364" s="34" t="s">
        <v>1243</v>
      </c>
      <c r="C364" s="35" t="s">
        <v>260</v>
      </c>
      <c r="D364" s="34" t="s">
        <v>1246</v>
      </c>
      <c r="E364" s="11" t="s">
        <v>13</v>
      </c>
    </row>
    <row r="365">
      <c r="A365" s="19">
        <v>0.009027777777777777</v>
      </c>
      <c r="B365" s="34" t="s">
        <v>1176</v>
      </c>
      <c r="C365" s="35" t="s">
        <v>357</v>
      </c>
      <c r="D365" s="34" t="s">
        <v>1243</v>
      </c>
      <c r="E365" s="11" t="s">
        <v>9</v>
      </c>
    </row>
    <row r="366">
      <c r="A366" s="19">
        <v>0.009027777777777777</v>
      </c>
      <c r="B366" s="34" t="s">
        <v>1245</v>
      </c>
      <c r="C366" s="35" t="s">
        <v>17</v>
      </c>
      <c r="D366" s="34" t="s">
        <v>1244</v>
      </c>
      <c r="E366" s="11" t="s">
        <v>13</v>
      </c>
    </row>
    <row r="367">
      <c r="A367" s="19">
        <v>0.019444444444444445</v>
      </c>
      <c r="B367" s="34" t="s">
        <v>1176</v>
      </c>
      <c r="C367" s="35" t="s">
        <v>297</v>
      </c>
      <c r="D367" s="34" t="s">
        <v>1244</v>
      </c>
      <c r="E367" s="11" t="s">
        <v>9</v>
      </c>
    </row>
    <row r="368">
      <c r="A368" s="19">
        <v>0.019444444444444445</v>
      </c>
      <c r="B368" s="34" t="s">
        <v>1245</v>
      </c>
      <c r="C368" s="35" t="s">
        <v>68</v>
      </c>
      <c r="D368" s="34" t="s">
        <v>1246</v>
      </c>
      <c r="E368" s="11" t="s">
        <v>13</v>
      </c>
    </row>
    <row r="369">
      <c r="A369" s="19">
        <v>0.029166666666666667</v>
      </c>
      <c r="B369" s="34" t="s">
        <v>1244</v>
      </c>
      <c r="C369" s="35" t="s">
        <v>197</v>
      </c>
      <c r="D369" s="34" t="s">
        <v>1246</v>
      </c>
      <c r="E369" s="11" t="s">
        <v>9</v>
      </c>
    </row>
    <row r="370">
      <c r="A370" s="19">
        <v>0.029166666666666667</v>
      </c>
      <c r="B370" s="34" t="s">
        <v>1243</v>
      </c>
      <c r="C370" s="35" t="s">
        <v>22</v>
      </c>
      <c r="D370" s="34" t="s">
        <v>1245</v>
      </c>
      <c r="E370" s="11" t="s">
        <v>13</v>
      </c>
    </row>
    <row r="371">
      <c r="A371" s="19">
        <v>0.03958333333333333</v>
      </c>
      <c r="B371" s="34" t="s">
        <v>1176</v>
      </c>
      <c r="C371" s="35" t="s">
        <v>11</v>
      </c>
      <c r="D371" s="34" t="s">
        <v>1246</v>
      </c>
      <c r="E371" s="11" t="s">
        <v>9</v>
      </c>
    </row>
    <row r="372">
      <c r="A372" s="19">
        <v>0.03958333333333333</v>
      </c>
      <c r="B372" s="34" t="s">
        <v>1244</v>
      </c>
      <c r="C372" s="35" t="s">
        <v>17</v>
      </c>
      <c r="D372" s="34" t="s">
        <v>1243</v>
      </c>
      <c r="E372" s="11" t="s">
        <v>13</v>
      </c>
    </row>
    <row r="373">
      <c r="A373" s="19">
        <v>0.05</v>
      </c>
      <c r="B373" s="34" t="s">
        <v>1176</v>
      </c>
      <c r="C373" s="35" t="s">
        <v>190</v>
      </c>
      <c r="D373" s="34" t="s">
        <v>1245</v>
      </c>
      <c r="E373" s="11" t="s">
        <v>9</v>
      </c>
    </row>
    <row r="374">
      <c r="A374" s="19">
        <v>0.05</v>
      </c>
      <c r="B374" s="34" t="s">
        <v>1246</v>
      </c>
      <c r="C374" s="35" t="s">
        <v>835</v>
      </c>
      <c r="D374" s="34" t="s">
        <v>1243</v>
      </c>
      <c r="E374" s="11" t="s">
        <v>13</v>
      </c>
    </row>
    <row r="375">
      <c r="A375" s="27"/>
      <c r="B375" s="28" t="s">
        <v>156</v>
      </c>
      <c r="C375" s="2"/>
      <c r="D375" s="3"/>
      <c r="E375" s="29"/>
    </row>
    <row r="376">
      <c r="A376" s="18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9">
        <v>0.9583333333333334</v>
      </c>
      <c r="B377" s="34" t="s">
        <v>1247</v>
      </c>
      <c r="C377" s="35" t="s">
        <v>71</v>
      </c>
      <c r="D377" s="34" t="s">
        <v>1024</v>
      </c>
      <c r="E377" s="11" t="s">
        <v>33</v>
      </c>
    </row>
    <row r="378">
      <c r="A378" s="19">
        <v>0.9583333333333334</v>
      </c>
      <c r="B378" s="34" t="s">
        <v>1248</v>
      </c>
      <c r="C378" s="35" t="s">
        <v>22</v>
      </c>
      <c r="D378" s="34" t="s">
        <v>162</v>
      </c>
      <c r="E378" s="11" t="s">
        <v>37</v>
      </c>
    </row>
    <row r="379">
      <c r="A379" s="19">
        <v>0.9680555555555556</v>
      </c>
      <c r="B379" s="34" t="s">
        <v>1248</v>
      </c>
      <c r="C379" s="35" t="s">
        <v>66</v>
      </c>
      <c r="D379" s="34" t="s">
        <v>1024</v>
      </c>
      <c r="E379" s="11" t="s">
        <v>33</v>
      </c>
    </row>
    <row r="380">
      <c r="A380" s="19">
        <v>0.9680555555555556</v>
      </c>
      <c r="B380" s="34" t="s">
        <v>1119</v>
      </c>
      <c r="C380" s="35" t="s">
        <v>195</v>
      </c>
      <c r="D380" s="34" t="s">
        <v>162</v>
      </c>
      <c r="E380" s="11" t="s">
        <v>37</v>
      </c>
    </row>
    <row r="381">
      <c r="A381" s="19">
        <v>0.9784722222222222</v>
      </c>
      <c r="B381" s="34" t="s">
        <v>1119</v>
      </c>
      <c r="C381" s="35" t="s">
        <v>17</v>
      </c>
      <c r="D381" s="34" t="s">
        <v>1248</v>
      </c>
      <c r="E381" s="11" t="s">
        <v>33</v>
      </c>
    </row>
    <row r="382">
      <c r="A382" s="19">
        <v>0.9784722222222222</v>
      </c>
      <c r="B382" s="34" t="s">
        <v>162</v>
      </c>
      <c r="C382" s="35" t="s">
        <v>587</v>
      </c>
      <c r="D382" s="34" t="s">
        <v>1247</v>
      </c>
      <c r="E382" s="11" t="s">
        <v>37</v>
      </c>
    </row>
    <row r="383">
      <c r="A383" s="19">
        <v>0.9888888888888889</v>
      </c>
      <c r="B383" s="34" t="s">
        <v>1119</v>
      </c>
      <c r="C383" s="35" t="s">
        <v>217</v>
      </c>
      <c r="D383" s="34" t="s">
        <v>1024</v>
      </c>
      <c r="E383" s="11" t="s">
        <v>33</v>
      </c>
    </row>
    <row r="384">
      <c r="A384" s="19">
        <v>0.9888888888888889</v>
      </c>
      <c r="B384" s="34" t="s">
        <v>1247</v>
      </c>
      <c r="C384" s="35" t="s">
        <v>64</v>
      </c>
      <c r="D384" s="34" t="s">
        <v>1248</v>
      </c>
      <c r="E384" s="11" t="s">
        <v>37</v>
      </c>
    </row>
    <row r="385">
      <c r="A385" s="19">
        <v>0.9986111111111111</v>
      </c>
      <c r="B385" s="34" t="s">
        <v>162</v>
      </c>
      <c r="C385" s="35" t="s">
        <v>286</v>
      </c>
      <c r="D385" s="34" t="s">
        <v>1024</v>
      </c>
      <c r="E385" s="11" t="s">
        <v>33</v>
      </c>
    </row>
    <row r="386">
      <c r="A386" s="19">
        <v>0.9986111111111111</v>
      </c>
      <c r="B386" s="34" t="s">
        <v>1247</v>
      </c>
      <c r="C386" s="35" t="s">
        <v>72</v>
      </c>
      <c r="D386" s="34" t="s">
        <v>1119</v>
      </c>
      <c r="E386" s="11" t="s">
        <v>37</v>
      </c>
    </row>
    <row r="387">
      <c r="A387" s="19">
        <v>0.009027777777777777</v>
      </c>
      <c r="B387" s="34" t="s">
        <v>1024</v>
      </c>
      <c r="C387" s="35" t="s">
        <v>842</v>
      </c>
      <c r="D387" s="34" t="s">
        <v>1247</v>
      </c>
      <c r="E387" s="11" t="s">
        <v>33</v>
      </c>
    </row>
    <row r="388">
      <c r="A388" s="19">
        <v>0.009027777777777777</v>
      </c>
      <c r="B388" s="34" t="s">
        <v>162</v>
      </c>
      <c r="C388" s="35" t="s">
        <v>212</v>
      </c>
      <c r="D388" s="34" t="s">
        <v>1248</v>
      </c>
      <c r="E388" s="11" t="s">
        <v>37</v>
      </c>
    </row>
    <row r="389">
      <c r="A389" s="19">
        <v>0.019444444444444445</v>
      </c>
      <c r="B389" s="34" t="s">
        <v>1024</v>
      </c>
      <c r="C389" s="35" t="s">
        <v>71</v>
      </c>
      <c r="D389" s="34" t="s">
        <v>1248</v>
      </c>
      <c r="E389" s="11" t="s">
        <v>33</v>
      </c>
    </row>
    <row r="390">
      <c r="A390" s="19">
        <v>0.019444444444444445</v>
      </c>
      <c r="B390" s="34" t="s">
        <v>162</v>
      </c>
      <c r="C390" s="35" t="s">
        <v>62</v>
      </c>
      <c r="D390" s="34" t="s">
        <v>1119</v>
      </c>
      <c r="E390" s="11" t="s">
        <v>37</v>
      </c>
    </row>
    <row r="391">
      <c r="A391" s="19">
        <v>0.029166666666666667</v>
      </c>
      <c r="B391" s="34" t="s">
        <v>1248</v>
      </c>
      <c r="C391" s="35" t="s">
        <v>291</v>
      </c>
      <c r="D391" s="34" t="s">
        <v>1119</v>
      </c>
      <c r="E391" s="11" t="s">
        <v>33</v>
      </c>
    </row>
    <row r="392">
      <c r="A392" s="19">
        <v>0.029166666666666667</v>
      </c>
      <c r="B392" s="34" t="s">
        <v>1247</v>
      </c>
      <c r="C392" s="35" t="s">
        <v>196</v>
      </c>
      <c r="D392" s="34" t="s">
        <v>162</v>
      </c>
      <c r="E392" s="11" t="s">
        <v>37</v>
      </c>
    </row>
    <row r="393">
      <c r="A393" s="19">
        <v>0.03958333333333333</v>
      </c>
      <c r="B393" s="34" t="s">
        <v>1024</v>
      </c>
      <c r="C393" s="35" t="s">
        <v>239</v>
      </c>
      <c r="D393" s="34" t="s">
        <v>1119</v>
      </c>
      <c r="E393" s="11" t="s">
        <v>33</v>
      </c>
    </row>
    <row r="394">
      <c r="A394" s="19">
        <v>0.03958333333333333</v>
      </c>
      <c r="B394" s="34" t="s">
        <v>1248</v>
      </c>
      <c r="C394" s="35" t="s">
        <v>195</v>
      </c>
      <c r="D394" s="34" t="s">
        <v>1247</v>
      </c>
      <c r="E394" s="11" t="s">
        <v>37</v>
      </c>
    </row>
    <row r="395">
      <c r="A395" s="19">
        <v>0.05</v>
      </c>
      <c r="B395" s="34" t="s">
        <v>1024</v>
      </c>
      <c r="C395" s="35" t="s">
        <v>42</v>
      </c>
      <c r="D395" s="34" t="s">
        <v>162</v>
      </c>
      <c r="E395" s="11" t="s">
        <v>33</v>
      </c>
    </row>
    <row r="396">
      <c r="A396" s="19">
        <v>0.05</v>
      </c>
      <c r="B396" s="34" t="s">
        <v>1119</v>
      </c>
      <c r="C396" s="35" t="s">
        <v>47</v>
      </c>
      <c r="D396" s="34" t="s">
        <v>1247</v>
      </c>
      <c r="E396" s="11" t="s">
        <v>37</v>
      </c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46"/>
      <c r="B1" s="1" t="s">
        <v>0</v>
      </c>
      <c r="C1" s="2"/>
      <c r="D1" s="3"/>
      <c r="E1" s="29"/>
    </row>
    <row r="2">
      <c r="A2" s="18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19">
        <v>0.0625</v>
      </c>
      <c r="B3" s="32" t="s">
        <v>1249</v>
      </c>
      <c r="C3" s="33" t="s">
        <v>82</v>
      </c>
      <c r="D3" s="34" t="s">
        <v>1250</v>
      </c>
      <c r="E3" s="11" t="s">
        <v>9</v>
      </c>
    </row>
    <row r="4">
      <c r="A4" s="19">
        <v>0.0625</v>
      </c>
      <c r="B4" s="32" t="s">
        <v>169</v>
      </c>
      <c r="C4" s="33" t="s">
        <v>1251</v>
      </c>
      <c r="D4" s="32" t="s">
        <v>959</v>
      </c>
      <c r="E4" s="11" t="s">
        <v>13</v>
      </c>
    </row>
    <row r="5">
      <c r="A5" s="19">
        <v>0.07222222222222222</v>
      </c>
      <c r="B5" s="34" t="s">
        <v>169</v>
      </c>
      <c r="C5" s="33" t="s">
        <v>58</v>
      </c>
      <c r="D5" s="32" t="s">
        <v>1250</v>
      </c>
      <c r="E5" s="11" t="s">
        <v>9</v>
      </c>
    </row>
    <row r="6">
      <c r="A6" s="19">
        <v>0.07222222222222222</v>
      </c>
      <c r="B6" s="32" t="s">
        <v>171</v>
      </c>
      <c r="C6" s="33" t="s">
        <v>1102</v>
      </c>
      <c r="D6" s="34" t="s">
        <v>959</v>
      </c>
      <c r="E6" s="11" t="s">
        <v>13</v>
      </c>
    </row>
    <row r="7">
      <c r="A7" s="19">
        <v>0.08263888888888889</v>
      </c>
      <c r="B7" s="34" t="s">
        <v>171</v>
      </c>
      <c r="C7" s="33" t="s">
        <v>80</v>
      </c>
      <c r="D7" s="32" t="s">
        <v>169</v>
      </c>
      <c r="E7" s="11" t="s">
        <v>9</v>
      </c>
    </row>
    <row r="8">
      <c r="A8" s="19">
        <v>0.08263888888888889</v>
      </c>
      <c r="B8" s="32" t="s">
        <v>959</v>
      </c>
      <c r="C8" s="33" t="s">
        <v>11</v>
      </c>
      <c r="D8" s="32" t="s">
        <v>1249</v>
      </c>
      <c r="E8" s="11" t="s">
        <v>13</v>
      </c>
    </row>
    <row r="9">
      <c r="A9" s="19">
        <v>0.09305555555555556</v>
      </c>
      <c r="B9" s="34" t="s">
        <v>171</v>
      </c>
      <c r="C9" s="33" t="s">
        <v>87</v>
      </c>
      <c r="D9" s="34" t="s">
        <v>1250</v>
      </c>
      <c r="E9" s="11" t="s">
        <v>9</v>
      </c>
    </row>
    <row r="10">
      <c r="A10" s="19">
        <v>0.09305555555555556</v>
      </c>
      <c r="B10" s="32" t="s">
        <v>1249</v>
      </c>
      <c r="C10" s="33" t="s">
        <v>71</v>
      </c>
      <c r="D10" s="32" t="s">
        <v>169</v>
      </c>
      <c r="E10" s="11" t="s">
        <v>13</v>
      </c>
    </row>
    <row r="11">
      <c r="A11" s="19">
        <v>0.10277777777777777</v>
      </c>
      <c r="B11" s="34" t="s">
        <v>959</v>
      </c>
      <c r="C11" s="33" t="s">
        <v>195</v>
      </c>
      <c r="D11" s="32" t="s">
        <v>1250</v>
      </c>
      <c r="E11" s="11" t="s">
        <v>9</v>
      </c>
    </row>
    <row r="12">
      <c r="A12" s="19">
        <v>0.10277777777777777</v>
      </c>
      <c r="B12" s="32" t="s">
        <v>1249</v>
      </c>
      <c r="C12" s="33" t="s">
        <v>22</v>
      </c>
      <c r="D12" s="34" t="s">
        <v>171</v>
      </c>
      <c r="E12" s="11" t="s">
        <v>13</v>
      </c>
    </row>
    <row r="13">
      <c r="A13" s="19">
        <v>0.11319444444444444</v>
      </c>
      <c r="B13" s="34" t="s">
        <v>1250</v>
      </c>
      <c r="C13" s="33" t="s">
        <v>87</v>
      </c>
      <c r="D13" s="32" t="s">
        <v>1249</v>
      </c>
      <c r="E13" s="11" t="s">
        <v>9</v>
      </c>
    </row>
    <row r="14">
      <c r="A14" s="19">
        <v>0.11319444444444444</v>
      </c>
      <c r="B14" s="32" t="s">
        <v>959</v>
      </c>
      <c r="C14" s="33" t="s">
        <v>81</v>
      </c>
      <c r="D14" s="32" t="s">
        <v>169</v>
      </c>
      <c r="E14" s="11" t="s">
        <v>13</v>
      </c>
    </row>
    <row r="15">
      <c r="A15" s="19">
        <v>0.12361111111111112</v>
      </c>
      <c r="B15" s="32" t="s">
        <v>1250</v>
      </c>
      <c r="C15" s="35" t="s">
        <v>66</v>
      </c>
      <c r="D15" s="34" t="s">
        <v>169</v>
      </c>
      <c r="E15" s="11" t="s">
        <v>9</v>
      </c>
    </row>
    <row r="16">
      <c r="A16" s="19">
        <v>0.12361111111111112</v>
      </c>
      <c r="B16" s="34" t="s">
        <v>959</v>
      </c>
      <c r="C16" s="35" t="s">
        <v>71</v>
      </c>
      <c r="D16" s="32" t="s">
        <v>171</v>
      </c>
      <c r="E16" s="11" t="s">
        <v>13</v>
      </c>
    </row>
    <row r="17">
      <c r="A17" s="19">
        <v>0.13333333333333333</v>
      </c>
      <c r="B17" s="32" t="s">
        <v>169</v>
      </c>
      <c r="C17" s="35" t="s">
        <v>195</v>
      </c>
      <c r="D17" s="34" t="s">
        <v>171</v>
      </c>
      <c r="E17" s="11" t="s">
        <v>9</v>
      </c>
    </row>
    <row r="18">
      <c r="A18" s="19">
        <v>0.13333333333333333</v>
      </c>
      <c r="B18" s="32" t="s">
        <v>1249</v>
      </c>
      <c r="C18" s="35" t="s">
        <v>81</v>
      </c>
      <c r="D18" s="32" t="s">
        <v>959</v>
      </c>
      <c r="E18" s="11" t="s">
        <v>13</v>
      </c>
    </row>
    <row r="19">
      <c r="A19" s="19">
        <v>0.14375</v>
      </c>
      <c r="B19" s="34" t="s">
        <v>1250</v>
      </c>
      <c r="C19" s="35" t="s">
        <v>87</v>
      </c>
      <c r="D19" s="34" t="s">
        <v>171</v>
      </c>
      <c r="E19" s="11" t="s">
        <v>9</v>
      </c>
    </row>
    <row r="20">
      <c r="A20" s="19">
        <v>0.14375</v>
      </c>
      <c r="B20" s="32" t="s">
        <v>169</v>
      </c>
      <c r="C20" s="35" t="s">
        <v>17</v>
      </c>
      <c r="D20" s="32" t="s">
        <v>1249</v>
      </c>
      <c r="E20" s="11" t="s">
        <v>13</v>
      </c>
    </row>
    <row r="21">
      <c r="A21" s="19">
        <v>0.15416666666666667</v>
      </c>
      <c r="B21" s="32" t="s">
        <v>1250</v>
      </c>
      <c r="C21" s="35" t="s">
        <v>193</v>
      </c>
      <c r="D21" s="34" t="s">
        <v>959</v>
      </c>
      <c r="E21" s="11" t="s">
        <v>9</v>
      </c>
    </row>
    <row r="22">
      <c r="A22" s="19">
        <v>0.15416666666666667</v>
      </c>
      <c r="B22" s="34" t="s">
        <v>171</v>
      </c>
      <c r="C22" s="35" t="s">
        <v>1252</v>
      </c>
      <c r="D22" s="32" t="s">
        <v>1249</v>
      </c>
      <c r="E22" s="11" t="s">
        <v>13</v>
      </c>
    </row>
    <row r="23">
      <c r="A23" s="27"/>
      <c r="B23" s="1" t="s">
        <v>29</v>
      </c>
      <c r="C23" s="2"/>
      <c r="D23" s="3"/>
      <c r="E23" s="48"/>
    </row>
    <row r="24">
      <c r="A24" s="18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9">
        <v>0.0625</v>
      </c>
      <c r="B25" s="8" t="s">
        <v>1253</v>
      </c>
      <c r="C25" s="35" t="s">
        <v>216</v>
      </c>
      <c r="D25" s="32" t="s">
        <v>803</v>
      </c>
      <c r="E25" s="11" t="s">
        <v>33</v>
      </c>
    </row>
    <row r="26">
      <c r="A26" s="19">
        <v>0.0625</v>
      </c>
      <c r="B26" s="32" t="s">
        <v>961</v>
      </c>
      <c r="C26" s="35" t="s">
        <v>251</v>
      </c>
      <c r="D26" s="32" t="s">
        <v>1254</v>
      </c>
      <c r="E26" s="11" t="s">
        <v>37</v>
      </c>
    </row>
    <row r="27">
      <c r="A27" s="19">
        <v>0.07222222222222222</v>
      </c>
      <c r="B27" s="34" t="s">
        <v>961</v>
      </c>
      <c r="C27" s="35" t="s">
        <v>195</v>
      </c>
      <c r="D27" s="34" t="s">
        <v>803</v>
      </c>
      <c r="E27" s="11" t="s">
        <v>33</v>
      </c>
    </row>
    <row r="28">
      <c r="A28" s="19">
        <v>0.07222222222222222</v>
      </c>
      <c r="B28" s="32" t="s">
        <v>1119</v>
      </c>
      <c r="C28" s="35" t="s">
        <v>47</v>
      </c>
      <c r="D28" s="32" t="s">
        <v>1254</v>
      </c>
      <c r="E28" s="11" t="s">
        <v>37</v>
      </c>
    </row>
    <row r="29">
      <c r="A29" s="19">
        <v>0.08263888888888889</v>
      </c>
      <c r="B29" s="34" t="s">
        <v>1119</v>
      </c>
      <c r="C29" s="35" t="s">
        <v>218</v>
      </c>
      <c r="D29" s="32" t="s">
        <v>961</v>
      </c>
      <c r="E29" s="11" t="s">
        <v>33</v>
      </c>
    </row>
    <row r="30">
      <c r="A30" s="19">
        <v>0.08263888888888889</v>
      </c>
      <c r="B30" s="32" t="s">
        <v>1254</v>
      </c>
      <c r="C30" s="35" t="s">
        <v>950</v>
      </c>
      <c r="D30" s="8" t="s">
        <v>1253</v>
      </c>
      <c r="E30" s="11" t="s">
        <v>37</v>
      </c>
    </row>
    <row r="31">
      <c r="A31" s="19">
        <v>0.09305555555555556</v>
      </c>
      <c r="B31" s="34" t="s">
        <v>1119</v>
      </c>
      <c r="C31" s="35" t="s">
        <v>87</v>
      </c>
      <c r="D31" s="32" t="s">
        <v>803</v>
      </c>
      <c r="E31" s="11" t="s">
        <v>33</v>
      </c>
    </row>
    <row r="32">
      <c r="A32" s="19">
        <v>0.09305555555555556</v>
      </c>
      <c r="B32" s="8" t="s">
        <v>1253</v>
      </c>
      <c r="C32" s="35" t="s">
        <v>535</v>
      </c>
      <c r="D32" s="34" t="s">
        <v>961</v>
      </c>
      <c r="E32" s="11" t="s">
        <v>37</v>
      </c>
    </row>
    <row r="33">
      <c r="A33" s="19">
        <v>0.10277777777777777</v>
      </c>
      <c r="B33" s="32" t="s">
        <v>1254</v>
      </c>
      <c r="C33" s="35" t="s">
        <v>1255</v>
      </c>
      <c r="D33" s="32" t="s">
        <v>803</v>
      </c>
      <c r="E33" s="11" t="s">
        <v>33</v>
      </c>
    </row>
    <row r="34">
      <c r="A34" s="19">
        <v>0.10277777777777777</v>
      </c>
      <c r="B34" s="8" t="s">
        <v>1253</v>
      </c>
      <c r="C34" s="35" t="s">
        <v>187</v>
      </c>
      <c r="D34" s="32" t="s">
        <v>1119</v>
      </c>
      <c r="E34" s="11" t="s">
        <v>37</v>
      </c>
    </row>
    <row r="35">
      <c r="A35" s="19">
        <v>0.11319444444444444</v>
      </c>
      <c r="B35" s="32" t="s">
        <v>803</v>
      </c>
      <c r="C35" s="35" t="s">
        <v>426</v>
      </c>
      <c r="D35" s="8" t="s">
        <v>1253</v>
      </c>
      <c r="E35" s="11" t="s">
        <v>33</v>
      </c>
    </row>
    <row r="36">
      <c r="A36" s="19">
        <v>0.11319444444444444</v>
      </c>
      <c r="B36" s="32" t="s">
        <v>1254</v>
      </c>
      <c r="C36" s="35" t="s">
        <v>87</v>
      </c>
      <c r="D36" s="32" t="s">
        <v>961</v>
      </c>
      <c r="E36" s="11" t="s">
        <v>37</v>
      </c>
    </row>
    <row r="37">
      <c r="A37" s="19">
        <v>0.12361111111111112</v>
      </c>
      <c r="B37" s="34" t="s">
        <v>803</v>
      </c>
      <c r="C37" s="35" t="s">
        <v>190</v>
      </c>
      <c r="D37" s="34" t="s">
        <v>961</v>
      </c>
      <c r="E37" s="11" t="s">
        <v>33</v>
      </c>
    </row>
    <row r="38">
      <c r="A38" s="19">
        <v>0.12361111111111112</v>
      </c>
      <c r="B38" s="32" t="s">
        <v>1254</v>
      </c>
      <c r="C38" s="35" t="s">
        <v>1256</v>
      </c>
      <c r="D38" s="32" t="s">
        <v>1119</v>
      </c>
      <c r="E38" s="11" t="s">
        <v>37</v>
      </c>
    </row>
    <row r="39">
      <c r="A39" s="19">
        <v>0.13333333333333333</v>
      </c>
      <c r="B39" s="32" t="s">
        <v>961</v>
      </c>
      <c r="C39" s="35" t="s">
        <v>62</v>
      </c>
      <c r="D39" s="34" t="s">
        <v>1119</v>
      </c>
      <c r="E39" s="11" t="s">
        <v>33</v>
      </c>
    </row>
    <row r="40">
      <c r="A40" s="19">
        <v>0.13333333333333333</v>
      </c>
      <c r="B40" s="8" t="s">
        <v>1253</v>
      </c>
      <c r="C40" s="35" t="s">
        <v>370</v>
      </c>
      <c r="D40" s="32" t="s">
        <v>1254</v>
      </c>
      <c r="E40" s="11" t="s">
        <v>37</v>
      </c>
    </row>
    <row r="41">
      <c r="A41" s="19">
        <v>0.14375</v>
      </c>
      <c r="B41" s="32" t="s">
        <v>803</v>
      </c>
      <c r="C41" s="35" t="s">
        <v>68</v>
      </c>
      <c r="D41" s="34" t="s">
        <v>1119</v>
      </c>
      <c r="E41" s="11" t="s">
        <v>33</v>
      </c>
    </row>
    <row r="42">
      <c r="A42" s="19">
        <v>0.14375</v>
      </c>
      <c r="B42" s="34" t="s">
        <v>961</v>
      </c>
      <c r="C42" s="35" t="s">
        <v>62</v>
      </c>
      <c r="D42" s="8" t="s">
        <v>1253</v>
      </c>
      <c r="E42" s="11" t="s">
        <v>37</v>
      </c>
    </row>
    <row r="43">
      <c r="A43" s="19">
        <v>0.15416666666666667</v>
      </c>
      <c r="B43" s="32" t="s">
        <v>803</v>
      </c>
      <c r="C43" s="35" t="s">
        <v>68</v>
      </c>
      <c r="D43" s="32" t="s">
        <v>1254</v>
      </c>
      <c r="E43" s="11" t="s">
        <v>33</v>
      </c>
    </row>
    <row r="44">
      <c r="A44" s="19">
        <v>0.15416666666666667</v>
      </c>
      <c r="B44" s="32" t="s">
        <v>1119</v>
      </c>
      <c r="C44" s="35" t="s">
        <v>193</v>
      </c>
      <c r="D44" s="8" t="s">
        <v>1253</v>
      </c>
      <c r="E44" s="11" t="s">
        <v>37</v>
      </c>
    </row>
    <row r="45">
      <c r="A45" s="27"/>
      <c r="B45" s="1" t="s">
        <v>53</v>
      </c>
      <c r="C45" s="2"/>
      <c r="D45" s="3"/>
      <c r="E45" s="14"/>
    </row>
    <row r="46">
      <c r="A46" s="18" t="s">
        <v>1</v>
      </c>
      <c r="B46" s="16" t="s">
        <v>2</v>
      </c>
      <c r="C46" s="16" t="s">
        <v>3</v>
      </c>
      <c r="D46" s="16" t="s">
        <v>4</v>
      </c>
      <c r="E46" s="16" t="s">
        <v>5</v>
      </c>
    </row>
    <row r="47">
      <c r="A47" s="19">
        <v>0.1875</v>
      </c>
      <c r="B47" s="32" t="s">
        <v>177</v>
      </c>
      <c r="C47" s="55" t="s">
        <v>195</v>
      </c>
      <c r="D47" s="32" t="s">
        <v>964</v>
      </c>
      <c r="E47" s="11" t="s">
        <v>9</v>
      </c>
    </row>
    <row r="48">
      <c r="A48" s="19">
        <v>0.1875</v>
      </c>
      <c r="B48" s="32" t="s">
        <v>795</v>
      </c>
      <c r="C48" s="35" t="s">
        <v>196</v>
      </c>
      <c r="D48" s="32" t="s">
        <v>1257</v>
      </c>
      <c r="E48" s="11" t="s">
        <v>13</v>
      </c>
    </row>
    <row r="49">
      <c r="A49" s="19">
        <v>0.19722222222222222</v>
      </c>
      <c r="B49" s="32" t="s">
        <v>795</v>
      </c>
      <c r="C49" s="35" t="s">
        <v>43</v>
      </c>
      <c r="D49" s="32" t="s">
        <v>964</v>
      </c>
      <c r="E49" s="11" t="s">
        <v>9</v>
      </c>
    </row>
    <row r="50">
      <c r="A50" s="19">
        <v>0.19722222222222222</v>
      </c>
      <c r="B50" s="32" t="s">
        <v>1258</v>
      </c>
      <c r="C50" s="35" t="s">
        <v>726</v>
      </c>
      <c r="D50" s="32" t="s">
        <v>1257</v>
      </c>
      <c r="E50" s="11" t="s">
        <v>13</v>
      </c>
    </row>
    <row r="51">
      <c r="A51" s="19">
        <v>0.2076388888888889</v>
      </c>
      <c r="B51" s="32" t="s">
        <v>1258</v>
      </c>
      <c r="C51" s="35" t="s">
        <v>43</v>
      </c>
      <c r="D51" s="32" t="s">
        <v>795</v>
      </c>
      <c r="E51" s="11" t="s">
        <v>9</v>
      </c>
    </row>
    <row r="52">
      <c r="A52" s="19">
        <v>0.2076388888888889</v>
      </c>
      <c r="B52" s="32" t="s">
        <v>1257</v>
      </c>
      <c r="C52" s="35" t="s">
        <v>212</v>
      </c>
      <c r="D52" s="32" t="s">
        <v>177</v>
      </c>
      <c r="E52" s="11" t="s">
        <v>13</v>
      </c>
    </row>
    <row r="53">
      <c r="A53" s="19">
        <v>0.21805555555555556</v>
      </c>
      <c r="B53" s="32" t="s">
        <v>1258</v>
      </c>
      <c r="C53" s="35" t="s">
        <v>83</v>
      </c>
      <c r="D53" s="32" t="s">
        <v>964</v>
      </c>
      <c r="E53" s="11" t="s">
        <v>9</v>
      </c>
    </row>
    <row r="54">
      <c r="A54" s="19">
        <v>0.21805555555555556</v>
      </c>
      <c r="B54" s="32" t="s">
        <v>177</v>
      </c>
      <c r="C54" s="35" t="s">
        <v>18</v>
      </c>
      <c r="D54" s="32" t="s">
        <v>795</v>
      </c>
      <c r="E54" s="11" t="s">
        <v>13</v>
      </c>
    </row>
    <row r="55">
      <c r="A55" s="19">
        <v>0.22777777777777777</v>
      </c>
      <c r="B55" s="32" t="s">
        <v>1257</v>
      </c>
      <c r="C55" s="35" t="s">
        <v>201</v>
      </c>
      <c r="D55" s="32" t="s">
        <v>964</v>
      </c>
      <c r="E55" s="11" t="s">
        <v>9</v>
      </c>
    </row>
    <row r="56">
      <c r="A56" s="19">
        <v>0.22777777777777777</v>
      </c>
      <c r="B56" s="32" t="s">
        <v>177</v>
      </c>
      <c r="C56" s="35" t="s">
        <v>87</v>
      </c>
      <c r="D56" s="32" t="s">
        <v>1258</v>
      </c>
      <c r="E56" s="11" t="s">
        <v>13</v>
      </c>
    </row>
    <row r="57">
      <c r="A57" s="19">
        <v>0.23819444444444443</v>
      </c>
      <c r="B57" s="32" t="s">
        <v>964</v>
      </c>
      <c r="C57" s="35" t="s">
        <v>25</v>
      </c>
      <c r="D57" s="32" t="s">
        <v>177</v>
      </c>
      <c r="E57" s="11" t="s">
        <v>9</v>
      </c>
    </row>
    <row r="58">
      <c r="A58" s="19">
        <v>0.23819444444444443</v>
      </c>
      <c r="B58" s="32" t="s">
        <v>1257</v>
      </c>
      <c r="C58" s="35" t="s">
        <v>362</v>
      </c>
      <c r="D58" s="32" t="s">
        <v>795</v>
      </c>
      <c r="E58" s="11" t="s">
        <v>13</v>
      </c>
    </row>
    <row r="59">
      <c r="A59" s="19">
        <v>0.24861111111111112</v>
      </c>
      <c r="B59" s="32" t="s">
        <v>964</v>
      </c>
      <c r="C59" s="35" t="s">
        <v>52</v>
      </c>
      <c r="D59" s="32" t="s">
        <v>795</v>
      </c>
      <c r="E59" s="11" t="s">
        <v>9</v>
      </c>
    </row>
    <row r="60">
      <c r="A60" s="19">
        <v>0.24861111111111112</v>
      </c>
      <c r="B60" s="32" t="s">
        <v>1257</v>
      </c>
      <c r="C60" s="35" t="s">
        <v>693</v>
      </c>
      <c r="D60" s="32" t="s">
        <v>1258</v>
      </c>
      <c r="E60" s="11" t="s">
        <v>13</v>
      </c>
    </row>
    <row r="61">
      <c r="A61" s="19">
        <v>0.25833333333333336</v>
      </c>
      <c r="B61" s="32" t="s">
        <v>795</v>
      </c>
      <c r="C61" s="35" t="s">
        <v>251</v>
      </c>
      <c r="D61" s="32" t="s">
        <v>1258</v>
      </c>
      <c r="E61" s="11" t="s">
        <v>9</v>
      </c>
    </row>
    <row r="62">
      <c r="A62" s="19">
        <v>0.25833333333333336</v>
      </c>
      <c r="B62" s="32" t="s">
        <v>177</v>
      </c>
      <c r="C62" s="35" t="s">
        <v>218</v>
      </c>
      <c r="D62" s="32" t="s">
        <v>1257</v>
      </c>
      <c r="E62" s="11" t="s">
        <v>13</v>
      </c>
    </row>
    <row r="63">
      <c r="A63" s="19">
        <v>0.26875</v>
      </c>
      <c r="B63" s="32" t="s">
        <v>964</v>
      </c>
      <c r="C63" s="35" t="s">
        <v>43</v>
      </c>
      <c r="D63" s="32" t="s">
        <v>1258</v>
      </c>
      <c r="E63" s="11" t="s">
        <v>9</v>
      </c>
    </row>
    <row r="64">
      <c r="A64" s="19">
        <v>0.26875</v>
      </c>
      <c r="B64" s="32" t="s">
        <v>795</v>
      </c>
      <c r="C64" s="35" t="s">
        <v>291</v>
      </c>
      <c r="D64" s="32" t="s">
        <v>177</v>
      </c>
      <c r="E64" s="11" t="s">
        <v>13</v>
      </c>
    </row>
    <row r="65">
      <c r="A65" s="19">
        <v>0.2791666666666667</v>
      </c>
      <c r="B65" s="32" t="s">
        <v>964</v>
      </c>
      <c r="C65" s="35" t="s">
        <v>62</v>
      </c>
      <c r="D65" s="32" t="s">
        <v>1257</v>
      </c>
      <c r="E65" s="11" t="s">
        <v>9</v>
      </c>
    </row>
    <row r="66">
      <c r="A66" s="19">
        <v>0.2791666666666667</v>
      </c>
      <c r="B66" s="32" t="s">
        <v>1258</v>
      </c>
      <c r="C66" s="35" t="s">
        <v>14</v>
      </c>
      <c r="D66" s="32" t="s">
        <v>177</v>
      </c>
      <c r="E66" s="11" t="s">
        <v>13</v>
      </c>
    </row>
    <row r="67">
      <c r="A67" s="27"/>
      <c r="B67" s="1" t="s">
        <v>53</v>
      </c>
      <c r="C67" s="2"/>
      <c r="D67" s="3"/>
      <c r="E67" s="4"/>
    </row>
    <row r="68">
      <c r="A68" s="18" t="s">
        <v>1</v>
      </c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19">
        <v>0.1875</v>
      </c>
      <c r="B69" s="8" t="s">
        <v>1195</v>
      </c>
      <c r="C69" s="35" t="s">
        <v>1259</v>
      </c>
      <c r="D69" s="32" t="s">
        <v>887</v>
      </c>
      <c r="E69" s="11" t="s">
        <v>33</v>
      </c>
    </row>
    <row r="70">
      <c r="A70" s="19">
        <v>0.1875</v>
      </c>
      <c r="B70" s="32" t="s">
        <v>1260</v>
      </c>
      <c r="C70" s="35" t="s">
        <v>19</v>
      </c>
      <c r="D70" s="32" t="s">
        <v>1261</v>
      </c>
      <c r="E70" s="11" t="s">
        <v>37</v>
      </c>
    </row>
    <row r="71">
      <c r="A71" s="19">
        <v>0.19722222222222222</v>
      </c>
      <c r="B71" s="32" t="s">
        <v>1260</v>
      </c>
      <c r="C71" s="35" t="s">
        <v>22</v>
      </c>
      <c r="D71" s="32" t="s">
        <v>887</v>
      </c>
      <c r="E71" s="11" t="s">
        <v>33</v>
      </c>
    </row>
    <row r="72">
      <c r="A72" s="19">
        <v>0.19722222222222222</v>
      </c>
      <c r="B72" s="32" t="s">
        <v>967</v>
      </c>
      <c r="C72" s="35" t="s">
        <v>404</v>
      </c>
      <c r="D72" s="32" t="s">
        <v>1261</v>
      </c>
      <c r="E72" s="11" t="s">
        <v>37</v>
      </c>
    </row>
    <row r="73">
      <c r="A73" s="19">
        <v>0.2076388888888889</v>
      </c>
      <c r="B73" s="32" t="s">
        <v>967</v>
      </c>
      <c r="C73" s="35" t="s">
        <v>65</v>
      </c>
      <c r="D73" s="32" t="s">
        <v>1260</v>
      </c>
      <c r="E73" s="11" t="s">
        <v>33</v>
      </c>
    </row>
    <row r="74">
      <c r="A74" s="19">
        <v>0.2076388888888889</v>
      </c>
      <c r="B74" s="32" t="s">
        <v>1261</v>
      </c>
      <c r="C74" s="35" t="s">
        <v>62</v>
      </c>
      <c r="D74" s="8" t="s">
        <v>1195</v>
      </c>
      <c r="E74" s="11" t="s">
        <v>37</v>
      </c>
    </row>
    <row r="75">
      <c r="A75" s="19">
        <v>0.21805555555555556</v>
      </c>
      <c r="B75" s="32" t="s">
        <v>967</v>
      </c>
      <c r="C75" s="35" t="s">
        <v>64</v>
      </c>
      <c r="D75" s="32" t="s">
        <v>887</v>
      </c>
      <c r="E75" s="11" t="s">
        <v>33</v>
      </c>
    </row>
    <row r="76">
      <c r="A76" s="19">
        <v>0.21805555555555556</v>
      </c>
      <c r="B76" s="8" t="s">
        <v>1195</v>
      </c>
      <c r="C76" s="35" t="s">
        <v>319</v>
      </c>
      <c r="D76" s="32" t="s">
        <v>1260</v>
      </c>
      <c r="E76" s="11" t="s">
        <v>37</v>
      </c>
    </row>
    <row r="77">
      <c r="A77" s="19">
        <v>0.22777777777777777</v>
      </c>
      <c r="B77" s="32" t="s">
        <v>1261</v>
      </c>
      <c r="C77" s="35" t="s">
        <v>312</v>
      </c>
      <c r="D77" s="32" t="s">
        <v>887</v>
      </c>
      <c r="E77" s="11" t="s">
        <v>33</v>
      </c>
    </row>
    <row r="78">
      <c r="A78" s="19">
        <v>0.22777777777777777</v>
      </c>
      <c r="B78" s="8" t="s">
        <v>1195</v>
      </c>
      <c r="C78" s="35" t="s">
        <v>282</v>
      </c>
      <c r="D78" s="32" t="s">
        <v>967</v>
      </c>
      <c r="E78" s="11" t="s">
        <v>37</v>
      </c>
    </row>
    <row r="79">
      <c r="A79" s="19">
        <v>0.23819444444444443</v>
      </c>
      <c r="B79" s="32" t="s">
        <v>887</v>
      </c>
      <c r="C79" s="35" t="s">
        <v>62</v>
      </c>
      <c r="D79" s="8" t="s">
        <v>1195</v>
      </c>
      <c r="E79" s="11" t="s">
        <v>33</v>
      </c>
    </row>
    <row r="80">
      <c r="A80" s="19">
        <v>0.23819444444444443</v>
      </c>
      <c r="B80" s="32" t="s">
        <v>1261</v>
      </c>
      <c r="C80" s="35" t="s">
        <v>289</v>
      </c>
      <c r="D80" s="32" t="s">
        <v>1260</v>
      </c>
      <c r="E80" s="11" t="s">
        <v>37</v>
      </c>
    </row>
    <row r="81">
      <c r="A81" s="19">
        <v>0.24861111111111112</v>
      </c>
      <c r="B81" s="32" t="s">
        <v>887</v>
      </c>
      <c r="C81" s="35" t="s">
        <v>357</v>
      </c>
      <c r="D81" s="32" t="s">
        <v>1260</v>
      </c>
      <c r="E81" s="11" t="s">
        <v>33</v>
      </c>
    </row>
    <row r="82">
      <c r="A82" s="19">
        <v>0.24861111111111112</v>
      </c>
      <c r="B82" s="32" t="s">
        <v>1261</v>
      </c>
      <c r="C82" s="35" t="s">
        <v>11</v>
      </c>
      <c r="D82" s="32" t="s">
        <v>967</v>
      </c>
      <c r="E82" s="11" t="s">
        <v>37</v>
      </c>
    </row>
    <row r="83">
      <c r="A83" s="19">
        <v>0.25833333333333336</v>
      </c>
      <c r="B83" s="32" t="s">
        <v>1260</v>
      </c>
      <c r="C83" s="35" t="s">
        <v>291</v>
      </c>
      <c r="D83" s="32" t="s">
        <v>967</v>
      </c>
      <c r="E83" s="11" t="s">
        <v>33</v>
      </c>
    </row>
    <row r="84">
      <c r="A84" s="19">
        <v>0.25833333333333336</v>
      </c>
      <c r="B84" s="8" t="s">
        <v>1195</v>
      </c>
      <c r="C84" s="35" t="s">
        <v>215</v>
      </c>
      <c r="D84" s="32" t="s">
        <v>1261</v>
      </c>
      <c r="E84" s="11" t="s">
        <v>37</v>
      </c>
    </row>
    <row r="85">
      <c r="A85" s="19">
        <v>0.26875</v>
      </c>
      <c r="B85" s="32" t="s">
        <v>887</v>
      </c>
      <c r="C85" s="35" t="s">
        <v>534</v>
      </c>
      <c r="D85" s="32" t="s">
        <v>967</v>
      </c>
      <c r="E85" s="11" t="s">
        <v>33</v>
      </c>
    </row>
    <row r="86">
      <c r="A86" s="19">
        <v>0.26875</v>
      </c>
      <c r="B86" s="32" t="s">
        <v>1260</v>
      </c>
      <c r="C86" s="35" t="s">
        <v>426</v>
      </c>
      <c r="D86" s="8" t="s">
        <v>1195</v>
      </c>
      <c r="E86" s="11" t="s">
        <v>37</v>
      </c>
    </row>
    <row r="87">
      <c r="A87" s="19">
        <v>0.2791666666666667</v>
      </c>
      <c r="B87" s="32" t="s">
        <v>887</v>
      </c>
      <c r="C87" s="35" t="s">
        <v>197</v>
      </c>
      <c r="D87" s="32" t="s">
        <v>1261</v>
      </c>
      <c r="E87" s="11" t="s">
        <v>33</v>
      </c>
    </row>
    <row r="88">
      <c r="A88" s="19">
        <v>0.2791666666666667</v>
      </c>
      <c r="B88" s="32" t="s">
        <v>967</v>
      </c>
      <c r="C88" s="35" t="s">
        <v>1019</v>
      </c>
      <c r="D88" s="8" t="s">
        <v>1195</v>
      </c>
      <c r="E88" s="11" t="s">
        <v>37</v>
      </c>
    </row>
    <row r="89">
      <c r="A89" s="56"/>
      <c r="B89" s="1" t="s">
        <v>90</v>
      </c>
      <c r="C89" s="2"/>
      <c r="D89" s="3"/>
      <c r="E89" s="4"/>
    </row>
    <row r="90">
      <c r="A90" s="18" t="s">
        <v>1</v>
      </c>
      <c r="B90" s="16" t="s">
        <v>2</v>
      </c>
      <c r="C90" s="16" t="s">
        <v>3</v>
      </c>
      <c r="D90" s="16" t="s">
        <v>4</v>
      </c>
      <c r="E90" s="16" t="s">
        <v>5</v>
      </c>
    </row>
    <row r="91">
      <c r="A91" s="19">
        <v>0.3333333333333333</v>
      </c>
      <c r="B91" s="8" t="s">
        <v>1262</v>
      </c>
      <c r="C91" s="35" t="s">
        <v>370</v>
      </c>
      <c r="D91" s="32" t="s">
        <v>1136</v>
      </c>
      <c r="E91" s="11" t="s">
        <v>9</v>
      </c>
    </row>
    <row r="92">
      <c r="A92" s="19">
        <v>0.3333333333333333</v>
      </c>
      <c r="B92" s="32" t="s">
        <v>1263</v>
      </c>
      <c r="C92" s="35" t="s">
        <v>14</v>
      </c>
      <c r="D92" s="32" t="s">
        <v>1264</v>
      </c>
      <c r="E92" s="11" t="s">
        <v>13</v>
      </c>
    </row>
    <row r="93">
      <c r="A93" s="19">
        <v>0.34305555555555556</v>
      </c>
      <c r="B93" s="32" t="s">
        <v>1263</v>
      </c>
      <c r="C93" s="35" t="s">
        <v>370</v>
      </c>
      <c r="D93" s="32" t="s">
        <v>1136</v>
      </c>
      <c r="E93" s="11" t="s">
        <v>9</v>
      </c>
    </row>
    <row r="94">
      <c r="A94" s="19">
        <v>0.34305555555555556</v>
      </c>
      <c r="B94" s="32" t="s">
        <v>1265</v>
      </c>
      <c r="C94" s="35" t="s">
        <v>658</v>
      </c>
      <c r="D94" s="32" t="s">
        <v>1264</v>
      </c>
      <c r="E94" s="11" t="s">
        <v>13</v>
      </c>
    </row>
    <row r="95">
      <c r="A95" s="19">
        <v>0.35347222222222224</v>
      </c>
      <c r="B95" s="32" t="s">
        <v>1265</v>
      </c>
      <c r="C95" s="35" t="s">
        <v>201</v>
      </c>
      <c r="D95" s="32" t="s">
        <v>1263</v>
      </c>
      <c r="E95" s="11" t="s">
        <v>9</v>
      </c>
    </row>
    <row r="96">
      <c r="A96" s="19">
        <v>0.35347222222222224</v>
      </c>
      <c r="B96" s="32" t="s">
        <v>1264</v>
      </c>
      <c r="C96" s="35" t="s">
        <v>936</v>
      </c>
      <c r="D96" s="8" t="s">
        <v>1262</v>
      </c>
      <c r="E96" s="11" t="s">
        <v>13</v>
      </c>
    </row>
    <row r="97">
      <c r="A97" s="19">
        <v>0.3638888888888889</v>
      </c>
      <c r="B97" s="32" t="s">
        <v>1265</v>
      </c>
      <c r="C97" s="35" t="s">
        <v>11</v>
      </c>
      <c r="D97" s="32" t="s">
        <v>1136</v>
      </c>
      <c r="E97" s="11" t="s">
        <v>9</v>
      </c>
    </row>
    <row r="98">
      <c r="A98" s="19">
        <v>0.3638888888888889</v>
      </c>
      <c r="B98" s="8" t="s">
        <v>1262</v>
      </c>
      <c r="C98" s="35" t="s">
        <v>329</v>
      </c>
      <c r="D98" s="32" t="s">
        <v>1263</v>
      </c>
      <c r="E98" s="11" t="s">
        <v>13</v>
      </c>
    </row>
    <row r="99">
      <c r="A99" s="19">
        <v>0.3736111111111111</v>
      </c>
      <c r="B99" s="32" t="s">
        <v>1264</v>
      </c>
      <c r="C99" s="35" t="s">
        <v>87</v>
      </c>
      <c r="D99" s="32" t="s">
        <v>1136</v>
      </c>
      <c r="E99" s="11" t="s">
        <v>9</v>
      </c>
    </row>
    <row r="100">
      <c r="A100" s="19">
        <v>0.3736111111111111</v>
      </c>
      <c r="B100" s="8" t="s">
        <v>1262</v>
      </c>
      <c r="C100" s="35" t="s">
        <v>216</v>
      </c>
      <c r="D100" s="32" t="s">
        <v>1265</v>
      </c>
      <c r="E100" s="11" t="s">
        <v>13</v>
      </c>
    </row>
    <row r="101">
      <c r="A101" s="19">
        <v>0.3840277777777778</v>
      </c>
      <c r="B101" s="32" t="s">
        <v>1136</v>
      </c>
      <c r="C101" s="35" t="s">
        <v>72</v>
      </c>
      <c r="D101" s="8" t="s">
        <v>1262</v>
      </c>
      <c r="E101" s="11" t="s">
        <v>9</v>
      </c>
    </row>
    <row r="102">
      <c r="A102" s="19">
        <v>0.3840277777777778</v>
      </c>
      <c r="B102" s="32" t="s">
        <v>1264</v>
      </c>
      <c r="C102" s="35" t="s">
        <v>19</v>
      </c>
      <c r="D102" s="32" t="s">
        <v>1263</v>
      </c>
      <c r="E102" s="11" t="s">
        <v>13</v>
      </c>
    </row>
    <row r="103">
      <c r="A103" s="19">
        <v>0.39444444444444443</v>
      </c>
      <c r="B103" s="32" t="s">
        <v>1136</v>
      </c>
      <c r="C103" s="35" t="s">
        <v>190</v>
      </c>
      <c r="D103" s="32" t="s">
        <v>1263</v>
      </c>
      <c r="E103" s="11" t="s">
        <v>9</v>
      </c>
    </row>
    <row r="104">
      <c r="A104" s="19">
        <v>0.39444444444444443</v>
      </c>
      <c r="B104" s="32" t="s">
        <v>1264</v>
      </c>
      <c r="C104" s="35" t="s">
        <v>193</v>
      </c>
      <c r="D104" s="32" t="s">
        <v>1265</v>
      </c>
      <c r="E104" s="11" t="s">
        <v>13</v>
      </c>
    </row>
    <row r="105">
      <c r="A105" s="19">
        <v>0.4041666666666667</v>
      </c>
      <c r="B105" s="32" t="s">
        <v>1263</v>
      </c>
      <c r="C105" s="35" t="s">
        <v>19</v>
      </c>
      <c r="D105" s="32" t="s">
        <v>1265</v>
      </c>
      <c r="E105" s="11" t="s">
        <v>9</v>
      </c>
    </row>
    <row r="106">
      <c r="A106" s="19">
        <v>0.4041666666666667</v>
      </c>
      <c r="B106" s="8" t="s">
        <v>1262</v>
      </c>
      <c r="C106" s="35" t="s">
        <v>217</v>
      </c>
      <c r="D106" s="32" t="s">
        <v>1264</v>
      </c>
      <c r="E106" s="11" t="s">
        <v>13</v>
      </c>
    </row>
    <row r="107">
      <c r="A107" s="19">
        <v>0.41458333333333336</v>
      </c>
      <c r="B107" s="32" t="s">
        <v>1136</v>
      </c>
      <c r="C107" s="35" t="s">
        <v>249</v>
      </c>
      <c r="D107" s="32" t="s">
        <v>1265</v>
      </c>
      <c r="E107" s="11" t="s">
        <v>9</v>
      </c>
    </row>
    <row r="108">
      <c r="A108" s="19">
        <v>0.41458333333333336</v>
      </c>
      <c r="B108" s="32" t="s">
        <v>1263</v>
      </c>
      <c r="C108" s="35" t="s">
        <v>1266</v>
      </c>
      <c r="D108" s="8" t="s">
        <v>1262</v>
      </c>
      <c r="E108" s="11" t="s">
        <v>13</v>
      </c>
    </row>
    <row r="109">
      <c r="A109" s="19">
        <v>0.425</v>
      </c>
      <c r="B109" s="32" t="s">
        <v>1136</v>
      </c>
      <c r="C109" s="35" t="s">
        <v>1267</v>
      </c>
      <c r="D109" s="32" t="s">
        <v>1264</v>
      </c>
      <c r="E109" s="11" t="s">
        <v>9</v>
      </c>
    </row>
    <row r="110">
      <c r="A110" s="19">
        <v>0.425</v>
      </c>
      <c r="B110" s="32" t="s">
        <v>1265</v>
      </c>
      <c r="C110" s="35" t="s">
        <v>726</v>
      </c>
      <c r="D110" s="8" t="s">
        <v>1262</v>
      </c>
      <c r="E110" s="11" t="s">
        <v>13</v>
      </c>
    </row>
    <row r="111">
      <c r="A111" s="27"/>
      <c r="B111" s="1" t="s">
        <v>90</v>
      </c>
      <c r="C111" s="2"/>
      <c r="D111" s="3"/>
      <c r="E111" s="4"/>
    </row>
    <row r="112">
      <c r="A112" s="18" t="s">
        <v>1</v>
      </c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A113" s="19">
        <v>0.3333333333333333</v>
      </c>
      <c r="B113" s="32" t="s">
        <v>235</v>
      </c>
      <c r="C113" s="33" t="s">
        <v>232</v>
      </c>
      <c r="D113" s="32" t="s">
        <v>1268</v>
      </c>
      <c r="E113" s="11" t="s">
        <v>33</v>
      </c>
    </row>
    <row r="114">
      <c r="A114" s="19">
        <v>0.3333333333333333</v>
      </c>
      <c r="B114" s="32" t="s">
        <v>1269</v>
      </c>
      <c r="C114" s="33" t="s">
        <v>218</v>
      </c>
      <c r="D114" s="32" t="s">
        <v>519</v>
      </c>
      <c r="E114" s="11" t="s">
        <v>37</v>
      </c>
    </row>
    <row r="115">
      <c r="A115" s="19">
        <v>0.34305555555555556</v>
      </c>
      <c r="B115" s="32" t="s">
        <v>1269</v>
      </c>
      <c r="C115" s="33" t="s">
        <v>194</v>
      </c>
      <c r="D115" s="32" t="s">
        <v>1268</v>
      </c>
      <c r="E115" s="11" t="s">
        <v>33</v>
      </c>
    </row>
    <row r="116">
      <c r="A116" s="19">
        <v>0.34305555555555556</v>
      </c>
      <c r="B116" s="32" t="s">
        <v>1203</v>
      </c>
      <c r="C116" s="33" t="s">
        <v>65</v>
      </c>
      <c r="D116" s="32" t="s">
        <v>519</v>
      </c>
      <c r="E116" s="11" t="s">
        <v>37</v>
      </c>
    </row>
    <row r="117">
      <c r="A117" s="19">
        <v>0.35347222222222224</v>
      </c>
      <c r="B117" s="32" t="s">
        <v>1203</v>
      </c>
      <c r="C117" s="33" t="s">
        <v>67</v>
      </c>
      <c r="D117" s="32" t="s">
        <v>1269</v>
      </c>
      <c r="E117" s="11" t="s">
        <v>33</v>
      </c>
    </row>
    <row r="118">
      <c r="A118" s="19">
        <v>0.35347222222222224</v>
      </c>
      <c r="B118" s="32" t="s">
        <v>519</v>
      </c>
      <c r="C118" s="33" t="s">
        <v>190</v>
      </c>
      <c r="D118" s="32" t="s">
        <v>235</v>
      </c>
      <c r="E118" s="11" t="s">
        <v>37</v>
      </c>
    </row>
    <row r="119">
      <c r="A119" s="19">
        <v>0.3638888888888889</v>
      </c>
      <c r="B119" s="32" t="s">
        <v>1203</v>
      </c>
      <c r="C119" s="33" t="s">
        <v>196</v>
      </c>
      <c r="D119" s="32" t="s">
        <v>1268</v>
      </c>
      <c r="E119" s="11" t="s">
        <v>33</v>
      </c>
    </row>
    <row r="120">
      <c r="A120" s="19">
        <v>0.3638888888888889</v>
      </c>
      <c r="B120" s="32" t="s">
        <v>235</v>
      </c>
      <c r="C120" s="33" t="s">
        <v>21</v>
      </c>
      <c r="D120" s="32" t="s">
        <v>1269</v>
      </c>
      <c r="E120" s="11" t="s">
        <v>37</v>
      </c>
    </row>
    <row r="121">
      <c r="A121" s="19">
        <v>0.3736111111111111</v>
      </c>
      <c r="B121" s="32" t="s">
        <v>519</v>
      </c>
      <c r="C121" s="33" t="s">
        <v>201</v>
      </c>
      <c r="D121" s="32" t="s">
        <v>1268</v>
      </c>
      <c r="E121" s="11" t="s">
        <v>33</v>
      </c>
    </row>
    <row r="122">
      <c r="A122" s="19">
        <v>0.3736111111111111</v>
      </c>
      <c r="B122" s="32" t="s">
        <v>235</v>
      </c>
      <c r="C122" s="33" t="s">
        <v>195</v>
      </c>
      <c r="D122" s="32" t="s">
        <v>1203</v>
      </c>
      <c r="E122" s="11" t="s">
        <v>37</v>
      </c>
    </row>
    <row r="123">
      <c r="A123" s="19">
        <v>0.3840277777777778</v>
      </c>
      <c r="B123" s="32" t="s">
        <v>1268</v>
      </c>
      <c r="C123" s="33" t="s">
        <v>87</v>
      </c>
      <c r="D123" s="32" t="s">
        <v>235</v>
      </c>
      <c r="E123" s="11" t="s">
        <v>33</v>
      </c>
    </row>
    <row r="124">
      <c r="A124" s="19">
        <v>0.3840277777777778</v>
      </c>
      <c r="B124" s="32" t="s">
        <v>519</v>
      </c>
      <c r="C124" s="33" t="s">
        <v>1270</v>
      </c>
      <c r="D124" s="32" t="s">
        <v>1269</v>
      </c>
      <c r="E124" s="11" t="s">
        <v>37</v>
      </c>
    </row>
    <row r="125">
      <c r="A125" s="19">
        <v>0.39444444444444443</v>
      </c>
      <c r="B125" s="32" t="s">
        <v>1268</v>
      </c>
      <c r="C125" s="35" t="s">
        <v>1271</v>
      </c>
      <c r="D125" s="32" t="s">
        <v>1269</v>
      </c>
      <c r="E125" s="11" t="s">
        <v>33</v>
      </c>
    </row>
    <row r="126">
      <c r="A126" s="19">
        <v>0.39444444444444443</v>
      </c>
      <c r="B126" s="32" t="s">
        <v>519</v>
      </c>
      <c r="C126" s="35" t="s">
        <v>193</v>
      </c>
      <c r="D126" s="32" t="s">
        <v>1203</v>
      </c>
      <c r="E126" s="11" t="s">
        <v>37</v>
      </c>
    </row>
    <row r="127">
      <c r="A127" s="19">
        <v>0.4041666666666667</v>
      </c>
      <c r="B127" s="32" t="s">
        <v>1269</v>
      </c>
      <c r="C127" s="35" t="s">
        <v>1272</v>
      </c>
      <c r="D127" s="32" t="s">
        <v>1203</v>
      </c>
      <c r="E127" s="11" t="s">
        <v>33</v>
      </c>
    </row>
    <row r="128">
      <c r="A128" s="19">
        <v>0.4041666666666667</v>
      </c>
      <c r="B128" s="32" t="s">
        <v>235</v>
      </c>
      <c r="C128" s="35" t="s">
        <v>535</v>
      </c>
      <c r="D128" s="32" t="s">
        <v>519</v>
      </c>
      <c r="E128" s="11" t="s">
        <v>37</v>
      </c>
    </row>
    <row r="129">
      <c r="A129" s="19">
        <v>0.41458333333333336</v>
      </c>
      <c r="B129" s="32" t="s">
        <v>1268</v>
      </c>
      <c r="C129" s="35" t="s">
        <v>534</v>
      </c>
      <c r="D129" s="32" t="s">
        <v>1203</v>
      </c>
      <c r="E129" s="11" t="s">
        <v>33</v>
      </c>
    </row>
    <row r="130">
      <c r="A130" s="19">
        <v>0.41458333333333336</v>
      </c>
      <c r="B130" s="32" t="s">
        <v>1269</v>
      </c>
      <c r="C130" s="35" t="s">
        <v>195</v>
      </c>
      <c r="D130" s="32" t="s">
        <v>235</v>
      </c>
      <c r="E130" s="11" t="s">
        <v>37</v>
      </c>
    </row>
    <row r="131">
      <c r="A131" s="19">
        <v>0.425</v>
      </c>
      <c r="B131" s="32" t="s">
        <v>1268</v>
      </c>
      <c r="C131" s="35" t="s">
        <v>19</v>
      </c>
      <c r="D131" s="32" t="s">
        <v>519</v>
      </c>
      <c r="E131" s="11" t="s">
        <v>33</v>
      </c>
    </row>
    <row r="132">
      <c r="A132" s="19">
        <v>0.425</v>
      </c>
      <c r="B132" s="32" t="s">
        <v>1203</v>
      </c>
      <c r="C132" s="35" t="s">
        <v>82</v>
      </c>
      <c r="D132" s="32" t="s">
        <v>235</v>
      </c>
      <c r="E132" s="11" t="s">
        <v>37</v>
      </c>
    </row>
    <row r="133">
      <c r="A133" s="27"/>
      <c r="B133" s="1" t="s">
        <v>101</v>
      </c>
      <c r="C133" s="2"/>
      <c r="D133" s="3"/>
      <c r="E133" s="4"/>
    </row>
    <row r="134">
      <c r="A134" s="18" t="s">
        <v>1</v>
      </c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A135" s="19">
        <v>0.4375</v>
      </c>
      <c r="B135" s="8" t="s">
        <v>1273</v>
      </c>
      <c r="C135" s="33" t="s">
        <v>232</v>
      </c>
      <c r="D135" s="32" t="s">
        <v>1274</v>
      </c>
      <c r="E135" s="11" t="s">
        <v>9</v>
      </c>
    </row>
    <row r="136">
      <c r="A136" s="19">
        <v>0.4375</v>
      </c>
      <c r="B136" s="32" t="s">
        <v>1275</v>
      </c>
      <c r="C136" s="33" t="s">
        <v>22</v>
      </c>
      <c r="D136" s="32" t="s">
        <v>1276</v>
      </c>
      <c r="E136" s="11" t="s">
        <v>13</v>
      </c>
    </row>
    <row r="137">
      <c r="A137" s="19">
        <v>0.44722222222222224</v>
      </c>
      <c r="B137" s="32" t="s">
        <v>1275</v>
      </c>
      <c r="C137" s="33" t="s">
        <v>319</v>
      </c>
      <c r="D137" s="32" t="s">
        <v>1274</v>
      </c>
      <c r="E137" s="11" t="s">
        <v>9</v>
      </c>
    </row>
    <row r="138">
      <c r="A138" s="19">
        <v>0.44722222222222224</v>
      </c>
      <c r="B138" s="32" t="s">
        <v>1277</v>
      </c>
      <c r="C138" s="33" t="s">
        <v>190</v>
      </c>
      <c r="D138" s="32" t="s">
        <v>1276</v>
      </c>
      <c r="E138" s="11" t="s">
        <v>13</v>
      </c>
    </row>
    <row r="139">
      <c r="A139" s="19">
        <v>0.4576388888888889</v>
      </c>
      <c r="B139" s="32" t="s">
        <v>1277</v>
      </c>
      <c r="C139" s="33" t="s">
        <v>19</v>
      </c>
      <c r="D139" s="32" t="s">
        <v>1275</v>
      </c>
      <c r="E139" s="11" t="s">
        <v>9</v>
      </c>
    </row>
    <row r="140">
      <c r="A140" s="19">
        <v>0.4576388888888889</v>
      </c>
      <c r="B140" s="32" t="s">
        <v>1276</v>
      </c>
      <c r="C140" s="33" t="s">
        <v>338</v>
      </c>
      <c r="D140" s="8" t="s">
        <v>1273</v>
      </c>
      <c r="E140" s="11" t="s">
        <v>13</v>
      </c>
    </row>
    <row r="141">
      <c r="A141" s="19">
        <v>0.46805555555555556</v>
      </c>
      <c r="B141" s="32" t="s">
        <v>1277</v>
      </c>
      <c r="C141" s="33" t="s">
        <v>217</v>
      </c>
      <c r="D141" s="32" t="s">
        <v>1274</v>
      </c>
      <c r="E141" s="11" t="s">
        <v>9</v>
      </c>
    </row>
    <row r="142">
      <c r="A142" s="19">
        <v>0.46805555555555556</v>
      </c>
      <c r="B142" s="8" t="s">
        <v>1273</v>
      </c>
      <c r="C142" s="33" t="s">
        <v>197</v>
      </c>
      <c r="D142" s="32" t="s">
        <v>1275</v>
      </c>
      <c r="E142" s="11" t="s">
        <v>13</v>
      </c>
    </row>
    <row r="143">
      <c r="A143" s="19">
        <v>0.4777777777777778</v>
      </c>
      <c r="B143" s="32" t="s">
        <v>1276</v>
      </c>
      <c r="C143" s="33" t="s">
        <v>488</v>
      </c>
      <c r="D143" s="32" t="s">
        <v>1274</v>
      </c>
      <c r="E143" s="11" t="s">
        <v>9</v>
      </c>
    </row>
    <row r="144">
      <c r="A144" s="19">
        <v>0.4777777777777778</v>
      </c>
      <c r="B144" s="8" t="s">
        <v>1273</v>
      </c>
      <c r="C144" s="33" t="s">
        <v>197</v>
      </c>
      <c r="D144" s="32" t="s">
        <v>1277</v>
      </c>
      <c r="E144" s="11" t="s">
        <v>13</v>
      </c>
    </row>
    <row r="145">
      <c r="A145" s="19">
        <v>0.48819444444444443</v>
      </c>
      <c r="B145" s="32" t="s">
        <v>1274</v>
      </c>
      <c r="C145" s="33" t="s">
        <v>338</v>
      </c>
      <c r="D145" s="8" t="s">
        <v>1273</v>
      </c>
      <c r="E145" s="11" t="s">
        <v>9</v>
      </c>
    </row>
    <row r="146">
      <c r="A146" s="19">
        <v>0.48819444444444443</v>
      </c>
      <c r="B146" s="32" t="s">
        <v>1276</v>
      </c>
      <c r="C146" s="33" t="s">
        <v>72</v>
      </c>
      <c r="D146" s="32" t="s">
        <v>1275</v>
      </c>
      <c r="E146" s="11" t="s">
        <v>13</v>
      </c>
    </row>
    <row r="147">
      <c r="A147" s="19">
        <v>0.4986111111111111</v>
      </c>
      <c r="B147" s="32" t="s">
        <v>1274</v>
      </c>
      <c r="C147" s="35" t="s">
        <v>48</v>
      </c>
      <c r="D147" s="32" t="s">
        <v>1275</v>
      </c>
      <c r="E147" s="11" t="s">
        <v>9</v>
      </c>
    </row>
    <row r="148">
      <c r="A148" s="19">
        <v>0.4986111111111111</v>
      </c>
      <c r="B148" s="32" t="s">
        <v>1276</v>
      </c>
      <c r="C148" s="35" t="s">
        <v>570</v>
      </c>
      <c r="D148" s="32" t="s">
        <v>1277</v>
      </c>
      <c r="E148" s="11" t="s">
        <v>13</v>
      </c>
    </row>
    <row r="149">
      <c r="A149" s="19">
        <v>0.5083333333333333</v>
      </c>
      <c r="B149" s="32" t="s">
        <v>1275</v>
      </c>
      <c r="C149" s="35" t="s">
        <v>14</v>
      </c>
      <c r="D149" s="32" t="s">
        <v>1277</v>
      </c>
      <c r="E149" s="11" t="s">
        <v>9</v>
      </c>
    </row>
    <row r="150">
      <c r="A150" s="19">
        <v>0.5083333333333333</v>
      </c>
      <c r="B150" s="8" t="s">
        <v>1273</v>
      </c>
      <c r="C150" s="35" t="s">
        <v>289</v>
      </c>
      <c r="D150" s="32" t="s">
        <v>1276</v>
      </c>
      <c r="E150" s="11" t="s">
        <v>13</v>
      </c>
    </row>
    <row r="151">
      <c r="A151" s="19">
        <v>0.51875</v>
      </c>
      <c r="B151" s="32" t="s">
        <v>1274</v>
      </c>
      <c r="C151" s="35" t="s">
        <v>43</v>
      </c>
      <c r="D151" s="32" t="s">
        <v>1277</v>
      </c>
      <c r="E151" s="11" t="s">
        <v>9</v>
      </c>
    </row>
    <row r="152">
      <c r="A152" s="19">
        <v>0.51875</v>
      </c>
      <c r="B152" s="32" t="s">
        <v>1275</v>
      </c>
      <c r="C152" s="35" t="s">
        <v>41</v>
      </c>
      <c r="D152" s="8" t="s">
        <v>1273</v>
      </c>
      <c r="E152" s="11" t="s">
        <v>13</v>
      </c>
    </row>
    <row r="153">
      <c r="A153" s="19">
        <v>0.5291666666666667</v>
      </c>
      <c r="B153" s="32" t="s">
        <v>1274</v>
      </c>
      <c r="C153" s="35" t="s">
        <v>291</v>
      </c>
      <c r="D153" s="32" t="s">
        <v>1276</v>
      </c>
      <c r="E153" s="11" t="s">
        <v>9</v>
      </c>
    </row>
    <row r="154">
      <c r="A154" s="19">
        <v>0.5291666666666667</v>
      </c>
      <c r="B154" s="32" t="s">
        <v>1277</v>
      </c>
      <c r="C154" s="35" t="s">
        <v>67</v>
      </c>
      <c r="D154" s="8" t="s">
        <v>1273</v>
      </c>
      <c r="E154" s="11" t="s">
        <v>13</v>
      </c>
    </row>
    <row r="155">
      <c r="A155" s="27"/>
      <c r="B155" s="1" t="s">
        <v>101</v>
      </c>
      <c r="C155" s="2"/>
      <c r="D155" s="3"/>
      <c r="E155" s="4"/>
    </row>
    <row r="156">
      <c r="A156" s="18" t="s">
        <v>1</v>
      </c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A157" s="19">
        <v>0.4375</v>
      </c>
      <c r="B157" s="32" t="s">
        <v>111</v>
      </c>
      <c r="C157" s="33" t="s">
        <v>25</v>
      </c>
      <c r="D157" s="32" t="s">
        <v>1278</v>
      </c>
      <c r="E157" s="11" t="s">
        <v>33</v>
      </c>
    </row>
    <row r="158">
      <c r="A158" s="19">
        <v>0.4375</v>
      </c>
      <c r="B158" s="32" t="s">
        <v>1279</v>
      </c>
      <c r="C158" s="33" t="s">
        <v>11</v>
      </c>
      <c r="D158" s="32" t="s">
        <v>1280</v>
      </c>
      <c r="E158" s="11" t="s">
        <v>37</v>
      </c>
    </row>
    <row r="159">
      <c r="A159" s="19">
        <v>0.44722222222222224</v>
      </c>
      <c r="B159" s="32" t="s">
        <v>1279</v>
      </c>
      <c r="C159" s="33" t="s">
        <v>71</v>
      </c>
      <c r="D159" s="32" t="s">
        <v>1278</v>
      </c>
      <c r="E159" s="11" t="s">
        <v>33</v>
      </c>
    </row>
    <row r="160">
      <c r="A160" s="19">
        <v>0.44722222222222224</v>
      </c>
      <c r="B160" s="32" t="s">
        <v>1281</v>
      </c>
      <c r="C160" s="33" t="s">
        <v>286</v>
      </c>
      <c r="D160" s="32" t="s">
        <v>1280</v>
      </c>
      <c r="E160" s="11" t="s">
        <v>37</v>
      </c>
    </row>
    <row r="161">
      <c r="A161" s="19">
        <v>0.4576388888888889</v>
      </c>
      <c r="B161" s="32" t="s">
        <v>1281</v>
      </c>
      <c r="C161" s="33" t="s">
        <v>1282</v>
      </c>
      <c r="D161" s="32" t="s">
        <v>1279</v>
      </c>
      <c r="E161" s="11" t="s">
        <v>33</v>
      </c>
    </row>
    <row r="162">
      <c r="A162" s="19">
        <v>0.4576388888888889</v>
      </c>
      <c r="B162" s="32" t="s">
        <v>1280</v>
      </c>
      <c r="C162" s="33" t="s">
        <v>267</v>
      </c>
      <c r="D162" s="32" t="s">
        <v>111</v>
      </c>
      <c r="E162" s="11" t="s">
        <v>37</v>
      </c>
    </row>
    <row r="163">
      <c r="A163" s="19">
        <v>0.46805555555555556</v>
      </c>
      <c r="B163" s="32" t="s">
        <v>1281</v>
      </c>
      <c r="C163" s="33" t="s">
        <v>195</v>
      </c>
      <c r="D163" s="32" t="s">
        <v>1278</v>
      </c>
      <c r="E163" s="11" t="s">
        <v>33</v>
      </c>
    </row>
    <row r="164">
      <c r="A164" s="19">
        <v>0.46805555555555556</v>
      </c>
      <c r="B164" s="32" t="s">
        <v>111</v>
      </c>
      <c r="C164" s="33" t="s">
        <v>17</v>
      </c>
      <c r="D164" s="32" t="s">
        <v>1279</v>
      </c>
      <c r="E164" s="11" t="s">
        <v>37</v>
      </c>
    </row>
    <row r="165">
      <c r="A165" s="19">
        <v>0.4777777777777778</v>
      </c>
      <c r="B165" s="32" t="s">
        <v>1280</v>
      </c>
      <c r="C165" s="33" t="s">
        <v>17</v>
      </c>
      <c r="D165" s="32" t="s">
        <v>1278</v>
      </c>
      <c r="E165" s="11" t="s">
        <v>33</v>
      </c>
    </row>
    <row r="166">
      <c r="A166" s="19">
        <v>0.4777777777777778</v>
      </c>
      <c r="B166" s="32" t="s">
        <v>111</v>
      </c>
      <c r="C166" s="33" t="s">
        <v>201</v>
      </c>
      <c r="D166" s="32" t="s">
        <v>1281</v>
      </c>
      <c r="E166" s="11" t="s">
        <v>37</v>
      </c>
    </row>
    <row r="167">
      <c r="A167" s="19">
        <v>0.48819444444444443</v>
      </c>
      <c r="B167" s="32" t="s">
        <v>1278</v>
      </c>
      <c r="C167" s="33" t="s">
        <v>16</v>
      </c>
      <c r="D167" s="32" t="s">
        <v>111</v>
      </c>
      <c r="E167" s="11" t="s">
        <v>33</v>
      </c>
    </row>
    <row r="168">
      <c r="A168" s="19">
        <v>0.48819444444444443</v>
      </c>
      <c r="B168" s="32" t="s">
        <v>1280</v>
      </c>
      <c r="C168" s="33" t="s">
        <v>48</v>
      </c>
      <c r="D168" s="32" t="s">
        <v>1279</v>
      </c>
      <c r="E168" s="11" t="s">
        <v>37</v>
      </c>
    </row>
    <row r="169">
      <c r="A169" s="19">
        <v>0.4986111111111111</v>
      </c>
      <c r="B169" s="32" t="s">
        <v>1278</v>
      </c>
      <c r="C169" s="35" t="s">
        <v>497</v>
      </c>
      <c r="D169" s="32" t="s">
        <v>1279</v>
      </c>
      <c r="E169" s="11" t="s">
        <v>33</v>
      </c>
    </row>
    <row r="170">
      <c r="A170" s="19">
        <v>0.4986111111111111</v>
      </c>
      <c r="B170" s="32" t="s">
        <v>1280</v>
      </c>
      <c r="C170" s="35" t="s">
        <v>201</v>
      </c>
      <c r="D170" s="32" t="s">
        <v>1281</v>
      </c>
      <c r="E170" s="11" t="s">
        <v>37</v>
      </c>
    </row>
    <row r="171">
      <c r="A171" s="19">
        <v>0.5083333333333333</v>
      </c>
      <c r="B171" s="32" t="s">
        <v>1279</v>
      </c>
      <c r="C171" s="35" t="s">
        <v>414</v>
      </c>
      <c r="D171" s="32" t="s">
        <v>1281</v>
      </c>
      <c r="E171" s="11" t="s">
        <v>33</v>
      </c>
    </row>
    <row r="172">
      <c r="A172" s="19">
        <v>0.5083333333333333</v>
      </c>
      <c r="B172" s="32" t="s">
        <v>111</v>
      </c>
      <c r="C172" s="35" t="s">
        <v>195</v>
      </c>
      <c r="D172" s="32" t="s">
        <v>1280</v>
      </c>
      <c r="E172" s="11" t="s">
        <v>37</v>
      </c>
    </row>
    <row r="173">
      <c r="A173" s="19">
        <v>0.51875</v>
      </c>
      <c r="B173" s="32" t="s">
        <v>1278</v>
      </c>
      <c r="C173" s="35" t="s">
        <v>55</v>
      </c>
      <c r="D173" s="32" t="s">
        <v>1281</v>
      </c>
      <c r="E173" s="11" t="s">
        <v>33</v>
      </c>
    </row>
    <row r="174">
      <c r="A174" s="19">
        <v>0.51875</v>
      </c>
      <c r="B174" s="32" t="s">
        <v>1279</v>
      </c>
      <c r="C174" s="35" t="s">
        <v>1283</v>
      </c>
      <c r="D174" s="32" t="s">
        <v>111</v>
      </c>
      <c r="E174" s="11" t="s">
        <v>37</v>
      </c>
    </row>
    <row r="175">
      <c r="A175" s="19">
        <v>0.5291666666666667</v>
      </c>
      <c r="B175" s="32" t="s">
        <v>1278</v>
      </c>
      <c r="C175" s="35" t="s">
        <v>1284</v>
      </c>
      <c r="D175" s="32" t="s">
        <v>1280</v>
      </c>
      <c r="E175" s="11" t="s">
        <v>33</v>
      </c>
    </row>
    <row r="176">
      <c r="A176" s="19">
        <v>0.5291666666666667</v>
      </c>
      <c r="B176" s="32" t="s">
        <v>1281</v>
      </c>
      <c r="C176" s="35" t="s">
        <v>1285</v>
      </c>
      <c r="D176" s="32" t="s">
        <v>111</v>
      </c>
      <c r="E176" s="11" t="s">
        <v>37</v>
      </c>
    </row>
    <row r="177">
      <c r="A177" s="27"/>
      <c r="B177" s="1" t="s">
        <v>112</v>
      </c>
      <c r="C177" s="2"/>
      <c r="D177" s="3"/>
      <c r="E177" s="4"/>
    </row>
    <row r="178">
      <c r="A178" s="18" t="s">
        <v>1</v>
      </c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A179" s="19">
        <v>0.5416666666666666</v>
      </c>
      <c r="B179" s="8" t="s">
        <v>1286</v>
      </c>
      <c r="C179" s="35" t="s">
        <v>329</v>
      </c>
      <c r="D179" s="32" t="s">
        <v>116</v>
      </c>
      <c r="E179" s="11" t="s">
        <v>9</v>
      </c>
    </row>
    <row r="180">
      <c r="A180" s="19">
        <v>0.5416666666666666</v>
      </c>
      <c r="B180" s="32" t="s">
        <v>1287</v>
      </c>
      <c r="C180" s="35" t="s">
        <v>55</v>
      </c>
      <c r="D180" s="32" t="s">
        <v>264</v>
      </c>
      <c r="E180" s="11" t="s">
        <v>13</v>
      </c>
    </row>
    <row r="181">
      <c r="A181" s="19">
        <v>0.5513888888888889</v>
      </c>
      <c r="B181" s="32" t="s">
        <v>1287</v>
      </c>
      <c r="C181" s="35" t="s">
        <v>260</v>
      </c>
      <c r="D181" s="32" t="s">
        <v>116</v>
      </c>
      <c r="E181" s="11" t="s">
        <v>9</v>
      </c>
    </row>
    <row r="182">
      <c r="A182" s="19">
        <v>0.5513888888888889</v>
      </c>
      <c r="B182" s="32" t="s">
        <v>1148</v>
      </c>
      <c r="C182" s="35" t="s">
        <v>47</v>
      </c>
      <c r="D182" s="32" t="s">
        <v>264</v>
      </c>
      <c r="E182" s="11" t="s">
        <v>13</v>
      </c>
    </row>
    <row r="183">
      <c r="A183" s="19">
        <v>0.5618055555555556</v>
      </c>
      <c r="B183" s="32" t="s">
        <v>1148</v>
      </c>
      <c r="C183" s="35" t="s">
        <v>286</v>
      </c>
      <c r="D183" s="32" t="s">
        <v>1287</v>
      </c>
      <c r="E183" s="11" t="s">
        <v>9</v>
      </c>
    </row>
    <row r="184">
      <c r="A184" s="19">
        <v>0.5618055555555556</v>
      </c>
      <c r="B184" s="32" t="s">
        <v>264</v>
      </c>
      <c r="C184" s="35" t="s">
        <v>291</v>
      </c>
      <c r="D184" s="8" t="s">
        <v>1286</v>
      </c>
      <c r="E184" s="11" t="s">
        <v>13</v>
      </c>
    </row>
    <row r="185">
      <c r="A185" s="19">
        <v>0.5722222222222222</v>
      </c>
      <c r="B185" s="32" t="s">
        <v>1148</v>
      </c>
      <c r="C185" s="35" t="s">
        <v>31</v>
      </c>
      <c r="D185" s="32" t="s">
        <v>116</v>
      </c>
      <c r="E185" s="11" t="s">
        <v>9</v>
      </c>
    </row>
    <row r="186">
      <c r="A186" s="19">
        <v>0.5722222222222222</v>
      </c>
      <c r="B186" s="8" t="s">
        <v>1286</v>
      </c>
      <c r="C186" s="35" t="s">
        <v>289</v>
      </c>
      <c r="D186" s="32" t="s">
        <v>1287</v>
      </c>
      <c r="E186" s="11" t="s">
        <v>13</v>
      </c>
    </row>
    <row r="187">
      <c r="A187" s="19">
        <v>0.5819444444444445</v>
      </c>
      <c r="B187" s="32" t="s">
        <v>264</v>
      </c>
      <c r="C187" s="35" t="s">
        <v>88</v>
      </c>
      <c r="D187" s="32" t="s">
        <v>116</v>
      </c>
      <c r="E187" s="11" t="s">
        <v>9</v>
      </c>
    </row>
    <row r="188">
      <c r="A188" s="19">
        <v>0.5819444444444445</v>
      </c>
      <c r="B188" s="8" t="s">
        <v>1286</v>
      </c>
      <c r="C188" s="35" t="s">
        <v>494</v>
      </c>
      <c r="D188" s="32" t="s">
        <v>1148</v>
      </c>
      <c r="E188" s="11" t="s">
        <v>13</v>
      </c>
    </row>
    <row r="189">
      <c r="A189" s="19">
        <v>0.5923611111111111</v>
      </c>
      <c r="B189" s="32" t="s">
        <v>116</v>
      </c>
      <c r="C189" s="35" t="s">
        <v>936</v>
      </c>
      <c r="D189" s="8" t="s">
        <v>1286</v>
      </c>
      <c r="E189" s="11" t="s">
        <v>9</v>
      </c>
    </row>
    <row r="190">
      <c r="A190" s="19">
        <v>0.5923611111111111</v>
      </c>
      <c r="B190" s="32" t="s">
        <v>264</v>
      </c>
      <c r="C190" s="35" t="s">
        <v>362</v>
      </c>
      <c r="D190" s="32" t="s">
        <v>1287</v>
      </c>
      <c r="E190" s="11" t="s">
        <v>13</v>
      </c>
    </row>
    <row r="191">
      <c r="A191" s="19">
        <v>0.6027777777777777</v>
      </c>
      <c r="B191" s="32" t="s">
        <v>116</v>
      </c>
      <c r="C191" s="35" t="s">
        <v>352</v>
      </c>
      <c r="D191" s="32" t="s">
        <v>1287</v>
      </c>
      <c r="E191" s="11" t="s">
        <v>9</v>
      </c>
    </row>
    <row r="192">
      <c r="A192" s="19">
        <v>0.6027777777777777</v>
      </c>
      <c r="B192" s="32" t="s">
        <v>264</v>
      </c>
      <c r="C192" s="35" t="s">
        <v>722</v>
      </c>
      <c r="D192" s="32" t="s">
        <v>1148</v>
      </c>
      <c r="E192" s="11" t="s">
        <v>13</v>
      </c>
    </row>
    <row r="193">
      <c r="A193" s="19">
        <v>0.6125</v>
      </c>
      <c r="B193" s="32" t="s">
        <v>1287</v>
      </c>
      <c r="C193" s="35" t="s">
        <v>1288</v>
      </c>
      <c r="D193" s="32" t="s">
        <v>1148</v>
      </c>
      <c r="E193" s="11" t="s">
        <v>9</v>
      </c>
    </row>
    <row r="194">
      <c r="A194" s="19">
        <v>0.6125</v>
      </c>
      <c r="B194" s="8" t="s">
        <v>1286</v>
      </c>
      <c r="C194" s="35" t="s">
        <v>1289</v>
      </c>
      <c r="D194" s="32" t="s">
        <v>264</v>
      </c>
      <c r="E194" s="11" t="s">
        <v>13</v>
      </c>
    </row>
    <row r="195">
      <c r="A195" s="19">
        <v>0.6229166666666667</v>
      </c>
      <c r="B195" s="32" t="s">
        <v>116</v>
      </c>
      <c r="C195" s="35" t="s">
        <v>1290</v>
      </c>
      <c r="D195" s="32" t="s">
        <v>1148</v>
      </c>
      <c r="E195" s="11" t="s">
        <v>9</v>
      </c>
    </row>
    <row r="196">
      <c r="A196" s="19">
        <v>0.6229166666666667</v>
      </c>
      <c r="B196" s="32" t="s">
        <v>1287</v>
      </c>
      <c r="C196" s="35" t="s">
        <v>67</v>
      </c>
      <c r="D196" s="8" t="s">
        <v>1286</v>
      </c>
      <c r="E196" s="11" t="s">
        <v>13</v>
      </c>
    </row>
    <row r="197">
      <c r="A197" s="19">
        <v>0.6333333333333333</v>
      </c>
      <c r="B197" s="32" t="s">
        <v>116</v>
      </c>
      <c r="C197" s="35" t="s">
        <v>45</v>
      </c>
      <c r="D197" s="32" t="s">
        <v>264</v>
      </c>
      <c r="E197" s="11" t="s">
        <v>9</v>
      </c>
    </row>
    <row r="198">
      <c r="A198" s="19">
        <v>0.6333333333333333</v>
      </c>
      <c r="B198" s="32" t="s">
        <v>1148</v>
      </c>
      <c r="C198" s="35" t="s">
        <v>1291</v>
      </c>
      <c r="D198" s="8" t="s">
        <v>1286</v>
      </c>
      <c r="E198" s="11" t="s">
        <v>13</v>
      </c>
    </row>
    <row r="199">
      <c r="A199" s="27"/>
      <c r="B199" s="1" t="s">
        <v>112</v>
      </c>
      <c r="C199" s="2"/>
      <c r="D199" s="3"/>
      <c r="E199" s="4"/>
    </row>
    <row r="200">
      <c r="A200" s="18" t="s">
        <v>1</v>
      </c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A201" s="19">
        <v>0.5416666666666666</v>
      </c>
      <c r="B201" s="32" t="s">
        <v>100</v>
      </c>
      <c r="C201" s="33" t="s">
        <v>62</v>
      </c>
      <c r="D201" s="32" t="s">
        <v>1292</v>
      </c>
      <c r="E201" s="11" t="s">
        <v>33</v>
      </c>
    </row>
    <row r="202">
      <c r="A202" s="19">
        <v>0.5416666666666666</v>
      </c>
      <c r="B202" s="32" t="s">
        <v>1293</v>
      </c>
      <c r="C202" s="33" t="s">
        <v>319</v>
      </c>
      <c r="D202" s="32" t="s">
        <v>1280</v>
      </c>
      <c r="E202" s="11" t="s">
        <v>37</v>
      </c>
    </row>
    <row r="203">
      <c r="A203" s="19">
        <v>0.5513888888888889</v>
      </c>
      <c r="B203" s="32" t="s">
        <v>1293</v>
      </c>
      <c r="C203" s="33" t="s">
        <v>412</v>
      </c>
      <c r="D203" s="32" t="s">
        <v>1292</v>
      </c>
      <c r="E203" s="11" t="s">
        <v>33</v>
      </c>
    </row>
    <row r="204">
      <c r="A204" s="19">
        <v>0.5513888888888889</v>
      </c>
      <c r="B204" s="32" t="s">
        <v>1294</v>
      </c>
      <c r="C204" s="33" t="s">
        <v>71</v>
      </c>
      <c r="D204" s="32" t="s">
        <v>1280</v>
      </c>
      <c r="E204" s="11" t="s">
        <v>37</v>
      </c>
    </row>
    <row r="205">
      <c r="A205" s="19">
        <v>0.5618055555555556</v>
      </c>
      <c r="B205" s="32" t="s">
        <v>1294</v>
      </c>
      <c r="C205" s="33" t="s">
        <v>270</v>
      </c>
      <c r="D205" s="32" t="s">
        <v>1293</v>
      </c>
      <c r="E205" s="11" t="s">
        <v>33</v>
      </c>
    </row>
    <row r="206">
      <c r="A206" s="19">
        <v>0.5618055555555556</v>
      </c>
      <c r="B206" s="32" t="s">
        <v>1280</v>
      </c>
      <c r="C206" s="33" t="s">
        <v>190</v>
      </c>
      <c r="D206" s="32" t="s">
        <v>100</v>
      </c>
      <c r="E206" s="11" t="s">
        <v>37</v>
      </c>
    </row>
    <row r="207">
      <c r="A207" s="19">
        <v>0.5722222222222222</v>
      </c>
      <c r="B207" s="32" t="s">
        <v>1294</v>
      </c>
      <c r="C207" s="33" t="s">
        <v>267</v>
      </c>
      <c r="D207" s="32" t="s">
        <v>1292</v>
      </c>
      <c r="E207" s="11" t="s">
        <v>33</v>
      </c>
    </row>
    <row r="208">
      <c r="A208" s="19">
        <v>0.5722222222222222</v>
      </c>
      <c r="B208" s="32" t="s">
        <v>100</v>
      </c>
      <c r="C208" s="33" t="s">
        <v>544</v>
      </c>
      <c r="D208" s="32" t="s">
        <v>1293</v>
      </c>
      <c r="E208" s="11" t="s">
        <v>37</v>
      </c>
    </row>
    <row r="209">
      <c r="A209" s="19">
        <v>0.5819444444444445</v>
      </c>
      <c r="B209" s="32" t="s">
        <v>1280</v>
      </c>
      <c r="C209" s="33" t="s">
        <v>16</v>
      </c>
      <c r="D209" s="32" t="s">
        <v>1292</v>
      </c>
      <c r="E209" s="11" t="s">
        <v>33</v>
      </c>
    </row>
    <row r="210">
      <c r="A210" s="19">
        <v>0.5819444444444445</v>
      </c>
      <c r="B210" s="32" t="s">
        <v>100</v>
      </c>
      <c r="C210" s="33" t="s">
        <v>993</v>
      </c>
      <c r="D210" s="32" t="s">
        <v>1294</v>
      </c>
      <c r="E210" s="11" t="s">
        <v>37</v>
      </c>
    </row>
    <row r="211">
      <c r="A211" s="19">
        <v>0.5923611111111111</v>
      </c>
      <c r="B211" s="32" t="s">
        <v>1292</v>
      </c>
      <c r="C211" s="33" t="s">
        <v>7</v>
      </c>
      <c r="D211" s="32" t="s">
        <v>100</v>
      </c>
      <c r="E211" s="11" t="s">
        <v>33</v>
      </c>
    </row>
    <row r="212">
      <c r="A212" s="19">
        <v>0.5923611111111111</v>
      </c>
      <c r="B212" s="32" t="s">
        <v>1280</v>
      </c>
      <c r="C212" s="33" t="s">
        <v>72</v>
      </c>
      <c r="D212" s="32" t="s">
        <v>1293</v>
      </c>
      <c r="E212" s="11" t="s">
        <v>37</v>
      </c>
    </row>
    <row r="213">
      <c r="A213" s="19">
        <v>0.6027777777777777</v>
      </c>
      <c r="B213" s="32" t="s">
        <v>1292</v>
      </c>
      <c r="C213" s="35" t="s">
        <v>578</v>
      </c>
      <c r="D213" s="32" t="s">
        <v>1293</v>
      </c>
      <c r="E213" s="11" t="s">
        <v>33</v>
      </c>
    </row>
    <row r="214">
      <c r="A214" s="19">
        <v>0.6027777777777777</v>
      </c>
      <c r="B214" s="32" t="s">
        <v>1280</v>
      </c>
      <c r="C214" s="35" t="s">
        <v>68</v>
      </c>
      <c r="D214" s="32" t="s">
        <v>1294</v>
      </c>
      <c r="E214" s="11" t="s">
        <v>37</v>
      </c>
    </row>
    <row r="215">
      <c r="A215" s="19">
        <v>0.6125</v>
      </c>
      <c r="B215" s="32" t="s">
        <v>1293</v>
      </c>
      <c r="C215" s="35" t="s">
        <v>47</v>
      </c>
      <c r="D215" s="32" t="s">
        <v>1294</v>
      </c>
      <c r="E215" s="11" t="s">
        <v>33</v>
      </c>
    </row>
    <row r="216">
      <c r="A216" s="19">
        <v>0.6125</v>
      </c>
      <c r="B216" s="32" t="s">
        <v>100</v>
      </c>
      <c r="C216" s="35" t="s">
        <v>201</v>
      </c>
      <c r="D216" s="32" t="s">
        <v>1280</v>
      </c>
      <c r="E216" s="11" t="s">
        <v>37</v>
      </c>
    </row>
    <row r="217">
      <c r="A217" s="19">
        <v>0.6229166666666667</v>
      </c>
      <c r="B217" s="32" t="s">
        <v>1292</v>
      </c>
      <c r="C217" s="35" t="s">
        <v>286</v>
      </c>
      <c r="D217" s="32" t="s">
        <v>1294</v>
      </c>
      <c r="E217" s="11" t="s">
        <v>33</v>
      </c>
    </row>
    <row r="218">
      <c r="A218" s="19">
        <v>0.6229166666666667</v>
      </c>
      <c r="B218" s="32" t="s">
        <v>1293</v>
      </c>
      <c r="C218" s="35" t="s">
        <v>413</v>
      </c>
      <c r="D218" s="32" t="s">
        <v>100</v>
      </c>
      <c r="E218" s="11" t="s">
        <v>37</v>
      </c>
    </row>
    <row r="219">
      <c r="A219" s="19">
        <v>0.6333333333333333</v>
      </c>
      <c r="B219" s="32" t="s">
        <v>1292</v>
      </c>
      <c r="C219" s="35" t="s">
        <v>506</v>
      </c>
      <c r="D219" s="32" t="s">
        <v>1280</v>
      </c>
      <c r="E219" s="11" t="s">
        <v>33</v>
      </c>
    </row>
    <row r="220">
      <c r="A220" s="19">
        <v>0.6333333333333333</v>
      </c>
      <c r="B220" s="32" t="s">
        <v>1294</v>
      </c>
      <c r="C220" s="35" t="s">
        <v>19</v>
      </c>
      <c r="D220" s="32" t="s">
        <v>100</v>
      </c>
      <c r="E220" s="11" t="s">
        <v>37</v>
      </c>
    </row>
    <row r="221">
      <c r="A221" s="27"/>
      <c r="B221" s="28" t="s">
        <v>123</v>
      </c>
      <c r="C221" s="2"/>
      <c r="D221" s="3"/>
      <c r="E221" s="29"/>
    </row>
    <row r="222">
      <c r="A222" s="18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9">
        <v>0.6458333333333334</v>
      </c>
      <c r="B223" s="34" t="s">
        <v>1295</v>
      </c>
      <c r="C223" s="33" t="s">
        <v>22</v>
      </c>
      <c r="D223" s="34" t="s">
        <v>1003</v>
      </c>
      <c r="E223" s="11" t="s">
        <v>9</v>
      </c>
    </row>
    <row r="224">
      <c r="A224" s="19">
        <v>0.6458333333333334</v>
      </c>
      <c r="B224" s="34" t="s">
        <v>1296</v>
      </c>
      <c r="C224" s="33" t="s">
        <v>87</v>
      </c>
      <c r="D224" s="34" t="s">
        <v>1226</v>
      </c>
      <c r="E224" s="11" t="s">
        <v>13</v>
      </c>
    </row>
    <row r="225">
      <c r="A225" s="19">
        <v>0.6555555555555556</v>
      </c>
      <c r="B225" s="34" t="s">
        <v>1296</v>
      </c>
      <c r="C225" s="33" t="s">
        <v>43</v>
      </c>
      <c r="D225" s="34" t="s">
        <v>1003</v>
      </c>
      <c r="E225" s="11" t="s">
        <v>9</v>
      </c>
    </row>
    <row r="226">
      <c r="A226" s="19">
        <v>0.6555555555555556</v>
      </c>
      <c r="B226" s="34" t="s">
        <v>1154</v>
      </c>
      <c r="C226" s="33" t="s">
        <v>66</v>
      </c>
      <c r="D226" s="34" t="s">
        <v>1226</v>
      </c>
      <c r="E226" s="11" t="s">
        <v>13</v>
      </c>
    </row>
    <row r="227">
      <c r="A227" s="19">
        <v>0.6659722222222222</v>
      </c>
      <c r="B227" s="34" t="s">
        <v>1154</v>
      </c>
      <c r="C227" s="33" t="s">
        <v>412</v>
      </c>
      <c r="D227" s="34" t="s">
        <v>1296</v>
      </c>
      <c r="E227" s="11" t="s">
        <v>9</v>
      </c>
    </row>
    <row r="228">
      <c r="A228" s="19">
        <v>0.6659722222222222</v>
      </c>
      <c r="B228" s="34" t="s">
        <v>1226</v>
      </c>
      <c r="C228" s="33" t="s">
        <v>87</v>
      </c>
      <c r="D228" s="34" t="s">
        <v>1295</v>
      </c>
      <c r="E228" s="11" t="s">
        <v>13</v>
      </c>
    </row>
    <row r="229">
      <c r="A229" s="19">
        <v>0.6763888888888889</v>
      </c>
      <c r="B229" s="34" t="s">
        <v>1154</v>
      </c>
      <c r="C229" s="33" t="s">
        <v>66</v>
      </c>
      <c r="D229" s="34" t="s">
        <v>1003</v>
      </c>
      <c r="E229" s="11" t="s">
        <v>9</v>
      </c>
    </row>
    <row r="230">
      <c r="A230" s="19">
        <v>0.6763888888888889</v>
      </c>
      <c r="B230" s="34" t="s">
        <v>1295</v>
      </c>
      <c r="C230" s="33" t="s">
        <v>16</v>
      </c>
      <c r="D230" s="34" t="s">
        <v>1296</v>
      </c>
      <c r="E230" s="11" t="s">
        <v>13</v>
      </c>
    </row>
    <row r="231">
      <c r="A231" s="19">
        <v>0.6861111111111111</v>
      </c>
      <c r="B231" s="34" t="s">
        <v>1226</v>
      </c>
      <c r="C231" s="33" t="s">
        <v>19</v>
      </c>
      <c r="D231" s="34" t="s">
        <v>1003</v>
      </c>
      <c r="E231" s="11" t="s">
        <v>9</v>
      </c>
    </row>
    <row r="232">
      <c r="A232" s="19">
        <v>0.6861111111111111</v>
      </c>
      <c r="B232" s="34" t="s">
        <v>1295</v>
      </c>
      <c r="C232" s="33" t="s">
        <v>11</v>
      </c>
      <c r="D232" s="34" t="s">
        <v>1154</v>
      </c>
      <c r="E232" s="11" t="s">
        <v>13</v>
      </c>
    </row>
    <row r="233">
      <c r="A233" s="19">
        <v>0.6965277777777777</v>
      </c>
      <c r="B233" s="34" t="s">
        <v>1003</v>
      </c>
      <c r="C233" s="33" t="s">
        <v>260</v>
      </c>
      <c r="D233" s="34" t="s">
        <v>1295</v>
      </c>
      <c r="E233" s="11" t="s">
        <v>9</v>
      </c>
    </row>
    <row r="234">
      <c r="A234" s="19">
        <v>0.6965277777777777</v>
      </c>
      <c r="B234" s="34" t="s">
        <v>1226</v>
      </c>
      <c r="C234" s="33" t="s">
        <v>190</v>
      </c>
      <c r="D234" s="34" t="s">
        <v>1296</v>
      </c>
      <c r="E234" s="11" t="s">
        <v>13</v>
      </c>
    </row>
    <row r="235">
      <c r="A235" s="19">
        <v>0.7069444444444445</v>
      </c>
      <c r="B235" s="34" t="s">
        <v>1003</v>
      </c>
      <c r="C235" s="35" t="s">
        <v>14</v>
      </c>
      <c r="D235" s="34" t="s">
        <v>1296</v>
      </c>
      <c r="E235" s="11" t="s">
        <v>9</v>
      </c>
    </row>
    <row r="236">
      <c r="A236" s="19">
        <v>0.7069444444444445</v>
      </c>
      <c r="B236" s="34" t="s">
        <v>1226</v>
      </c>
      <c r="C236" s="35" t="s">
        <v>81</v>
      </c>
      <c r="D236" s="34" t="s">
        <v>1154</v>
      </c>
      <c r="E236" s="11" t="s">
        <v>13</v>
      </c>
    </row>
    <row r="237">
      <c r="A237" s="19">
        <v>0.7166666666666667</v>
      </c>
      <c r="B237" s="34" t="s">
        <v>1296</v>
      </c>
      <c r="C237" s="35" t="s">
        <v>950</v>
      </c>
      <c r="D237" s="34" t="s">
        <v>1154</v>
      </c>
      <c r="E237" s="11" t="s">
        <v>9</v>
      </c>
    </row>
    <row r="238">
      <c r="A238" s="19">
        <v>0.7166666666666667</v>
      </c>
      <c r="B238" s="34" t="s">
        <v>1295</v>
      </c>
      <c r="C238" s="35" t="s">
        <v>197</v>
      </c>
      <c r="D238" s="34" t="s">
        <v>1226</v>
      </c>
      <c r="E238" s="11" t="s">
        <v>13</v>
      </c>
    </row>
    <row r="239">
      <c r="A239" s="19">
        <v>0.7270833333333333</v>
      </c>
      <c r="B239" s="34" t="s">
        <v>1003</v>
      </c>
      <c r="C239" s="35" t="s">
        <v>82</v>
      </c>
      <c r="D239" s="34" t="s">
        <v>1154</v>
      </c>
      <c r="E239" s="11" t="s">
        <v>9</v>
      </c>
    </row>
    <row r="240">
      <c r="A240" s="19">
        <v>0.7270833333333333</v>
      </c>
      <c r="B240" s="34" t="s">
        <v>1296</v>
      </c>
      <c r="C240" s="35" t="s">
        <v>47</v>
      </c>
      <c r="D240" s="34" t="s">
        <v>1295</v>
      </c>
      <c r="E240" s="11" t="s">
        <v>13</v>
      </c>
    </row>
    <row r="241">
      <c r="A241" s="19">
        <v>0.7375</v>
      </c>
      <c r="B241" s="34" t="s">
        <v>1003</v>
      </c>
      <c r="C241" s="35" t="s">
        <v>295</v>
      </c>
      <c r="D241" s="34" t="s">
        <v>1226</v>
      </c>
      <c r="E241" s="11" t="s">
        <v>9</v>
      </c>
    </row>
    <row r="242">
      <c r="A242" s="19">
        <v>0.7375</v>
      </c>
      <c r="B242" s="34" t="s">
        <v>1154</v>
      </c>
      <c r="C242" s="35" t="s">
        <v>87</v>
      </c>
      <c r="D242" s="34" t="s">
        <v>1295</v>
      </c>
      <c r="E242" s="11" t="s">
        <v>13</v>
      </c>
    </row>
    <row r="243">
      <c r="A243" s="27"/>
      <c r="B243" s="28" t="s">
        <v>123</v>
      </c>
      <c r="C243" s="2"/>
      <c r="D243" s="3"/>
      <c r="E243" s="29"/>
    </row>
    <row r="244">
      <c r="A244" s="18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9">
        <v>0.6458333333333334</v>
      </c>
      <c r="B245" s="34" t="s">
        <v>1083</v>
      </c>
      <c r="C245" s="33" t="s">
        <v>47</v>
      </c>
      <c r="D245" s="34" t="s">
        <v>1297</v>
      </c>
      <c r="E245" s="11" t="s">
        <v>33</v>
      </c>
    </row>
    <row r="246">
      <c r="A246" s="19">
        <v>0.6458333333333334</v>
      </c>
      <c r="B246" s="34" t="s">
        <v>671</v>
      </c>
      <c r="C246" s="57" t="s">
        <v>449</v>
      </c>
      <c r="D246" s="34" t="s">
        <v>1298</v>
      </c>
      <c r="E246" s="11" t="s">
        <v>37</v>
      </c>
    </row>
    <row r="247">
      <c r="A247" s="19">
        <v>0.6555555555555556</v>
      </c>
      <c r="B247" s="34" t="s">
        <v>671</v>
      </c>
      <c r="C247" s="33" t="s">
        <v>267</v>
      </c>
      <c r="D247" s="34" t="s">
        <v>1297</v>
      </c>
      <c r="E247" s="11" t="s">
        <v>33</v>
      </c>
    </row>
    <row r="248">
      <c r="A248" s="19">
        <v>0.6555555555555556</v>
      </c>
      <c r="B248" s="34" t="s">
        <v>1086</v>
      </c>
      <c r="C248" s="57" t="s">
        <v>449</v>
      </c>
      <c r="D248" s="34" t="s">
        <v>1298</v>
      </c>
      <c r="E248" s="21" t="s">
        <v>37</v>
      </c>
    </row>
    <row r="249">
      <c r="A249" s="19">
        <v>0.6659722222222222</v>
      </c>
      <c r="B249" s="34" t="s">
        <v>1086</v>
      </c>
      <c r="C249" s="33" t="s">
        <v>472</v>
      </c>
      <c r="D249" s="34" t="s">
        <v>671</v>
      </c>
      <c r="E249" s="11" t="s">
        <v>33</v>
      </c>
    </row>
    <row r="250">
      <c r="A250" s="19">
        <v>0.6659722222222222</v>
      </c>
      <c r="B250" s="34" t="s">
        <v>1298</v>
      </c>
      <c r="C250" s="33" t="s">
        <v>212</v>
      </c>
      <c r="D250" s="34" t="s">
        <v>1083</v>
      </c>
      <c r="E250" s="11" t="s">
        <v>37</v>
      </c>
    </row>
    <row r="251">
      <c r="A251" s="19">
        <v>0.6763888888888889</v>
      </c>
      <c r="B251" s="34" t="s">
        <v>1086</v>
      </c>
      <c r="C251" s="33" t="s">
        <v>369</v>
      </c>
      <c r="D251" s="34" t="s">
        <v>1297</v>
      </c>
      <c r="E251" s="11" t="s">
        <v>33</v>
      </c>
    </row>
    <row r="252">
      <c r="A252" s="19">
        <v>0.6763888888888889</v>
      </c>
      <c r="B252" s="34" t="s">
        <v>1083</v>
      </c>
      <c r="C252" s="33" t="s">
        <v>193</v>
      </c>
      <c r="D252" s="34" t="s">
        <v>671</v>
      </c>
      <c r="E252" s="11" t="s">
        <v>37</v>
      </c>
    </row>
    <row r="253">
      <c r="A253" s="19">
        <v>0.6861111111111111</v>
      </c>
      <c r="B253" s="34" t="s">
        <v>1298</v>
      </c>
      <c r="C253" s="33" t="s">
        <v>446</v>
      </c>
      <c r="D253" s="34" t="s">
        <v>1297</v>
      </c>
      <c r="E253" s="11" t="s">
        <v>33</v>
      </c>
    </row>
    <row r="254">
      <c r="A254" s="19">
        <v>0.6861111111111111</v>
      </c>
      <c r="B254" s="34" t="s">
        <v>1083</v>
      </c>
      <c r="C254" s="33" t="s">
        <v>52</v>
      </c>
      <c r="D254" s="34" t="s">
        <v>1086</v>
      </c>
      <c r="E254" s="11" t="s">
        <v>37</v>
      </c>
    </row>
    <row r="255">
      <c r="A255" s="19">
        <v>0.6965277777777777</v>
      </c>
      <c r="B255" s="34" t="s">
        <v>1297</v>
      </c>
      <c r="C255" s="33" t="s">
        <v>190</v>
      </c>
      <c r="D255" s="34" t="s">
        <v>1083</v>
      </c>
      <c r="E255" s="11" t="s">
        <v>33</v>
      </c>
    </row>
    <row r="256">
      <c r="A256" s="19">
        <v>0.6965277777777777</v>
      </c>
      <c r="B256" s="34" t="s">
        <v>1298</v>
      </c>
      <c r="C256" s="33" t="s">
        <v>71</v>
      </c>
      <c r="D256" s="34" t="s">
        <v>671</v>
      </c>
      <c r="E256" s="11" t="s">
        <v>37</v>
      </c>
    </row>
    <row r="257">
      <c r="A257" s="19">
        <v>0.7069444444444445</v>
      </c>
      <c r="B257" s="34" t="s">
        <v>1297</v>
      </c>
      <c r="C257" s="33" t="s">
        <v>285</v>
      </c>
      <c r="D257" s="34" t="s">
        <v>671</v>
      </c>
      <c r="E257" s="11" t="s">
        <v>33</v>
      </c>
    </row>
    <row r="258">
      <c r="A258" s="19">
        <v>0.7069444444444445</v>
      </c>
      <c r="B258" s="34" t="s">
        <v>1298</v>
      </c>
      <c r="C258" s="33" t="s">
        <v>35</v>
      </c>
      <c r="D258" s="34" t="s">
        <v>1086</v>
      </c>
      <c r="E258" s="11" t="s">
        <v>37</v>
      </c>
    </row>
    <row r="259">
      <c r="A259" s="19">
        <v>0.7166666666666667</v>
      </c>
      <c r="B259" s="34" t="s">
        <v>671</v>
      </c>
      <c r="C259" s="33" t="s">
        <v>1299</v>
      </c>
      <c r="D259" s="34" t="s">
        <v>1086</v>
      </c>
      <c r="E259" s="11" t="s">
        <v>33</v>
      </c>
      <c r="H259" s="36"/>
    </row>
    <row r="260">
      <c r="A260" s="19">
        <v>0.7166666666666667</v>
      </c>
      <c r="B260" s="34" t="s">
        <v>1083</v>
      </c>
      <c r="C260" s="33" t="s">
        <v>286</v>
      </c>
      <c r="D260" s="34" t="s">
        <v>1298</v>
      </c>
      <c r="E260" s="11" t="s">
        <v>37</v>
      </c>
    </row>
    <row r="261">
      <c r="A261" s="19">
        <v>0.7270833333333333</v>
      </c>
      <c r="B261" s="34" t="s">
        <v>1297</v>
      </c>
      <c r="C261" s="33" t="s">
        <v>40</v>
      </c>
      <c r="D261" s="34" t="s">
        <v>1086</v>
      </c>
      <c r="E261" s="11" t="s">
        <v>33</v>
      </c>
    </row>
    <row r="262">
      <c r="A262" s="19">
        <v>0.7270833333333333</v>
      </c>
      <c r="B262" s="34" t="s">
        <v>671</v>
      </c>
      <c r="C262" s="33" t="s">
        <v>7</v>
      </c>
      <c r="D262" s="34" t="s">
        <v>1083</v>
      </c>
      <c r="E262" s="11" t="s">
        <v>37</v>
      </c>
    </row>
    <row r="263">
      <c r="A263" s="19">
        <v>0.7375</v>
      </c>
      <c r="B263" s="34" t="s">
        <v>1297</v>
      </c>
      <c r="C263" s="33" t="s">
        <v>426</v>
      </c>
      <c r="D263" s="34" t="s">
        <v>1298</v>
      </c>
      <c r="E263" s="11" t="s">
        <v>33</v>
      </c>
    </row>
    <row r="264">
      <c r="A264" s="19">
        <v>0.7375</v>
      </c>
      <c r="B264" s="34" t="s">
        <v>1086</v>
      </c>
      <c r="C264" s="33" t="s">
        <v>658</v>
      </c>
      <c r="D264" s="34" t="s">
        <v>1083</v>
      </c>
      <c r="E264" s="11" t="s">
        <v>37</v>
      </c>
    </row>
    <row r="265">
      <c r="A265" s="27"/>
      <c r="B265" s="28" t="s">
        <v>134</v>
      </c>
      <c r="C265" s="2"/>
      <c r="D265" s="3"/>
      <c r="E265" s="29"/>
    </row>
    <row r="266">
      <c r="A266" s="18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9">
        <v>0.75</v>
      </c>
      <c r="B267" s="34" t="s">
        <v>1300</v>
      </c>
      <c r="C267" s="35" t="s">
        <v>52</v>
      </c>
      <c r="D267" s="34" t="s">
        <v>1231</v>
      </c>
      <c r="E267" s="11" t="s">
        <v>9</v>
      </c>
    </row>
    <row r="268">
      <c r="A268" s="19">
        <v>0.75</v>
      </c>
      <c r="B268" s="34" t="s">
        <v>1301</v>
      </c>
      <c r="C268" s="35" t="s">
        <v>260</v>
      </c>
      <c r="D268" s="34" t="s">
        <v>1302</v>
      </c>
      <c r="E268" s="11" t="s">
        <v>13</v>
      </c>
    </row>
    <row r="269">
      <c r="A269" s="19">
        <v>0.7597222222222222</v>
      </c>
      <c r="B269" s="34" t="s">
        <v>1301</v>
      </c>
      <c r="C269" s="35" t="s">
        <v>25</v>
      </c>
      <c r="D269" s="34" t="s">
        <v>1231</v>
      </c>
      <c r="E269" s="11" t="s">
        <v>9</v>
      </c>
    </row>
    <row r="270">
      <c r="A270" s="19">
        <v>0.7597222222222222</v>
      </c>
      <c r="B270" s="34" t="s">
        <v>1160</v>
      </c>
      <c r="C270" s="35" t="s">
        <v>289</v>
      </c>
      <c r="D270" s="34" t="s">
        <v>1302</v>
      </c>
      <c r="E270" s="11" t="s">
        <v>13</v>
      </c>
    </row>
    <row r="271">
      <c r="A271" s="19">
        <v>0.7701388888888889</v>
      </c>
      <c r="B271" s="34" t="s">
        <v>1160</v>
      </c>
      <c r="C271" s="35" t="s">
        <v>196</v>
      </c>
      <c r="D271" s="34" t="s">
        <v>1301</v>
      </c>
      <c r="E271" s="11" t="s">
        <v>9</v>
      </c>
    </row>
    <row r="272">
      <c r="A272" s="19">
        <v>0.7701388888888889</v>
      </c>
      <c r="B272" s="34" t="s">
        <v>1302</v>
      </c>
      <c r="C272" s="35" t="s">
        <v>446</v>
      </c>
      <c r="D272" s="41" t="s">
        <v>1300</v>
      </c>
      <c r="E272" s="11" t="s">
        <v>13</v>
      </c>
    </row>
    <row r="273">
      <c r="A273" s="19">
        <v>0.7805555555555556</v>
      </c>
      <c r="B273" s="34" t="s">
        <v>1160</v>
      </c>
      <c r="C273" s="35" t="s">
        <v>45</v>
      </c>
      <c r="D273" s="34" t="s">
        <v>1231</v>
      </c>
      <c r="E273" s="11" t="s">
        <v>9</v>
      </c>
    </row>
    <row r="274">
      <c r="A274" s="19">
        <v>0.7805555555555556</v>
      </c>
      <c r="B274" s="34" t="s">
        <v>1300</v>
      </c>
      <c r="C274" s="35" t="s">
        <v>87</v>
      </c>
      <c r="D274" s="34" t="s">
        <v>1301</v>
      </c>
      <c r="E274" s="11" t="s">
        <v>13</v>
      </c>
    </row>
    <row r="275">
      <c r="A275" s="19">
        <v>0.7902777777777777</v>
      </c>
      <c r="B275" s="34" t="s">
        <v>1302</v>
      </c>
      <c r="C275" s="35" t="s">
        <v>857</v>
      </c>
      <c r="D275" s="34" t="s">
        <v>1231</v>
      </c>
      <c r="E275" s="11" t="s">
        <v>9</v>
      </c>
    </row>
    <row r="276">
      <c r="A276" s="19">
        <v>0.7902777777777777</v>
      </c>
      <c r="B276" s="34" t="s">
        <v>1300</v>
      </c>
      <c r="C276" s="35" t="s">
        <v>43</v>
      </c>
      <c r="D276" s="34" t="s">
        <v>1160</v>
      </c>
      <c r="E276" s="11" t="s">
        <v>13</v>
      </c>
    </row>
    <row r="277">
      <c r="A277" s="19">
        <v>0.8006944444444445</v>
      </c>
      <c r="B277" s="34" t="s">
        <v>1231</v>
      </c>
      <c r="C277" s="35" t="s">
        <v>69</v>
      </c>
      <c r="D277" s="34" t="s">
        <v>1300</v>
      </c>
      <c r="E277" s="11" t="s">
        <v>9</v>
      </c>
    </row>
    <row r="278">
      <c r="A278" s="19">
        <v>0.8006944444444445</v>
      </c>
      <c r="B278" s="34" t="s">
        <v>1302</v>
      </c>
      <c r="C278" s="35" t="s">
        <v>43</v>
      </c>
      <c r="D278" s="34" t="s">
        <v>1301</v>
      </c>
      <c r="E278" s="11" t="s">
        <v>13</v>
      </c>
    </row>
    <row r="279">
      <c r="A279" s="19">
        <v>0.8111111111111111</v>
      </c>
      <c r="B279" s="34" t="s">
        <v>1231</v>
      </c>
      <c r="C279" s="35" t="s">
        <v>19</v>
      </c>
      <c r="D279" s="34" t="s">
        <v>1301</v>
      </c>
      <c r="E279" s="11" t="s">
        <v>9</v>
      </c>
    </row>
    <row r="280">
      <c r="A280" s="19">
        <v>0.8111111111111111</v>
      </c>
      <c r="B280" s="34" t="s">
        <v>1302</v>
      </c>
      <c r="C280" s="35" t="s">
        <v>270</v>
      </c>
      <c r="D280" s="34" t="s">
        <v>1160</v>
      </c>
      <c r="E280" s="11" t="s">
        <v>13</v>
      </c>
    </row>
    <row r="281">
      <c r="A281" s="19">
        <v>0.8208333333333333</v>
      </c>
      <c r="B281" s="34" t="s">
        <v>1301</v>
      </c>
      <c r="C281" s="35" t="s">
        <v>14</v>
      </c>
      <c r="D281" s="34" t="s">
        <v>1160</v>
      </c>
      <c r="E281" s="11" t="s">
        <v>9</v>
      </c>
    </row>
    <row r="282">
      <c r="A282" s="19">
        <v>0.8208333333333333</v>
      </c>
      <c r="B282" s="34" t="s">
        <v>1300</v>
      </c>
      <c r="C282" s="35" t="s">
        <v>47</v>
      </c>
      <c r="D282" s="34" t="s">
        <v>1302</v>
      </c>
      <c r="E282" s="11" t="s">
        <v>13</v>
      </c>
    </row>
    <row r="283">
      <c r="A283" s="19">
        <v>0.83125</v>
      </c>
      <c r="B283" s="34" t="s">
        <v>1231</v>
      </c>
      <c r="C283" s="35" t="s">
        <v>20</v>
      </c>
      <c r="D283" s="34" t="s">
        <v>1160</v>
      </c>
      <c r="E283" s="11" t="s">
        <v>9</v>
      </c>
    </row>
    <row r="284">
      <c r="A284" s="19">
        <v>0.83125</v>
      </c>
      <c r="B284" s="34" t="s">
        <v>1301</v>
      </c>
      <c r="C284" s="35" t="s">
        <v>195</v>
      </c>
      <c r="D284" s="34" t="s">
        <v>1300</v>
      </c>
      <c r="E284" s="11" t="s">
        <v>13</v>
      </c>
    </row>
    <row r="285">
      <c r="A285" s="19">
        <v>0.8416666666666667</v>
      </c>
      <c r="B285" s="34" t="s">
        <v>1231</v>
      </c>
      <c r="C285" s="35" t="s">
        <v>362</v>
      </c>
      <c r="D285" s="34" t="s">
        <v>1302</v>
      </c>
      <c r="E285" s="11" t="s">
        <v>9</v>
      </c>
    </row>
    <row r="286">
      <c r="A286" s="19">
        <v>0.8416666666666667</v>
      </c>
      <c r="B286" s="34" t="s">
        <v>1160</v>
      </c>
      <c r="C286" s="35" t="s">
        <v>220</v>
      </c>
      <c r="D286" s="34" t="s">
        <v>1300</v>
      </c>
      <c r="E286" s="11" t="s">
        <v>13</v>
      </c>
    </row>
    <row r="287">
      <c r="A287" s="27"/>
      <c r="B287" s="28" t="s">
        <v>134</v>
      </c>
      <c r="C287" s="2"/>
      <c r="D287" s="3"/>
      <c r="E287" s="29"/>
    </row>
    <row r="288">
      <c r="A288" s="18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9">
        <v>0.75</v>
      </c>
      <c r="B289" s="34" t="s">
        <v>1303</v>
      </c>
      <c r="C289" s="33" t="s">
        <v>195</v>
      </c>
      <c r="D289" s="34" t="s">
        <v>772</v>
      </c>
      <c r="E289" s="11" t="s">
        <v>33</v>
      </c>
    </row>
    <row r="290">
      <c r="A290" s="19">
        <v>0.75</v>
      </c>
      <c r="B290" s="34" t="s">
        <v>1304</v>
      </c>
      <c r="C290" s="33" t="s">
        <v>267</v>
      </c>
      <c r="D290" s="34" t="s">
        <v>1305</v>
      </c>
      <c r="E290" s="11" t="s">
        <v>37</v>
      </c>
    </row>
    <row r="291">
      <c r="A291" s="19">
        <v>0.7597222222222222</v>
      </c>
      <c r="B291" s="34" t="s">
        <v>1304</v>
      </c>
      <c r="C291" s="33" t="s">
        <v>283</v>
      </c>
      <c r="D291" s="34" t="s">
        <v>772</v>
      </c>
      <c r="E291" s="11" t="s">
        <v>33</v>
      </c>
    </row>
    <row r="292">
      <c r="A292" s="19">
        <v>0.7597222222222222</v>
      </c>
      <c r="B292" s="34" t="s">
        <v>1100</v>
      </c>
      <c r="C292" s="33" t="s">
        <v>71</v>
      </c>
      <c r="D292" s="34" t="s">
        <v>1305</v>
      </c>
      <c r="E292" s="11" t="s">
        <v>37</v>
      </c>
    </row>
    <row r="293">
      <c r="A293" s="19">
        <v>0.7701388888888889</v>
      </c>
      <c r="B293" s="34" t="s">
        <v>1100</v>
      </c>
      <c r="C293" s="33" t="s">
        <v>196</v>
      </c>
      <c r="D293" s="34" t="s">
        <v>1304</v>
      </c>
      <c r="E293" s="11" t="s">
        <v>33</v>
      </c>
    </row>
    <row r="294">
      <c r="A294" s="19">
        <v>0.7701388888888889</v>
      </c>
      <c r="B294" s="34" t="s">
        <v>1305</v>
      </c>
      <c r="C294" s="33" t="s">
        <v>488</v>
      </c>
      <c r="D294" s="34" t="s">
        <v>1303</v>
      </c>
      <c r="E294" s="11" t="s">
        <v>37</v>
      </c>
    </row>
    <row r="295">
      <c r="A295" s="19">
        <v>0.7805555555555556</v>
      </c>
      <c r="B295" s="34" t="s">
        <v>1100</v>
      </c>
      <c r="C295" s="33" t="s">
        <v>49</v>
      </c>
      <c r="D295" s="34" t="s">
        <v>772</v>
      </c>
      <c r="E295" s="11" t="s">
        <v>33</v>
      </c>
    </row>
    <row r="296">
      <c r="A296" s="19">
        <v>0.7805555555555556</v>
      </c>
      <c r="B296" s="34" t="s">
        <v>1303</v>
      </c>
      <c r="C296" s="33" t="s">
        <v>64</v>
      </c>
      <c r="D296" s="34" t="s">
        <v>1304</v>
      </c>
      <c r="E296" s="11" t="s">
        <v>37</v>
      </c>
    </row>
    <row r="297">
      <c r="A297" s="19">
        <v>0.7902777777777777</v>
      </c>
      <c r="B297" s="34" t="s">
        <v>1305</v>
      </c>
      <c r="C297" s="33" t="s">
        <v>270</v>
      </c>
      <c r="D297" s="34" t="s">
        <v>772</v>
      </c>
      <c r="E297" s="11" t="s">
        <v>33</v>
      </c>
    </row>
    <row r="298">
      <c r="A298" s="19">
        <v>0.7902777777777777</v>
      </c>
      <c r="B298" s="34" t="s">
        <v>1303</v>
      </c>
      <c r="C298" s="33" t="s">
        <v>21</v>
      </c>
      <c r="D298" s="34" t="s">
        <v>1100</v>
      </c>
      <c r="E298" s="11" t="s">
        <v>37</v>
      </c>
    </row>
    <row r="299">
      <c r="A299" s="19">
        <v>0.8006944444444445</v>
      </c>
      <c r="B299" s="34" t="s">
        <v>772</v>
      </c>
      <c r="C299" s="33" t="s">
        <v>303</v>
      </c>
      <c r="D299" s="34" t="s">
        <v>1303</v>
      </c>
      <c r="E299" s="11" t="s">
        <v>33</v>
      </c>
    </row>
    <row r="300">
      <c r="A300" s="19">
        <v>0.8006944444444445</v>
      </c>
      <c r="B300" s="34" t="s">
        <v>1305</v>
      </c>
      <c r="C300" s="33" t="s">
        <v>64</v>
      </c>
      <c r="D300" s="34" t="s">
        <v>1304</v>
      </c>
      <c r="E300" s="11" t="s">
        <v>37</v>
      </c>
    </row>
    <row r="301">
      <c r="A301" s="19">
        <v>0.8111111111111111</v>
      </c>
      <c r="B301" s="34" t="s">
        <v>772</v>
      </c>
      <c r="C301" s="33" t="s">
        <v>857</v>
      </c>
      <c r="D301" s="34" t="s">
        <v>1304</v>
      </c>
      <c r="E301" s="11" t="s">
        <v>33</v>
      </c>
    </row>
    <row r="302">
      <c r="A302" s="19">
        <v>0.8111111111111111</v>
      </c>
      <c r="B302" s="34" t="s">
        <v>1305</v>
      </c>
      <c r="C302" s="33" t="s">
        <v>196</v>
      </c>
      <c r="D302" s="34" t="s">
        <v>1100</v>
      </c>
      <c r="E302" s="11" t="s">
        <v>37</v>
      </c>
    </row>
    <row r="303">
      <c r="A303" s="19">
        <v>0.8208333333333333</v>
      </c>
      <c r="B303" s="34" t="s">
        <v>1304</v>
      </c>
      <c r="C303" s="33" t="s">
        <v>587</v>
      </c>
      <c r="D303" s="34" t="s">
        <v>1100</v>
      </c>
      <c r="E303" s="11" t="s">
        <v>33</v>
      </c>
    </row>
    <row r="304">
      <c r="A304" s="19">
        <v>0.8208333333333333</v>
      </c>
      <c r="B304" s="34" t="s">
        <v>1303</v>
      </c>
      <c r="C304" s="33" t="s">
        <v>193</v>
      </c>
      <c r="D304" s="34" t="s">
        <v>1305</v>
      </c>
      <c r="E304" s="11" t="s">
        <v>37</v>
      </c>
    </row>
    <row r="305">
      <c r="A305" s="19">
        <v>0.83125</v>
      </c>
      <c r="B305" s="34" t="s">
        <v>772</v>
      </c>
      <c r="C305" s="33" t="s">
        <v>249</v>
      </c>
      <c r="D305" s="34" t="s">
        <v>1100</v>
      </c>
      <c r="E305" s="11" t="s">
        <v>33</v>
      </c>
    </row>
    <row r="306">
      <c r="A306" s="19">
        <v>0.83125</v>
      </c>
      <c r="B306" s="34" t="s">
        <v>1304</v>
      </c>
      <c r="C306" s="33" t="s">
        <v>63</v>
      </c>
      <c r="D306" s="34" t="s">
        <v>1303</v>
      </c>
      <c r="E306" s="11" t="s">
        <v>37</v>
      </c>
    </row>
    <row r="307">
      <c r="A307" s="19">
        <v>0.8416666666666667</v>
      </c>
      <c r="B307" s="34" t="s">
        <v>772</v>
      </c>
      <c r="C307" s="33" t="s">
        <v>270</v>
      </c>
      <c r="D307" s="34" t="s">
        <v>1305</v>
      </c>
      <c r="E307" s="11" t="s">
        <v>33</v>
      </c>
    </row>
    <row r="308">
      <c r="A308" s="19">
        <v>0.8416666666666667</v>
      </c>
      <c r="B308" s="34" t="s">
        <v>1100</v>
      </c>
      <c r="C308" s="33" t="s">
        <v>86</v>
      </c>
      <c r="D308" s="34" t="s">
        <v>1303</v>
      </c>
      <c r="E308" s="11" t="s">
        <v>37</v>
      </c>
    </row>
    <row r="309">
      <c r="A309" s="27"/>
      <c r="B309" s="28" t="s">
        <v>145</v>
      </c>
      <c r="C309" s="2"/>
      <c r="D309" s="3"/>
      <c r="E309" s="29"/>
    </row>
    <row r="310">
      <c r="A310" s="18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9">
        <v>0.8541666666666666</v>
      </c>
      <c r="B311" s="34" t="s">
        <v>1306</v>
      </c>
      <c r="C311" s="33" t="s">
        <v>17</v>
      </c>
      <c r="D311" s="34" t="s">
        <v>871</v>
      </c>
      <c r="E311" s="11" t="s">
        <v>9</v>
      </c>
    </row>
    <row r="312">
      <c r="A312" s="19">
        <v>0.8541666666666666</v>
      </c>
      <c r="B312" s="34" t="s">
        <v>1307</v>
      </c>
      <c r="C312" s="33" t="s">
        <v>195</v>
      </c>
      <c r="D312" s="34" t="s">
        <v>868</v>
      </c>
      <c r="E312" s="11" t="s">
        <v>13</v>
      </c>
    </row>
    <row r="313">
      <c r="A313" s="19">
        <v>0.8638888888888889</v>
      </c>
      <c r="B313" s="34" t="s">
        <v>1307</v>
      </c>
      <c r="C313" s="33" t="s">
        <v>193</v>
      </c>
      <c r="D313" s="34" t="s">
        <v>871</v>
      </c>
      <c r="E313" s="11" t="s">
        <v>9</v>
      </c>
    </row>
    <row r="314">
      <c r="A314" s="19">
        <v>0.8638888888888889</v>
      </c>
      <c r="B314" s="34" t="s">
        <v>1308</v>
      </c>
      <c r="C314" s="33" t="s">
        <v>81</v>
      </c>
      <c r="D314" s="34" t="s">
        <v>868</v>
      </c>
      <c r="E314" s="11" t="s">
        <v>13</v>
      </c>
    </row>
    <row r="315">
      <c r="A315" s="19">
        <v>0.8743055555555556</v>
      </c>
      <c r="B315" s="34" t="s">
        <v>1308</v>
      </c>
      <c r="C315" s="33" t="s">
        <v>81</v>
      </c>
      <c r="D315" s="34" t="s">
        <v>1307</v>
      </c>
      <c r="E315" s="11" t="s">
        <v>9</v>
      </c>
    </row>
    <row r="316">
      <c r="A316" s="19">
        <v>0.8743055555555556</v>
      </c>
      <c r="B316" s="34" t="s">
        <v>868</v>
      </c>
      <c r="C316" s="33" t="s">
        <v>218</v>
      </c>
      <c r="D316" s="34" t="s">
        <v>1306</v>
      </c>
      <c r="E316" s="11" t="s">
        <v>13</v>
      </c>
    </row>
    <row r="317">
      <c r="A317" s="19">
        <v>0.8847222222222222</v>
      </c>
      <c r="B317" s="34" t="s">
        <v>1308</v>
      </c>
      <c r="C317" s="33" t="s">
        <v>18</v>
      </c>
      <c r="D317" s="34" t="s">
        <v>871</v>
      </c>
      <c r="E317" s="11" t="s">
        <v>9</v>
      </c>
    </row>
    <row r="318">
      <c r="A318" s="19">
        <v>0.8847222222222222</v>
      </c>
      <c r="B318" s="34" t="s">
        <v>1306</v>
      </c>
      <c r="C318" s="33" t="s">
        <v>43</v>
      </c>
      <c r="D318" s="34" t="s">
        <v>1307</v>
      </c>
      <c r="E318" s="11" t="s">
        <v>13</v>
      </c>
    </row>
    <row r="319">
      <c r="A319" s="19">
        <v>0.8944444444444445</v>
      </c>
      <c r="B319" s="34" t="s">
        <v>868</v>
      </c>
      <c r="C319" s="33" t="s">
        <v>68</v>
      </c>
      <c r="D319" s="34" t="s">
        <v>871</v>
      </c>
      <c r="E319" s="11" t="s">
        <v>9</v>
      </c>
    </row>
    <row r="320">
      <c r="A320" s="19">
        <v>0.8944444444444445</v>
      </c>
      <c r="B320" s="34" t="s">
        <v>1306</v>
      </c>
      <c r="C320" s="33" t="s">
        <v>68</v>
      </c>
      <c r="D320" s="34" t="s">
        <v>1308</v>
      </c>
      <c r="E320" s="11" t="s">
        <v>13</v>
      </c>
    </row>
    <row r="321">
      <c r="A321" s="19">
        <v>0.9048611111111111</v>
      </c>
      <c r="B321" s="34" t="s">
        <v>871</v>
      </c>
      <c r="C321" s="33" t="s">
        <v>370</v>
      </c>
      <c r="D321" s="34" t="s">
        <v>1306</v>
      </c>
      <c r="E321" s="11" t="s">
        <v>9</v>
      </c>
    </row>
    <row r="322">
      <c r="A322" s="19">
        <v>0.9048611111111111</v>
      </c>
      <c r="B322" s="34" t="s">
        <v>868</v>
      </c>
      <c r="C322" s="33" t="s">
        <v>270</v>
      </c>
      <c r="D322" s="34" t="s">
        <v>1307</v>
      </c>
      <c r="E322" s="11" t="s">
        <v>13</v>
      </c>
    </row>
    <row r="323">
      <c r="A323" s="19">
        <v>0.9152777777777777</v>
      </c>
      <c r="B323" s="34" t="s">
        <v>871</v>
      </c>
      <c r="C323" s="35" t="s">
        <v>285</v>
      </c>
      <c r="D323" s="34" t="s">
        <v>1307</v>
      </c>
      <c r="E323" s="11" t="s">
        <v>9</v>
      </c>
    </row>
    <row r="324">
      <c r="A324" s="19">
        <v>0.9152777777777777</v>
      </c>
      <c r="B324" s="34" t="s">
        <v>868</v>
      </c>
      <c r="C324" s="35" t="s">
        <v>42</v>
      </c>
      <c r="D324" s="34" t="s">
        <v>1308</v>
      </c>
      <c r="E324" s="11" t="s">
        <v>13</v>
      </c>
    </row>
    <row r="325">
      <c r="A325" s="19">
        <v>0.925</v>
      </c>
      <c r="B325" s="34" t="s">
        <v>1307</v>
      </c>
      <c r="C325" s="35" t="s">
        <v>81</v>
      </c>
      <c r="D325" s="34" t="s">
        <v>1308</v>
      </c>
      <c r="E325" s="11" t="s">
        <v>9</v>
      </c>
    </row>
    <row r="326">
      <c r="A326" s="19">
        <v>0.925</v>
      </c>
      <c r="B326" s="34" t="s">
        <v>1306</v>
      </c>
      <c r="C326" s="35" t="s">
        <v>81</v>
      </c>
      <c r="D326" s="34" t="s">
        <v>868</v>
      </c>
      <c r="E326" s="11" t="s">
        <v>13</v>
      </c>
    </row>
    <row r="327">
      <c r="A327" s="19">
        <v>0.9354166666666667</v>
      </c>
      <c r="B327" s="34" t="s">
        <v>871</v>
      </c>
      <c r="C327" s="35" t="s">
        <v>195</v>
      </c>
      <c r="D327" s="34" t="s">
        <v>1308</v>
      </c>
      <c r="E327" s="11" t="s">
        <v>9</v>
      </c>
    </row>
    <row r="328">
      <c r="A328" s="19">
        <v>0.9354166666666667</v>
      </c>
      <c r="B328" s="34" t="s">
        <v>1307</v>
      </c>
      <c r="C328" s="35" t="s">
        <v>81</v>
      </c>
      <c r="D328" s="34" t="s">
        <v>1306</v>
      </c>
      <c r="E328" s="11" t="s">
        <v>13</v>
      </c>
    </row>
    <row r="329">
      <c r="A329" s="19">
        <v>0.9458333333333333</v>
      </c>
      <c r="B329" s="34" t="s">
        <v>871</v>
      </c>
      <c r="C329" s="35" t="s">
        <v>18</v>
      </c>
      <c r="D329" s="34" t="s">
        <v>868</v>
      </c>
      <c r="E329" s="11" t="s">
        <v>9</v>
      </c>
    </row>
    <row r="330">
      <c r="A330" s="19">
        <v>0.9458333333333333</v>
      </c>
      <c r="B330" s="34" t="s">
        <v>1308</v>
      </c>
      <c r="C330" s="35" t="s">
        <v>88</v>
      </c>
      <c r="D330" s="34" t="s">
        <v>1306</v>
      </c>
      <c r="E330" s="11" t="s">
        <v>13</v>
      </c>
    </row>
    <row r="331">
      <c r="A331" s="27"/>
      <c r="B331" s="28" t="s">
        <v>145</v>
      </c>
      <c r="C331" s="2"/>
      <c r="D331" s="3"/>
      <c r="E331" s="29"/>
    </row>
    <row r="332">
      <c r="A332" s="18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9">
        <v>0.8541666666666666</v>
      </c>
      <c r="B333" s="34" t="s">
        <v>1309</v>
      </c>
      <c r="C333" s="33" t="s">
        <v>1310</v>
      </c>
      <c r="D333" s="34" t="s">
        <v>1078</v>
      </c>
      <c r="E333" s="11" t="s">
        <v>33</v>
      </c>
    </row>
    <row r="334">
      <c r="A334" s="19">
        <v>0.8541666666666666</v>
      </c>
      <c r="B334" s="34" t="s">
        <v>1222</v>
      </c>
      <c r="C334" s="33" t="s">
        <v>190</v>
      </c>
      <c r="D334" s="34" t="s">
        <v>939</v>
      </c>
      <c r="E334" s="11" t="s">
        <v>37</v>
      </c>
    </row>
    <row r="335">
      <c r="A335" s="19">
        <v>0.8638888888888889</v>
      </c>
      <c r="B335" s="34" t="s">
        <v>1222</v>
      </c>
      <c r="C335" s="33" t="s">
        <v>269</v>
      </c>
      <c r="D335" s="34" t="s">
        <v>1078</v>
      </c>
      <c r="E335" s="11" t="s">
        <v>33</v>
      </c>
    </row>
    <row r="336">
      <c r="A336" s="19">
        <v>0.8638888888888889</v>
      </c>
      <c r="B336" s="34" t="s">
        <v>322</v>
      </c>
      <c r="C336" s="33" t="s">
        <v>378</v>
      </c>
      <c r="D336" s="34" t="s">
        <v>939</v>
      </c>
      <c r="E336" s="11" t="s">
        <v>37</v>
      </c>
    </row>
    <row r="337">
      <c r="A337" s="19">
        <v>0.8743055555555556</v>
      </c>
      <c r="B337" s="34" t="s">
        <v>322</v>
      </c>
      <c r="C337" s="33" t="s">
        <v>601</v>
      </c>
      <c r="D337" s="34" t="s">
        <v>1222</v>
      </c>
      <c r="E337" s="11" t="s">
        <v>33</v>
      </c>
    </row>
    <row r="338">
      <c r="A338" s="19">
        <v>0.8743055555555556</v>
      </c>
      <c r="B338" s="34" t="s">
        <v>939</v>
      </c>
      <c r="C338" s="33" t="s">
        <v>16</v>
      </c>
      <c r="D338" s="34" t="s">
        <v>1309</v>
      </c>
      <c r="E338" s="11" t="s">
        <v>37</v>
      </c>
    </row>
    <row r="339">
      <c r="A339" s="19">
        <v>0.8847222222222222</v>
      </c>
      <c r="B339" s="34" t="s">
        <v>322</v>
      </c>
      <c r="C339" s="33" t="s">
        <v>28</v>
      </c>
      <c r="D339" s="34" t="s">
        <v>1078</v>
      </c>
      <c r="E339" s="11" t="s">
        <v>33</v>
      </c>
    </row>
    <row r="340">
      <c r="A340" s="19">
        <v>0.8847222222222222</v>
      </c>
      <c r="B340" s="34" t="s">
        <v>1309</v>
      </c>
      <c r="C340" s="33" t="s">
        <v>337</v>
      </c>
      <c r="D340" s="34" t="s">
        <v>1222</v>
      </c>
      <c r="E340" s="11" t="s">
        <v>37</v>
      </c>
    </row>
    <row r="341">
      <c r="A341" s="19">
        <v>0.8944444444444445</v>
      </c>
      <c r="B341" s="34" t="s">
        <v>939</v>
      </c>
      <c r="C341" s="33" t="s">
        <v>81</v>
      </c>
      <c r="D341" s="34" t="s">
        <v>1078</v>
      </c>
      <c r="E341" s="11" t="s">
        <v>33</v>
      </c>
    </row>
    <row r="342">
      <c r="A342" s="19">
        <v>0.8944444444444445</v>
      </c>
      <c r="B342" s="34" t="s">
        <v>1309</v>
      </c>
      <c r="C342" s="33" t="s">
        <v>267</v>
      </c>
      <c r="D342" s="34" t="s">
        <v>322</v>
      </c>
      <c r="E342" s="11" t="s">
        <v>37</v>
      </c>
    </row>
    <row r="343">
      <c r="A343" s="19">
        <v>0.9048611111111111</v>
      </c>
      <c r="B343" s="34" t="s">
        <v>1078</v>
      </c>
      <c r="C343" s="33" t="s">
        <v>196</v>
      </c>
      <c r="D343" s="34" t="s">
        <v>1309</v>
      </c>
      <c r="E343" s="11" t="s">
        <v>33</v>
      </c>
    </row>
    <row r="344">
      <c r="A344" s="19">
        <v>0.9048611111111111</v>
      </c>
      <c r="B344" s="34" t="s">
        <v>939</v>
      </c>
      <c r="C344" s="33" t="s">
        <v>579</v>
      </c>
      <c r="D344" s="34" t="s">
        <v>1222</v>
      </c>
      <c r="E344" s="11" t="s">
        <v>37</v>
      </c>
    </row>
    <row r="345">
      <c r="A345" s="19">
        <v>0.9152777777777777</v>
      </c>
      <c r="B345" s="34" t="s">
        <v>1078</v>
      </c>
      <c r="C345" s="33" t="s">
        <v>88</v>
      </c>
      <c r="D345" s="34" t="s">
        <v>1222</v>
      </c>
      <c r="E345" s="11" t="s">
        <v>33</v>
      </c>
    </row>
    <row r="346">
      <c r="A346" s="19">
        <v>0.9152777777777777</v>
      </c>
      <c r="B346" s="34" t="s">
        <v>939</v>
      </c>
      <c r="C346" s="33" t="s">
        <v>1311</v>
      </c>
      <c r="D346" s="34" t="s">
        <v>322</v>
      </c>
      <c r="E346" s="11" t="s">
        <v>37</v>
      </c>
    </row>
    <row r="347">
      <c r="A347" s="19">
        <v>0.925</v>
      </c>
      <c r="B347" s="34" t="s">
        <v>1222</v>
      </c>
      <c r="C347" s="33" t="s">
        <v>545</v>
      </c>
      <c r="D347" s="34" t="s">
        <v>322</v>
      </c>
      <c r="E347" s="11" t="s">
        <v>33</v>
      </c>
    </row>
    <row r="348">
      <c r="A348" s="19">
        <v>0.925</v>
      </c>
      <c r="B348" s="34" t="s">
        <v>1309</v>
      </c>
      <c r="C348" s="33" t="s">
        <v>472</v>
      </c>
      <c r="D348" s="34" t="s">
        <v>939</v>
      </c>
      <c r="E348" s="11" t="s">
        <v>37</v>
      </c>
    </row>
    <row r="349">
      <c r="A349" s="19">
        <v>0.9354166666666667</v>
      </c>
      <c r="B349" s="34" t="s">
        <v>1078</v>
      </c>
      <c r="C349" s="33" t="s">
        <v>41</v>
      </c>
      <c r="D349" s="34" t="s">
        <v>322</v>
      </c>
      <c r="E349" s="11" t="s">
        <v>33</v>
      </c>
    </row>
    <row r="350">
      <c r="A350" s="19">
        <v>0.9354166666666667</v>
      </c>
      <c r="B350" s="34" t="s">
        <v>1222</v>
      </c>
      <c r="C350" s="33" t="s">
        <v>325</v>
      </c>
      <c r="D350" s="34" t="s">
        <v>1309</v>
      </c>
      <c r="E350" s="11" t="s">
        <v>37</v>
      </c>
    </row>
    <row r="351">
      <c r="A351" s="19">
        <v>0.9458333333333333</v>
      </c>
      <c r="B351" s="34" t="s">
        <v>1078</v>
      </c>
      <c r="C351" s="33" t="s">
        <v>47</v>
      </c>
      <c r="D351" s="34" t="s">
        <v>939</v>
      </c>
      <c r="E351" s="11" t="s">
        <v>33</v>
      </c>
    </row>
    <row r="352">
      <c r="A352" s="19">
        <v>0.9458333333333333</v>
      </c>
      <c r="B352" s="34" t="s">
        <v>322</v>
      </c>
      <c r="C352" s="33" t="s">
        <v>81</v>
      </c>
      <c r="D352" s="34" t="s">
        <v>1309</v>
      </c>
      <c r="E352" s="11" t="s">
        <v>37</v>
      </c>
    </row>
    <row r="353">
      <c r="A353" s="27"/>
      <c r="B353" s="28" t="s">
        <v>156</v>
      </c>
      <c r="C353" s="2"/>
      <c r="D353" s="3"/>
      <c r="E353" s="29"/>
    </row>
    <row r="354">
      <c r="A354" s="18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9">
        <v>0.9583333333333334</v>
      </c>
      <c r="B355" s="34" t="s">
        <v>1312</v>
      </c>
      <c r="C355" s="35" t="s">
        <v>66</v>
      </c>
      <c r="D355" s="34" t="s">
        <v>1313</v>
      </c>
      <c r="E355" s="11" t="s">
        <v>9</v>
      </c>
    </row>
    <row r="356">
      <c r="A356" s="19">
        <v>0.9583333333333334</v>
      </c>
      <c r="B356" s="34" t="s">
        <v>1314</v>
      </c>
      <c r="C356" s="35" t="s">
        <v>566</v>
      </c>
      <c r="D356" s="34" t="s">
        <v>345</v>
      </c>
      <c r="E356" s="11" t="s">
        <v>13</v>
      </c>
    </row>
    <row r="357">
      <c r="A357" s="19">
        <v>0.9680555555555556</v>
      </c>
      <c r="B357" s="34" t="s">
        <v>1314</v>
      </c>
      <c r="C357" s="35" t="s">
        <v>48</v>
      </c>
      <c r="D357" s="34" t="s">
        <v>1313</v>
      </c>
      <c r="E357" s="11" t="s">
        <v>9</v>
      </c>
    </row>
    <row r="358">
      <c r="A358" s="19">
        <v>0.9680555555555556</v>
      </c>
      <c r="B358" s="34" t="s">
        <v>1246</v>
      </c>
      <c r="C358" s="35" t="s">
        <v>18</v>
      </c>
      <c r="D358" s="34" t="s">
        <v>345</v>
      </c>
      <c r="E358" s="11" t="s">
        <v>13</v>
      </c>
    </row>
    <row r="359">
      <c r="A359" s="19">
        <v>0.9784722222222222</v>
      </c>
      <c r="B359" s="34" t="s">
        <v>1246</v>
      </c>
      <c r="C359" s="35" t="s">
        <v>482</v>
      </c>
      <c r="D359" s="34" t="s">
        <v>1314</v>
      </c>
      <c r="E359" s="11" t="s">
        <v>9</v>
      </c>
    </row>
    <row r="360">
      <c r="A360" s="19">
        <v>0.9784722222222222</v>
      </c>
      <c r="B360" s="34" t="s">
        <v>345</v>
      </c>
      <c r="C360" s="35" t="s">
        <v>62</v>
      </c>
      <c r="D360" s="34" t="s">
        <v>1312</v>
      </c>
      <c r="E360" s="11" t="s">
        <v>13</v>
      </c>
    </row>
    <row r="361">
      <c r="A361" s="19">
        <v>0.9888888888888889</v>
      </c>
      <c r="B361" s="34" t="s">
        <v>1246</v>
      </c>
      <c r="C361" s="35" t="s">
        <v>455</v>
      </c>
      <c r="D361" s="34" t="s">
        <v>1313</v>
      </c>
      <c r="E361" s="11" t="s">
        <v>9</v>
      </c>
    </row>
    <row r="362">
      <c r="A362" s="19">
        <v>0.9888888888888889</v>
      </c>
      <c r="B362" s="34" t="s">
        <v>1312</v>
      </c>
      <c r="C362" s="35" t="s">
        <v>81</v>
      </c>
      <c r="D362" s="34" t="s">
        <v>1314</v>
      </c>
      <c r="E362" s="21" t="s">
        <v>13</v>
      </c>
    </row>
    <row r="363">
      <c r="A363" s="19">
        <v>0.9986111111111111</v>
      </c>
      <c r="B363" s="34" t="s">
        <v>345</v>
      </c>
      <c r="C363" s="35" t="s">
        <v>426</v>
      </c>
      <c r="D363" s="34" t="s">
        <v>1313</v>
      </c>
      <c r="E363" s="11" t="s">
        <v>9</v>
      </c>
    </row>
    <row r="364">
      <c r="A364" s="19">
        <v>0.9986111111111111</v>
      </c>
      <c r="B364" s="34" t="s">
        <v>1312</v>
      </c>
      <c r="C364" s="35" t="s">
        <v>22</v>
      </c>
      <c r="D364" s="34" t="s">
        <v>1246</v>
      </c>
      <c r="E364" s="11" t="s">
        <v>13</v>
      </c>
    </row>
    <row r="365">
      <c r="A365" s="19">
        <v>0.009027777777777777</v>
      </c>
      <c r="B365" s="34" t="s">
        <v>1313</v>
      </c>
      <c r="C365" s="35" t="s">
        <v>69</v>
      </c>
      <c r="D365" s="34" t="s">
        <v>1312</v>
      </c>
      <c r="E365" s="11" t="s">
        <v>9</v>
      </c>
    </row>
    <row r="366">
      <c r="A366" s="19">
        <v>0.009027777777777777</v>
      </c>
      <c r="B366" s="34" t="s">
        <v>345</v>
      </c>
      <c r="C366" s="35" t="s">
        <v>196</v>
      </c>
      <c r="D366" s="34" t="s">
        <v>1314</v>
      </c>
      <c r="E366" s="11" t="s">
        <v>13</v>
      </c>
    </row>
    <row r="367">
      <c r="A367" s="19">
        <v>0.019444444444444445</v>
      </c>
      <c r="B367" s="34" t="s">
        <v>1313</v>
      </c>
      <c r="C367" s="35" t="s">
        <v>260</v>
      </c>
      <c r="D367" s="34" t="s">
        <v>1314</v>
      </c>
      <c r="E367" s="11" t="s">
        <v>9</v>
      </c>
    </row>
    <row r="368">
      <c r="A368" s="19">
        <v>0.019444444444444445</v>
      </c>
      <c r="B368" s="34" t="s">
        <v>345</v>
      </c>
      <c r="C368" s="35" t="s">
        <v>41</v>
      </c>
      <c r="D368" s="34" t="s">
        <v>1246</v>
      </c>
      <c r="E368" s="11" t="s">
        <v>13</v>
      </c>
    </row>
    <row r="369">
      <c r="A369" s="19">
        <v>0.029166666666666667</v>
      </c>
      <c r="B369" s="34" t="s">
        <v>1314</v>
      </c>
      <c r="C369" s="35" t="s">
        <v>190</v>
      </c>
      <c r="D369" s="34" t="s">
        <v>1246</v>
      </c>
      <c r="E369" s="11" t="s">
        <v>9</v>
      </c>
    </row>
    <row r="370">
      <c r="A370" s="19">
        <v>0.029166666666666667</v>
      </c>
      <c r="B370" s="34" t="s">
        <v>1312</v>
      </c>
      <c r="C370" s="35" t="s">
        <v>289</v>
      </c>
      <c r="D370" s="34" t="s">
        <v>345</v>
      </c>
      <c r="E370" s="11" t="s">
        <v>13</v>
      </c>
    </row>
    <row r="371">
      <c r="A371" s="19">
        <v>0.03958333333333333</v>
      </c>
      <c r="B371" s="34" t="s">
        <v>1313</v>
      </c>
      <c r="C371" s="35" t="s">
        <v>81</v>
      </c>
      <c r="D371" s="34" t="s">
        <v>1246</v>
      </c>
      <c r="E371" s="11" t="s">
        <v>9</v>
      </c>
    </row>
    <row r="372">
      <c r="A372" s="19">
        <v>0.03958333333333333</v>
      </c>
      <c r="B372" s="34" t="s">
        <v>1314</v>
      </c>
      <c r="C372" s="35" t="s">
        <v>11</v>
      </c>
      <c r="D372" s="34" t="s">
        <v>1312</v>
      </c>
      <c r="E372" s="11" t="s">
        <v>13</v>
      </c>
    </row>
    <row r="373">
      <c r="A373" s="19">
        <v>0.05</v>
      </c>
      <c r="B373" s="34" t="s">
        <v>1313</v>
      </c>
      <c r="C373" s="35" t="s">
        <v>218</v>
      </c>
      <c r="D373" s="34" t="s">
        <v>345</v>
      </c>
      <c r="E373" s="11" t="s">
        <v>9</v>
      </c>
    </row>
    <row r="374">
      <c r="A374" s="19">
        <v>0.05</v>
      </c>
      <c r="B374" s="34" t="s">
        <v>1246</v>
      </c>
      <c r="C374" s="35" t="s">
        <v>43</v>
      </c>
      <c r="D374" s="34" t="s">
        <v>1312</v>
      </c>
      <c r="E374" s="11" t="s">
        <v>13</v>
      </c>
    </row>
    <row r="375">
      <c r="A375" s="27"/>
      <c r="B375" s="28" t="s">
        <v>156</v>
      </c>
      <c r="C375" s="2"/>
      <c r="D375" s="3"/>
      <c r="E375" s="29"/>
    </row>
    <row r="376">
      <c r="A376" s="18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9">
        <v>0.9583333333333334</v>
      </c>
      <c r="B377" s="34" t="s">
        <v>1024</v>
      </c>
      <c r="C377" s="33" t="s">
        <v>17</v>
      </c>
      <c r="D377" s="34" t="s">
        <v>1315</v>
      </c>
      <c r="E377" s="11" t="s">
        <v>33</v>
      </c>
    </row>
    <row r="378">
      <c r="A378" s="19">
        <v>0.9583333333333334</v>
      </c>
      <c r="B378" s="34" t="s">
        <v>1120</v>
      </c>
      <c r="C378" s="33" t="s">
        <v>320</v>
      </c>
      <c r="D378" s="34" t="s">
        <v>1316</v>
      </c>
      <c r="E378" s="11" t="s">
        <v>37</v>
      </c>
    </row>
    <row r="379">
      <c r="A379" s="19">
        <v>0.9680555555555556</v>
      </c>
      <c r="B379" s="34" t="s">
        <v>1120</v>
      </c>
      <c r="C379" s="33" t="s">
        <v>282</v>
      </c>
      <c r="D379" s="34" t="s">
        <v>1315</v>
      </c>
      <c r="E379" s="11" t="s">
        <v>33</v>
      </c>
    </row>
    <row r="380">
      <c r="A380" s="19">
        <v>0.9680555555555556</v>
      </c>
      <c r="B380" s="34" t="s">
        <v>1317</v>
      </c>
      <c r="C380" s="33" t="s">
        <v>196</v>
      </c>
      <c r="D380" s="34" t="s">
        <v>1316</v>
      </c>
      <c r="E380" s="11" t="s">
        <v>37</v>
      </c>
    </row>
    <row r="381">
      <c r="A381" s="19">
        <v>0.9784722222222222</v>
      </c>
      <c r="B381" s="34" t="s">
        <v>1317</v>
      </c>
      <c r="C381" s="33" t="s">
        <v>1318</v>
      </c>
      <c r="D381" s="34" t="s">
        <v>1120</v>
      </c>
      <c r="E381" s="11" t="s">
        <v>33</v>
      </c>
    </row>
    <row r="382">
      <c r="A382" s="19">
        <v>0.9784722222222222</v>
      </c>
      <c r="B382" s="34" t="s">
        <v>1316</v>
      </c>
      <c r="C382" s="33" t="s">
        <v>69</v>
      </c>
      <c r="D382" s="34" t="s">
        <v>1024</v>
      </c>
      <c r="E382" s="11" t="s">
        <v>37</v>
      </c>
    </row>
    <row r="383">
      <c r="A383" s="19">
        <v>0.9888888888888889</v>
      </c>
      <c r="B383" s="34" t="s">
        <v>1317</v>
      </c>
      <c r="C383" s="33" t="s">
        <v>259</v>
      </c>
      <c r="D383" s="34" t="s">
        <v>1315</v>
      </c>
      <c r="E383" s="11" t="s">
        <v>33</v>
      </c>
    </row>
    <row r="384">
      <c r="A384" s="19">
        <v>0.9888888888888889</v>
      </c>
      <c r="B384" s="34" t="s">
        <v>1024</v>
      </c>
      <c r="C384" s="33" t="s">
        <v>21</v>
      </c>
      <c r="D384" s="34" t="s">
        <v>1120</v>
      </c>
      <c r="E384" s="11" t="s">
        <v>37</v>
      </c>
    </row>
    <row r="385">
      <c r="A385" s="19">
        <v>0.9986111111111111</v>
      </c>
      <c r="B385" s="34" t="s">
        <v>1316</v>
      </c>
      <c r="C385" s="33" t="s">
        <v>14</v>
      </c>
      <c r="D385" s="34" t="s">
        <v>1315</v>
      </c>
      <c r="E385" s="11" t="s">
        <v>33</v>
      </c>
    </row>
    <row r="386">
      <c r="A386" s="19">
        <v>0.9986111111111111</v>
      </c>
      <c r="B386" s="34" t="s">
        <v>1024</v>
      </c>
      <c r="C386" s="33" t="s">
        <v>218</v>
      </c>
      <c r="D386" s="34" t="s">
        <v>1317</v>
      </c>
      <c r="E386" s="11" t="s">
        <v>37</v>
      </c>
    </row>
    <row r="387">
      <c r="A387" s="19">
        <v>0.009027777777777777</v>
      </c>
      <c r="B387" s="34" t="s">
        <v>1315</v>
      </c>
      <c r="C387" s="33" t="s">
        <v>197</v>
      </c>
      <c r="D387" s="34" t="s">
        <v>1024</v>
      </c>
      <c r="E387" s="11" t="s">
        <v>33</v>
      </c>
    </row>
    <row r="388">
      <c r="A388" s="19">
        <v>0.009027777777777777</v>
      </c>
      <c r="B388" s="34" t="s">
        <v>1316</v>
      </c>
      <c r="C388" s="33" t="s">
        <v>215</v>
      </c>
      <c r="D388" s="34" t="s">
        <v>1120</v>
      </c>
      <c r="E388" s="11" t="s">
        <v>37</v>
      </c>
    </row>
    <row r="389">
      <c r="A389" s="19">
        <v>0.019444444444444445</v>
      </c>
      <c r="B389" s="34" t="s">
        <v>1315</v>
      </c>
      <c r="C389" s="33" t="s">
        <v>23</v>
      </c>
      <c r="D389" s="34" t="s">
        <v>1120</v>
      </c>
      <c r="E389" s="11" t="s">
        <v>33</v>
      </c>
    </row>
    <row r="390">
      <c r="A390" s="19">
        <v>0.019444444444444445</v>
      </c>
      <c r="B390" s="34" t="s">
        <v>1316</v>
      </c>
      <c r="C390" s="33" t="s">
        <v>544</v>
      </c>
      <c r="D390" s="34" t="s">
        <v>1317</v>
      </c>
      <c r="E390" s="11" t="s">
        <v>37</v>
      </c>
    </row>
    <row r="391">
      <c r="A391" s="19">
        <v>0.029166666666666667</v>
      </c>
      <c r="B391" s="34" t="s">
        <v>1120</v>
      </c>
      <c r="C391" s="33" t="s">
        <v>24</v>
      </c>
      <c r="D391" s="34" t="s">
        <v>1317</v>
      </c>
      <c r="E391" s="11" t="s">
        <v>33</v>
      </c>
    </row>
    <row r="392">
      <c r="A392" s="19">
        <v>0.029166666666666667</v>
      </c>
      <c r="B392" s="34" t="s">
        <v>1024</v>
      </c>
      <c r="C392" s="33" t="s">
        <v>286</v>
      </c>
      <c r="D392" s="34" t="s">
        <v>1316</v>
      </c>
      <c r="E392" s="11" t="s">
        <v>37</v>
      </c>
    </row>
    <row r="393">
      <c r="A393" s="19">
        <v>0.03958333333333333</v>
      </c>
      <c r="B393" s="34" t="s">
        <v>1315</v>
      </c>
      <c r="C393" s="33" t="s">
        <v>352</v>
      </c>
      <c r="D393" s="34" t="s">
        <v>1317</v>
      </c>
      <c r="E393" s="11" t="s">
        <v>33</v>
      </c>
    </row>
    <row r="394">
      <c r="A394" s="19">
        <v>0.03958333333333333</v>
      </c>
      <c r="B394" s="34" t="s">
        <v>1120</v>
      </c>
      <c r="C394" s="33" t="s">
        <v>329</v>
      </c>
      <c r="D394" s="34" t="s">
        <v>1024</v>
      </c>
      <c r="E394" s="11" t="s">
        <v>37</v>
      </c>
    </row>
    <row r="395">
      <c r="A395" s="19">
        <v>0.05</v>
      </c>
      <c r="B395" s="34" t="s">
        <v>1315</v>
      </c>
      <c r="C395" s="33" t="s">
        <v>45</v>
      </c>
      <c r="D395" s="34" t="s">
        <v>1316</v>
      </c>
      <c r="E395" s="11" t="s">
        <v>33</v>
      </c>
    </row>
    <row r="396">
      <c r="A396" s="19">
        <v>0.05</v>
      </c>
      <c r="B396" s="34" t="s">
        <v>1317</v>
      </c>
      <c r="C396" s="33" t="s">
        <v>614</v>
      </c>
      <c r="D396" s="34" t="s">
        <v>1024</v>
      </c>
      <c r="E396" s="11" t="s">
        <v>37</v>
      </c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3"/>
    <hyperlink r:id="rId328" ref="E364"/>
    <hyperlink r:id="rId329" ref="E365"/>
    <hyperlink r:id="rId330" ref="E366"/>
    <hyperlink r:id="rId331" ref="E367"/>
    <hyperlink r:id="rId332" ref="E368"/>
    <hyperlink r:id="rId333" ref="E369"/>
    <hyperlink r:id="rId334" ref="E370"/>
    <hyperlink r:id="rId335" ref="E371"/>
    <hyperlink r:id="rId336" ref="E372"/>
    <hyperlink r:id="rId337" ref="E373"/>
    <hyperlink r:id="rId338" ref="E374"/>
    <hyperlink r:id="rId339" ref="E377"/>
    <hyperlink r:id="rId340" ref="E378"/>
    <hyperlink r:id="rId341" ref="E379"/>
    <hyperlink r:id="rId342" ref="E380"/>
    <hyperlink r:id="rId343" ref="E381"/>
    <hyperlink r:id="rId344" ref="E382"/>
    <hyperlink r:id="rId345" ref="E383"/>
    <hyperlink r:id="rId346" ref="E384"/>
    <hyperlink r:id="rId347" ref="E385"/>
    <hyperlink r:id="rId348" ref="E386"/>
    <hyperlink r:id="rId349" ref="E387"/>
    <hyperlink r:id="rId350" ref="E388"/>
    <hyperlink r:id="rId351" ref="E389"/>
    <hyperlink r:id="rId352" ref="E390"/>
    <hyperlink r:id="rId353" ref="E391"/>
    <hyperlink r:id="rId354" ref="E392"/>
    <hyperlink r:id="rId355" ref="E393"/>
    <hyperlink r:id="rId356" ref="E394"/>
    <hyperlink r:id="rId357" ref="E395"/>
    <hyperlink r:id="rId358" ref="E396"/>
  </hyperlinks>
  <drawing r:id="rId359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6.29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46"/>
      <c r="B1" s="1" t="s">
        <v>0</v>
      </c>
      <c r="C1" s="2"/>
      <c r="D1" s="3"/>
      <c r="E1" s="29"/>
    </row>
    <row r="2">
      <c r="A2" s="47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19">
        <v>0.0625</v>
      </c>
      <c r="B3" s="32" t="s">
        <v>956</v>
      </c>
      <c r="C3" s="35" t="s">
        <v>81</v>
      </c>
      <c r="D3" s="34" t="s">
        <v>1319</v>
      </c>
      <c r="E3" s="11" t="s">
        <v>33</v>
      </c>
    </row>
    <row r="4">
      <c r="A4" s="19">
        <v>0.0625</v>
      </c>
      <c r="B4" s="32" t="s">
        <v>1320</v>
      </c>
      <c r="C4" s="35" t="s">
        <v>285</v>
      </c>
      <c r="D4" s="32" t="s">
        <v>12</v>
      </c>
      <c r="E4" s="11" t="s">
        <v>37</v>
      </c>
    </row>
    <row r="5">
      <c r="A5" s="19">
        <v>0.07291666666666667</v>
      </c>
      <c r="B5" s="34" t="s">
        <v>1320</v>
      </c>
      <c r="C5" s="35" t="s">
        <v>426</v>
      </c>
      <c r="D5" s="32" t="s">
        <v>1319</v>
      </c>
      <c r="E5" s="11" t="s">
        <v>33</v>
      </c>
    </row>
    <row r="6">
      <c r="A6" s="19">
        <v>0.07291666666666667</v>
      </c>
      <c r="B6" s="32" t="s">
        <v>1126</v>
      </c>
      <c r="C6" s="35" t="s">
        <v>68</v>
      </c>
      <c r="D6" s="34" t="s">
        <v>12</v>
      </c>
      <c r="E6" s="11" t="s">
        <v>37</v>
      </c>
    </row>
    <row r="7">
      <c r="A7" s="19">
        <v>0.08333333333333333</v>
      </c>
      <c r="B7" s="34" t="s">
        <v>1126</v>
      </c>
      <c r="C7" s="35" t="s">
        <v>282</v>
      </c>
      <c r="D7" s="32" t="s">
        <v>1320</v>
      </c>
      <c r="E7" s="11" t="s">
        <v>33</v>
      </c>
    </row>
    <row r="8">
      <c r="A8" s="19">
        <v>0.08333333333333333</v>
      </c>
      <c r="B8" s="32" t="s">
        <v>12</v>
      </c>
      <c r="C8" s="35" t="s">
        <v>239</v>
      </c>
      <c r="D8" s="32" t="s">
        <v>956</v>
      </c>
      <c r="E8" s="11" t="s">
        <v>37</v>
      </c>
    </row>
    <row r="9">
      <c r="A9" s="19">
        <v>0.09375</v>
      </c>
      <c r="B9" s="34" t="s">
        <v>1126</v>
      </c>
      <c r="C9" s="35" t="s">
        <v>378</v>
      </c>
      <c r="D9" s="34" t="s">
        <v>1319</v>
      </c>
      <c r="E9" s="11" t="s">
        <v>33</v>
      </c>
    </row>
    <row r="10">
      <c r="A10" s="19">
        <v>0.09375</v>
      </c>
      <c r="B10" s="32" t="s">
        <v>956</v>
      </c>
      <c r="C10" s="35" t="s">
        <v>43</v>
      </c>
      <c r="D10" s="32" t="s">
        <v>1320</v>
      </c>
      <c r="E10" s="11" t="s">
        <v>37</v>
      </c>
    </row>
    <row r="11">
      <c r="A11" s="19">
        <v>0.10416666666666667</v>
      </c>
      <c r="B11" s="34" t="s">
        <v>12</v>
      </c>
      <c r="C11" s="35" t="s">
        <v>215</v>
      </c>
      <c r="D11" s="32" t="s">
        <v>1319</v>
      </c>
      <c r="E11" s="11" t="s">
        <v>33</v>
      </c>
      <c r="G11" s="35"/>
    </row>
    <row r="12">
      <c r="A12" s="19">
        <v>0.10416666666666667</v>
      </c>
      <c r="B12" s="32" t="s">
        <v>956</v>
      </c>
      <c r="C12" s="35" t="s">
        <v>465</v>
      </c>
      <c r="D12" s="34" t="s">
        <v>1126</v>
      </c>
      <c r="E12" s="11" t="s">
        <v>37</v>
      </c>
    </row>
    <row r="13">
      <c r="A13" s="19">
        <v>0.11458333333333333</v>
      </c>
      <c r="B13" s="34" t="s">
        <v>1319</v>
      </c>
      <c r="C13" s="35" t="s">
        <v>190</v>
      </c>
      <c r="D13" s="32" t="s">
        <v>956</v>
      </c>
      <c r="E13" s="11" t="s">
        <v>33</v>
      </c>
    </row>
    <row r="14">
      <c r="A14" s="19">
        <v>0.11458333333333333</v>
      </c>
      <c r="B14" s="32" t="s">
        <v>12</v>
      </c>
      <c r="C14" s="35" t="s">
        <v>19</v>
      </c>
      <c r="D14" s="32" t="s">
        <v>1320</v>
      </c>
      <c r="E14" s="11" t="s">
        <v>37</v>
      </c>
    </row>
    <row r="15">
      <c r="A15" s="19">
        <v>0.125</v>
      </c>
      <c r="B15" s="32" t="s">
        <v>1319</v>
      </c>
      <c r="C15" s="35" t="s">
        <v>21</v>
      </c>
      <c r="D15" s="34" t="s">
        <v>1320</v>
      </c>
      <c r="E15" s="11" t="s">
        <v>33</v>
      </c>
    </row>
    <row r="16">
      <c r="A16" s="19">
        <v>0.125</v>
      </c>
      <c r="B16" s="34" t="s">
        <v>12</v>
      </c>
      <c r="C16" s="35" t="s">
        <v>197</v>
      </c>
      <c r="D16" s="32" t="s">
        <v>1126</v>
      </c>
      <c r="E16" s="11" t="s">
        <v>37</v>
      </c>
    </row>
    <row r="17">
      <c r="A17" s="19">
        <v>0.13541666666666666</v>
      </c>
      <c r="B17" s="32" t="s">
        <v>1320</v>
      </c>
      <c r="C17" s="35" t="s">
        <v>354</v>
      </c>
      <c r="D17" s="34" t="s">
        <v>1126</v>
      </c>
      <c r="E17" s="11" t="s">
        <v>33</v>
      </c>
    </row>
    <row r="18">
      <c r="A18" s="19">
        <v>0.13541666666666666</v>
      </c>
      <c r="B18" s="32" t="s">
        <v>956</v>
      </c>
      <c r="C18" s="35" t="s">
        <v>286</v>
      </c>
      <c r="D18" s="32" t="s">
        <v>12</v>
      </c>
      <c r="E18" s="11" t="s">
        <v>37</v>
      </c>
    </row>
    <row r="19">
      <c r="A19" s="19">
        <v>0.14583333333333334</v>
      </c>
      <c r="B19" s="34" t="s">
        <v>1319</v>
      </c>
      <c r="C19" s="35" t="s">
        <v>212</v>
      </c>
      <c r="D19" s="34" t="s">
        <v>1126</v>
      </c>
      <c r="E19" s="11" t="s">
        <v>33</v>
      </c>
    </row>
    <row r="20">
      <c r="A20" s="19">
        <v>0.14583333333333334</v>
      </c>
      <c r="B20" s="32" t="s">
        <v>1320</v>
      </c>
      <c r="C20" s="35" t="s">
        <v>22</v>
      </c>
      <c r="D20" s="32" t="s">
        <v>956</v>
      </c>
      <c r="E20" s="11" t="s">
        <v>37</v>
      </c>
    </row>
    <row r="21">
      <c r="A21" s="19">
        <v>0.15625</v>
      </c>
      <c r="B21" s="32" t="s">
        <v>1319</v>
      </c>
      <c r="C21" s="35" t="s">
        <v>31</v>
      </c>
      <c r="D21" s="34" t="s">
        <v>12</v>
      </c>
      <c r="E21" s="11" t="s">
        <v>33</v>
      </c>
    </row>
    <row r="22">
      <c r="A22" s="19">
        <v>0.15625</v>
      </c>
      <c r="B22" s="34" t="s">
        <v>1126</v>
      </c>
      <c r="C22" s="35" t="s">
        <v>17</v>
      </c>
      <c r="D22" s="32" t="s">
        <v>956</v>
      </c>
      <c r="E22" s="11" t="s">
        <v>37</v>
      </c>
    </row>
    <row r="23">
      <c r="A23" s="58"/>
      <c r="B23" s="1" t="s">
        <v>1321</v>
      </c>
      <c r="C23" s="2"/>
      <c r="D23" s="3"/>
      <c r="E23" s="48"/>
    </row>
    <row r="24">
      <c r="A24" s="18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9">
        <v>0.08680555555555555</v>
      </c>
      <c r="B25" s="34" t="s">
        <v>1322</v>
      </c>
      <c r="C25" s="33" t="s">
        <v>43</v>
      </c>
      <c r="D25" s="32" t="s">
        <v>1323</v>
      </c>
      <c r="E25" s="11" t="s">
        <v>9</v>
      </c>
    </row>
    <row r="26">
      <c r="A26" s="19">
        <v>0.08680555555555555</v>
      </c>
      <c r="B26" s="32" t="s">
        <v>1324</v>
      </c>
      <c r="C26" s="33" t="s">
        <v>283</v>
      </c>
      <c r="D26" s="8" t="s">
        <v>1325</v>
      </c>
      <c r="E26" s="11" t="s">
        <v>13</v>
      </c>
    </row>
    <row r="27">
      <c r="A27" s="19">
        <v>0.09791666666666667</v>
      </c>
      <c r="B27" s="34" t="s">
        <v>1324</v>
      </c>
      <c r="C27" s="33" t="s">
        <v>69</v>
      </c>
      <c r="D27" s="34" t="s">
        <v>1323</v>
      </c>
      <c r="E27" s="11" t="s">
        <v>9</v>
      </c>
    </row>
    <row r="28">
      <c r="A28" s="19">
        <v>0.09791666666666667</v>
      </c>
      <c r="B28" s="32" t="s">
        <v>1326</v>
      </c>
      <c r="C28" s="33" t="s">
        <v>11</v>
      </c>
      <c r="D28" s="8" t="s">
        <v>1325</v>
      </c>
      <c r="E28" s="11" t="s">
        <v>13</v>
      </c>
    </row>
    <row r="29">
      <c r="A29" s="19">
        <v>0.10902777777777778</v>
      </c>
      <c r="B29" s="34" t="s">
        <v>1326</v>
      </c>
      <c r="C29" s="33" t="s">
        <v>201</v>
      </c>
      <c r="D29" s="32" t="s">
        <v>1324</v>
      </c>
      <c r="E29" s="11" t="s">
        <v>9</v>
      </c>
    </row>
    <row r="30">
      <c r="A30" s="19">
        <v>0.10902777777777778</v>
      </c>
      <c r="B30" s="8" t="s">
        <v>1325</v>
      </c>
      <c r="C30" s="33" t="s">
        <v>293</v>
      </c>
      <c r="D30" s="34" t="s">
        <v>1322</v>
      </c>
      <c r="E30" s="11" t="s">
        <v>13</v>
      </c>
    </row>
    <row r="31">
      <c r="A31" s="19">
        <v>0.12013888888888889</v>
      </c>
      <c r="B31" s="34" t="s">
        <v>1326</v>
      </c>
      <c r="C31" s="33" t="s">
        <v>55</v>
      </c>
      <c r="D31" s="32" t="s">
        <v>1323</v>
      </c>
      <c r="E31" s="11" t="s">
        <v>9</v>
      </c>
    </row>
    <row r="32">
      <c r="A32" s="19">
        <v>0.12013888888888889</v>
      </c>
      <c r="B32" s="32" t="s">
        <v>1322</v>
      </c>
      <c r="C32" s="33" t="s">
        <v>578</v>
      </c>
      <c r="D32" s="34" t="s">
        <v>1324</v>
      </c>
      <c r="E32" s="11" t="s">
        <v>13</v>
      </c>
    </row>
    <row r="33">
      <c r="A33" s="19">
        <v>0.13125</v>
      </c>
      <c r="B33" s="8" t="s">
        <v>1325</v>
      </c>
      <c r="C33" s="33" t="s">
        <v>239</v>
      </c>
      <c r="D33" s="32" t="s">
        <v>1323</v>
      </c>
      <c r="E33" s="11" t="s">
        <v>9</v>
      </c>
    </row>
    <row r="34">
      <c r="A34" s="19">
        <v>0.13125</v>
      </c>
      <c r="B34" s="32" t="s">
        <v>1322</v>
      </c>
      <c r="C34" s="33" t="s">
        <v>589</v>
      </c>
      <c r="D34" s="32" t="s">
        <v>1326</v>
      </c>
      <c r="E34" s="11" t="s">
        <v>13</v>
      </c>
    </row>
    <row r="35">
      <c r="A35" s="19">
        <v>0.1423611111111111</v>
      </c>
      <c r="B35" s="32" t="s">
        <v>1323</v>
      </c>
      <c r="C35" s="33" t="s">
        <v>28</v>
      </c>
      <c r="D35" s="34" t="s">
        <v>1322</v>
      </c>
      <c r="E35" s="11" t="s">
        <v>9</v>
      </c>
    </row>
    <row r="36">
      <c r="A36" s="19">
        <v>0.1423611111111111</v>
      </c>
      <c r="B36" s="8" t="s">
        <v>1325</v>
      </c>
      <c r="C36" s="33" t="s">
        <v>197</v>
      </c>
      <c r="D36" s="32" t="s">
        <v>1324</v>
      </c>
      <c r="E36" s="11" t="s">
        <v>13</v>
      </c>
    </row>
    <row r="37">
      <c r="A37" s="19">
        <v>0.15347222222222223</v>
      </c>
      <c r="B37" s="34" t="s">
        <v>1323</v>
      </c>
      <c r="C37" s="35" t="s">
        <v>17</v>
      </c>
      <c r="D37" s="34" t="s">
        <v>1324</v>
      </c>
      <c r="E37" s="11" t="s">
        <v>9</v>
      </c>
    </row>
    <row r="38">
      <c r="A38" s="19">
        <v>0.15347222222222223</v>
      </c>
      <c r="B38" s="8" t="s">
        <v>1325</v>
      </c>
      <c r="C38" s="35" t="s">
        <v>232</v>
      </c>
      <c r="D38" s="32" t="s">
        <v>1326</v>
      </c>
      <c r="E38" s="11" t="s">
        <v>13</v>
      </c>
    </row>
    <row r="39">
      <c r="A39" s="19">
        <v>0.16458333333333333</v>
      </c>
      <c r="B39" s="32" t="s">
        <v>1324</v>
      </c>
      <c r="C39" s="35" t="s">
        <v>68</v>
      </c>
      <c r="D39" s="34" t="s">
        <v>1326</v>
      </c>
      <c r="E39" s="11" t="s">
        <v>9</v>
      </c>
    </row>
    <row r="40">
      <c r="A40" s="19">
        <v>0.16458333333333333</v>
      </c>
      <c r="B40" s="34" t="s">
        <v>1322</v>
      </c>
      <c r="C40" s="35" t="s">
        <v>527</v>
      </c>
      <c r="D40" s="8" t="s">
        <v>1325</v>
      </c>
      <c r="E40" s="11" t="s">
        <v>13</v>
      </c>
    </row>
    <row r="41">
      <c r="A41" s="19">
        <v>0.17569444444444443</v>
      </c>
      <c r="B41" s="32" t="s">
        <v>1323</v>
      </c>
      <c r="C41" s="35" t="s">
        <v>80</v>
      </c>
      <c r="D41" s="34" t="s">
        <v>1326</v>
      </c>
      <c r="E41" s="11" t="s">
        <v>9</v>
      </c>
    </row>
    <row r="42">
      <c r="A42" s="19">
        <v>0.17569444444444443</v>
      </c>
      <c r="B42" s="34" t="s">
        <v>1324</v>
      </c>
      <c r="C42" s="35" t="s">
        <v>62</v>
      </c>
      <c r="D42" s="32" t="s">
        <v>1322</v>
      </c>
      <c r="E42" s="11" t="s">
        <v>13</v>
      </c>
    </row>
    <row r="43">
      <c r="A43" s="19">
        <v>0.18680555555555556</v>
      </c>
      <c r="B43" s="32" t="s">
        <v>1323</v>
      </c>
      <c r="C43" s="35" t="s">
        <v>195</v>
      </c>
      <c r="D43" s="8" t="s">
        <v>1325</v>
      </c>
      <c r="E43" s="11" t="s">
        <v>9</v>
      </c>
    </row>
    <row r="44">
      <c r="A44" s="19">
        <v>0.18680555555555556</v>
      </c>
      <c r="B44" s="32" t="s">
        <v>1326</v>
      </c>
      <c r="C44" s="35" t="s">
        <v>260</v>
      </c>
      <c r="D44" s="32" t="s">
        <v>1322</v>
      </c>
      <c r="E44" s="11" t="s">
        <v>13</v>
      </c>
    </row>
    <row r="45">
      <c r="A45" s="27"/>
      <c r="B45" s="1" t="s">
        <v>1327</v>
      </c>
      <c r="C45" s="2"/>
      <c r="D45" s="3"/>
      <c r="E45" s="14"/>
    </row>
    <row r="46">
      <c r="A46" s="18" t="s">
        <v>1</v>
      </c>
      <c r="B46" s="16" t="s">
        <v>2</v>
      </c>
      <c r="C46" s="16" t="s">
        <v>3</v>
      </c>
      <c r="D46" s="16" t="s">
        <v>4</v>
      </c>
      <c r="E46" s="16" t="s">
        <v>5</v>
      </c>
    </row>
    <row r="47">
      <c r="A47" s="19">
        <v>0.16666666666666666</v>
      </c>
      <c r="B47" s="32" t="s">
        <v>1328</v>
      </c>
      <c r="C47" s="35" t="s">
        <v>260</v>
      </c>
      <c r="D47" s="32" t="s">
        <v>1329</v>
      </c>
      <c r="E47" s="11" t="s">
        <v>33</v>
      </c>
    </row>
    <row r="48">
      <c r="A48" s="19">
        <v>0.16666666666666666</v>
      </c>
      <c r="B48" s="32" t="s">
        <v>685</v>
      </c>
      <c r="C48" s="35" t="s">
        <v>500</v>
      </c>
      <c r="D48" s="32" t="s">
        <v>1330</v>
      </c>
      <c r="E48" s="11" t="s">
        <v>37</v>
      </c>
    </row>
    <row r="49">
      <c r="A49" s="19">
        <v>0.17708333333333334</v>
      </c>
      <c r="B49" s="32" t="s">
        <v>685</v>
      </c>
      <c r="C49" s="35" t="s">
        <v>215</v>
      </c>
      <c r="D49" s="32" t="s">
        <v>1329</v>
      </c>
      <c r="E49" s="11" t="s">
        <v>33</v>
      </c>
    </row>
    <row r="50">
      <c r="A50" s="19">
        <v>0.17708333333333334</v>
      </c>
      <c r="B50" s="32" t="s">
        <v>859</v>
      </c>
      <c r="C50" s="35" t="s">
        <v>48</v>
      </c>
      <c r="D50" s="32" t="s">
        <v>1330</v>
      </c>
      <c r="E50" s="11" t="s">
        <v>37</v>
      </c>
    </row>
    <row r="51">
      <c r="A51" s="19">
        <v>0.1875</v>
      </c>
      <c r="B51" s="32" t="s">
        <v>859</v>
      </c>
      <c r="C51" s="35" t="s">
        <v>190</v>
      </c>
      <c r="D51" s="32" t="s">
        <v>685</v>
      </c>
      <c r="E51" s="11" t="s">
        <v>33</v>
      </c>
    </row>
    <row r="52">
      <c r="A52" s="19">
        <v>0.1875</v>
      </c>
      <c r="B52" s="32" t="s">
        <v>1330</v>
      </c>
      <c r="C52" s="35" t="s">
        <v>64</v>
      </c>
      <c r="D52" s="32" t="s">
        <v>1328</v>
      </c>
      <c r="E52" s="11" t="s">
        <v>37</v>
      </c>
    </row>
    <row r="53">
      <c r="A53" s="19">
        <v>0.19791666666666666</v>
      </c>
      <c r="B53" s="32" t="s">
        <v>859</v>
      </c>
      <c r="C53" s="35" t="s">
        <v>87</v>
      </c>
      <c r="D53" s="32" t="s">
        <v>1329</v>
      </c>
      <c r="E53" s="11" t="s">
        <v>33</v>
      </c>
    </row>
    <row r="54">
      <c r="A54" s="19">
        <v>0.19791666666666666</v>
      </c>
      <c r="B54" s="32" t="s">
        <v>1328</v>
      </c>
      <c r="C54" s="35" t="s">
        <v>201</v>
      </c>
      <c r="D54" s="32" t="s">
        <v>685</v>
      </c>
      <c r="E54" s="11" t="s">
        <v>37</v>
      </c>
    </row>
    <row r="55">
      <c r="A55" s="19">
        <v>0.20833333333333334</v>
      </c>
      <c r="B55" s="32" t="s">
        <v>1330</v>
      </c>
      <c r="C55" s="35" t="s">
        <v>62</v>
      </c>
      <c r="D55" s="32" t="s">
        <v>1329</v>
      </c>
      <c r="E55" s="11" t="s">
        <v>33</v>
      </c>
    </row>
    <row r="56">
      <c r="A56" s="19">
        <v>0.20833333333333334</v>
      </c>
      <c r="B56" s="32" t="s">
        <v>1328</v>
      </c>
      <c r="C56" s="35" t="s">
        <v>370</v>
      </c>
      <c r="D56" s="32" t="s">
        <v>859</v>
      </c>
      <c r="E56" s="11" t="s">
        <v>37</v>
      </c>
    </row>
    <row r="57">
      <c r="A57" s="19">
        <v>0.21875</v>
      </c>
      <c r="B57" s="32" t="s">
        <v>1329</v>
      </c>
      <c r="C57" s="35" t="s">
        <v>456</v>
      </c>
      <c r="D57" s="32" t="s">
        <v>1328</v>
      </c>
      <c r="E57" s="11" t="s">
        <v>33</v>
      </c>
    </row>
    <row r="58">
      <c r="A58" s="19">
        <v>0.21875</v>
      </c>
      <c r="B58" s="32" t="s">
        <v>1330</v>
      </c>
      <c r="C58" s="35" t="s">
        <v>297</v>
      </c>
      <c r="D58" s="32" t="s">
        <v>685</v>
      </c>
      <c r="E58" s="11" t="s">
        <v>37</v>
      </c>
    </row>
    <row r="59">
      <c r="A59" s="19">
        <v>0.22916666666666666</v>
      </c>
      <c r="B59" s="32" t="s">
        <v>1329</v>
      </c>
      <c r="C59" s="35" t="s">
        <v>190</v>
      </c>
      <c r="D59" s="32" t="s">
        <v>685</v>
      </c>
      <c r="E59" s="11" t="s">
        <v>33</v>
      </c>
    </row>
    <row r="60">
      <c r="A60" s="19">
        <v>0.22916666666666666</v>
      </c>
      <c r="B60" s="32" t="s">
        <v>1330</v>
      </c>
      <c r="C60" s="35" t="s">
        <v>64</v>
      </c>
      <c r="D60" s="32" t="s">
        <v>859</v>
      </c>
      <c r="E60" s="11" t="s">
        <v>37</v>
      </c>
    </row>
    <row r="61">
      <c r="A61" s="19">
        <v>0.23958333333333334</v>
      </c>
      <c r="B61" s="32" t="s">
        <v>685</v>
      </c>
      <c r="C61" s="35" t="s">
        <v>631</v>
      </c>
      <c r="D61" s="32" t="s">
        <v>859</v>
      </c>
      <c r="E61" s="11" t="s">
        <v>33</v>
      </c>
    </row>
    <row r="62">
      <c r="A62" s="19">
        <v>0.23958333333333334</v>
      </c>
      <c r="B62" s="32" t="s">
        <v>1328</v>
      </c>
      <c r="C62" s="35" t="s">
        <v>193</v>
      </c>
      <c r="D62" s="32" t="s">
        <v>1330</v>
      </c>
      <c r="E62" s="11" t="s">
        <v>37</v>
      </c>
    </row>
    <row r="63">
      <c r="A63" s="19">
        <v>0.25</v>
      </c>
      <c r="B63" s="32" t="s">
        <v>1329</v>
      </c>
      <c r="C63" s="35" t="s">
        <v>195</v>
      </c>
      <c r="D63" s="32" t="s">
        <v>859</v>
      </c>
      <c r="E63" s="11" t="s">
        <v>33</v>
      </c>
    </row>
    <row r="64">
      <c r="A64" s="19">
        <v>0.25</v>
      </c>
      <c r="B64" s="32" t="s">
        <v>685</v>
      </c>
      <c r="C64" s="35" t="s">
        <v>66</v>
      </c>
      <c r="D64" s="32" t="s">
        <v>1328</v>
      </c>
      <c r="E64" s="11" t="s">
        <v>37</v>
      </c>
    </row>
    <row r="65">
      <c r="A65" s="19">
        <v>0.2604166666666667</v>
      </c>
      <c r="B65" s="32" t="s">
        <v>1329</v>
      </c>
      <c r="C65" s="35" t="s">
        <v>286</v>
      </c>
      <c r="D65" s="32" t="s">
        <v>1330</v>
      </c>
      <c r="E65" s="11" t="s">
        <v>33</v>
      </c>
    </row>
    <row r="66">
      <c r="A66" s="19">
        <v>0.2604166666666667</v>
      </c>
      <c r="B66" s="32" t="s">
        <v>859</v>
      </c>
      <c r="C66" s="35" t="s">
        <v>72</v>
      </c>
      <c r="D66" s="32" t="s">
        <v>1328</v>
      </c>
      <c r="E66" s="11" t="s">
        <v>37</v>
      </c>
    </row>
    <row r="67">
      <c r="A67" s="27"/>
      <c r="B67" s="1" t="s">
        <v>1331</v>
      </c>
      <c r="C67" s="2"/>
      <c r="D67" s="3"/>
      <c r="E67" s="4"/>
    </row>
    <row r="68">
      <c r="A68" s="18" t="s">
        <v>1</v>
      </c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19">
        <v>0.21180555555555555</v>
      </c>
      <c r="B69" s="32" t="s">
        <v>1332</v>
      </c>
      <c r="C69" s="33" t="s">
        <v>16</v>
      </c>
      <c r="D69" s="32" t="s">
        <v>1333</v>
      </c>
      <c r="E69" s="11" t="s">
        <v>9</v>
      </c>
    </row>
    <row r="70">
      <c r="A70" s="19">
        <v>0.21180555555555555</v>
      </c>
      <c r="B70" s="32" t="s">
        <v>1334</v>
      </c>
      <c r="C70" s="33" t="s">
        <v>239</v>
      </c>
      <c r="D70" s="8" t="s">
        <v>1335</v>
      </c>
      <c r="E70" s="11" t="s">
        <v>13</v>
      </c>
    </row>
    <row r="71">
      <c r="A71" s="19">
        <v>0.22291666666666668</v>
      </c>
      <c r="B71" s="32" t="s">
        <v>1334</v>
      </c>
      <c r="C71" s="33" t="s">
        <v>17</v>
      </c>
      <c r="D71" s="32" t="s">
        <v>1333</v>
      </c>
      <c r="E71" s="11" t="s">
        <v>9</v>
      </c>
    </row>
    <row r="72">
      <c r="A72" s="19">
        <v>0.22291666666666668</v>
      </c>
      <c r="B72" s="32" t="s">
        <v>1336</v>
      </c>
      <c r="C72" s="33" t="s">
        <v>578</v>
      </c>
      <c r="D72" s="8" t="s">
        <v>1335</v>
      </c>
      <c r="E72" s="11" t="s">
        <v>13</v>
      </c>
    </row>
    <row r="73">
      <c r="A73" s="19">
        <v>0.23402777777777778</v>
      </c>
      <c r="B73" s="32" t="s">
        <v>1336</v>
      </c>
      <c r="C73" s="33" t="s">
        <v>28</v>
      </c>
      <c r="D73" s="32" t="s">
        <v>1334</v>
      </c>
      <c r="E73" s="11" t="s">
        <v>9</v>
      </c>
    </row>
    <row r="74">
      <c r="A74" s="19">
        <v>0.23402777777777778</v>
      </c>
      <c r="B74" s="8" t="s">
        <v>1335</v>
      </c>
      <c r="C74" s="33" t="s">
        <v>19</v>
      </c>
      <c r="D74" s="32" t="s">
        <v>1332</v>
      </c>
      <c r="E74" s="11" t="s">
        <v>13</v>
      </c>
    </row>
    <row r="75">
      <c r="A75" s="19">
        <v>0.24513888888888888</v>
      </c>
      <c r="B75" s="32" t="s">
        <v>1336</v>
      </c>
      <c r="C75" s="33" t="s">
        <v>64</v>
      </c>
      <c r="D75" s="32" t="s">
        <v>1333</v>
      </c>
      <c r="E75" s="11" t="s">
        <v>9</v>
      </c>
    </row>
    <row r="76">
      <c r="A76" s="19">
        <v>0.24513888888888888</v>
      </c>
      <c r="B76" s="32" t="s">
        <v>1332</v>
      </c>
      <c r="C76" s="33" t="s">
        <v>190</v>
      </c>
      <c r="D76" s="32" t="s">
        <v>1334</v>
      </c>
      <c r="E76" s="11" t="s">
        <v>13</v>
      </c>
    </row>
    <row r="77">
      <c r="A77" s="19">
        <v>0.25625</v>
      </c>
      <c r="B77" s="8" t="s">
        <v>1335</v>
      </c>
      <c r="C77" s="33" t="s">
        <v>11</v>
      </c>
      <c r="D77" s="32" t="s">
        <v>1333</v>
      </c>
      <c r="E77" s="11" t="s">
        <v>9</v>
      </c>
    </row>
    <row r="78">
      <c r="A78" s="19">
        <v>0.25625</v>
      </c>
      <c r="B78" s="32" t="s">
        <v>1332</v>
      </c>
      <c r="C78" s="33" t="s">
        <v>87</v>
      </c>
      <c r="D78" s="32" t="s">
        <v>1336</v>
      </c>
      <c r="E78" s="11" t="s">
        <v>13</v>
      </c>
    </row>
    <row r="79">
      <c r="A79" s="19">
        <v>0.2673611111111111</v>
      </c>
      <c r="B79" s="32" t="s">
        <v>1333</v>
      </c>
      <c r="C79" s="33" t="s">
        <v>7</v>
      </c>
      <c r="D79" s="32" t="s">
        <v>1332</v>
      </c>
      <c r="E79" s="11" t="s">
        <v>9</v>
      </c>
    </row>
    <row r="80">
      <c r="A80" s="19">
        <v>0.2673611111111111</v>
      </c>
      <c r="B80" s="8" t="s">
        <v>1335</v>
      </c>
      <c r="C80" s="33" t="s">
        <v>11</v>
      </c>
      <c r="D80" s="32" t="s">
        <v>1334</v>
      </c>
      <c r="E80" s="11" t="s">
        <v>13</v>
      </c>
    </row>
    <row r="81">
      <c r="A81" s="19">
        <v>0.27847222222222223</v>
      </c>
      <c r="B81" s="32" t="s">
        <v>1333</v>
      </c>
      <c r="C81" s="35" t="s">
        <v>66</v>
      </c>
      <c r="D81" s="32" t="s">
        <v>1334</v>
      </c>
      <c r="E81" s="11" t="s">
        <v>9</v>
      </c>
    </row>
    <row r="82">
      <c r="A82" s="19">
        <v>0.27847222222222223</v>
      </c>
      <c r="B82" s="8" t="s">
        <v>1335</v>
      </c>
      <c r="C82" s="35" t="s">
        <v>45</v>
      </c>
      <c r="D82" s="32" t="s">
        <v>1336</v>
      </c>
      <c r="E82" s="11" t="s">
        <v>13</v>
      </c>
    </row>
    <row r="83">
      <c r="A83" s="19">
        <v>0.28958333333333336</v>
      </c>
      <c r="B83" s="32" t="s">
        <v>1334</v>
      </c>
      <c r="C83" s="35" t="s">
        <v>218</v>
      </c>
      <c r="D83" s="32" t="s">
        <v>1336</v>
      </c>
      <c r="E83" s="11" t="s">
        <v>9</v>
      </c>
    </row>
    <row r="84">
      <c r="A84" s="19">
        <v>0.28958333333333336</v>
      </c>
      <c r="B84" s="32" t="s">
        <v>1332</v>
      </c>
      <c r="C84" s="35" t="s">
        <v>193</v>
      </c>
      <c r="D84" s="8" t="s">
        <v>1335</v>
      </c>
      <c r="E84" s="11" t="s">
        <v>13</v>
      </c>
    </row>
    <row r="85">
      <c r="A85" s="19">
        <v>0.30069444444444443</v>
      </c>
      <c r="B85" s="32" t="s">
        <v>1333</v>
      </c>
      <c r="C85" s="35" t="s">
        <v>22</v>
      </c>
      <c r="D85" s="32" t="s">
        <v>1336</v>
      </c>
      <c r="E85" s="11" t="s">
        <v>9</v>
      </c>
    </row>
    <row r="86">
      <c r="A86" s="19">
        <v>0.30069444444444443</v>
      </c>
      <c r="B86" s="32" t="s">
        <v>1334</v>
      </c>
      <c r="C86" s="35" t="s">
        <v>19</v>
      </c>
      <c r="D86" s="32" t="s">
        <v>1332</v>
      </c>
      <c r="E86" s="11" t="s">
        <v>13</v>
      </c>
    </row>
    <row r="87">
      <c r="A87" s="19">
        <v>0.31180555555555556</v>
      </c>
      <c r="B87" s="32" t="s">
        <v>1333</v>
      </c>
      <c r="C87" s="35" t="s">
        <v>19</v>
      </c>
      <c r="D87" s="8" t="s">
        <v>1335</v>
      </c>
      <c r="E87" s="11" t="s">
        <v>9</v>
      </c>
    </row>
    <row r="88">
      <c r="A88" s="19">
        <v>0.31180555555555556</v>
      </c>
      <c r="B88" s="32" t="s">
        <v>1336</v>
      </c>
      <c r="C88" s="35" t="s">
        <v>218</v>
      </c>
      <c r="D88" s="32" t="s">
        <v>1332</v>
      </c>
      <c r="E88" s="11" t="s">
        <v>13</v>
      </c>
    </row>
    <row r="89">
      <c r="A89" s="27"/>
      <c r="B89" s="1" t="s">
        <v>90</v>
      </c>
      <c r="C89" s="2"/>
      <c r="D89" s="3"/>
      <c r="E89" s="4"/>
    </row>
    <row r="90">
      <c r="A90" s="18" t="s">
        <v>1</v>
      </c>
      <c r="B90" s="16" t="s">
        <v>2</v>
      </c>
      <c r="C90" s="16" t="s">
        <v>3</v>
      </c>
      <c r="D90" s="16" t="s">
        <v>4</v>
      </c>
      <c r="E90" s="16" t="s">
        <v>5</v>
      </c>
    </row>
    <row r="91">
      <c r="A91" s="19">
        <v>0.3333333333333333</v>
      </c>
      <c r="B91" s="32" t="s">
        <v>1337</v>
      </c>
      <c r="C91" s="35" t="s">
        <v>1338</v>
      </c>
      <c r="D91" s="32" t="s">
        <v>1339</v>
      </c>
      <c r="E91" s="11" t="s">
        <v>9</v>
      </c>
    </row>
    <row r="92">
      <c r="A92" s="19">
        <v>0.3333333333333333</v>
      </c>
      <c r="B92" s="32" t="s">
        <v>1340</v>
      </c>
      <c r="C92" s="35" t="s">
        <v>352</v>
      </c>
      <c r="D92" s="32" t="s">
        <v>1341</v>
      </c>
      <c r="E92" s="11" t="s">
        <v>13</v>
      </c>
    </row>
    <row r="93">
      <c r="A93" s="19">
        <v>0.34305555555555556</v>
      </c>
      <c r="B93" s="32" t="s">
        <v>1340</v>
      </c>
      <c r="C93" s="35" t="s">
        <v>22</v>
      </c>
      <c r="D93" s="32" t="s">
        <v>1339</v>
      </c>
      <c r="E93" s="11" t="s">
        <v>9</v>
      </c>
    </row>
    <row r="94">
      <c r="A94" s="19">
        <v>0.34305555555555556</v>
      </c>
      <c r="B94" s="32" t="s">
        <v>1264</v>
      </c>
      <c r="C94" s="35" t="s">
        <v>193</v>
      </c>
      <c r="D94" s="32" t="s">
        <v>1341</v>
      </c>
      <c r="E94" s="11" t="s">
        <v>13</v>
      </c>
    </row>
    <row r="95">
      <c r="A95" s="19">
        <v>0.35347222222222224</v>
      </c>
      <c r="B95" s="32" t="s">
        <v>1264</v>
      </c>
      <c r="C95" s="35" t="s">
        <v>41</v>
      </c>
      <c r="D95" s="32" t="s">
        <v>1340</v>
      </c>
      <c r="E95" s="11" t="s">
        <v>9</v>
      </c>
    </row>
    <row r="96">
      <c r="A96" s="19">
        <v>0.35347222222222224</v>
      </c>
      <c r="B96" s="32" t="s">
        <v>1341</v>
      </c>
      <c r="C96" s="35" t="s">
        <v>45</v>
      </c>
      <c r="D96" s="32" t="s">
        <v>1337</v>
      </c>
      <c r="E96" s="11" t="s">
        <v>13</v>
      </c>
    </row>
    <row r="97">
      <c r="A97" s="19">
        <v>0.3638888888888889</v>
      </c>
      <c r="B97" s="32" t="s">
        <v>1264</v>
      </c>
      <c r="C97" s="35" t="s">
        <v>20</v>
      </c>
      <c r="D97" s="32" t="s">
        <v>1339</v>
      </c>
      <c r="E97" s="11" t="s">
        <v>9</v>
      </c>
    </row>
    <row r="98">
      <c r="A98" s="19">
        <v>0.3638888888888889</v>
      </c>
      <c r="B98" s="32" t="s">
        <v>1337</v>
      </c>
      <c r="C98" s="35" t="s">
        <v>337</v>
      </c>
      <c r="D98" s="32" t="s">
        <v>1340</v>
      </c>
      <c r="E98" s="11" t="s">
        <v>13</v>
      </c>
    </row>
    <row r="99">
      <c r="A99" s="19">
        <v>0.3736111111111111</v>
      </c>
      <c r="B99" s="32" t="s">
        <v>1341</v>
      </c>
      <c r="C99" s="35" t="s">
        <v>69</v>
      </c>
      <c r="D99" s="32" t="s">
        <v>1339</v>
      </c>
      <c r="E99" s="11" t="s">
        <v>9</v>
      </c>
    </row>
    <row r="100">
      <c r="A100" s="19">
        <v>0.3736111111111111</v>
      </c>
      <c r="B100" s="32" t="s">
        <v>1337</v>
      </c>
      <c r="C100" s="35" t="s">
        <v>1342</v>
      </c>
      <c r="D100" s="32" t="s">
        <v>1264</v>
      </c>
      <c r="E100" s="11" t="s">
        <v>13</v>
      </c>
    </row>
    <row r="101">
      <c r="A101" s="19">
        <v>0.3840277777777778</v>
      </c>
      <c r="B101" s="32" t="s">
        <v>1339</v>
      </c>
      <c r="C101" s="35" t="s">
        <v>42</v>
      </c>
      <c r="D101" s="32" t="s">
        <v>1337</v>
      </c>
      <c r="E101" s="11" t="s">
        <v>9</v>
      </c>
    </row>
    <row r="102">
      <c r="A102" s="19">
        <v>0.3840277777777778</v>
      </c>
      <c r="B102" s="32" t="s">
        <v>1341</v>
      </c>
      <c r="C102" s="35" t="s">
        <v>337</v>
      </c>
      <c r="D102" s="32" t="s">
        <v>1340</v>
      </c>
      <c r="E102" s="11" t="s">
        <v>13</v>
      </c>
    </row>
    <row r="103">
      <c r="A103" s="19">
        <v>0.39444444444444443</v>
      </c>
      <c r="B103" s="32" t="s">
        <v>1339</v>
      </c>
      <c r="C103" s="35" t="s">
        <v>244</v>
      </c>
      <c r="D103" s="32" t="s">
        <v>1340</v>
      </c>
      <c r="E103" s="11" t="s">
        <v>9</v>
      </c>
    </row>
    <row r="104">
      <c r="A104" s="19">
        <v>0.39444444444444443</v>
      </c>
      <c r="B104" s="32" t="s">
        <v>1341</v>
      </c>
      <c r="C104" s="35" t="s">
        <v>217</v>
      </c>
      <c r="D104" s="32" t="s">
        <v>1264</v>
      </c>
      <c r="E104" s="11" t="s">
        <v>13</v>
      </c>
    </row>
    <row r="105">
      <c r="A105" s="19">
        <v>0.4041666666666667</v>
      </c>
      <c r="B105" s="32" t="s">
        <v>1340</v>
      </c>
      <c r="C105" s="35" t="s">
        <v>81</v>
      </c>
      <c r="D105" s="32" t="s">
        <v>1264</v>
      </c>
      <c r="E105" s="11" t="s">
        <v>9</v>
      </c>
    </row>
    <row r="106">
      <c r="A106" s="19">
        <v>0.4041666666666667</v>
      </c>
      <c r="B106" s="32" t="s">
        <v>1337</v>
      </c>
      <c r="C106" s="35" t="s">
        <v>282</v>
      </c>
      <c r="D106" s="32" t="s">
        <v>1341</v>
      </c>
      <c r="E106" s="11" t="s">
        <v>13</v>
      </c>
    </row>
    <row r="107">
      <c r="A107" s="19">
        <v>0.41458333333333336</v>
      </c>
      <c r="B107" s="32" t="s">
        <v>1339</v>
      </c>
      <c r="C107" s="35" t="s">
        <v>218</v>
      </c>
      <c r="D107" s="32" t="s">
        <v>1264</v>
      </c>
      <c r="E107" s="11" t="s">
        <v>9</v>
      </c>
    </row>
    <row r="108">
      <c r="A108" s="19">
        <v>0.41458333333333336</v>
      </c>
      <c r="B108" s="32" t="s">
        <v>1340</v>
      </c>
      <c r="C108" s="35" t="s">
        <v>286</v>
      </c>
      <c r="D108" s="32" t="s">
        <v>1337</v>
      </c>
      <c r="E108" s="11" t="s">
        <v>13</v>
      </c>
    </row>
    <row r="109">
      <c r="A109" s="19">
        <v>0.425</v>
      </c>
      <c r="B109" s="32" t="s">
        <v>1339</v>
      </c>
      <c r="C109" s="35" t="s">
        <v>726</v>
      </c>
      <c r="D109" s="32" t="s">
        <v>1341</v>
      </c>
      <c r="E109" s="11" t="s">
        <v>9</v>
      </c>
    </row>
    <row r="110">
      <c r="A110" s="19">
        <v>0.425</v>
      </c>
      <c r="B110" s="32" t="s">
        <v>1264</v>
      </c>
      <c r="C110" s="35" t="s">
        <v>684</v>
      </c>
      <c r="D110" s="32" t="s">
        <v>1337</v>
      </c>
      <c r="E110" s="11" t="s">
        <v>13</v>
      </c>
    </row>
    <row r="111">
      <c r="A111" s="27"/>
      <c r="B111" s="1" t="s">
        <v>90</v>
      </c>
      <c r="C111" s="2"/>
      <c r="D111" s="3"/>
      <c r="E111" s="4"/>
    </row>
    <row r="112">
      <c r="A112" s="18" t="s">
        <v>1</v>
      </c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A113" s="19">
        <v>0.3333333333333333</v>
      </c>
      <c r="B113" s="32" t="s">
        <v>235</v>
      </c>
      <c r="C113" s="33" t="s">
        <v>64</v>
      </c>
      <c r="D113" s="32" t="s">
        <v>548</v>
      </c>
      <c r="E113" s="11" t="s">
        <v>33</v>
      </c>
    </row>
    <row r="114">
      <c r="A114" s="19">
        <v>0.3333333333333333</v>
      </c>
      <c r="B114" s="32" t="s">
        <v>1343</v>
      </c>
      <c r="C114" s="33" t="s">
        <v>87</v>
      </c>
      <c r="D114" s="32" t="s">
        <v>99</v>
      </c>
      <c r="E114" s="11" t="s">
        <v>37</v>
      </c>
    </row>
    <row r="115">
      <c r="A115" s="19">
        <v>0.34305555555555556</v>
      </c>
      <c r="B115" s="32" t="s">
        <v>1343</v>
      </c>
      <c r="C115" s="33" t="s">
        <v>81</v>
      </c>
      <c r="D115" s="32" t="s">
        <v>548</v>
      </c>
      <c r="E115" s="11" t="s">
        <v>33</v>
      </c>
    </row>
    <row r="116">
      <c r="A116" s="19">
        <v>0.34305555555555556</v>
      </c>
      <c r="B116" s="32" t="s">
        <v>1203</v>
      </c>
      <c r="C116" s="33" t="s">
        <v>218</v>
      </c>
      <c r="D116" s="32" t="s">
        <v>99</v>
      </c>
      <c r="E116" s="11" t="s">
        <v>37</v>
      </c>
    </row>
    <row r="117">
      <c r="A117" s="19">
        <v>0.35347222222222224</v>
      </c>
      <c r="B117" s="32" t="s">
        <v>1203</v>
      </c>
      <c r="C117" s="33" t="s">
        <v>190</v>
      </c>
      <c r="D117" s="32" t="s">
        <v>1343</v>
      </c>
      <c r="E117" s="11" t="s">
        <v>33</v>
      </c>
    </row>
    <row r="118">
      <c r="A118" s="19">
        <v>0.35347222222222224</v>
      </c>
      <c r="B118" s="32" t="s">
        <v>99</v>
      </c>
      <c r="C118" s="33" t="s">
        <v>197</v>
      </c>
      <c r="D118" s="32" t="s">
        <v>235</v>
      </c>
      <c r="E118" s="11" t="s">
        <v>37</v>
      </c>
    </row>
    <row r="119">
      <c r="A119" s="19">
        <v>0.3638888888888889</v>
      </c>
      <c r="B119" s="32" t="s">
        <v>1203</v>
      </c>
      <c r="C119" s="33" t="s">
        <v>81</v>
      </c>
      <c r="D119" s="32" t="s">
        <v>548</v>
      </c>
      <c r="E119" s="11" t="s">
        <v>33</v>
      </c>
    </row>
    <row r="120">
      <c r="A120" s="19">
        <v>0.3638888888888889</v>
      </c>
      <c r="B120" s="32" t="s">
        <v>235</v>
      </c>
      <c r="C120" s="33" t="s">
        <v>190</v>
      </c>
      <c r="D120" s="32" t="s">
        <v>1343</v>
      </c>
      <c r="E120" s="11" t="s">
        <v>37</v>
      </c>
    </row>
    <row r="121">
      <c r="A121" s="19">
        <v>0.3736111111111111</v>
      </c>
      <c r="B121" s="32" t="s">
        <v>99</v>
      </c>
      <c r="C121" s="33" t="s">
        <v>378</v>
      </c>
      <c r="D121" s="32" t="s">
        <v>548</v>
      </c>
      <c r="E121" s="11" t="s">
        <v>33</v>
      </c>
    </row>
    <row r="122">
      <c r="A122" s="19">
        <v>0.3736111111111111</v>
      </c>
      <c r="B122" s="32" t="s">
        <v>235</v>
      </c>
      <c r="C122" s="33" t="s">
        <v>208</v>
      </c>
      <c r="D122" s="32" t="s">
        <v>1203</v>
      </c>
      <c r="E122" s="11" t="s">
        <v>37</v>
      </c>
    </row>
    <row r="123">
      <c r="A123" s="19">
        <v>0.3840277777777778</v>
      </c>
      <c r="B123" s="32" t="s">
        <v>548</v>
      </c>
      <c r="C123" s="33" t="s">
        <v>267</v>
      </c>
      <c r="D123" s="32" t="s">
        <v>235</v>
      </c>
      <c r="E123" s="11" t="s">
        <v>33</v>
      </c>
    </row>
    <row r="124">
      <c r="A124" s="19">
        <v>0.3840277777777778</v>
      </c>
      <c r="B124" s="32" t="s">
        <v>99</v>
      </c>
      <c r="C124" s="33" t="s">
        <v>64</v>
      </c>
      <c r="D124" s="32" t="s">
        <v>1343</v>
      </c>
      <c r="E124" s="11" t="s">
        <v>37</v>
      </c>
    </row>
    <row r="125">
      <c r="A125" s="19">
        <v>0.39444444444444443</v>
      </c>
      <c r="B125" s="32" t="s">
        <v>548</v>
      </c>
      <c r="C125" s="35" t="s">
        <v>699</v>
      </c>
      <c r="D125" s="32" t="s">
        <v>1343</v>
      </c>
      <c r="E125" s="11" t="s">
        <v>33</v>
      </c>
    </row>
    <row r="126">
      <c r="A126" s="19">
        <v>0.39444444444444443</v>
      </c>
      <c r="B126" s="32" t="s">
        <v>99</v>
      </c>
      <c r="C126" s="35" t="s">
        <v>201</v>
      </c>
      <c r="D126" s="32" t="s">
        <v>1203</v>
      </c>
      <c r="E126" s="11" t="s">
        <v>37</v>
      </c>
    </row>
    <row r="127">
      <c r="A127" s="19">
        <v>0.4041666666666667</v>
      </c>
      <c r="B127" s="32" t="s">
        <v>1343</v>
      </c>
      <c r="C127" s="35" t="s">
        <v>260</v>
      </c>
      <c r="D127" s="32" t="s">
        <v>1203</v>
      </c>
      <c r="E127" s="11" t="s">
        <v>33</v>
      </c>
    </row>
    <row r="128">
      <c r="A128" s="19">
        <v>0.4041666666666667</v>
      </c>
      <c r="B128" s="32" t="s">
        <v>235</v>
      </c>
      <c r="C128" s="35" t="s">
        <v>67</v>
      </c>
      <c r="D128" s="32" t="s">
        <v>99</v>
      </c>
      <c r="E128" s="11" t="s">
        <v>37</v>
      </c>
    </row>
    <row r="129">
      <c r="A129" s="19">
        <v>0.41458333333333336</v>
      </c>
      <c r="B129" s="32" t="s">
        <v>548</v>
      </c>
      <c r="C129" s="35" t="s">
        <v>64</v>
      </c>
      <c r="D129" s="32" t="s">
        <v>1203</v>
      </c>
      <c r="E129" s="11" t="s">
        <v>33</v>
      </c>
    </row>
    <row r="130">
      <c r="A130" s="19">
        <v>0.41458333333333336</v>
      </c>
      <c r="B130" s="32" t="s">
        <v>1343</v>
      </c>
      <c r="C130" s="35" t="s">
        <v>81</v>
      </c>
      <c r="D130" s="32" t="s">
        <v>235</v>
      </c>
      <c r="E130" s="11" t="s">
        <v>37</v>
      </c>
    </row>
    <row r="131">
      <c r="A131" s="19">
        <v>0.425</v>
      </c>
      <c r="B131" s="32" t="s">
        <v>548</v>
      </c>
      <c r="C131" s="35" t="s">
        <v>426</v>
      </c>
      <c r="D131" s="32" t="s">
        <v>99</v>
      </c>
      <c r="E131" s="11" t="s">
        <v>33</v>
      </c>
    </row>
    <row r="132">
      <c r="A132" s="19">
        <v>0.425</v>
      </c>
      <c r="B132" s="32" t="s">
        <v>1203</v>
      </c>
      <c r="C132" s="35" t="s">
        <v>270</v>
      </c>
      <c r="D132" s="32" t="s">
        <v>235</v>
      </c>
      <c r="E132" s="11" t="s">
        <v>37</v>
      </c>
    </row>
    <row r="133">
      <c r="A133" s="27"/>
      <c r="B133" s="1" t="s">
        <v>101</v>
      </c>
      <c r="C133" s="2"/>
      <c r="D133" s="3"/>
      <c r="E133" s="4"/>
    </row>
    <row r="134">
      <c r="A134" s="18" t="s">
        <v>1</v>
      </c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A135" s="19">
        <v>0.4375</v>
      </c>
      <c r="B135" s="32" t="s">
        <v>1344</v>
      </c>
      <c r="C135" s="33" t="s">
        <v>217</v>
      </c>
      <c r="D135" s="32" t="s">
        <v>1345</v>
      </c>
      <c r="E135" s="11" t="s">
        <v>9</v>
      </c>
    </row>
    <row r="136">
      <c r="A136" s="19">
        <v>0.4375</v>
      </c>
      <c r="B136" s="32" t="s">
        <v>1346</v>
      </c>
      <c r="C136" s="33" t="s">
        <v>1347</v>
      </c>
      <c r="D136" s="32" t="s">
        <v>1060</v>
      </c>
      <c r="E136" s="11" t="s">
        <v>13</v>
      </c>
    </row>
    <row r="137">
      <c r="A137" s="19">
        <v>0.44722222222222224</v>
      </c>
      <c r="B137" s="32" t="s">
        <v>1346</v>
      </c>
      <c r="C137" s="33" t="s">
        <v>64</v>
      </c>
      <c r="D137" s="32" t="s">
        <v>1345</v>
      </c>
      <c r="E137" s="11" t="s">
        <v>9</v>
      </c>
    </row>
    <row r="138">
      <c r="A138" s="19">
        <v>0.44722222222222224</v>
      </c>
      <c r="B138" s="32" t="s">
        <v>1276</v>
      </c>
      <c r="C138" s="33" t="s">
        <v>249</v>
      </c>
      <c r="D138" s="32" t="s">
        <v>1060</v>
      </c>
      <c r="E138" s="11" t="s">
        <v>13</v>
      </c>
    </row>
    <row r="139">
      <c r="A139" s="19">
        <v>0.4576388888888889</v>
      </c>
      <c r="B139" s="32" t="s">
        <v>1276</v>
      </c>
      <c r="C139" s="33" t="s">
        <v>81</v>
      </c>
      <c r="D139" s="32" t="s">
        <v>1346</v>
      </c>
      <c r="E139" s="11" t="s">
        <v>9</v>
      </c>
    </row>
    <row r="140">
      <c r="A140" s="19">
        <v>0.4576388888888889</v>
      </c>
      <c r="B140" s="32" t="s">
        <v>1060</v>
      </c>
      <c r="C140" s="33" t="s">
        <v>78</v>
      </c>
      <c r="D140" s="32" t="s">
        <v>1344</v>
      </c>
      <c r="E140" s="11" t="s">
        <v>13</v>
      </c>
    </row>
    <row r="141">
      <c r="A141" s="19">
        <v>0.46805555555555556</v>
      </c>
      <c r="B141" s="32" t="s">
        <v>1276</v>
      </c>
      <c r="C141" s="33" t="s">
        <v>81</v>
      </c>
      <c r="D141" s="32" t="s">
        <v>1345</v>
      </c>
      <c r="E141" s="11" t="s">
        <v>9</v>
      </c>
    </row>
    <row r="142">
      <c r="A142" s="19">
        <v>0.46805555555555556</v>
      </c>
      <c r="B142" s="32" t="s">
        <v>1344</v>
      </c>
      <c r="C142" s="33" t="s">
        <v>506</v>
      </c>
      <c r="D142" s="32" t="s">
        <v>1346</v>
      </c>
      <c r="E142" s="11" t="s">
        <v>13</v>
      </c>
    </row>
    <row r="143">
      <c r="A143" s="19">
        <v>0.4777777777777778</v>
      </c>
      <c r="B143" s="32" t="s">
        <v>1060</v>
      </c>
      <c r="C143" s="33" t="s">
        <v>220</v>
      </c>
      <c r="D143" s="32" t="s">
        <v>1345</v>
      </c>
      <c r="E143" s="11" t="s">
        <v>9</v>
      </c>
    </row>
    <row r="144">
      <c r="A144" s="19">
        <v>0.4777777777777778</v>
      </c>
      <c r="B144" s="32" t="s">
        <v>1344</v>
      </c>
      <c r="C144" s="33" t="s">
        <v>11</v>
      </c>
      <c r="D144" s="32" t="s">
        <v>1276</v>
      </c>
      <c r="E144" s="11" t="s">
        <v>13</v>
      </c>
    </row>
    <row r="145">
      <c r="A145" s="19">
        <v>0.48819444444444443</v>
      </c>
      <c r="B145" s="32" t="s">
        <v>1345</v>
      </c>
      <c r="C145" s="33" t="s">
        <v>534</v>
      </c>
      <c r="D145" s="32" t="s">
        <v>1344</v>
      </c>
      <c r="E145" s="11" t="s">
        <v>9</v>
      </c>
    </row>
    <row r="146">
      <c r="A146" s="19">
        <v>0.48819444444444443</v>
      </c>
      <c r="B146" s="32" t="s">
        <v>1060</v>
      </c>
      <c r="C146" s="33" t="s">
        <v>76</v>
      </c>
      <c r="D146" s="32" t="s">
        <v>1346</v>
      </c>
      <c r="E146" s="11" t="s">
        <v>13</v>
      </c>
    </row>
    <row r="147">
      <c r="A147" s="19">
        <v>0.4986111111111111</v>
      </c>
      <c r="B147" s="32" t="s">
        <v>1345</v>
      </c>
      <c r="C147" s="35" t="s">
        <v>55</v>
      </c>
      <c r="D147" s="32" t="s">
        <v>1346</v>
      </c>
      <c r="E147" s="11" t="s">
        <v>9</v>
      </c>
    </row>
    <row r="148">
      <c r="A148" s="19">
        <v>0.4986111111111111</v>
      </c>
      <c r="B148" s="32" t="s">
        <v>1060</v>
      </c>
      <c r="C148" s="35" t="s">
        <v>1348</v>
      </c>
      <c r="D148" s="32" t="s">
        <v>1276</v>
      </c>
      <c r="E148" s="11" t="s">
        <v>13</v>
      </c>
    </row>
    <row r="149">
      <c r="A149" s="19">
        <v>0.5083333333333333</v>
      </c>
      <c r="B149" s="32" t="s">
        <v>1346</v>
      </c>
      <c r="C149" s="35" t="s">
        <v>244</v>
      </c>
      <c r="D149" s="32" t="s">
        <v>1276</v>
      </c>
      <c r="E149" s="11" t="s">
        <v>9</v>
      </c>
    </row>
    <row r="150">
      <c r="A150" s="19">
        <v>0.5083333333333333</v>
      </c>
      <c r="B150" s="32" t="s">
        <v>1344</v>
      </c>
      <c r="C150" s="35" t="s">
        <v>28</v>
      </c>
      <c r="D150" s="32" t="s">
        <v>1060</v>
      </c>
      <c r="E150" s="11" t="s">
        <v>13</v>
      </c>
    </row>
    <row r="151">
      <c r="A151" s="19">
        <v>0.51875</v>
      </c>
      <c r="B151" s="32" t="s">
        <v>1345</v>
      </c>
      <c r="C151" s="35" t="s">
        <v>82</v>
      </c>
      <c r="D151" s="32" t="s">
        <v>1276</v>
      </c>
      <c r="E151" s="11" t="s">
        <v>9</v>
      </c>
    </row>
    <row r="152">
      <c r="A152" s="19">
        <v>0.51875</v>
      </c>
      <c r="B152" s="32" t="s">
        <v>1346</v>
      </c>
      <c r="C152" s="35" t="s">
        <v>80</v>
      </c>
      <c r="D152" s="32" t="s">
        <v>1344</v>
      </c>
      <c r="E152" s="11" t="s">
        <v>13</v>
      </c>
    </row>
    <row r="153">
      <c r="A153" s="19">
        <v>0.5291666666666667</v>
      </c>
      <c r="B153" s="32" t="s">
        <v>1345</v>
      </c>
      <c r="C153" s="35" t="s">
        <v>544</v>
      </c>
      <c r="D153" s="32" t="s">
        <v>1060</v>
      </c>
      <c r="E153" s="11" t="s">
        <v>9</v>
      </c>
    </row>
    <row r="154">
      <c r="A154" s="19">
        <v>0.5291666666666667</v>
      </c>
      <c r="B154" s="32" t="s">
        <v>1276</v>
      </c>
      <c r="C154" s="35" t="s">
        <v>307</v>
      </c>
      <c r="D154" s="32" t="s">
        <v>1344</v>
      </c>
      <c r="E154" s="11" t="s">
        <v>13</v>
      </c>
    </row>
    <row r="155">
      <c r="A155" s="27"/>
      <c r="B155" s="1" t="s">
        <v>101</v>
      </c>
      <c r="C155" s="2"/>
      <c r="D155" s="3"/>
      <c r="E155" s="4"/>
    </row>
    <row r="156">
      <c r="A156" s="18" t="s">
        <v>1</v>
      </c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A157" s="19">
        <v>0.4375</v>
      </c>
      <c r="B157" s="32" t="s">
        <v>1349</v>
      </c>
      <c r="C157" s="33" t="s">
        <v>14</v>
      </c>
      <c r="D157" s="32" t="s">
        <v>1066</v>
      </c>
      <c r="E157" s="11" t="s">
        <v>33</v>
      </c>
    </row>
    <row r="158">
      <c r="A158" s="19">
        <v>0.4375</v>
      </c>
      <c r="B158" s="32" t="s">
        <v>1279</v>
      </c>
      <c r="C158" s="33" t="s">
        <v>88</v>
      </c>
      <c r="D158" s="32" t="s">
        <v>1212</v>
      </c>
      <c r="E158" s="11" t="s">
        <v>37</v>
      </c>
    </row>
    <row r="159">
      <c r="A159" s="19">
        <v>0.44722222222222224</v>
      </c>
      <c r="B159" s="32" t="s">
        <v>1279</v>
      </c>
      <c r="C159" s="33" t="s">
        <v>22</v>
      </c>
      <c r="D159" s="32" t="s">
        <v>1066</v>
      </c>
      <c r="E159" s="11" t="s">
        <v>33</v>
      </c>
    </row>
    <row r="160">
      <c r="A160" s="19">
        <v>0.44722222222222224</v>
      </c>
      <c r="B160" s="32" t="s">
        <v>1147</v>
      </c>
      <c r="C160" s="33" t="s">
        <v>193</v>
      </c>
      <c r="D160" s="32" t="s">
        <v>1212</v>
      </c>
      <c r="E160" s="11" t="s">
        <v>37</v>
      </c>
    </row>
    <row r="161">
      <c r="A161" s="19">
        <v>0.4576388888888889</v>
      </c>
      <c r="B161" s="32" t="s">
        <v>1147</v>
      </c>
      <c r="C161" s="33" t="s">
        <v>22</v>
      </c>
      <c r="D161" s="32" t="s">
        <v>1279</v>
      </c>
      <c r="E161" s="11" t="s">
        <v>33</v>
      </c>
    </row>
    <row r="162">
      <c r="A162" s="19">
        <v>0.4576388888888889</v>
      </c>
      <c r="B162" s="32" t="s">
        <v>1212</v>
      </c>
      <c r="C162" s="33" t="s">
        <v>719</v>
      </c>
      <c r="D162" s="32" t="s">
        <v>1349</v>
      </c>
      <c r="E162" s="11" t="s">
        <v>37</v>
      </c>
    </row>
    <row r="163">
      <c r="A163" s="19">
        <v>0.46805555555555556</v>
      </c>
      <c r="B163" s="32" t="s">
        <v>1147</v>
      </c>
      <c r="C163" s="33" t="s">
        <v>274</v>
      </c>
      <c r="D163" s="32" t="s">
        <v>1066</v>
      </c>
      <c r="E163" s="11" t="s">
        <v>33</v>
      </c>
    </row>
    <row r="164">
      <c r="A164" s="19">
        <v>0.46805555555555556</v>
      </c>
      <c r="B164" s="32" t="s">
        <v>1349</v>
      </c>
      <c r="C164" s="33" t="s">
        <v>286</v>
      </c>
      <c r="D164" s="32" t="s">
        <v>1279</v>
      </c>
      <c r="E164" s="11" t="s">
        <v>37</v>
      </c>
    </row>
    <row r="165">
      <c r="A165" s="19">
        <v>0.4777777777777778</v>
      </c>
      <c r="B165" s="32" t="s">
        <v>1212</v>
      </c>
      <c r="C165" s="33" t="s">
        <v>71</v>
      </c>
      <c r="D165" s="32" t="s">
        <v>1066</v>
      </c>
      <c r="E165" s="11" t="s">
        <v>33</v>
      </c>
    </row>
    <row r="166">
      <c r="A166" s="19">
        <v>0.4777777777777778</v>
      </c>
      <c r="B166" s="32" t="s">
        <v>1349</v>
      </c>
      <c r="C166" s="33" t="s">
        <v>16</v>
      </c>
      <c r="D166" s="32" t="s">
        <v>1147</v>
      </c>
      <c r="E166" s="11" t="s">
        <v>37</v>
      </c>
    </row>
    <row r="167">
      <c r="A167" s="19">
        <v>0.48819444444444443</v>
      </c>
      <c r="B167" s="32" t="s">
        <v>1066</v>
      </c>
      <c r="C167" s="33" t="s">
        <v>62</v>
      </c>
      <c r="D167" s="32" t="s">
        <v>1349</v>
      </c>
      <c r="E167" s="11" t="s">
        <v>33</v>
      </c>
    </row>
    <row r="168">
      <c r="A168" s="19">
        <v>0.48819444444444443</v>
      </c>
      <c r="B168" s="32" t="s">
        <v>1212</v>
      </c>
      <c r="C168" s="33" t="s">
        <v>25</v>
      </c>
      <c r="D168" s="32" t="s">
        <v>1279</v>
      </c>
      <c r="E168" s="11" t="s">
        <v>37</v>
      </c>
    </row>
    <row r="169">
      <c r="A169" s="19">
        <v>0.4986111111111111</v>
      </c>
      <c r="B169" s="32" t="s">
        <v>1066</v>
      </c>
      <c r="C169" s="35" t="s">
        <v>63</v>
      </c>
      <c r="D169" s="32" t="s">
        <v>1279</v>
      </c>
      <c r="E169" s="11" t="s">
        <v>33</v>
      </c>
    </row>
    <row r="170">
      <c r="A170" s="19">
        <v>0.4986111111111111</v>
      </c>
      <c r="B170" s="32" t="s">
        <v>1212</v>
      </c>
      <c r="C170" s="35" t="s">
        <v>218</v>
      </c>
      <c r="D170" s="32" t="s">
        <v>1147</v>
      </c>
      <c r="E170" s="11" t="s">
        <v>37</v>
      </c>
    </row>
    <row r="171">
      <c r="A171" s="19">
        <v>0.5083333333333333</v>
      </c>
      <c r="B171" s="32" t="s">
        <v>1279</v>
      </c>
      <c r="C171" s="35" t="s">
        <v>197</v>
      </c>
      <c r="D171" s="32" t="s">
        <v>1147</v>
      </c>
      <c r="E171" s="11" t="s">
        <v>33</v>
      </c>
    </row>
    <row r="172">
      <c r="A172" s="19">
        <v>0.5083333333333333</v>
      </c>
      <c r="B172" s="32" t="s">
        <v>1349</v>
      </c>
      <c r="C172" s="35" t="s">
        <v>25</v>
      </c>
      <c r="D172" s="32" t="s">
        <v>1212</v>
      </c>
      <c r="E172" s="11" t="s">
        <v>37</v>
      </c>
    </row>
    <row r="173">
      <c r="A173" s="19">
        <v>0.51875</v>
      </c>
      <c r="B173" s="32" t="s">
        <v>1066</v>
      </c>
      <c r="C173" s="35" t="s">
        <v>80</v>
      </c>
      <c r="D173" s="32" t="s">
        <v>1147</v>
      </c>
      <c r="E173" s="11" t="s">
        <v>33</v>
      </c>
    </row>
    <row r="174">
      <c r="A174" s="19">
        <v>0.51875</v>
      </c>
      <c r="B174" s="32" t="s">
        <v>1279</v>
      </c>
      <c r="C174" s="35" t="s">
        <v>31</v>
      </c>
      <c r="D174" s="32" t="s">
        <v>1349</v>
      </c>
      <c r="E174" s="11" t="s">
        <v>37</v>
      </c>
    </row>
    <row r="175">
      <c r="A175" s="19">
        <v>0.5291666666666667</v>
      </c>
      <c r="B175" s="32" t="s">
        <v>1066</v>
      </c>
      <c r="C175" s="35" t="s">
        <v>21</v>
      </c>
      <c r="D175" s="32" t="s">
        <v>1212</v>
      </c>
      <c r="E175" s="11" t="s">
        <v>33</v>
      </c>
    </row>
    <row r="176">
      <c r="A176" s="19">
        <v>0.5291666666666667</v>
      </c>
      <c r="B176" s="32" t="s">
        <v>1147</v>
      </c>
      <c r="C176" s="35" t="s">
        <v>16</v>
      </c>
      <c r="D176" s="32" t="s">
        <v>1349</v>
      </c>
      <c r="E176" s="11" t="s">
        <v>37</v>
      </c>
    </row>
    <row r="177">
      <c r="A177" s="27"/>
      <c r="B177" s="1" t="s">
        <v>112</v>
      </c>
      <c r="C177" s="2"/>
      <c r="D177" s="3"/>
      <c r="E177" s="4"/>
    </row>
    <row r="178">
      <c r="A178" s="18" t="s">
        <v>1</v>
      </c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A179" s="19">
        <v>0.5416666666666666</v>
      </c>
      <c r="B179" s="32" t="s">
        <v>1350</v>
      </c>
      <c r="C179" s="35" t="s">
        <v>20</v>
      </c>
      <c r="D179" s="32" t="s">
        <v>263</v>
      </c>
      <c r="E179" s="11" t="s">
        <v>9</v>
      </c>
    </row>
    <row r="180">
      <c r="A180" s="19">
        <v>0.5416666666666666</v>
      </c>
      <c r="B180" s="32" t="s">
        <v>1351</v>
      </c>
      <c r="C180" s="35" t="s">
        <v>69</v>
      </c>
      <c r="D180" s="32" t="s">
        <v>1352</v>
      </c>
      <c r="E180" s="11" t="s">
        <v>13</v>
      </c>
    </row>
    <row r="181">
      <c r="A181" s="19">
        <v>0.5513888888888889</v>
      </c>
      <c r="B181" s="32" t="s">
        <v>1351</v>
      </c>
      <c r="C181" s="35" t="s">
        <v>18</v>
      </c>
      <c r="D181" s="32" t="s">
        <v>263</v>
      </c>
      <c r="E181" s="11" t="s">
        <v>9</v>
      </c>
    </row>
    <row r="182">
      <c r="A182" s="19">
        <v>0.5513888888888889</v>
      </c>
      <c r="B182" s="32" t="s">
        <v>115</v>
      </c>
      <c r="C182" s="35" t="s">
        <v>238</v>
      </c>
      <c r="D182" s="32" t="s">
        <v>1352</v>
      </c>
      <c r="E182" s="11" t="s">
        <v>13</v>
      </c>
    </row>
    <row r="183">
      <c r="A183" s="19">
        <v>0.5618055555555556</v>
      </c>
      <c r="B183" s="32" t="s">
        <v>115</v>
      </c>
      <c r="C183" s="35" t="s">
        <v>566</v>
      </c>
      <c r="D183" s="32" t="s">
        <v>1351</v>
      </c>
      <c r="E183" s="11" t="s">
        <v>9</v>
      </c>
    </row>
    <row r="184">
      <c r="A184" s="19">
        <v>0.5618055555555556</v>
      </c>
      <c r="B184" s="32" t="s">
        <v>1352</v>
      </c>
      <c r="C184" s="35" t="s">
        <v>22</v>
      </c>
      <c r="D184" s="32" t="s">
        <v>1350</v>
      </c>
      <c r="E184" s="11" t="s">
        <v>13</v>
      </c>
    </row>
    <row r="185">
      <c r="A185" s="19">
        <v>0.5722222222222222</v>
      </c>
      <c r="B185" s="32" t="s">
        <v>115</v>
      </c>
      <c r="C185" s="35" t="s">
        <v>48</v>
      </c>
      <c r="D185" s="32" t="s">
        <v>263</v>
      </c>
      <c r="E185" s="11" t="s">
        <v>9</v>
      </c>
    </row>
    <row r="186">
      <c r="A186" s="19">
        <v>0.5722222222222222</v>
      </c>
      <c r="B186" s="32" t="s">
        <v>1350</v>
      </c>
      <c r="C186" s="35" t="s">
        <v>71</v>
      </c>
      <c r="D186" s="32" t="s">
        <v>1351</v>
      </c>
      <c r="E186" s="11" t="s">
        <v>13</v>
      </c>
    </row>
    <row r="187">
      <c r="A187" s="19">
        <v>0.5819444444444445</v>
      </c>
      <c r="B187" s="32" t="s">
        <v>1352</v>
      </c>
      <c r="C187" s="35" t="s">
        <v>217</v>
      </c>
      <c r="D187" s="32" t="s">
        <v>263</v>
      </c>
      <c r="E187" s="11" t="s">
        <v>9</v>
      </c>
    </row>
    <row r="188">
      <c r="A188" s="19">
        <v>0.5819444444444445</v>
      </c>
      <c r="B188" s="32" t="s">
        <v>1350</v>
      </c>
      <c r="C188" s="35" t="s">
        <v>1025</v>
      </c>
      <c r="D188" s="32" t="s">
        <v>115</v>
      </c>
      <c r="E188" s="11" t="s">
        <v>13</v>
      </c>
    </row>
    <row r="189">
      <c r="A189" s="19">
        <v>0.5923611111111111</v>
      </c>
      <c r="B189" s="32" t="s">
        <v>263</v>
      </c>
      <c r="C189" s="35" t="s">
        <v>190</v>
      </c>
      <c r="D189" s="32" t="s">
        <v>1350</v>
      </c>
      <c r="E189" s="11" t="s">
        <v>9</v>
      </c>
    </row>
    <row r="190">
      <c r="A190" s="19">
        <v>0.5923611111111111</v>
      </c>
      <c r="B190" s="32" t="s">
        <v>1352</v>
      </c>
      <c r="C190" s="35" t="s">
        <v>25</v>
      </c>
      <c r="D190" s="32" t="s">
        <v>1351</v>
      </c>
      <c r="E190" s="11" t="s">
        <v>13</v>
      </c>
    </row>
    <row r="191">
      <c r="A191" s="19">
        <v>0.6027777777777777</v>
      </c>
      <c r="B191" s="32" t="s">
        <v>263</v>
      </c>
      <c r="C191" s="35" t="s">
        <v>354</v>
      </c>
      <c r="D191" s="32" t="s">
        <v>1351</v>
      </c>
      <c r="E191" s="11" t="s">
        <v>9</v>
      </c>
    </row>
    <row r="192">
      <c r="A192" s="19">
        <v>0.6027777777777777</v>
      </c>
      <c r="B192" s="32" t="s">
        <v>1352</v>
      </c>
      <c r="C192" s="35" t="s">
        <v>20</v>
      </c>
      <c r="D192" s="32" t="s">
        <v>115</v>
      </c>
      <c r="E192" s="11" t="s">
        <v>13</v>
      </c>
    </row>
    <row r="193">
      <c r="A193" s="19">
        <v>0.6125</v>
      </c>
      <c r="B193" s="32" t="s">
        <v>1351</v>
      </c>
      <c r="C193" s="35" t="s">
        <v>536</v>
      </c>
      <c r="D193" s="32" t="s">
        <v>115</v>
      </c>
      <c r="E193" s="11" t="s">
        <v>9</v>
      </c>
    </row>
    <row r="194">
      <c r="A194" s="19">
        <v>0.6125</v>
      </c>
      <c r="B194" s="32" t="s">
        <v>1350</v>
      </c>
      <c r="C194" s="35" t="s">
        <v>21</v>
      </c>
      <c r="D194" s="32" t="s">
        <v>1352</v>
      </c>
      <c r="E194" s="11" t="s">
        <v>13</v>
      </c>
    </row>
    <row r="195">
      <c r="A195" s="19">
        <v>0.6229166666666667</v>
      </c>
      <c r="B195" s="32" t="s">
        <v>263</v>
      </c>
      <c r="C195" s="35" t="s">
        <v>389</v>
      </c>
      <c r="D195" s="32" t="s">
        <v>115</v>
      </c>
      <c r="E195" s="11" t="s">
        <v>9</v>
      </c>
    </row>
    <row r="196">
      <c r="A196" s="19">
        <v>0.6229166666666667</v>
      </c>
      <c r="B196" s="32" t="s">
        <v>1351</v>
      </c>
      <c r="C196" s="35" t="s">
        <v>1353</v>
      </c>
      <c r="D196" s="32" t="s">
        <v>1350</v>
      </c>
      <c r="E196" s="11" t="s">
        <v>13</v>
      </c>
    </row>
    <row r="197">
      <c r="A197" s="19">
        <v>0.6333333333333333</v>
      </c>
      <c r="B197" s="32" t="s">
        <v>263</v>
      </c>
      <c r="C197" s="35" t="s">
        <v>17</v>
      </c>
      <c r="D197" s="32" t="s">
        <v>1352</v>
      </c>
      <c r="E197" s="11" t="s">
        <v>9</v>
      </c>
    </row>
    <row r="198">
      <c r="A198" s="19">
        <v>0.6333333333333333</v>
      </c>
      <c r="B198" s="32" t="s">
        <v>115</v>
      </c>
      <c r="C198" s="35" t="s">
        <v>325</v>
      </c>
      <c r="D198" s="32" t="s">
        <v>1350</v>
      </c>
      <c r="E198" s="11" t="s">
        <v>13</v>
      </c>
    </row>
    <row r="199">
      <c r="A199" s="27"/>
      <c r="B199" s="1" t="s">
        <v>112</v>
      </c>
      <c r="C199" s="2"/>
      <c r="D199" s="3"/>
      <c r="E199" s="4"/>
    </row>
    <row r="200">
      <c r="A200" s="18" t="s">
        <v>1</v>
      </c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A201" s="19">
        <v>0.6458333333333334</v>
      </c>
      <c r="B201" s="32" t="s">
        <v>1219</v>
      </c>
      <c r="C201" s="33" t="s">
        <v>66</v>
      </c>
      <c r="D201" s="32" t="s">
        <v>1354</v>
      </c>
      <c r="E201" s="11" t="s">
        <v>33</v>
      </c>
    </row>
    <row r="202">
      <c r="A202" s="19">
        <v>0.6458333333333334</v>
      </c>
      <c r="B202" s="32" t="s">
        <v>1355</v>
      </c>
      <c r="C202" s="33" t="s">
        <v>28</v>
      </c>
      <c r="D202" s="32" t="s">
        <v>1356</v>
      </c>
      <c r="E202" s="11" t="s">
        <v>37</v>
      </c>
    </row>
    <row r="203">
      <c r="A203" s="19">
        <v>0.6555555555555556</v>
      </c>
      <c r="B203" s="32" t="s">
        <v>1355</v>
      </c>
      <c r="C203" s="33" t="s">
        <v>289</v>
      </c>
      <c r="D203" s="32" t="s">
        <v>1354</v>
      </c>
      <c r="E203" s="11" t="s">
        <v>33</v>
      </c>
    </row>
    <row r="204">
      <c r="A204" s="19">
        <v>0.6555555555555556</v>
      </c>
      <c r="B204" s="32" t="s">
        <v>1074</v>
      </c>
      <c r="C204" s="33" t="s">
        <v>17</v>
      </c>
      <c r="D204" s="32" t="s">
        <v>1356</v>
      </c>
      <c r="E204" s="11" t="s">
        <v>37</v>
      </c>
    </row>
    <row r="205">
      <c r="A205" s="19">
        <v>0.6659722222222222</v>
      </c>
      <c r="B205" s="32" t="s">
        <v>1074</v>
      </c>
      <c r="C205" s="33" t="s">
        <v>68</v>
      </c>
      <c r="D205" s="32" t="s">
        <v>1355</v>
      </c>
      <c r="E205" s="11" t="s">
        <v>33</v>
      </c>
    </row>
    <row r="206">
      <c r="A206" s="19">
        <v>0.6659722222222222</v>
      </c>
      <c r="B206" s="32" t="s">
        <v>1356</v>
      </c>
      <c r="C206" s="33" t="s">
        <v>488</v>
      </c>
      <c r="D206" s="32" t="s">
        <v>1219</v>
      </c>
      <c r="E206" s="11" t="s">
        <v>37</v>
      </c>
    </row>
    <row r="207">
      <c r="A207" s="19">
        <v>0.6763888888888889</v>
      </c>
      <c r="B207" s="32" t="s">
        <v>1074</v>
      </c>
      <c r="C207" s="33" t="s">
        <v>217</v>
      </c>
      <c r="D207" s="32" t="s">
        <v>1354</v>
      </c>
      <c r="E207" s="11" t="s">
        <v>33</v>
      </c>
    </row>
    <row r="208">
      <c r="A208" s="19">
        <v>0.6763888888888889</v>
      </c>
      <c r="B208" s="32" t="s">
        <v>1219</v>
      </c>
      <c r="C208" s="33" t="s">
        <v>43</v>
      </c>
      <c r="D208" s="32" t="s">
        <v>1355</v>
      </c>
      <c r="E208" s="11" t="s">
        <v>37</v>
      </c>
    </row>
    <row r="209">
      <c r="A209" s="19">
        <v>0.6861111111111111</v>
      </c>
      <c r="B209" s="32" t="s">
        <v>1356</v>
      </c>
      <c r="C209" s="33" t="s">
        <v>83</v>
      </c>
      <c r="D209" s="32" t="s">
        <v>1354</v>
      </c>
      <c r="E209" s="11" t="s">
        <v>33</v>
      </c>
    </row>
    <row r="210">
      <c r="A210" s="19">
        <v>0.6861111111111111</v>
      </c>
      <c r="B210" s="32" t="s">
        <v>1219</v>
      </c>
      <c r="C210" s="33" t="s">
        <v>239</v>
      </c>
      <c r="D210" s="32" t="s">
        <v>1074</v>
      </c>
      <c r="E210" s="11" t="s">
        <v>37</v>
      </c>
    </row>
    <row r="211">
      <c r="A211" s="19">
        <v>0.6965277777777777</v>
      </c>
      <c r="B211" s="32" t="s">
        <v>1354</v>
      </c>
      <c r="C211" s="33" t="s">
        <v>285</v>
      </c>
      <c r="D211" s="32" t="s">
        <v>1219</v>
      </c>
      <c r="E211" s="11" t="s">
        <v>33</v>
      </c>
    </row>
    <row r="212">
      <c r="A212" s="19">
        <v>0.6965277777777777</v>
      </c>
      <c r="B212" s="32" t="s">
        <v>1356</v>
      </c>
      <c r="C212" s="33" t="s">
        <v>362</v>
      </c>
      <c r="D212" s="32" t="s">
        <v>1355</v>
      </c>
      <c r="E212" s="11" t="s">
        <v>37</v>
      </c>
    </row>
    <row r="213">
      <c r="A213" s="19">
        <v>0.7069444444444445</v>
      </c>
      <c r="B213" s="32" t="s">
        <v>1354</v>
      </c>
      <c r="C213" s="35" t="s">
        <v>534</v>
      </c>
      <c r="D213" s="32" t="s">
        <v>1355</v>
      </c>
      <c r="E213" s="11" t="s">
        <v>33</v>
      </c>
    </row>
    <row r="214">
      <c r="A214" s="19">
        <v>0.7069444444444445</v>
      </c>
      <c r="B214" s="32" t="s">
        <v>1356</v>
      </c>
      <c r="C214" s="35" t="s">
        <v>22</v>
      </c>
      <c r="D214" s="32" t="s">
        <v>1074</v>
      </c>
      <c r="E214" s="11" t="s">
        <v>37</v>
      </c>
    </row>
    <row r="215">
      <c r="A215" s="19">
        <v>0.7166666666666667</v>
      </c>
      <c r="B215" s="32" t="s">
        <v>1355</v>
      </c>
      <c r="C215" s="35" t="s">
        <v>58</v>
      </c>
      <c r="D215" s="32" t="s">
        <v>1074</v>
      </c>
      <c r="E215" s="11" t="s">
        <v>33</v>
      </c>
    </row>
    <row r="216">
      <c r="A216" s="19">
        <v>0.7166666666666667</v>
      </c>
      <c r="B216" s="32" t="s">
        <v>1219</v>
      </c>
      <c r="C216" s="35" t="s">
        <v>43</v>
      </c>
      <c r="D216" s="32" t="s">
        <v>1356</v>
      </c>
      <c r="E216" s="11" t="s">
        <v>37</v>
      </c>
    </row>
    <row r="217">
      <c r="A217" s="19">
        <v>0.7270833333333333</v>
      </c>
      <c r="B217" s="32" t="s">
        <v>1354</v>
      </c>
      <c r="C217" s="35" t="s">
        <v>26</v>
      </c>
      <c r="D217" s="32" t="s">
        <v>1074</v>
      </c>
      <c r="E217" s="11" t="s">
        <v>33</v>
      </c>
    </row>
    <row r="218">
      <c r="A218" s="19">
        <v>0.7270833333333333</v>
      </c>
      <c r="B218" s="32" t="s">
        <v>1355</v>
      </c>
      <c r="C218" s="35" t="s">
        <v>81</v>
      </c>
      <c r="D218" s="32" t="s">
        <v>1219</v>
      </c>
      <c r="E218" s="11" t="s">
        <v>37</v>
      </c>
    </row>
    <row r="219">
      <c r="A219" s="19">
        <v>0.7375</v>
      </c>
      <c r="B219" s="32" t="s">
        <v>1354</v>
      </c>
      <c r="C219" s="35" t="s">
        <v>797</v>
      </c>
      <c r="D219" s="32" t="s">
        <v>1356</v>
      </c>
      <c r="E219" s="11" t="s">
        <v>33</v>
      </c>
    </row>
    <row r="220">
      <c r="A220" s="19">
        <v>0.7375</v>
      </c>
      <c r="B220" s="32" t="s">
        <v>1074</v>
      </c>
      <c r="C220" s="35" t="s">
        <v>239</v>
      </c>
      <c r="D220" s="32" t="s">
        <v>1219</v>
      </c>
      <c r="E220" s="11" t="s">
        <v>37</v>
      </c>
    </row>
    <row r="221">
      <c r="A221" s="27"/>
      <c r="B221" s="28" t="s">
        <v>123</v>
      </c>
      <c r="C221" s="2"/>
      <c r="D221" s="3"/>
      <c r="E221" s="29"/>
    </row>
    <row r="222">
      <c r="A222" s="18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9">
        <v>0.6458333333333334</v>
      </c>
      <c r="B223" s="34" t="s">
        <v>1357</v>
      </c>
      <c r="C223" s="33" t="s">
        <v>790</v>
      </c>
      <c r="D223" s="34" t="s">
        <v>1358</v>
      </c>
      <c r="E223" s="11" t="s">
        <v>9</v>
      </c>
    </row>
    <row r="224">
      <c r="A224" s="19">
        <v>0.6458333333333334</v>
      </c>
      <c r="B224" s="34" t="s">
        <v>1359</v>
      </c>
      <c r="C224" s="33" t="s">
        <v>190</v>
      </c>
      <c r="D224" s="34" t="s">
        <v>855</v>
      </c>
      <c r="E224" s="11" t="s">
        <v>13</v>
      </c>
    </row>
    <row r="225">
      <c r="A225" s="19">
        <v>0.6555555555555556</v>
      </c>
      <c r="B225" s="34" t="s">
        <v>1359</v>
      </c>
      <c r="C225" s="33" t="s">
        <v>43</v>
      </c>
      <c r="D225" s="34" t="s">
        <v>1358</v>
      </c>
      <c r="E225" s="11" t="s">
        <v>9</v>
      </c>
    </row>
    <row r="226">
      <c r="A226" s="19">
        <v>0.6555555555555556</v>
      </c>
      <c r="B226" s="34" t="s">
        <v>762</v>
      </c>
      <c r="C226" s="33" t="s">
        <v>82</v>
      </c>
      <c r="D226" s="34" t="s">
        <v>855</v>
      </c>
      <c r="E226" s="11" t="s">
        <v>13</v>
      </c>
    </row>
    <row r="227">
      <c r="A227" s="19">
        <v>0.6659722222222222</v>
      </c>
      <c r="B227" s="34" t="s">
        <v>762</v>
      </c>
      <c r="C227" s="33" t="s">
        <v>81</v>
      </c>
      <c r="D227" s="34" t="s">
        <v>1359</v>
      </c>
      <c r="E227" s="11" t="s">
        <v>9</v>
      </c>
    </row>
    <row r="228">
      <c r="A228" s="19">
        <v>0.6659722222222222</v>
      </c>
      <c r="B228" s="34" t="s">
        <v>855</v>
      </c>
      <c r="C228" s="33" t="s">
        <v>197</v>
      </c>
      <c r="D228" s="34" t="s">
        <v>1357</v>
      </c>
      <c r="E228" s="11" t="s">
        <v>13</v>
      </c>
    </row>
    <row r="229">
      <c r="A229" s="19">
        <v>0.6763888888888889</v>
      </c>
      <c r="B229" s="34" t="s">
        <v>762</v>
      </c>
      <c r="C229" s="33" t="s">
        <v>21</v>
      </c>
      <c r="D229" s="34" t="s">
        <v>1358</v>
      </c>
      <c r="E229" s="11" t="s">
        <v>9</v>
      </c>
    </row>
    <row r="230">
      <c r="A230" s="19">
        <v>0.6763888888888889</v>
      </c>
      <c r="B230" s="34" t="s">
        <v>1357</v>
      </c>
      <c r="C230" s="33" t="s">
        <v>87</v>
      </c>
      <c r="D230" s="34" t="s">
        <v>1359</v>
      </c>
      <c r="E230" s="11" t="s">
        <v>13</v>
      </c>
    </row>
    <row r="231">
      <c r="A231" s="19">
        <v>0.6861111111111111</v>
      </c>
      <c r="B231" s="34" t="s">
        <v>855</v>
      </c>
      <c r="C231" s="33" t="s">
        <v>22</v>
      </c>
      <c r="D231" s="34" t="s">
        <v>1358</v>
      </c>
      <c r="E231" s="11" t="s">
        <v>9</v>
      </c>
    </row>
    <row r="232">
      <c r="A232" s="19">
        <v>0.6861111111111111</v>
      </c>
      <c r="B232" s="34" t="s">
        <v>1357</v>
      </c>
      <c r="C232" s="33" t="s">
        <v>89</v>
      </c>
      <c r="D232" s="34" t="s">
        <v>762</v>
      </c>
      <c r="E232" s="11" t="s">
        <v>13</v>
      </c>
    </row>
    <row r="233">
      <c r="A233" s="19">
        <v>0.6965277777777777</v>
      </c>
      <c r="B233" s="34" t="s">
        <v>1358</v>
      </c>
      <c r="C233" s="33" t="s">
        <v>411</v>
      </c>
      <c r="D233" s="34" t="s">
        <v>1357</v>
      </c>
      <c r="E233" s="11" t="s">
        <v>9</v>
      </c>
    </row>
    <row r="234">
      <c r="A234" s="19">
        <v>0.6965277777777777</v>
      </c>
      <c r="B234" s="34" t="s">
        <v>855</v>
      </c>
      <c r="C234" s="33" t="s">
        <v>81</v>
      </c>
      <c r="D234" s="34" t="s">
        <v>1359</v>
      </c>
      <c r="E234" s="11" t="s">
        <v>13</v>
      </c>
    </row>
    <row r="235">
      <c r="A235" s="19">
        <v>0.7069444444444445</v>
      </c>
      <c r="B235" s="34" t="s">
        <v>1358</v>
      </c>
      <c r="C235" s="35" t="s">
        <v>81</v>
      </c>
      <c r="D235" s="34" t="s">
        <v>1359</v>
      </c>
      <c r="E235" s="11" t="s">
        <v>9</v>
      </c>
    </row>
    <row r="236">
      <c r="A236" s="19">
        <v>0.7069444444444445</v>
      </c>
      <c r="B236" s="34" t="s">
        <v>855</v>
      </c>
      <c r="C236" s="35" t="s">
        <v>297</v>
      </c>
      <c r="D236" s="34" t="s">
        <v>762</v>
      </c>
      <c r="E236" s="11" t="s">
        <v>13</v>
      </c>
    </row>
    <row r="237">
      <c r="A237" s="19">
        <v>0.7166666666666667</v>
      </c>
      <c r="B237" s="34" t="s">
        <v>1359</v>
      </c>
      <c r="C237" s="39" t="s">
        <v>7</v>
      </c>
      <c r="D237" s="34" t="s">
        <v>762</v>
      </c>
      <c r="E237" s="11" t="s">
        <v>9</v>
      </c>
    </row>
    <row r="238">
      <c r="A238" s="19">
        <v>0.7166666666666667</v>
      </c>
      <c r="B238" s="34" t="s">
        <v>1357</v>
      </c>
      <c r="C238" s="35" t="s">
        <v>16</v>
      </c>
      <c r="D238" s="34" t="s">
        <v>855</v>
      </c>
      <c r="E238" s="11" t="s">
        <v>13</v>
      </c>
    </row>
    <row r="239">
      <c r="A239" s="19">
        <v>0.7270833333333333</v>
      </c>
      <c r="B239" s="34" t="s">
        <v>1358</v>
      </c>
      <c r="C239" s="39" t="s">
        <v>21</v>
      </c>
      <c r="D239" s="34" t="s">
        <v>762</v>
      </c>
      <c r="E239" s="11" t="s">
        <v>9</v>
      </c>
    </row>
    <row r="240">
      <c r="A240" s="19">
        <v>0.7270833333333333</v>
      </c>
      <c r="B240" s="34" t="s">
        <v>1359</v>
      </c>
      <c r="C240" s="39" t="s">
        <v>70</v>
      </c>
      <c r="D240" s="34" t="s">
        <v>1357</v>
      </c>
      <c r="E240" s="11" t="s">
        <v>13</v>
      </c>
    </row>
    <row r="241">
      <c r="A241" s="19">
        <v>0.7375</v>
      </c>
      <c r="B241" s="34" t="s">
        <v>1358</v>
      </c>
      <c r="C241" s="35" t="s">
        <v>289</v>
      </c>
      <c r="D241" s="34" t="s">
        <v>855</v>
      </c>
      <c r="E241" s="11" t="s">
        <v>9</v>
      </c>
    </row>
    <row r="242">
      <c r="A242" s="19">
        <v>0.7375</v>
      </c>
      <c r="B242" s="34" t="s">
        <v>762</v>
      </c>
      <c r="C242" s="35" t="s">
        <v>1191</v>
      </c>
      <c r="D242" s="34" t="s">
        <v>1357</v>
      </c>
      <c r="E242" s="11" t="s">
        <v>13</v>
      </c>
    </row>
    <row r="243">
      <c r="A243" s="27"/>
      <c r="B243" s="28" t="s">
        <v>123</v>
      </c>
      <c r="C243" s="2"/>
      <c r="D243" s="3"/>
      <c r="E243" s="29"/>
    </row>
    <row r="244">
      <c r="A244" s="18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9">
        <v>0.6458333333333334</v>
      </c>
      <c r="B245" s="34" t="s">
        <v>1360</v>
      </c>
      <c r="C245" s="35" t="s">
        <v>20</v>
      </c>
      <c r="D245" s="34" t="s">
        <v>1157</v>
      </c>
      <c r="E245" s="11" t="s">
        <v>33</v>
      </c>
    </row>
    <row r="246">
      <c r="A246" s="19">
        <v>0.6458333333333334</v>
      </c>
      <c r="B246" s="34" t="s">
        <v>1361</v>
      </c>
      <c r="C246" s="35" t="s">
        <v>69</v>
      </c>
      <c r="D246" s="34" t="s">
        <v>1362</v>
      </c>
      <c r="E246" s="11" t="s">
        <v>37</v>
      </c>
    </row>
    <row r="247">
      <c r="A247" s="19">
        <v>0.6555555555555556</v>
      </c>
      <c r="B247" s="34" t="s">
        <v>1361</v>
      </c>
      <c r="C247" s="35" t="s">
        <v>544</v>
      </c>
      <c r="D247" s="34" t="s">
        <v>1157</v>
      </c>
      <c r="E247" s="11" t="s">
        <v>33</v>
      </c>
    </row>
    <row r="248">
      <c r="A248" s="19">
        <v>0.6555555555555556</v>
      </c>
      <c r="B248" s="34" t="s">
        <v>1363</v>
      </c>
      <c r="C248" s="35" t="s">
        <v>64</v>
      </c>
      <c r="D248" s="34" t="s">
        <v>1362</v>
      </c>
      <c r="E248" s="11" t="s">
        <v>37</v>
      </c>
    </row>
    <row r="249">
      <c r="A249" s="19">
        <v>0.6659722222222222</v>
      </c>
      <c r="B249" s="34" t="s">
        <v>1363</v>
      </c>
      <c r="C249" s="35" t="s">
        <v>197</v>
      </c>
      <c r="D249" s="34" t="s">
        <v>1361</v>
      </c>
      <c r="E249" s="11" t="s">
        <v>33</v>
      </c>
    </row>
    <row r="250">
      <c r="A250" s="19">
        <v>0.6659722222222222</v>
      </c>
      <c r="B250" s="34" t="s">
        <v>1362</v>
      </c>
      <c r="C250" s="35" t="s">
        <v>1364</v>
      </c>
      <c r="D250" s="34" t="s">
        <v>1360</v>
      </c>
      <c r="E250" s="11" t="s">
        <v>37</v>
      </c>
    </row>
    <row r="251">
      <c r="A251" s="19">
        <v>0.6763888888888889</v>
      </c>
      <c r="B251" s="34" t="s">
        <v>1363</v>
      </c>
      <c r="C251" s="35" t="s">
        <v>71</v>
      </c>
      <c r="D251" s="34" t="s">
        <v>1157</v>
      </c>
      <c r="E251" s="11" t="s">
        <v>33</v>
      </c>
    </row>
    <row r="252">
      <c r="A252" s="19">
        <v>0.6763888888888889</v>
      </c>
      <c r="B252" s="34" t="s">
        <v>1360</v>
      </c>
      <c r="C252" s="35" t="s">
        <v>239</v>
      </c>
      <c r="D252" s="34" t="s">
        <v>1361</v>
      </c>
      <c r="E252" s="11" t="s">
        <v>37</v>
      </c>
    </row>
    <row r="253">
      <c r="A253" s="19">
        <v>0.6861111111111111</v>
      </c>
      <c r="B253" s="34" t="s">
        <v>1362</v>
      </c>
      <c r="C253" s="35" t="s">
        <v>11</v>
      </c>
      <c r="D253" s="34" t="s">
        <v>1157</v>
      </c>
      <c r="E253" s="11" t="s">
        <v>33</v>
      </c>
    </row>
    <row r="254">
      <c r="A254" s="19">
        <v>0.6861111111111111</v>
      </c>
      <c r="B254" s="34" t="s">
        <v>1360</v>
      </c>
      <c r="C254" s="35" t="s">
        <v>684</v>
      </c>
      <c r="D254" s="34" t="s">
        <v>1363</v>
      </c>
      <c r="E254" s="11" t="s">
        <v>37</v>
      </c>
    </row>
    <row r="255">
      <c r="A255" s="19">
        <v>0.6965277777777777</v>
      </c>
      <c r="B255" s="34" t="s">
        <v>1157</v>
      </c>
      <c r="C255" s="35" t="s">
        <v>250</v>
      </c>
      <c r="D255" s="34" t="s">
        <v>1360</v>
      </c>
      <c r="E255" s="11" t="s">
        <v>33</v>
      </c>
    </row>
    <row r="256">
      <c r="A256" s="19">
        <v>0.6965277777777777</v>
      </c>
      <c r="B256" s="34" t="s">
        <v>1362</v>
      </c>
      <c r="C256" s="35" t="s">
        <v>28</v>
      </c>
      <c r="D256" s="34" t="s">
        <v>1361</v>
      </c>
      <c r="E256" s="11" t="s">
        <v>37</v>
      </c>
    </row>
    <row r="257">
      <c r="A257" s="19">
        <v>0.7069444444444445</v>
      </c>
      <c r="B257" s="34" t="s">
        <v>1157</v>
      </c>
      <c r="C257" s="35" t="s">
        <v>218</v>
      </c>
      <c r="D257" s="34" t="s">
        <v>1361</v>
      </c>
      <c r="E257" s="11" t="s">
        <v>33</v>
      </c>
    </row>
    <row r="258">
      <c r="A258" s="19">
        <v>0.7069444444444445</v>
      </c>
      <c r="B258" s="34" t="s">
        <v>1362</v>
      </c>
      <c r="C258" s="35" t="s">
        <v>27</v>
      </c>
      <c r="D258" s="34" t="s">
        <v>1363</v>
      </c>
      <c r="E258" s="11" t="s">
        <v>37</v>
      </c>
    </row>
    <row r="259">
      <c r="A259" s="19">
        <v>0.7166666666666667</v>
      </c>
      <c r="B259" s="34" t="s">
        <v>1361</v>
      </c>
      <c r="C259" s="35" t="s">
        <v>193</v>
      </c>
      <c r="D259" s="34" t="s">
        <v>1363</v>
      </c>
      <c r="E259" s="11" t="s">
        <v>33</v>
      </c>
    </row>
    <row r="260">
      <c r="A260" s="19">
        <v>0.7166666666666667</v>
      </c>
      <c r="B260" s="34" t="s">
        <v>1360</v>
      </c>
      <c r="C260" s="35" t="s">
        <v>17</v>
      </c>
      <c r="D260" s="34" t="s">
        <v>1362</v>
      </c>
      <c r="E260" s="11" t="s">
        <v>37</v>
      </c>
    </row>
    <row r="261">
      <c r="A261" s="19">
        <v>0.7270833333333333</v>
      </c>
      <c r="B261" s="34" t="s">
        <v>1157</v>
      </c>
      <c r="C261" s="35" t="s">
        <v>195</v>
      </c>
      <c r="D261" s="34" t="s">
        <v>1363</v>
      </c>
      <c r="E261" s="11" t="s">
        <v>33</v>
      </c>
    </row>
    <row r="262">
      <c r="A262" s="19">
        <v>0.7270833333333333</v>
      </c>
      <c r="B262" s="34" t="s">
        <v>1361</v>
      </c>
      <c r="C262" s="35" t="s">
        <v>1365</v>
      </c>
      <c r="D262" s="34" t="s">
        <v>1360</v>
      </c>
      <c r="E262" s="11" t="s">
        <v>37</v>
      </c>
    </row>
    <row r="263">
      <c r="A263" s="19">
        <v>0.7375</v>
      </c>
      <c r="B263" s="34" t="s">
        <v>1157</v>
      </c>
      <c r="C263" s="35" t="s">
        <v>201</v>
      </c>
      <c r="D263" s="34" t="s">
        <v>1362</v>
      </c>
      <c r="E263" s="11" t="s">
        <v>33</v>
      </c>
    </row>
    <row r="264">
      <c r="A264" s="19">
        <v>0.7375</v>
      </c>
      <c r="B264" s="34" t="s">
        <v>1363</v>
      </c>
      <c r="C264" s="35" t="s">
        <v>217</v>
      </c>
      <c r="D264" s="34" t="s">
        <v>1360</v>
      </c>
      <c r="E264" s="11" t="s">
        <v>37</v>
      </c>
    </row>
    <row r="265">
      <c r="A265" s="27"/>
      <c r="B265" s="28" t="s">
        <v>134</v>
      </c>
      <c r="C265" s="2"/>
      <c r="D265" s="3"/>
      <c r="E265" s="29"/>
    </row>
    <row r="266">
      <c r="A266" s="18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9">
        <v>0.75</v>
      </c>
      <c r="B267" s="34" t="s">
        <v>1366</v>
      </c>
      <c r="C267" s="35" t="s">
        <v>62</v>
      </c>
      <c r="D267" s="34" t="s">
        <v>1367</v>
      </c>
      <c r="E267" s="11" t="s">
        <v>9</v>
      </c>
    </row>
    <row r="268">
      <c r="A268" s="19">
        <v>0.75</v>
      </c>
      <c r="B268" s="34" t="s">
        <v>1300</v>
      </c>
      <c r="C268" s="35" t="s">
        <v>212</v>
      </c>
      <c r="D268" s="34" t="s">
        <v>1231</v>
      </c>
      <c r="E268" s="11" t="s">
        <v>13</v>
      </c>
    </row>
    <row r="269">
      <c r="A269" s="19">
        <v>0.7597222222222222</v>
      </c>
      <c r="B269" s="34" t="s">
        <v>1300</v>
      </c>
      <c r="C269" s="35" t="s">
        <v>43</v>
      </c>
      <c r="D269" s="34" t="s">
        <v>1367</v>
      </c>
      <c r="E269" s="11" t="s">
        <v>9</v>
      </c>
    </row>
    <row r="270">
      <c r="A270" s="19">
        <v>0.7597222222222222</v>
      </c>
      <c r="B270" s="34" t="s">
        <v>139</v>
      </c>
      <c r="C270" s="35" t="s">
        <v>354</v>
      </c>
      <c r="D270" s="34" t="s">
        <v>1231</v>
      </c>
      <c r="E270" s="11" t="s">
        <v>13</v>
      </c>
    </row>
    <row r="271">
      <c r="A271" s="19">
        <v>0.7701388888888889</v>
      </c>
      <c r="B271" s="34" t="s">
        <v>139</v>
      </c>
      <c r="C271" s="35" t="s">
        <v>836</v>
      </c>
      <c r="D271" s="34" t="s">
        <v>1300</v>
      </c>
      <c r="E271" s="11" t="s">
        <v>9</v>
      </c>
    </row>
    <row r="272">
      <c r="A272" s="19">
        <v>0.7701388888888889</v>
      </c>
      <c r="B272" s="34" t="s">
        <v>1231</v>
      </c>
      <c r="C272" s="35" t="s">
        <v>25</v>
      </c>
      <c r="D272" s="34" t="s">
        <v>1366</v>
      </c>
      <c r="E272" s="11" t="s">
        <v>13</v>
      </c>
    </row>
    <row r="273">
      <c r="A273" s="19">
        <v>0.7805555555555556</v>
      </c>
      <c r="B273" s="34" t="s">
        <v>139</v>
      </c>
      <c r="C273" s="35" t="s">
        <v>22</v>
      </c>
      <c r="D273" s="34" t="s">
        <v>1367</v>
      </c>
      <c r="E273" s="11" t="s">
        <v>9</v>
      </c>
    </row>
    <row r="274">
      <c r="A274" s="19">
        <v>0.7805555555555556</v>
      </c>
      <c r="B274" s="34" t="s">
        <v>1366</v>
      </c>
      <c r="C274" s="35" t="s">
        <v>42</v>
      </c>
      <c r="D274" s="34" t="s">
        <v>1300</v>
      </c>
      <c r="E274" s="11" t="s">
        <v>13</v>
      </c>
    </row>
    <row r="275">
      <c r="A275" s="19">
        <v>0.7902777777777777</v>
      </c>
      <c r="B275" s="34" t="s">
        <v>1231</v>
      </c>
      <c r="C275" s="35" t="s">
        <v>65</v>
      </c>
      <c r="D275" s="34" t="s">
        <v>1367</v>
      </c>
      <c r="E275" s="11" t="s">
        <v>9</v>
      </c>
    </row>
    <row r="276">
      <c r="A276" s="19">
        <v>0.7902777777777777</v>
      </c>
      <c r="B276" s="34" t="s">
        <v>1366</v>
      </c>
      <c r="C276" s="35" t="s">
        <v>190</v>
      </c>
      <c r="D276" s="34" t="s">
        <v>139</v>
      </c>
      <c r="E276" s="11" t="s">
        <v>13</v>
      </c>
    </row>
    <row r="277">
      <c r="A277" s="19">
        <v>0.8006944444444445</v>
      </c>
      <c r="B277" s="34" t="s">
        <v>1367</v>
      </c>
      <c r="C277" s="35" t="s">
        <v>285</v>
      </c>
      <c r="D277" s="34" t="s">
        <v>1366</v>
      </c>
      <c r="E277" s="11" t="s">
        <v>9</v>
      </c>
    </row>
    <row r="278">
      <c r="A278" s="19">
        <v>0.8006944444444445</v>
      </c>
      <c r="B278" s="34" t="s">
        <v>1231</v>
      </c>
      <c r="C278" s="35" t="s">
        <v>289</v>
      </c>
      <c r="D278" s="34" t="s">
        <v>1300</v>
      </c>
      <c r="E278" s="11" t="s">
        <v>13</v>
      </c>
    </row>
    <row r="279">
      <c r="A279" s="19">
        <v>0.8111111111111111</v>
      </c>
      <c r="B279" s="34" t="s">
        <v>1367</v>
      </c>
      <c r="C279" s="35" t="s">
        <v>11</v>
      </c>
      <c r="D279" s="34" t="s">
        <v>1300</v>
      </c>
      <c r="E279" s="11" t="s">
        <v>9</v>
      </c>
    </row>
    <row r="280">
      <c r="A280" s="19">
        <v>0.8111111111111111</v>
      </c>
      <c r="B280" s="34" t="s">
        <v>1231</v>
      </c>
      <c r="C280" s="39" t="s">
        <v>215</v>
      </c>
      <c r="D280" s="34" t="s">
        <v>139</v>
      </c>
      <c r="E280" s="11" t="s">
        <v>13</v>
      </c>
    </row>
    <row r="281">
      <c r="A281" s="19">
        <v>0.8208333333333333</v>
      </c>
      <c r="B281" s="34" t="s">
        <v>1300</v>
      </c>
      <c r="C281" s="35" t="s">
        <v>26</v>
      </c>
      <c r="D281" s="34" t="s">
        <v>139</v>
      </c>
      <c r="E281" s="11" t="s">
        <v>9</v>
      </c>
    </row>
    <row r="282">
      <c r="A282" s="19">
        <v>0.8208333333333333</v>
      </c>
      <c r="B282" s="34" t="s">
        <v>1366</v>
      </c>
      <c r="C282" s="39" t="s">
        <v>58</v>
      </c>
      <c r="D282" s="34" t="s">
        <v>1231</v>
      </c>
      <c r="E282" s="11" t="s">
        <v>13</v>
      </c>
    </row>
    <row r="283">
      <c r="A283" s="19">
        <v>0.83125</v>
      </c>
      <c r="B283" s="34" t="s">
        <v>1367</v>
      </c>
      <c r="C283" s="35" t="s">
        <v>66</v>
      </c>
      <c r="D283" s="34" t="s">
        <v>139</v>
      </c>
      <c r="E283" s="11" t="s">
        <v>9</v>
      </c>
    </row>
    <row r="284">
      <c r="A284" s="19">
        <v>0.83125</v>
      </c>
      <c r="B284" s="34" t="s">
        <v>1300</v>
      </c>
      <c r="C284" s="35" t="s">
        <v>80</v>
      </c>
      <c r="D284" s="34" t="s">
        <v>1366</v>
      </c>
      <c r="E284" s="11" t="s">
        <v>13</v>
      </c>
    </row>
    <row r="285">
      <c r="A285" s="19">
        <v>0.8416666666666667</v>
      </c>
      <c r="B285" s="34" t="s">
        <v>1367</v>
      </c>
      <c r="C285" s="35" t="s">
        <v>357</v>
      </c>
      <c r="D285" s="34" t="s">
        <v>1231</v>
      </c>
      <c r="E285" s="11" t="s">
        <v>9</v>
      </c>
    </row>
    <row r="286">
      <c r="A286" s="19">
        <v>0.8416666666666667</v>
      </c>
      <c r="B286" s="34" t="s">
        <v>139</v>
      </c>
      <c r="C286" s="35" t="s">
        <v>413</v>
      </c>
      <c r="D286" s="34" t="s">
        <v>1366</v>
      </c>
      <c r="E286" s="11" t="s">
        <v>13</v>
      </c>
    </row>
    <row r="287">
      <c r="A287" s="27"/>
      <c r="B287" s="28" t="s">
        <v>134</v>
      </c>
      <c r="C287" s="2"/>
      <c r="D287" s="3"/>
      <c r="E287" s="29"/>
    </row>
    <row r="288">
      <c r="A288" s="18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9">
        <v>0.75</v>
      </c>
      <c r="B289" s="34" t="s">
        <v>1368</v>
      </c>
      <c r="C289" s="35" t="s">
        <v>196</v>
      </c>
      <c r="D289" s="34" t="s">
        <v>141</v>
      </c>
      <c r="E289" s="11" t="s">
        <v>33</v>
      </c>
    </row>
    <row r="290">
      <c r="A290" s="19">
        <v>0.75</v>
      </c>
      <c r="B290" s="34" t="s">
        <v>1369</v>
      </c>
      <c r="C290" s="35" t="s">
        <v>411</v>
      </c>
      <c r="D290" s="34" t="s">
        <v>1370</v>
      </c>
      <c r="E290" s="11" t="s">
        <v>37</v>
      </c>
    </row>
    <row r="291">
      <c r="A291" s="19">
        <v>0.7597222222222222</v>
      </c>
      <c r="B291" s="34" t="s">
        <v>1369</v>
      </c>
      <c r="C291" s="35" t="s">
        <v>87</v>
      </c>
      <c r="D291" s="34" t="s">
        <v>141</v>
      </c>
      <c r="E291" s="11" t="s">
        <v>33</v>
      </c>
    </row>
    <row r="292">
      <c r="A292" s="19">
        <v>0.7597222222222222</v>
      </c>
      <c r="B292" s="34" t="s">
        <v>1371</v>
      </c>
      <c r="C292" s="35" t="s">
        <v>66</v>
      </c>
      <c r="D292" s="34" t="s">
        <v>1370</v>
      </c>
      <c r="E292" s="11" t="s">
        <v>37</v>
      </c>
    </row>
    <row r="293">
      <c r="A293" s="19">
        <v>0.7701388888888889</v>
      </c>
      <c r="B293" s="34" t="s">
        <v>1371</v>
      </c>
      <c r="C293" s="35" t="s">
        <v>195</v>
      </c>
      <c r="D293" s="34" t="s">
        <v>1369</v>
      </c>
      <c r="E293" s="11" t="s">
        <v>33</v>
      </c>
    </row>
    <row r="294">
      <c r="A294" s="19">
        <v>0.7701388888888889</v>
      </c>
      <c r="B294" s="34" t="s">
        <v>1370</v>
      </c>
      <c r="C294" s="35" t="s">
        <v>716</v>
      </c>
      <c r="D294" s="34" t="s">
        <v>1368</v>
      </c>
      <c r="E294" s="11" t="s">
        <v>37</v>
      </c>
    </row>
    <row r="295">
      <c r="A295" s="19">
        <v>0.7805555555555556</v>
      </c>
      <c r="B295" s="34" t="s">
        <v>1371</v>
      </c>
      <c r="C295" s="35" t="s">
        <v>194</v>
      </c>
      <c r="D295" s="34" t="s">
        <v>141</v>
      </c>
      <c r="E295" s="11" t="s">
        <v>33</v>
      </c>
    </row>
    <row r="296">
      <c r="A296" s="19">
        <v>0.7805555555555556</v>
      </c>
      <c r="B296" s="34" t="s">
        <v>1368</v>
      </c>
      <c r="C296" s="35" t="s">
        <v>43</v>
      </c>
      <c r="D296" s="34" t="s">
        <v>1369</v>
      </c>
      <c r="E296" s="11" t="s">
        <v>37</v>
      </c>
    </row>
    <row r="297">
      <c r="A297" s="19">
        <v>0.7902777777777777</v>
      </c>
      <c r="B297" s="34" t="s">
        <v>1370</v>
      </c>
      <c r="C297" s="35" t="s">
        <v>11</v>
      </c>
      <c r="D297" s="34" t="s">
        <v>141</v>
      </c>
      <c r="E297" s="11" t="s">
        <v>33</v>
      </c>
    </row>
    <row r="298">
      <c r="A298" s="19">
        <v>0.7902777777777777</v>
      </c>
      <c r="B298" s="34" t="s">
        <v>1368</v>
      </c>
      <c r="C298" s="35" t="s">
        <v>67</v>
      </c>
      <c r="D298" s="34" t="s">
        <v>1371</v>
      </c>
      <c r="E298" s="11" t="s">
        <v>37</v>
      </c>
    </row>
    <row r="299">
      <c r="A299" s="19">
        <v>0.8006944444444445</v>
      </c>
      <c r="B299" s="34" t="s">
        <v>141</v>
      </c>
      <c r="C299" s="35" t="s">
        <v>193</v>
      </c>
      <c r="D299" s="34" t="s">
        <v>1368</v>
      </c>
      <c r="E299" s="11" t="s">
        <v>33</v>
      </c>
      <c r="F299" s="36"/>
    </row>
    <row r="300">
      <c r="A300" s="19">
        <v>0.8006944444444445</v>
      </c>
      <c r="B300" s="34" t="s">
        <v>1370</v>
      </c>
      <c r="C300" s="35" t="s">
        <v>66</v>
      </c>
      <c r="D300" s="34" t="s">
        <v>1369</v>
      </c>
      <c r="E300" s="11" t="s">
        <v>37</v>
      </c>
    </row>
    <row r="301">
      <c r="A301" s="19">
        <v>0.8111111111111111</v>
      </c>
      <c r="B301" s="34" t="s">
        <v>141</v>
      </c>
      <c r="C301" s="35" t="s">
        <v>17</v>
      </c>
      <c r="D301" s="34" t="s">
        <v>1369</v>
      </c>
      <c r="E301" s="11" t="s">
        <v>33</v>
      </c>
    </row>
    <row r="302">
      <c r="A302" s="19">
        <v>0.8111111111111111</v>
      </c>
      <c r="B302" s="34" t="s">
        <v>1370</v>
      </c>
      <c r="C302" s="35" t="s">
        <v>195</v>
      </c>
      <c r="D302" s="34" t="s">
        <v>1371</v>
      </c>
      <c r="E302" s="11" t="s">
        <v>37</v>
      </c>
    </row>
    <row r="303">
      <c r="A303" s="19">
        <v>0.8208333333333333</v>
      </c>
      <c r="B303" s="34" t="s">
        <v>1369</v>
      </c>
      <c r="C303" s="35" t="s">
        <v>25</v>
      </c>
      <c r="D303" s="34" t="s">
        <v>1371</v>
      </c>
      <c r="E303" s="11" t="s">
        <v>33</v>
      </c>
    </row>
    <row r="304">
      <c r="A304" s="19">
        <v>0.8208333333333333</v>
      </c>
      <c r="B304" s="34" t="s">
        <v>1368</v>
      </c>
      <c r="C304" s="35" t="s">
        <v>328</v>
      </c>
      <c r="D304" s="34" t="s">
        <v>1370</v>
      </c>
      <c r="E304" s="11" t="s">
        <v>37</v>
      </c>
    </row>
    <row r="305">
      <c r="A305" s="19">
        <v>0.83125</v>
      </c>
      <c r="B305" s="34" t="s">
        <v>141</v>
      </c>
      <c r="C305" s="35" t="s">
        <v>196</v>
      </c>
      <c r="D305" s="34" t="s">
        <v>1371</v>
      </c>
      <c r="E305" s="11" t="s">
        <v>33</v>
      </c>
    </row>
    <row r="306">
      <c r="A306" s="19">
        <v>0.83125</v>
      </c>
      <c r="B306" s="34" t="s">
        <v>1369</v>
      </c>
      <c r="C306" s="35" t="s">
        <v>481</v>
      </c>
      <c r="D306" s="34" t="s">
        <v>1368</v>
      </c>
      <c r="E306" s="11" t="s">
        <v>37</v>
      </c>
    </row>
    <row r="307">
      <c r="A307" s="19">
        <v>0.8416666666666667</v>
      </c>
      <c r="B307" s="34" t="s">
        <v>141</v>
      </c>
      <c r="C307" s="35" t="s">
        <v>197</v>
      </c>
      <c r="D307" s="34" t="s">
        <v>1370</v>
      </c>
      <c r="E307" s="11" t="s">
        <v>33</v>
      </c>
    </row>
    <row r="308">
      <c r="A308" s="19">
        <v>0.8416666666666667</v>
      </c>
      <c r="B308" s="34" t="s">
        <v>1371</v>
      </c>
      <c r="C308" s="59" t="s">
        <v>1372</v>
      </c>
      <c r="D308" s="34" t="s">
        <v>1368</v>
      </c>
      <c r="E308" s="11" t="s">
        <v>37</v>
      </c>
    </row>
    <row r="309">
      <c r="A309" s="27"/>
      <c r="B309" s="28" t="s">
        <v>145</v>
      </c>
      <c r="C309" s="2"/>
      <c r="D309" s="3"/>
      <c r="E309" s="29"/>
    </row>
    <row r="310">
      <c r="A310" s="18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9">
        <v>0.8541666666666666</v>
      </c>
      <c r="B311" s="34" t="s">
        <v>1373</v>
      </c>
      <c r="C311" s="60" t="s">
        <v>534</v>
      </c>
      <c r="D311" s="34" t="s">
        <v>1257</v>
      </c>
      <c r="E311" s="11" t="s">
        <v>9</v>
      </c>
    </row>
    <row r="312">
      <c r="A312" s="19">
        <v>0.8541666666666666</v>
      </c>
      <c r="B312" s="34" t="s">
        <v>1374</v>
      </c>
      <c r="C312" s="33" t="s">
        <v>11</v>
      </c>
      <c r="D312" s="34" t="s">
        <v>1375</v>
      </c>
      <c r="E312" s="11" t="s">
        <v>13</v>
      </c>
    </row>
    <row r="313">
      <c r="A313" s="19">
        <v>0.8638888888888889</v>
      </c>
      <c r="B313" s="34" t="s">
        <v>1374</v>
      </c>
      <c r="C313" s="60" t="s">
        <v>190</v>
      </c>
      <c r="D313" s="34" t="s">
        <v>1257</v>
      </c>
      <c r="E313" s="11" t="s">
        <v>9</v>
      </c>
    </row>
    <row r="314">
      <c r="A314" s="19">
        <v>0.8638888888888889</v>
      </c>
      <c r="B314" s="34" t="s">
        <v>1376</v>
      </c>
      <c r="C314" s="33" t="s">
        <v>80</v>
      </c>
      <c r="D314" s="34" t="s">
        <v>1375</v>
      </c>
      <c r="E314" s="11" t="s">
        <v>13</v>
      </c>
    </row>
    <row r="315">
      <c r="A315" s="19">
        <v>0.8743055555555556</v>
      </c>
      <c r="B315" s="34" t="s">
        <v>1376</v>
      </c>
      <c r="C315" s="33" t="s">
        <v>197</v>
      </c>
      <c r="D315" s="34" t="s">
        <v>1374</v>
      </c>
      <c r="E315" s="11" t="s">
        <v>9</v>
      </c>
    </row>
    <row r="316">
      <c r="A316" s="19">
        <v>0.8743055555555556</v>
      </c>
      <c r="B316" s="34" t="s">
        <v>1375</v>
      </c>
      <c r="C316" s="33" t="s">
        <v>220</v>
      </c>
      <c r="D316" s="34" t="s">
        <v>1373</v>
      </c>
      <c r="E316" s="11" t="s">
        <v>13</v>
      </c>
    </row>
    <row r="317">
      <c r="A317" s="19">
        <v>0.8847222222222222</v>
      </c>
      <c r="B317" s="34" t="s">
        <v>1376</v>
      </c>
      <c r="C317" s="33" t="s">
        <v>26</v>
      </c>
      <c r="D317" s="34" t="s">
        <v>1257</v>
      </c>
      <c r="E317" s="11" t="s">
        <v>9</v>
      </c>
    </row>
    <row r="318">
      <c r="A318" s="19">
        <v>0.8847222222222222</v>
      </c>
      <c r="B318" s="34" t="s">
        <v>1373</v>
      </c>
      <c r="C318" s="33" t="s">
        <v>81</v>
      </c>
      <c r="D318" s="34" t="s">
        <v>1374</v>
      </c>
      <c r="E318" s="11" t="s">
        <v>13</v>
      </c>
    </row>
    <row r="319">
      <c r="A319" s="19">
        <v>0.8944444444444445</v>
      </c>
      <c r="B319" s="34" t="s">
        <v>1375</v>
      </c>
      <c r="C319" s="33" t="s">
        <v>218</v>
      </c>
      <c r="D319" s="34" t="s">
        <v>1257</v>
      </c>
      <c r="E319" s="11" t="s">
        <v>9</v>
      </c>
    </row>
    <row r="320">
      <c r="A320" s="19">
        <v>0.8944444444444445</v>
      </c>
      <c r="B320" s="34" t="s">
        <v>1373</v>
      </c>
      <c r="C320" s="33" t="s">
        <v>857</v>
      </c>
      <c r="D320" s="34" t="s">
        <v>1376</v>
      </c>
      <c r="E320" s="11" t="s">
        <v>13</v>
      </c>
    </row>
    <row r="321">
      <c r="A321" s="19">
        <v>0.9048611111111111</v>
      </c>
      <c r="B321" s="34" t="s">
        <v>1257</v>
      </c>
      <c r="C321" s="33" t="s">
        <v>412</v>
      </c>
      <c r="D321" s="34" t="s">
        <v>1373</v>
      </c>
      <c r="E321" s="11" t="s">
        <v>9</v>
      </c>
    </row>
    <row r="322">
      <c r="A322" s="19">
        <v>0.9048611111111111</v>
      </c>
      <c r="B322" s="34" t="s">
        <v>1375</v>
      </c>
      <c r="C322" s="33" t="s">
        <v>18</v>
      </c>
      <c r="D322" s="34" t="s">
        <v>1374</v>
      </c>
      <c r="E322" s="11" t="s">
        <v>13</v>
      </c>
    </row>
    <row r="323">
      <c r="A323" s="19">
        <v>0.9152777777777777</v>
      </c>
      <c r="B323" s="34" t="s">
        <v>1257</v>
      </c>
      <c r="C323" s="35" t="s">
        <v>35</v>
      </c>
      <c r="D323" s="34" t="s">
        <v>1374</v>
      </c>
      <c r="E323" s="11" t="s">
        <v>9</v>
      </c>
    </row>
    <row r="324">
      <c r="A324" s="19">
        <v>0.9152777777777777</v>
      </c>
      <c r="B324" s="34" t="s">
        <v>1375</v>
      </c>
      <c r="C324" s="35" t="s">
        <v>25</v>
      </c>
      <c r="D324" s="34" t="s">
        <v>1376</v>
      </c>
      <c r="E324" s="11" t="s">
        <v>13</v>
      </c>
    </row>
    <row r="325">
      <c r="A325" s="19">
        <v>0.925</v>
      </c>
      <c r="B325" s="34" t="s">
        <v>1374</v>
      </c>
      <c r="C325" s="35" t="s">
        <v>70</v>
      </c>
      <c r="D325" s="34" t="s">
        <v>1376</v>
      </c>
      <c r="E325" s="11" t="s">
        <v>9</v>
      </c>
    </row>
    <row r="326">
      <c r="A326" s="19">
        <v>0.925</v>
      </c>
      <c r="B326" s="34" t="s">
        <v>1373</v>
      </c>
      <c r="C326" s="35" t="s">
        <v>41</v>
      </c>
      <c r="D326" s="34" t="s">
        <v>1375</v>
      </c>
      <c r="E326" s="11" t="s">
        <v>13</v>
      </c>
    </row>
    <row r="327">
      <c r="A327" s="19">
        <v>0.9354166666666667</v>
      </c>
      <c r="B327" s="34" t="s">
        <v>1257</v>
      </c>
      <c r="C327" s="35" t="s">
        <v>857</v>
      </c>
      <c r="D327" s="34" t="s">
        <v>1376</v>
      </c>
      <c r="E327" s="11" t="s">
        <v>9</v>
      </c>
    </row>
    <row r="328">
      <c r="A328" s="19">
        <v>0.9354166666666667</v>
      </c>
      <c r="B328" s="34" t="s">
        <v>1374</v>
      </c>
      <c r="C328" s="35" t="s">
        <v>1377</v>
      </c>
      <c r="D328" s="34" t="s">
        <v>1373</v>
      </c>
      <c r="E328" s="11" t="s">
        <v>13</v>
      </c>
    </row>
    <row r="329">
      <c r="A329" s="19">
        <v>0.9458333333333333</v>
      </c>
      <c r="B329" s="34" t="s">
        <v>1257</v>
      </c>
      <c r="C329" s="35" t="s">
        <v>83</v>
      </c>
      <c r="D329" s="34" t="s">
        <v>1375</v>
      </c>
      <c r="E329" s="11" t="s">
        <v>9</v>
      </c>
    </row>
    <row r="330">
      <c r="A330" s="19">
        <v>0.9458333333333333</v>
      </c>
      <c r="B330" s="34" t="s">
        <v>1376</v>
      </c>
      <c r="C330" s="35" t="s">
        <v>187</v>
      </c>
      <c r="D330" s="34" t="s">
        <v>1373</v>
      </c>
      <c r="E330" s="11" t="s">
        <v>13</v>
      </c>
    </row>
    <row r="331">
      <c r="A331" s="27"/>
      <c r="B331" s="28" t="s">
        <v>145</v>
      </c>
      <c r="C331" s="2"/>
      <c r="D331" s="3"/>
      <c r="E331" s="29"/>
    </row>
    <row r="332">
      <c r="A332" s="18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9">
        <v>0.8541666666666666</v>
      </c>
      <c r="B333" s="34" t="s">
        <v>333</v>
      </c>
      <c r="C333" s="35" t="s">
        <v>815</v>
      </c>
      <c r="D333" s="34" t="s">
        <v>1378</v>
      </c>
      <c r="E333" s="11" t="s">
        <v>33</v>
      </c>
    </row>
    <row r="334">
      <c r="A334" s="19">
        <v>0.8541666666666666</v>
      </c>
      <c r="B334" s="34" t="s">
        <v>1110</v>
      </c>
      <c r="C334" s="35" t="s">
        <v>67</v>
      </c>
      <c r="D334" s="34" t="s">
        <v>1379</v>
      </c>
      <c r="E334" s="11" t="s">
        <v>37</v>
      </c>
    </row>
    <row r="335">
      <c r="A335" s="19">
        <v>0.8638888888888889</v>
      </c>
      <c r="B335" s="34" t="s">
        <v>1110</v>
      </c>
      <c r="C335" s="35" t="s">
        <v>354</v>
      </c>
      <c r="D335" s="34" t="s">
        <v>1378</v>
      </c>
      <c r="E335" s="11" t="s">
        <v>33</v>
      </c>
    </row>
    <row r="336">
      <c r="A336" s="19">
        <v>0.8638888888888889</v>
      </c>
      <c r="B336" s="34" t="s">
        <v>1380</v>
      </c>
      <c r="C336" s="35" t="s">
        <v>802</v>
      </c>
      <c r="D336" s="34" t="s">
        <v>1379</v>
      </c>
      <c r="E336" s="11" t="s">
        <v>37</v>
      </c>
    </row>
    <row r="337">
      <c r="A337" s="19">
        <v>0.8743055555555556</v>
      </c>
      <c r="B337" s="34" t="s">
        <v>1380</v>
      </c>
      <c r="C337" s="35" t="s">
        <v>82</v>
      </c>
      <c r="D337" s="34" t="s">
        <v>1110</v>
      </c>
      <c r="E337" s="11" t="s">
        <v>33</v>
      </c>
    </row>
    <row r="338">
      <c r="A338" s="19">
        <v>0.8743055555555556</v>
      </c>
      <c r="B338" s="34" t="s">
        <v>1379</v>
      </c>
      <c r="C338" s="35" t="s">
        <v>321</v>
      </c>
      <c r="D338" s="34" t="s">
        <v>333</v>
      </c>
      <c r="E338" s="11" t="s">
        <v>37</v>
      </c>
    </row>
    <row r="339">
      <c r="A339" s="19">
        <v>0.8847222222222222</v>
      </c>
      <c r="B339" s="34" t="s">
        <v>1380</v>
      </c>
      <c r="C339" s="35" t="s">
        <v>260</v>
      </c>
      <c r="D339" s="34" t="s">
        <v>1378</v>
      </c>
      <c r="E339" s="11" t="s">
        <v>33</v>
      </c>
    </row>
    <row r="340">
      <c r="A340" s="19">
        <v>0.8847222222222222</v>
      </c>
      <c r="B340" s="34" t="s">
        <v>333</v>
      </c>
      <c r="C340" s="35" t="s">
        <v>269</v>
      </c>
      <c r="D340" s="34" t="s">
        <v>1110</v>
      </c>
      <c r="E340" s="11" t="s">
        <v>37</v>
      </c>
    </row>
    <row r="341">
      <c r="A341" s="19">
        <v>0.8944444444444445</v>
      </c>
      <c r="B341" s="34" t="s">
        <v>1379</v>
      </c>
      <c r="C341" s="35" t="s">
        <v>411</v>
      </c>
      <c r="D341" s="34" t="s">
        <v>1378</v>
      </c>
      <c r="E341" s="11" t="s">
        <v>33</v>
      </c>
    </row>
    <row r="342">
      <c r="A342" s="19">
        <v>0.8944444444444445</v>
      </c>
      <c r="B342" s="34" t="s">
        <v>333</v>
      </c>
      <c r="C342" s="35" t="s">
        <v>857</v>
      </c>
      <c r="D342" s="34" t="s">
        <v>1380</v>
      </c>
      <c r="E342" s="11" t="s">
        <v>37</v>
      </c>
    </row>
    <row r="343">
      <c r="A343" s="19">
        <v>0.9048611111111111</v>
      </c>
      <c r="B343" s="34" t="s">
        <v>1378</v>
      </c>
      <c r="C343" s="39" t="s">
        <v>16</v>
      </c>
      <c r="D343" s="34" t="s">
        <v>333</v>
      </c>
      <c r="E343" s="11" t="s">
        <v>33</v>
      </c>
    </row>
    <row r="344">
      <c r="A344" s="19">
        <v>0.9048611111111111</v>
      </c>
      <c r="B344" s="34" t="s">
        <v>1379</v>
      </c>
      <c r="C344" s="35" t="s">
        <v>289</v>
      </c>
      <c r="D344" s="34" t="s">
        <v>1110</v>
      </c>
      <c r="E344" s="11" t="s">
        <v>37</v>
      </c>
    </row>
    <row r="345">
      <c r="A345" s="19">
        <v>0.9152777777777777</v>
      </c>
      <c r="B345" s="34" t="s">
        <v>1378</v>
      </c>
      <c r="C345" s="35" t="s">
        <v>67</v>
      </c>
      <c r="D345" s="34" t="s">
        <v>1110</v>
      </c>
      <c r="E345" s="11" t="s">
        <v>33</v>
      </c>
    </row>
    <row r="346">
      <c r="A346" s="19">
        <v>0.9152777777777777</v>
      </c>
      <c r="B346" s="34" t="s">
        <v>1379</v>
      </c>
      <c r="C346" s="35" t="s">
        <v>22</v>
      </c>
      <c r="D346" s="34" t="s">
        <v>1380</v>
      </c>
      <c r="E346" s="11" t="s">
        <v>37</v>
      </c>
    </row>
    <row r="347">
      <c r="A347" s="19">
        <v>0.925</v>
      </c>
      <c r="B347" s="34" t="s">
        <v>1110</v>
      </c>
      <c r="C347" s="35" t="s">
        <v>1381</v>
      </c>
      <c r="D347" s="34" t="s">
        <v>1380</v>
      </c>
      <c r="E347" s="11" t="s">
        <v>33</v>
      </c>
    </row>
    <row r="348">
      <c r="A348" s="19">
        <v>0.925</v>
      </c>
      <c r="B348" s="34" t="s">
        <v>333</v>
      </c>
      <c r="C348" s="35" t="s">
        <v>273</v>
      </c>
      <c r="D348" s="34" t="s">
        <v>1379</v>
      </c>
      <c r="E348" s="11" t="s">
        <v>37</v>
      </c>
    </row>
    <row r="349">
      <c r="A349" s="19">
        <v>0.9354166666666667</v>
      </c>
      <c r="B349" s="34" t="s">
        <v>1378</v>
      </c>
      <c r="C349" s="35" t="s">
        <v>62</v>
      </c>
      <c r="D349" s="34" t="s">
        <v>1380</v>
      </c>
      <c r="E349" s="11" t="s">
        <v>33</v>
      </c>
    </row>
    <row r="350">
      <c r="A350" s="19">
        <v>0.9354166666666667</v>
      </c>
      <c r="B350" s="34" t="s">
        <v>1110</v>
      </c>
      <c r="C350" s="35" t="s">
        <v>1190</v>
      </c>
      <c r="D350" s="34" t="s">
        <v>333</v>
      </c>
      <c r="E350" s="11" t="s">
        <v>37</v>
      </c>
    </row>
    <row r="351">
      <c r="A351" s="19">
        <v>0.9458333333333333</v>
      </c>
      <c r="B351" s="34" t="s">
        <v>1378</v>
      </c>
      <c r="C351" s="35" t="s">
        <v>251</v>
      </c>
      <c r="D351" s="34" t="s">
        <v>1379</v>
      </c>
      <c r="E351" s="11" t="s">
        <v>33</v>
      </c>
    </row>
    <row r="352">
      <c r="A352" s="19">
        <v>0.9458333333333333</v>
      </c>
      <c r="B352" s="34" t="s">
        <v>1380</v>
      </c>
      <c r="C352" s="35" t="s">
        <v>340</v>
      </c>
      <c r="D352" s="34" t="s">
        <v>333</v>
      </c>
      <c r="E352" s="11" t="s">
        <v>37</v>
      </c>
    </row>
    <row r="353">
      <c r="A353" s="27"/>
      <c r="B353" s="28" t="s">
        <v>156</v>
      </c>
      <c r="C353" s="2"/>
      <c r="D353" s="3"/>
      <c r="E353" s="29"/>
    </row>
    <row r="354">
      <c r="A354" s="18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9">
        <v>0.9583333333333334</v>
      </c>
      <c r="B355" s="34" t="s">
        <v>1382</v>
      </c>
      <c r="C355" s="35" t="s">
        <v>87</v>
      </c>
      <c r="D355" s="34" t="s">
        <v>158</v>
      </c>
      <c r="E355" s="11" t="s">
        <v>9</v>
      </c>
    </row>
    <row r="356">
      <c r="A356" s="19">
        <v>0.9583333333333334</v>
      </c>
      <c r="B356" s="34" t="s">
        <v>1314</v>
      </c>
      <c r="C356" s="35" t="s">
        <v>62</v>
      </c>
      <c r="D356" s="34" t="s">
        <v>609</v>
      </c>
      <c r="E356" s="11" t="s">
        <v>13</v>
      </c>
    </row>
    <row r="357">
      <c r="A357" s="19">
        <v>0.9680555555555556</v>
      </c>
      <c r="B357" s="34" t="s">
        <v>1314</v>
      </c>
      <c r="C357" s="35" t="s">
        <v>289</v>
      </c>
      <c r="D357" s="34" t="s">
        <v>158</v>
      </c>
      <c r="E357" s="11" t="s">
        <v>9</v>
      </c>
    </row>
    <row r="358">
      <c r="A358" s="19">
        <v>0.9680555555555556</v>
      </c>
      <c r="B358" s="34" t="s">
        <v>1383</v>
      </c>
      <c r="C358" s="35" t="s">
        <v>273</v>
      </c>
      <c r="D358" s="34" t="s">
        <v>609</v>
      </c>
      <c r="E358" s="11" t="s">
        <v>13</v>
      </c>
    </row>
    <row r="359">
      <c r="A359" s="19">
        <v>0.9784722222222222</v>
      </c>
      <c r="B359" s="34" t="s">
        <v>1383</v>
      </c>
      <c r="C359" s="35" t="s">
        <v>87</v>
      </c>
      <c r="D359" s="34" t="s">
        <v>1314</v>
      </c>
      <c r="E359" s="11" t="s">
        <v>9</v>
      </c>
    </row>
    <row r="360">
      <c r="A360" s="19">
        <v>0.9784722222222222</v>
      </c>
      <c r="B360" s="34" t="s">
        <v>609</v>
      </c>
      <c r="C360" s="35" t="s">
        <v>218</v>
      </c>
      <c r="D360" s="34" t="s">
        <v>1382</v>
      </c>
      <c r="E360" s="11" t="s">
        <v>13</v>
      </c>
    </row>
    <row r="361">
      <c r="A361" s="19">
        <v>0.9888888888888889</v>
      </c>
      <c r="B361" s="34" t="s">
        <v>1383</v>
      </c>
      <c r="C361" s="35" t="s">
        <v>378</v>
      </c>
      <c r="D361" s="34" t="s">
        <v>158</v>
      </c>
      <c r="E361" s="11" t="s">
        <v>9</v>
      </c>
    </row>
    <row r="362">
      <c r="A362" s="19">
        <v>0.9888888888888889</v>
      </c>
      <c r="B362" s="34" t="s">
        <v>1382</v>
      </c>
      <c r="C362" s="35" t="s">
        <v>81</v>
      </c>
      <c r="D362" s="34" t="s">
        <v>1314</v>
      </c>
      <c r="E362" s="11" t="s">
        <v>13</v>
      </c>
    </row>
    <row r="363">
      <c r="A363" s="19">
        <v>0.9986111111111111</v>
      </c>
      <c r="B363" s="34" t="s">
        <v>609</v>
      </c>
      <c r="C363" s="35" t="s">
        <v>370</v>
      </c>
      <c r="D363" s="34" t="s">
        <v>158</v>
      </c>
      <c r="E363" s="11" t="s">
        <v>9</v>
      </c>
    </row>
    <row r="364">
      <c r="A364" s="19">
        <v>0.9986111111111111</v>
      </c>
      <c r="B364" s="34" t="s">
        <v>1382</v>
      </c>
      <c r="C364" s="35" t="s">
        <v>81</v>
      </c>
      <c r="D364" s="34" t="s">
        <v>1383</v>
      </c>
      <c r="E364" s="11" t="s">
        <v>13</v>
      </c>
    </row>
    <row r="365">
      <c r="A365" s="19">
        <v>0.009027777777777777</v>
      </c>
      <c r="B365" s="34" t="s">
        <v>158</v>
      </c>
      <c r="C365" s="35" t="s">
        <v>426</v>
      </c>
      <c r="D365" s="34" t="s">
        <v>1382</v>
      </c>
      <c r="E365" s="11" t="s">
        <v>9</v>
      </c>
    </row>
    <row r="366">
      <c r="A366" s="19">
        <v>0.009027777777777777</v>
      </c>
      <c r="B366" s="34" t="s">
        <v>609</v>
      </c>
      <c r="C366" s="35" t="s">
        <v>231</v>
      </c>
      <c r="D366" s="34" t="s">
        <v>1314</v>
      </c>
      <c r="E366" s="11" t="s">
        <v>13</v>
      </c>
    </row>
    <row r="367">
      <c r="A367" s="19">
        <v>0.019444444444444445</v>
      </c>
      <c r="B367" s="34" t="s">
        <v>158</v>
      </c>
      <c r="C367" s="35" t="s">
        <v>190</v>
      </c>
      <c r="D367" s="34" t="s">
        <v>1314</v>
      </c>
      <c r="E367" s="11" t="s">
        <v>9</v>
      </c>
    </row>
    <row r="368">
      <c r="A368" s="19">
        <v>0.019444444444444445</v>
      </c>
      <c r="B368" s="34" t="s">
        <v>609</v>
      </c>
      <c r="C368" s="35" t="s">
        <v>66</v>
      </c>
      <c r="D368" s="34" t="s">
        <v>1383</v>
      </c>
      <c r="E368" s="11" t="s">
        <v>13</v>
      </c>
    </row>
    <row r="369">
      <c r="A369" s="19">
        <v>0.029166666666666667</v>
      </c>
      <c r="B369" s="34" t="s">
        <v>1314</v>
      </c>
      <c r="C369" s="35" t="s">
        <v>17</v>
      </c>
      <c r="D369" s="34" t="s">
        <v>1383</v>
      </c>
      <c r="E369" s="11" t="s">
        <v>9</v>
      </c>
    </row>
    <row r="370">
      <c r="A370" s="19">
        <v>0.029166666666666667</v>
      </c>
      <c r="B370" s="34" t="s">
        <v>1382</v>
      </c>
      <c r="C370" s="35" t="s">
        <v>267</v>
      </c>
      <c r="D370" s="34" t="s">
        <v>609</v>
      </c>
      <c r="E370" s="11" t="s">
        <v>13</v>
      </c>
    </row>
    <row r="371">
      <c r="A371" s="19">
        <v>0.03958333333333333</v>
      </c>
      <c r="B371" s="34" t="s">
        <v>158</v>
      </c>
      <c r="C371" s="35" t="s">
        <v>43</v>
      </c>
      <c r="D371" s="34" t="s">
        <v>1383</v>
      </c>
      <c r="E371" s="11" t="s">
        <v>9</v>
      </c>
    </row>
    <row r="372">
      <c r="A372" s="19">
        <v>0.03958333333333333</v>
      </c>
      <c r="B372" s="34" t="s">
        <v>1314</v>
      </c>
      <c r="C372" s="35" t="s">
        <v>239</v>
      </c>
      <c r="D372" s="34" t="s">
        <v>1382</v>
      </c>
      <c r="E372" s="11" t="s">
        <v>13</v>
      </c>
    </row>
    <row r="373">
      <c r="A373" s="19">
        <v>0.05</v>
      </c>
      <c r="B373" s="34" t="s">
        <v>158</v>
      </c>
      <c r="C373" s="35" t="s">
        <v>286</v>
      </c>
      <c r="D373" s="34" t="s">
        <v>609</v>
      </c>
      <c r="E373" s="11" t="s">
        <v>9</v>
      </c>
    </row>
    <row r="374">
      <c r="A374" s="19">
        <v>0.05</v>
      </c>
      <c r="B374" s="34" t="s">
        <v>1383</v>
      </c>
      <c r="C374" s="35" t="s">
        <v>195</v>
      </c>
      <c r="D374" s="34" t="s">
        <v>1382</v>
      </c>
      <c r="E374" s="11" t="s">
        <v>13</v>
      </c>
    </row>
    <row r="375">
      <c r="A375" s="27"/>
      <c r="B375" s="28" t="s">
        <v>156</v>
      </c>
      <c r="C375" s="2"/>
      <c r="D375" s="3"/>
      <c r="E375" s="29"/>
    </row>
    <row r="376">
      <c r="A376" s="18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9">
        <v>0.9583333333333334</v>
      </c>
      <c r="B377" s="8" t="s">
        <v>1384</v>
      </c>
      <c r="C377" s="35" t="s">
        <v>217</v>
      </c>
      <c r="D377" s="34" t="s">
        <v>1315</v>
      </c>
      <c r="E377" s="11" t="s">
        <v>33</v>
      </c>
    </row>
    <row r="378">
      <c r="A378" s="19">
        <v>0.9583333333333334</v>
      </c>
      <c r="B378" s="34" t="s">
        <v>162</v>
      </c>
      <c r="C378" s="35" t="s">
        <v>285</v>
      </c>
      <c r="D378" s="34" t="s">
        <v>1247</v>
      </c>
      <c r="E378" s="11" t="s">
        <v>37</v>
      </c>
    </row>
    <row r="379">
      <c r="A379" s="19">
        <v>0.9680555555555556</v>
      </c>
      <c r="B379" s="34" t="s">
        <v>162</v>
      </c>
      <c r="C379" s="35" t="s">
        <v>260</v>
      </c>
      <c r="D379" s="34" t="s">
        <v>1315</v>
      </c>
      <c r="E379" s="11" t="s">
        <v>33</v>
      </c>
    </row>
    <row r="380">
      <c r="A380" s="19">
        <v>0.9680555555555556</v>
      </c>
      <c r="B380" s="34" t="s">
        <v>1119</v>
      </c>
      <c r="C380" s="35" t="s">
        <v>239</v>
      </c>
      <c r="D380" s="34" t="s">
        <v>1247</v>
      </c>
      <c r="E380" s="11" t="s">
        <v>37</v>
      </c>
    </row>
    <row r="381">
      <c r="A381" s="19">
        <v>0.9784722222222222</v>
      </c>
      <c r="B381" s="34" t="s">
        <v>1119</v>
      </c>
      <c r="C381" s="35" t="s">
        <v>377</v>
      </c>
      <c r="D381" s="34" t="s">
        <v>162</v>
      </c>
      <c r="E381" s="11" t="s">
        <v>33</v>
      </c>
    </row>
    <row r="382">
      <c r="A382" s="19">
        <v>0.9784722222222222</v>
      </c>
      <c r="B382" s="34" t="s">
        <v>1247</v>
      </c>
      <c r="C382" s="35" t="s">
        <v>42</v>
      </c>
      <c r="D382" s="8" t="s">
        <v>1384</v>
      </c>
      <c r="E382" s="11" t="s">
        <v>37</v>
      </c>
    </row>
    <row r="383">
      <c r="A383" s="19">
        <v>0.9888888888888889</v>
      </c>
      <c r="B383" s="34" t="s">
        <v>1119</v>
      </c>
      <c r="C383" s="35" t="s">
        <v>217</v>
      </c>
      <c r="D383" s="34" t="s">
        <v>1315</v>
      </c>
      <c r="E383" s="11" t="s">
        <v>33</v>
      </c>
    </row>
    <row r="384">
      <c r="A384" s="19">
        <v>0.9888888888888889</v>
      </c>
      <c r="B384" s="8" t="s">
        <v>1384</v>
      </c>
      <c r="C384" s="35" t="s">
        <v>217</v>
      </c>
      <c r="D384" s="34" t="s">
        <v>162</v>
      </c>
      <c r="E384" s="11" t="s">
        <v>37</v>
      </c>
    </row>
    <row r="385">
      <c r="A385" s="19">
        <v>0.9986111111111111</v>
      </c>
      <c r="B385" s="34" t="s">
        <v>1247</v>
      </c>
      <c r="C385" s="35" t="s">
        <v>240</v>
      </c>
      <c r="D385" s="34" t="s">
        <v>1315</v>
      </c>
      <c r="E385" s="11" t="s">
        <v>33</v>
      </c>
    </row>
    <row r="386">
      <c r="A386" s="19">
        <v>0.9986111111111111</v>
      </c>
      <c r="B386" s="8" t="s">
        <v>1384</v>
      </c>
      <c r="C386" s="35" t="s">
        <v>197</v>
      </c>
      <c r="D386" s="34" t="s">
        <v>1119</v>
      </c>
      <c r="E386" s="11" t="s">
        <v>37</v>
      </c>
    </row>
    <row r="387">
      <c r="A387" s="19">
        <v>0.009027777777777777</v>
      </c>
      <c r="B387" s="34" t="s">
        <v>1315</v>
      </c>
      <c r="C387" s="35" t="s">
        <v>67</v>
      </c>
      <c r="D387" s="8" t="s">
        <v>1384</v>
      </c>
      <c r="E387" s="11" t="s">
        <v>33</v>
      </c>
    </row>
    <row r="388">
      <c r="A388" s="19">
        <v>0.009027777777777777</v>
      </c>
      <c r="B388" s="34" t="s">
        <v>1247</v>
      </c>
      <c r="C388" s="35" t="s">
        <v>19</v>
      </c>
      <c r="D388" s="34" t="s">
        <v>162</v>
      </c>
      <c r="E388" s="11" t="s">
        <v>37</v>
      </c>
    </row>
    <row r="389">
      <c r="A389" s="19">
        <v>0.019444444444444445</v>
      </c>
      <c r="B389" s="34" t="s">
        <v>1315</v>
      </c>
      <c r="C389" s="35" t="s">
        <v>195</v>
      </c>
      <c r="D389" s="34" t="s">
        <v>162</v>
      </c>
      <c r="E389" s="11" t="s">
        <v>33</v>
      </c>
    </row>
    <row r="390">
      <c r="A390" s="19">
        <v>0.019444444444444445</v>
      </c>
      <c r="B390" s="34" t="s">
        <v>1247</v>
      </c>
      <c r="C390" s="35" t="s">
        <v>81</v>
      </c>
      <c r="D390" s="34" t="s">
        <v>1119</v>
      </c>
      <c r="E390" s="11" t="s">
        <v>37</v>
      </c>
    </row>
    <row r="391">
      <c r="A391" s="19">
        <v>0.029166666666666667</v>
      </c>
      <c r="B391" s="34" t="s">
        <v>162</v>
      </c>
      <c r="C391" s="35" t="s">
        <v>1385</v>
      </c>
      <c r="D391" s="34" t="s">
        <v>1119</v>
      </c>
      <c r="E391" s="11" t="s">
        <v>33</v>
      </c>
    </row>
    <row r="392">
      <c r="A392" s="19">
        <v>0.029166666666666667</v>
      </c>
      <c r="B392" s="8" t="s">
        <v>1384</v>
      </c>
      <c r="C392" s="35" t="s">
        <v>195</v>
      </c>
      <c r="D392" s="34" t="s">
        <v>1247</v>
      </c>
      <c r="E392" s="11" t="s">
        <v>37</v>
      </c>
    </row>
    <row r="393">
      <c r="A393" s="19">
        <v>0.03958333333333333</v>
      </c>
      <c r="B393" s="34" t="s">
        <v>1315</v>
      </c>
      <c r="C393" s="35" t="s">
        <v>219</v>
      </c>
      <c r="D393" s="34" t="s">
        <v>1119</v>
      </c>
      <c r="E393" s="11" t="s">
        <v>33</v>
      </c>
    </row>
    <row r="394">
      <c r="A394" s="19">
        <v>0.03958333333333333</v>
      </c>
      <c r="B394" s="34" t="s">
        <v>162</v>
      </c>
      <c r="C394" s="35" t="s">
        <v>62</v>
      </c>
      <c r="D394" s="8" t="s">
        <v>1384</v>
      </c>
      <c r="E394" s="11" t="s">
        <v>37</v>
      </c>
    </row>
    <row r="395">
      <c r="A395" s="19">
        <v>0.05</v>
      </c>
      <c r="B395" s="34" t="s">
        <v>1315</v>
      </c>
      <c r="C395" s="35" t="s">
        <v>190</v>
      </c>
      <c r="D395" s="34" t="s">
        <v>1247</v>
      </c>
      <c r="E395" s="11" t="s">
        <v>33</v>
      </c>
    </row>
    <row r="396">
      <c r="A396" s="61">
        <v>0.05</v>
      </c>
      <c r="B396" s="34" t="s">
        <v>1119</v>
      </c>
      <c r="C396" s="35" t="s">
        <v>68</v>
      </c>
      <c r="D396" s="8" t="s">
        <v>1384</v>
      </c>
      <c r="E396" s="11" t="s">
        <v>37</v>
      </c>
    </row>
    <row r="397">
      <c r="A397" s="62"/>
      <c r="B397" s="31"/>
      <c r="C397" s="31"/>
      <c r="D397" s="31"/>
      <c r="E397" s="31"/>
    </row>
    <row r="398">
      <c r="A398" s="63"/>
      <c r="B398" s="31"/>
      <c r="C398" s="31"/>
      <c r="D398" s="31"/>
      <c r="E398" s="31"/>
    </row>
    <row r="399">
      <c r="A399" s="64"/>
      <c r="B399" s="31"/>
      <c r="C399" s="31"/>
      <c r="D399" s="31"/>
      <c r="E399" s="31"/>
    </row>
    <row r="400">
      <c r="A400" s="64"/>
      <c r="B400" s="31"/>
      <c r="C400" s="31"/>
      <c r="D400" s="31"/>
      <c r="E400" s="31"/>
    </row>
    <row r="401">
      <c r="A401" s="64"/>
      <c r="B401" s="31"/>
      <c r="C401" s="31"/>
      <c r="D401" s="31"/>
      <c r="E401" s="31"/>
    </row>
    <row r="402">
      <c r="A402" s="64"/>
      <c r="B402" s="31"/>
      <c r="C402" s="31"/>
      <c r="D402" s="31"/>
      <c r="E402" s="31"/>
    </row>
    <row r="403">
      <c r="A403" s="64"/>
      <c r="B403" s="31"/>
      <c r="C403" s="31"/>
      <c r="D403" s="31"/>
      <c r="E403" s="31"/>
    </row>
    <row r="404">
      <c r="A404" s="64"/>
      <c r="B404" s="31"/>
      <c r="C404" s="31"/>
      <c r="D404" s="31"/>
      <c r="E404" s="31"/>
    </row>
    <row r="405">
      <c r="A405" s="64"/>
      <c r="B405" s="31"/>
      <c r="C405" s="31"/>
      <c r="D405" s="31"/>
      <c r="E405" s="31"/>
    </row>
    <row r="406">
      <c r="A406" s="64"/>
      <c r="B406" s="31"/>
      <c r="C406" s="31"/>
      <c r="D406" s="31"/>
      <c r="E406" s="31"/>
    </row>
    <row r="407">
      <c r="A407" s="64"/>
      <c r="B407" s="31"/>
      <c r="C407" s="31"/>
      <c r="D407" s="31"/>
      <c r="E407" s="31"/>
    </row>
    <row r="408">
      <c r="A408" s="64"/>
      <c r="B408" s="31"/>
      <c r="C408" s="31"/>
      <c r="D408" s="31"/>
      <c r="E408" s="31"/>
    </row>
    <row r="409">
      <c r="A409" s="64"/>
      <c r="B409" s="31"/>
      <c r="C409" s="31"/>
      <c r="D409" s="31"/>
      <c r="E409" s="31"/>
    </row>
    <row r="410">
      <c r="A410" s="64"/>
      <c r="B410" s="31"/>
      <c r="C410" s="31"/>
      <c r="D410" s="31"/>
      <c r="E410" s="31"/>
    </row>
    <row r="411">
      <c r="A411" s="64"/>
      <c r="B411" s="31"/>
      <c r="C411" s="31"/>
      <c r="D411" s="31"/>
      <c r="E411" s="31"/>
    </row>
    <row r="412">
      <c r="A412" s="64"/>
      <c r="B412" s="31"/>
      <c r="C412" s="31"/>
      <c r="D412" s="31"/>
      <c r="E412" s="31"/>
    </row>
    <row r="413">
      <c r="A413" s="64"/>
      <c r="B413" s="31"/>
      <c r="C413" s="31"/>
      <c r="D413" s="31"/>
      <c r="E413" s="31"/>
    </row>
    <row r="414">
      <c r="A414" s="64"/>
      <c r="B414" s="31"/>
      <c r="C414" s="31"/>
      <c r="D414" s="31"/>
      <c r="E414" s="31"/>
    </row>
    <row r="415">
      <c r="A415" s="64"/>
      <c r="B415" s="31"/>
      <c r="C415" s="31"/>
      <c r="D415" s="31"/>
      <c r="E415" s="31"/>
    </row>
    <row r="416">
      <c r="A416" s="64"/>
      <c r="B416" s="31"/>
      <c r="C416" s="31"/>
      <c r="D416" s="31"/>
      <c r="E416" s="31"/>
    </row>
    <row r="417">
      <c r="A417" s="64"/>
      <c r="B417" s="31"/>
      <c r="C417" s="31"/>
      <c r="D417" s="31"/>
      <c r="E417" s="31"/>
    </row>
    <row r="418">
      <c r="A418" s="64"/>
      <c r="B418" s="31"/>
      <c r="C418" s="31"/>
      <c r="D418" s="31"/>
      <c r="E418" s="31"/>
    </row>
    <row r="419">
      <c r="A419" s="62"/>
      <c r="B419" s="31"/>
      <c r="C419" s="31"/>
      <c r="D419" s="31"/>
      <c r="E419" s="31"/>
    </row>
    <row r="420">
      <c r="A420" s="63"/>
      <c r="B420" s="31"/>
      <c r="C420" s="31"/>
      <c r="D420" s="31"/>
      <c r="E420" s="31"/>
    </row>
    <row r="421">
      <c r="A421" s="64"/>
      <c r="B421" s="31"/>
      <c r="C421" s="31"/>
      <c r="D421" s="31"/>
      <c r="E421" s="31"/>
    </row>
    <row r="422">
      <c r="A422" s="64"/>
      <c r="B422" s="31"/>
      <c r="C422" s="31"/>
      <c r="D422" s="31"/>
      <c r="E422" s="31"/>
    </row>
    <row r="423">
      <c r="A423" s="64"/>
      <c r="B423" s="31"/>
      <c r="C423" s="31"/>
      <c r="D423" s="31"/>
      <c r="E423" s="31"/>
    </row>
    <row r="424">
      <c r="A424" s="64"/>
      <c r="B424" s="31"/>
      <c r="C424" s="31"/>
      <c r="D424" s="31"/>
      <c r="E424" s="31"/>
    </row>
    <row r="425">
      <c r="A425" s="64"/>
      <c r="B425" s="31"/>
      <c r="C425" s="31"/>
      <c r="D425" s="31"/>
      <c r="E425" s="31"/>
    </row>
    <row r="426">
      <c r="A426" s="64"/>
      <c r="B426" s="31"/>
      <c r="C426" s="31"/>
      <c r="D426" s="31"/>
      <c r="E426" s="31"/>
    </row>
    <row r="427">
      <c r="A427" s="64"/>
      <c r="B427" s="31"/>
      <c r="C427" s="31"/>
      <c r="D427" s="31"/>
      <c r="E427" s="31"/>
    </row>
    <row r="428">
      <c r="A428" s="64"/>
      <c r="B428" s="31"/>
      <c r="C428" s="31"/>
      <c r="D428" s="31"/>
      <c r="E428" s="31"/>
    </row>
    <row r="429">
      <c r="A429" s="64"/>
      <c r="B429" s="31"/>
      <c r="C429" s="31"/>
      <c r="D429" s="31"/>
      <c r="E429" s="31"/>
    </row>
    <row r="430">
      <c r="A430" s="64"/>
      <c r="B430" s="31"/>
      <c r="C430" s="31"/>
      <c r="D430" s="31"/>
      <c r="E430" s="31"/>
    </row>
    <row r="431">
      <c r="A431" s="64"/>
      <c r="B431" s="31"/>
      <c r="C431" s="31"/>
      <c r="D431" s="31"/>
      <c r="E431" s="31"/>
    </row>
    <row r="432">
      <c r="A432" s="64"/>
      <c r="B432" s="31"/>
      <c r="C432" s="31"/>
      <c r="D432" s="31"/>
      <c r="E432" s="31"/>
    </row>
    <row r="433">
      <c r="A433" s="64"/>
      <c r="B433" s="31"/>
      <c r="C433" s="31"/>
      <c r="D433" s="31"/>
      <c r="E433" s="31"/>
    </row>
    <row r="434">
      <c r="A434" s="64"/>
      <c r="B434" s="31"/>
      <c r="C434" s="31"/>
      <c r="D434" s="31"/>
      <c r="E434" s="31"/>
    </row>
    <row r="435">
      <c r="A435" s="64"/>
      <c r="B435" s="31"/>
      <c r="C435" s="31"/>
      <c r="D435" s="31"/>
      <c r="E435" s="31"/>
    </row>
    <row r="436">
      <c r="A436" s="64"/>
      <c r="B436" s="31"/>
      <c r="C436" s="31"/>
      <c r="D436" s="31"/>
      <c r="E436" s="31"/>
    </row>
    <row r="437">
      <c r="A437" s="64"/>
      <c r="B437" s="31"/>
      <c r="C437" s="31"/>
      <c r="D437" s="31"/>
      <c r="E437" s="31"/>
    </row>
    <row r="438">
      <c r="A438" s="64"/>
      <c r="B438" s="31"/>
      <c r="C438" s="31"/>
      <c r="D438" s="31"/>
      <c r="E438" s="31"/>
    </row>
    <row r="439">
      <c r="A439" s="64"/>
      <c r="B439" s="31"/>
      <c r="C439" s="31"/>
      <c r="D439" s="31"/>
      <c r="E439" s="31"/>
    </row>
    <row r="440">
      <c r="A440" s="64"/>
      <c r="B440" s="31"/>
      <c r="C440" s="31"/>
      <c r="D440" s="31"/>
      <c r="E440" s="31"/>
    </row>
    <row r="441">
      <c r="A441" s="62"/>
      <c r="B441" s="31"/>
      <c r="C441" s="31"/>
      <c r="D441" s="31"/>
      <c r="E441" s="31"/>
    </row>
    <row r="442">
      <c r="A442" s="63"/>
      <c r="B442" s="31"/>
      <c r="C442" s="31"/>
      <c r="D442" s="31"/>
      <c r="E442" s="31"/>
    </row>
    <row r="443">
      <c r="A443" s="64"/>
      <c r="B443" s="31"/>
      <c r="C443" s="31"/>
      <c r="D443" s="31"/>
      <c r="E443" s="31"/>
    </row>
    <row r="444">
      <c r="A444" s="64"/>
      <c r="B444" s="31"/>
      <c r="C444" s="31"/>
      <c r="D444" s="31"/>
      <c r="E444" s="31"/>
    </row>
    <row r="445">
      <c r="A445" s="64"/>
      <c r="B445" s="31"/>
      <c r="C445" s="31"/>
      <c r="D445" s="31"/>
      <c r="E445" s="31"/>
    </row>
    <row r="446">
      <c r="A446" s="64"/>
      <c r="B446" s="31"/>
      <c r="C446" s="31"/>
      <c r="D446" s="31"/>
      <c r="E446" s="31"/>
    </row>
    <row r="447">
      <c r="A447" s="64"/>
      <c r="B447" s="31"/>
      <c r="C447" s="31"/>
      <c r="D447" s="31"/>
      <c r="E447" s="31"/>
    </row>
    <row r="448">
      <c r="A448" s="64"/>
      <c r="B448" s="31"/>
      <c r="C448" s="31"/>
      <c r="D448" s="31"/>
      <c r="E448" s="31"/>
    </row>
    <row r="449">
      <c r="A449" s="64"/>
      <c r="B449" s="31"/>
      <c r="C449" s="31"/>
      <c r="D449" s="31"/>
      <c r="E449" s="31"/>
    </row>
    <row r="450">
      <c r="A450" s="64"/>
      <c r="B450" s="31"/>
      <c r="C450" s="31"/>
      <c r="D450" s="31"/>
      <c r="E450" s="31"/>
    </row>
    <row r="451">
      <c r="A451" s="64"/>
      <c r="B451" s="31"/>
      <c r="C451" s="31"/>
      <c r="D451" s="31"/>
      <c r="E451" s="31"/>
    </row>
    <row r="452">
      <c r="A452" s="64"/>
      <c r="B452" s="31"/>
      <c r="C452" s="31"/>
      <c r="D452" s="31"/>
      <c r="E452" s="31"/>
    </row>
    <row r="453">
      <c r="A453" s="64"/>
      <c r="B453" s="31"/>
      <c r="C453" s="31"/>
      <c r="D453" s="31"/>
      <c r="E453" s="31"/>
    </row>
    <row r="454">
      <c r="A454" s="64"/>
      <c r="B454" s="31"/>
      <c r="C454" s="31"/>
      <c r="D454" s="31"/>
      <c r="E454" s="31"/>
    </row>
    <row r="455">
      <c r="A455" s="64"/>
      <c r="B455" s="31"/>
      <c r="C455" s="31"/>
      <c r="D455" s="31"/>
      <c r="E455" s="31"/>
    </row>
    <row r="456">
      <c r="A456" s="64"/>
      <c r="B456" s="31"/>
      <c r="C456" s="31"/>
      <c r="D456" s="31"/>
      <c r="E456" s="31"/>
    </row>
    <row r="457">
      <c r="A457" s="64"/>
      <c r="B457" s="31"/>
      <c r="C457" s="31"/>
      <c r="D457" s="31"/>
      <c r="E457" s="31"/>
    </row>
    <row r="458">
      <c r="A458" s="64"/>
      <c r="B458" s="31"/>
      <c r="C458" s="31"/>
      <c r="D458" s="31"/>
      <c r="E458" s="31"/>
    </row>
    <row r="459">
      <c r="A459" s="64"/>
      <c r="B459" s="31"/>
      <c r="C459" s="31"/>
      <c r="D459" s="31"/>
      <c r="E459" s="31"/>
    </row>
    <row r="460">
      <c r="A460" s="64"/>
      <c r="B460" s="31"/>
      <c r="C460" s="31"/>
      <c r="D460" s="31"/>
      <c r="E460" s="31"/>
    </row>
    <row r="461">
      <c r="A461" s="64"/>
      <c r="B461" s="31"/>
      <c r="C461" s="31"/>
      <c r="D461" s="31"/>
      <c r="E461" s="31"/>
    </row>
    <row r="462">
      <c r="A462" s="64"/>
      <c r="B462" s="31"/>
      <c r="C462" s="31"/>
      <c r="D462" s="31"/>
      <c r="E462" s="31"/>
    </row>
    <row r="463">
      <c r="A463" s="62"/>
      <c r="B463" s="31"/>
      <c r="C463" s="31"/>
      <c r="D463" s="31"/>
      <c r="E463" s="31"/>
    </row>
    <row r="464">
      <c r="A464" s="63"/>
      <c r="B464" s="31"/>
      <c r="C464" s="31"/>
      <c r="D464" s="31"/>
      <c r="E464" s="31"/>
    </row>
    <row r="465">
      <c r="A465" s="64"/>
      <c r="B465" s="31"/>
      <c r="C465" s="31"/>
      <c r="D465" s="31"/>
      <c r="E465" s="31"/>
    </row>
    <row r="466">
      <c r="A466" s="64"/>
      <c r="B466" s="31"/>
      <c r="C466" s="31"/>
      <c r="D466" s="31"/>
      <c r="E466" s="31"/>
    </row>
    <row r="467">
      <c r="A467" s="64"/>
      <c r="B467" s="31"/>
      <c r="C467" s="31"/>
      <c r="D467" s="31"/>
      <c r="E467" s="31"/>
    </row>
    <row r="468">
      <c r="A468" s="64"/>
      <c r="B468" s="31"/>
      <c r="C468" s="31"/>
      <c r="D468" s="31"/>
      <c r="E468" s="31"/>
    </row>
    <row r="469">
      <c r="A469" s="64"/>
      <c r="B469" s="31"/>
      <c r="C469" s="31"/>
      <c r="D469" s="31"/>
      <c r="E469" s="31"/>
    </row>
    <row r="470">
      <c r="A470" s="64"/>
      <c r="B470" s="31"/>
      <c r="C470" s="31"/>
      <c r="D470" s="31"/>
      <c r="E470" s="31"/>
    </row>
    <row r="471">
      <c r="A471" s="64"/>
      <c r="B471" s="31"/>
      <c r="C471" s="31"/>
      <c r="D471" s="31"/>
      <c r="E471" s="31"/>
    </row>
    <row r="472">
      <c r="A472" s="64"/>
      <c r="B472" s="31"/>
      <c r="C472" s="31"/>
      <c r="D472" s="31"/>
      <c r="E472" s="31"/>
    </row>
    <row r="473">
      <c r="A473" s="64"/>
      <c r="B473" s="31"/>
      <c r="C473" s="31"/>
      <c r="D473" s="31"/>
      <c r="E473" s="31"/>
    </row>
    <row r="474">
      <c r="A474" s="64"/>
      <c r="B474" s="31"/>
      <c r="C474" s="31"/>
      <c r="D474" s="31"/>
      <c r="E474" s="31"/>
    </row>
    <row r="475">
      <c r="A475" s="64"/>
      <c r="B475" s="31"/>
      <c r="C475" s="31"/>
      <c r="D475" s="31"/>
      <c r="E475" s="31"/>
    </row>
    <row r="476">
      <c r="A476" s="64"/>
      <c r="B476" s="31"/>
      <c r="C476" s="31"/>
      <c r="D476" s="31"/>
      <c r="E476" s="31"/>
    </row>
    <row r="477">
      <c r="A477" s="64"/>
      <c r="B477" s="31"/>
      <c r="C477" s="31"/>
      <c r="D477" s="31"/>
      <c r="E477" s="31"/>
    </row>
    <row r="478">
      <c r="A478" s="64"/>
      <c r="B478" s="31"/>
      <c r="C478" s="31"/>
      <c r="D478" s="31"/>
      <c r="E478" s="31"/>
    </row>
    <row r="479">
      <c r="A479" s="64"/>
      <c r="B479" s="31"/>
      <c r="C479" s="31"/>
      <c r="D479" s="31"/>
      <c r="E479" s="31"/>
    </row>
    <row r="480">
      <c r="A480" s="64"/>
      <c r="B480" s="31"/>
      <c r="C480" s="31"/>
      <c r="D480" s="31"/>
      <c r="E480" s="31"/>
    </row>
    <row r="481">
      <c r="A481" s="64"/>
      <c r="B481" s="31"/>
      <c r="C481" s="31"/>
      <c r="D481" s="31"/>
      <c r="E481" s="31"/>
    </row>
    <row r="482">
      <c r="A482" s="64"/>
      <c r="B482" s="31"/>
      <c r="C482" s="31"/>
      <c r="D482" s="31"/>
      <c r="E482" s="31"/>
    </row>
    <row r="483">
      <c r="A483" s="64"/>
      <c r="B483" s="31"/>
      <c r="C483" s="31"/>
      <c r="D483" s="31"/>
      <c r="E483" s="31"/>
    </row>
    <row r="484">
      <c r="A484" s="64"/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 t="s">
        <v>663</v>
      </c>
      <c r="B1" s="1" t="s">
        <v>0</v>
      </c>
      <c r="C1" s="2"/>
      <c r="D1" s="3"/>
      <c r="E1" s="29"/>
    </row>
    <row r="2">
      <c r="A2" s="66"/>
      <c r="B2" s="6" t="s">
        <v>2</v>
      </c>
      <c r="C2" s="6" t="s">
        <v>3</v>
      </c>
      <c r="D2" s="6" t="s">
        <v>4</v>
      </c>
      <c r="E2" s="6" t="s">
        <v>5</v>
      </c>
    </row>
    <row r="3">
      <c r="A3" s="66"/>
      <c r="B3" s="32" t="s">
        <v>956</v>
      </c>
      <c r="C3" s="35" t="s">
        <v>555</v>
      </c>
      <c r="D3" s="34" t="s">
        <v>1124</v>
      </c>
      <c r="E3" s="11" t="s">
        <v>33</v>
      </c>
    </row>
    <row r="4">
      <c r="A4" s="66"/>
      <c r="B4" s="32" t="s">
        <v>1386</v>
      </c>
      <c r="C4" s="35" t="s">
        <v>88</v>
      </c>
      <c r="D4" s="32" t="s">
        <v>1126</v>
      </c>
      <c r="E4" s="11" t="s">
        <v>37</v>
      </c>
    </row>
    <row r="5">
      <c r="A5" s="66"/>
      <c r="B5" s="34" t="s">
        <v>1386</v>
      </c>
      <c r="C5" s="35" t="s">
        <v>291</v>
      </c>
      <c r="D5" s="32" t="s">
        <v>1124</v>
      </c>
      <c r="E5" s="11" t="s">
        <v>33</v>
      </c>
    </row>
    <row r="6">
      <c r="A6" s="66"/>
      <c r="B6" s="32" t="s">
        <v>1387</v>
      </c>
      <c r="C6" s="35" t="s">
        <v>412</v>
      </c>
      <c r="D6" s="34" t="s">
        <v>1126</v>
      </c>
      <c r="E6" s="11" t="s">
        <v>37</v>
      </c>
    </row>
    <row r="7">
      <c r="A7" s="66"/>
      <c r="B7" s="34" t="s">
        <v>1387</v>
      </c>
      <c r="C7" s="35" t="s">
        <v>20</v>
      </c>
      <c r="D7" s="32" t="s">
        <v>1386</v>
      </c>
      <c r="E7" s="11" t="s">
        <v>33</v>
      </c>
    </row>
    <row r="8">
      <c r="A8" s="66"/>
      <c r="B8" s="32" t="s">
        <v>1126</v>
      </c>
      <c r="C8" s="35" t="s">
        <v>243</v>
      </c>
      <c r="D8" s="32" t="s">
        <v>956</v>
      </c>
      <c r="E8" s="11" t="s">
        <v>37</v>
      </c>
    </row>
    <row r="9">
      <c r="A9" s="66"/>
      <c r="B9" s="34" t="s">
        <v>1387</v>
      </c>
      <c r="C9" s="35" t="s">
        <v>201</v>
      </c>
      <c r="D9" s="34" t="s">
        <v>1124</v>
      </c>
      <c r="E9" s="11" t="s">
        <v>33</v>
      </c>
    </row>
    <row r="10">
      <c r="A10" s="66"/>
      <c r="B10" s="32" t="s">
        <v>956</v>
      </c>
      <c r="C10" s="35" t="s">
        <v>19</v>
      </c>
      <c r="D10" s="32" t="s">
        <v>1386</v>
      </c>
      <c r="E10" s="11" t="s">
        <v>37</v>
      </c>
    </row>
    <row r="11">
      <c r="A11" s="66"/>
      <c r="B11" s="34" t="s">
        <v>1126</v>
      </c>
      <c r="C11" s="35" t="s">
        <v>294</v>
      </c>
      <c r="D11" s="32" t="s">
        <v>1124</v>
      </c>
      <c r="E11" s="11" t="s">
        <v>33</v>
      </c>
    </row>
    <row r="12">
      <c r="A12" s="66"/>
      <c r="B12" s="32" t="s">
        <v>956</v>
      </c>
      <c r="C12" s="35" t="s">
        <v>45</v>
      </c>
      <c r="D12" s="34" t="s">
        <v>1387</v>
      </c>
      <c r="E12" s="11" t="s">
        <v>37</v>
      </c>
    </row>
    <row r="13">
      <c r="A13" s="66"/>
      <c r="B13" s="34" t="s">
        <v>1124</v>
      </c>
      <c r="C13" s="35" t="s">
        <v>205</v>
      </c>
      <c r="D13" s="32" t="s">
        <v>956</v>
      </c>
      <c r="E13" s="11" t="s">
        <v>33</v>
      </c>
    </row>
    <row r="14">
      <c r="A14" s="66"/>
      <c r="B14" s="32" t="s">
        <v>1126</v>
      </c>
      <c r="C14" s="35" t="s">
        <v>390</v>
      </c>
      <c r="D14" s="32" t="s">
        <v>1386</v>
      </c>
      <c r="E14" s="11" t="s">
        <v>37</v>
      </c>
    </row>
    <row r="15">
      <c r="A15" s="66"/>
      <c r="B15" s="32" t="s">
        <v>1124</v>
      </c>
      <c r="C15" s="35" t="s">
        <v>190</v>
      </c>
      <c r="D15" s="34" t="s">
        <v>1386</v>
      </c>
      <c r="E15" s="11" t="s">
        <v>33</v>
      </c>
    </row>
    <row r="16">
      <c r="A16" s="66"/>
      <c r="B16" s="34" t="s">
        <v>1126</v>
      </c>
      <c r="C16" s="35" t="s">
        <v>722</v>
      </c>
      <c r="D16" s="32" t="s">
        <v>1387</v>
      </c>
      <c r="E16" s="11" t="s">
        <v>37</v>
      </c>
    </row>
    <row r="17">
      <c r="A17" s="66"/>
      <c r="B17" s="32" t="s">
        <v>1386</v>
      </c>
      <c r="C17" s="35" t="s">
        <v>534</v>
      </c>
      <c r="D17" s="34" t="s">
        <v>1387</v>
      </c>
      <c r="E17" s="11" t="s">
        <v>33</v>
      </c>
    </row>
    <row r="18">
      <c r="A18" s="66"/>
      <c r="B18" s="32" t="s">
        <v>956</v>
      </c>
      <c r="C18" s="35" t="s">
        <v>19</v>
      </c>
      <c r="D18" s="32" t="s">
        <v>1126</v>
      </c>
      <c r="E18" s="11" t="s">
        <v>37</v>
      </c>
      <c r="M18" s="36" t="s">
        <v>242</v>
      </c>
    </row>
    <row r="19">
      <c r="A19" s="66"/>
      <c r="B19" s="34" t="s">
        <v>1124</v>
      </c>
      <c r="C19" s="35" t="s">
        <v>45</v>
      </c>
      <c r="D19" s="34" t="s">
        <v>1387</v>
      </c>
      <c r="E19" s="11" t="s">
        <v>33</v>
      </c>
    </row>
    <row r="20">
      <c r="A20" s="66"/>
      <c r="B20" s="32" t="s">
        <v>1386</v>
      </c>
      <c r="C20" s="35" t="s">
        <v>19</v>
      </c>
      <c r="D20" s="32" t="s">
        <v>956</v>
      </c>
      <c r="E20" s="11" t="s">
        <v>37</v>
      </c>
    </row>
    <row r="21">
      <c r="A21" s="66"/>
      <c r="B21" s="32" t="s">
        <v>1124</v>
      </c>
      <c r="C21" s="35" t="s">
        <v>354</v>
      </c>
      <c r="D21" s="34" t="s">
        <v>1126</v>
      </c>
      <c r="E21" s="11" t="s">
        <v>33</v>
      </c>
    </row>
    <row r="22">
      <c r="A22" s="66"/>
      <c r="B22" s="34" t="s">
        <v>1387</v>
      </c>
      <c r="C22" s="35" t="s">
        <v>260</v>
      </c>
      <c r="D22" s="32" t="s">
        <v>956</v>
      </c>
      <c r="E22" s="11" t="s">
        <v>37</v>
      </c>
    </row>
    <row r="23">
      <c r="A23" s="66"/>
      <c r="B23" s="1" t="s">
        <v>1321</v>
      </c>
      <c r="C23" s="2"/>
      <c r="D23" s="3"/>
      <c r="E23" s="48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1388</v>
      </c>
      <c r="C25" s="33" t="s">
        <v>16</v>
      </c>
      <c r="D25" s="32" t="s">
        <v>1389</v>
      </c>
      <c r="E25" s="11" t="s">
        <v>9</v>
      </c>
    </row>
    <row r="26">
      <c r="A26" s="66"/>
      <c r="B26" s="32" t="s">
        <v>1390</v>
      </c>
      <c r="C26" s="33" t="s">
        <v>578</v>
      </c>
      <c r="D26" s="32" t="s">
        <v>1391</v>
      </c>
      <c r="E26" s="11" t="s">
        <v>13</v>
      </c>
    </row>
    <row r="27">
      <c r="A27" s="66"/>
      <c r="B27" s="34" t="s">
        <v>1390</v>
      </c>
      <c r="C27" s="33" t="s">
        <v>1392</v>
      </c>
      <c r="D27" s="34" t="s">
        <v>1389</v>
      </c>
      <c r="E27" s="11" t="s">
        <v>9</v>
      </c>
    </row>
    <row r="28">
      <c r="A28" s="66"/>
      <c r="B28" s="32" t="s">
        <v>1326</v>
      </c>
      <c r="C28" s="33" t="s">
        <v>195</v>
      </c>
      <c r="D28" s="32" t="s">
        <v>1391</v>
      </c>
      <c r="E28" s="11" t="s">
        <v>13</v>
      </c>
    </row>
    <row r="29">
      <c r="A29" s="66"/>
      <c r="B29" s="34" t="s">
        <v>1326</v>
      </c>
      <c r="C29" s="33" t="s">
        <v>443</v>
      </c>
      <c r="D29" s="32" t="s">
        <v>1390</v>
      </c>
      <c r="E29" s="11" t="s">
        <v>9</v>
      </c>
    </row>
    <row r="30">
      <c r="A30" s="66"/>
      <c r="B30" s="32" t="s">
        <v>1391</v>
      </c>
      <c r="C30" s="33" t="s">
        <v>22</v>
      </c>
      <c r="D30" s="34" t="s">
        <v>1388</v>
      </c>
      <c r="E30" s="11" t="s">
        <v>13</v>
      </c>
    </row>
    <row r="31">
      <c r="A31" s="66"/>
      <c r="B31" s="34" t="s">
        <v>1326</v>
      </c>
      <c r="C31" s="33" t="s">
        <v>87</v>
      </c>
      <c r="D31" s="32" t="s">
        <v>1389</v>
      </c>
      <c r="E31" s="11" t="s">
        <v>9</v>
      </c>
    </row>
    <row r="32">
      <c r="A32" s="66"/>
      <c r="B32" s="32" t="s">
        <v>1388</v>
      </c>
      <c r="C32" s="33" t="s">
        <v>295</v>
      </c>
      <c r="D32" s="34" t="s">
        <v>1390</v>
      </c>
      <c r="E32" s="11" t="s">
        <v>13</v>
      </c>
    </row>
    <row r="33">
      <c r="A33" s="66"/>
      <c r="B33" s="34" t="s">
        <v>1391</v>
      </c>
      <c r="C33" s="33" t="s">
        <v>370</v>
      </c>
      <c r="D33" s="32" t="s">
        <v>1389</v>
      </c>
      <c r="E33" s="11" t="s">
        <v>9</v>
      </c>
    </row>
    <row r="34">
      <c r="A34" s="66"/>
      <c r="B34" s="32" t="s">
        <v>1388</v>
      </c>
      <c r="C34" s="33" t="s">
        <v>195</v>
      </c>
      <c r="D34" s="32" t="s">
        <v>1326</v>
      </c>
      <c r="E34" s="11" t="s">
        <v>13</v>
      </c>
    </row>
    <row r="35">
      <c r="A35" s="66"/>
      <c r="B35" s="32" t="s">
        <v>1389</v>
      </c>
      <c r="C35" s="33" t="s">
        <v>45</v>
      </c>
      <c r="D35" s="34" t="s">
        <v>1388</v>
      </c>
      <c r="E35" s="11" t="s">
        <v>9</v>
      </c>
    </row>
    <row r="36">
      <c r="A36" s="66"/>
      <c r="B36" s="32" t="s">
        <v>1391</v>
      </c>
      <c r="C36" s="33" t="s">
        <v>35</v>
      </c>
      <c r="D36" s="32" t="s">
        <v>1390</v>
      </c>
      <c r="E36" s="11" t="s">
        <v>13</v>
      </c>
    </row>
    <row r="37">
      <c r="A37" s="66"/>
      <c r="B37" s="34" t="s">
        <v>1389</v>
      </c>
      <c r="C37" s="35" t="s">
        <v>658</v>
      </c>
      <c r="D37" s="34" t="s">
        <v>1390</v>
      </c>
      <c r="E37" s="11" t="s">
        <v>9</v>
      </c>
    </row>
    <row r="38">
      <c r="A38" s="66"/>
      <c r="B38" s="32" t="s">
        <v>1391</v>
      </c>
      <c r="C38" s="35" t="s">
        <v>231</v>
      </c>
      <c r="D38" s="32" t="s">
        <v>1326</v>
      </c>
      <c r="E38" s="11" t="s">
        <v>13</v>
      </c>
    </row>
    <row r="39">
      <c r="A39" s="66"/>
      <c r="B39" s="32" t="s">
        <v>1390</v>
      </c>
      <c r="C39" s="35" t="s">
        <v>45</v>
      </c>
      <c r="D39" s="34" t="s">
        <v>1326</v>
      </c>
      <c r="E39" s="11" t="s">
        <v>9</v>
      </c>
    </row>
    <row r="40">
      <c r="A40" s="66"/>
      <c r="B40" s="34" t="s">
        <v>1388</v>
      </c>
      <c r="C40" s="35" t="s">
        <v>64</v>
      </c>
      <c r="D40" s="32" t="s">
        <v>1391</v>
      </c>
      <c r="E40" s="11" t="s">
        <v>13</v>
      </c>
    </row>
    <row r="41">
      <c r="A41" s="66"/>
      <c r="B41" s="32" t="s">
        <v>1389</v>
      </c>
      <c r="C41" s="35" t="s">
        <v>283</v>
      </c>
      <c r="D41" s="34" t="s">
        <v>1326</v>
      </c>
      <c r="E41" s="11" t="s">
        <v>9</v>
      </c>
    </row>
    <row r="42">
      <c r="A42" s="66"/>
      <c r="B42" s="34" t="s">
        <v>1390</v>
      </c>
      <c r="C42" s="35" t="s">
        <v>68</v>
      </c>
      <c r="D42" s="32" t="s">
        <v>1388</v>
      </c>
      <c r="E42" s="11" t="s">
        <v>13</v>
      </c>
    </row>
    <row r="43">
      <c r="A43" s="66"/>
      <c r="B43" s="32" t="s">
        <v>1389</v>
      </c>
      <c r="C43" s="35" t="s">
        <v>62</v>
      </c>
      <c r="D43" s="34" t="s">
        <v>1391</v>
      </c>
      <c r="E43" s="11" t="s">
        <v>9</v>
      </c>
    </row>
    <row r="44">
      <c r="A44" s="67"/>
      <c r="B44" s="32" t="s">
        <v>1326</v>
      </c>
      <c r="C44" s="35" t="s">
        <v>71</v>
      </c>
      <c r="D44" s="32" t="s">
        <v>1388</v>
      </c>
      <c r="E44" s="11" t="s">
        <v>13</v>
      </c>
    </row>
    <row r="45">
      <c r="B45" s="1" t="s">
        <v>1327</v>
      </c>
      <c r="C45" s="2"/>
      <c r="D45" s="3"/>
      <c r="E45" s="14"/>
    </row>
    <row r="46">
      <c r="B46" s="16" t="s">
        <v>2</v>
      </c>
      <c r="C46" s="16" t="s">
        <v>3</v>
      </c>
      <c r="D46" s="16" t="s">
        <v>4</v>
      </c>
      <c r="E46" s="16" t="s">
        <v>5</v>
      </c>
    </row>
    <row r="47">
      <c r="B47" s="32" t="s">
        <v>1393</v>
      </c>
      <c r="C47" s="35" t="s">
        <v>291</v>
      </c>
      <c r="D47" s="32" t="s">
        <v>1330</v>
      </c>
      <c r="E47" s="11" t="s">
        <v>33</v>
      </c>
    </row>
    <row r="48">
      <c r="B48" s="32" t="s">
        <v>1394</v>
      </c>
      <c r="C48" s="35" t="s">
        <v>62</v>
      </c>
      <c r="D48" s="32" t="s">
        <v>1395</v>
      </c>
      <c r="E48" s="11" t="s">
        <v>37</v>
      </c>
    </row>
    <row r="49">
      <c r="B49" s="32" t="s">
        <v>1394</v>
      </c>
      <c r="C49" s="35" t="s">
        <v>64</v>
      </c>
      <c r="D49" s="32" t="s">
        <v>1330</v>
      </c>
      <c r="E49" s="11" t="s">
        <v>33</v>
      </c>
    </row>
    <row r="50">
      <c r="B50" s="32" t="s">
        <v>1371</v>
      </c>
      <c r="C50" s="35" t="s">
        <v>217</v>
      </c>
      <c r="D50" s="32" t="s">
        <v>1395</v>
      </c>
      <c r="E50" s="11" t="s">
        <v>37</v>
      </c>
    </row>
    <row r="51">
      <c r="B51" s="32" t="s">
        <v>1371</v>
      </c>
      <c r="C51" s="35" t="s">
        <v>25</v>
      </c>
      <c r="D51" s="32" t="s">
        <v>1394</v>
      </c>
      <c r="E51" s="11" t="s">
        <v>33</v>
      </c>
    </row>
    <row r="52">
      <c r="B52" s="32" t="s">
        <v>1395</v>
      </c>
      <c r="C52" s="35" t="s">
        <v>47</v>
      </c>
      <c r="D52" s="32" t="s">
        <v>1393</v>
      </c>
      <c r="E52" s="11" t="s">
        <v>37</v>
      </c>
    </row>
    <row r="53">
      <c r="B53" s="32" t="s">
        <v>1371</v>
      </c>
      <c r="C53" s="35" t="s">
        <v>282</v>
      </c>
      <c r="D53" s="32" t="s">
        <v>1330</v>
      </c>
      <c r="E53" s="11" t="s">
        <v>33</v>
      </c>
    </row>
    <row r="54">
      <c r="B54" s="32" t="s">
        <v>1393</v>
      </c>
      <c r="C54" s="35" t="s">
        <v>7</v>
      </c>
      <c r="D54" s="32" t="s">
        <v>1394</v>
      </c>
      <c r="E54" s="11" t="s">
        <v>37</v>
      </c>
    </row>
    <row r="55">
      <c r="B55" s="32" t="s">
        <v>1395</v>
      </c>
      <c r="C55" s="35" t="s">
        <v>273</v>
      </c>
      <c r="D55" s="32" t="s">
        <v>1330</v>
      </c>
      <c r="E55" s="11" t="s">
        <v>33</v>
      </c>
    </row>
    <row r="56">
      <c r="B56" s="32" t="s">
        <v>1393</v>
      </c>
      <c r="C56" s="35" t="s">
        <v>291</v>
      </c>
      <c r="D56" s="32" t="s">
        <v>1371</v>
      </c>
      <c r="E56" s="11" t="s">
        <v>37</v>
      </c>
    </row>
    <row r="57">
      <c r="B57" s="32" t="s">
        <v>1330</v>
      </c>
      <c r="C57" s="35" t="s">
        <v>187</v>
      </c>
      <c r="D57" s="32" t="s">
        <v>1393</v>
      </c>
      <c r="E57" s="11" t="s">
        <v>33</v>
      </c>
    </row>
    <row r="58">
      <c r="B58" s="32" t="s">
        <v>1395</v>
      </c>
      <c r="C58" s="35" t="s">
        <v>19</v>
      </c>
      <c r="D58" s="32" t="s">
        <v>1394</v>
      </c>
      <c r="E58" s="11" t="s">
        <v>37</v>
      </c>
    </row>
    <row r="59">
      <c r="B59" s="32" t="s">
        <v>1330</v>
      </c>
      <c r="C59" s="35" t="s">
        <v>14</v>
      </c>
      <c r="D59" s="32" t="s">
        <v>1394</v>
      </c>
      <c r="E59" s="11" t="s">
        <v>33</v>
      </c>
    </row>
    <row r="60">
      <c r="B60" s="32" t="s">
        <v>1395</v>
      </c>
      <c r="C60" s="35" t="s">
        <v>722</v>
      </c>
      <c r="D60" s="32" t="s">
        <v>1371</v>
      </c>
      <c r="E60" s="11" t="s">
        <v>37</v>
      </c>
    </row>
    <row r="61">
      <c r="B61" s="32" t="s">
        <v>1394</v>
      </c>
      <c r="C61" s="35" t="s">
        <v>1396</v>
      </c>
      <c r="D61" s="32" t="s">
        <v>1371</v>
      </c>
      <c r="E61" s="11" t="s">
        <v>33</v>
      </c>
    </row>
    <row r="62">
      <c r="B62" s="32" t="s">
        <v>1393</v>
      </c>
      <c r="C62" s="35" t="s">
        <v>215</v>
      </c>
      <c r="D62" s="32" t="s">
        <v>1395</v>
      </c>
      <c r="E62" s="11" t="s">
        <v>37</v>
      </c>
    </row>
    <row r="63">
      <c r="B63" s="32" t="s">
        <v>1330</v>
      </c>
      <c r="C63" s="35" t="s">
        <v>27</v>
      </c>
      <c r="D63" s="32" t="s">
        <v>1371</v>
      </c>
      <c r="E63" s="11" t="s">
        <v>33</v>
      </c>
    </row>
    <row r="64">
      <c r="B64" s="32" t="s">
        <v>1394</v>
      </c>
      <c r="C64" s="35" t="s">
        <v>66</v>
      </c>
      <c r="D64" s="32" t="s">
        <v>1393</v>
      </c>
      <c r="E64" s="11" t="s">
        <v>37</v>
      </c>
    </row>
    <row r="65">
      <c r="B65" s="32" t="s">
        <v>1330</v>
      </c>
      <c r="C65" s="35" t="s">
        <v>220</v>
      </c>
      <c r="D65" s="32" t="s">
        <v>1395</v>
      </c>
      <c r="E65" s="11" t="s">
        <v>33</v>
      </c>
    </row>
    <row r="66">
      <c r="B66" s="32" t="s">
        <v>1371</v>
      </c>
      <c r="C66" s="35" t="s">
        <v>329</v>
      </c>
      <c r="D66" s="32" t="s">
        <v>1393</v>
      </c>
      <c r="E66" s="11" t="s">
        <v>37</v>
      </c>
    </row>
    <row r="67">
      <c r="B67" s="1" t="s">
        <v>1331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16" t="s">
        <v>5</v>
      </c>
    </row>
    <row r="69">
      <c r="B69" s="32" t="s">
        <v>1397</v>
      </c>
      <c r="C69" s="33" t="s">
        <v>218</v>
      </c>
      <c r="D69" s="32" t="s">
        <v>1333</v>
      </c>
      <c r="E69" s="11" t="s">
        <v>9</v>
      </c>
    </row>
    <row r="70">
      <c r="B70" s="32" t="s">
        <v>1398</v>
      </c>
      <c r="C70" s="33" t="s">
        <v>218</v>
      </c>
      <c r="D70" s="32" t="s">
        <v>1335</v>
      </c>
      <c r="E70" s="11" t="s">
        <v>13</v>
      </c>
    </row>
    <row r="71">
      <c r="B71" s="32" t="s">
        <v>1398</v>
      </c>
      <c r="C71" s="33" t="s">
        <v>195</v>
      </c>
      <c r="D71" s="32" t="s">
        <v>1333</v>
      </c>
      <c r="E71" s="11" t="s">
        <v>9</v>
      </c>
    </row>
    <row r="72">
      <c r="B72" s="32" t="s">
        <v>1336</v>
      </c>
      <c r="C72" s="33" t="s">
        <v>239</v>
      </c>
      <c r="D72" s="32" t="s">
        <v>1335</v>
      </c>
      <c r="E72" s="11" t="s">
        <v>13</v>
      </c>
    </row>
    <row r="73">
      <c r="B73" s="32" t="s">
        <v>1336</v>
      </c>
      <c r="C73" s="33" t="s">
        <v>195</v>
      </c>
      <c r="D73" s="32" t="s">
        <v>1398</v>
      </c>
      <c r="E73" s="11" t="s">
        <v>9</v>
      </c>
    </row>
    <row r="74">
      <c r="B74" s="32" t="s">
        <v>1335</v>
      </c>
      <c r="C74" s="33" t="s">
        <v>87</v>
      </c>
      <c r="D74" s="32" t="s">
        <v>1397</v>
      </c>
      <c r="E74" s="11" t="s">
        <v>13</v>
      </c>
    </row>
    <row r="75">
      <c r="B75" s="32" t="s">
        <v>1336</v>
      </c>
      <c r="C75" s="33" t="s">
        <v>14</v>
      </c>
      <c r="D75" s="32" t="s">
        <v>1333</v>
      </c>
      <c r="E75" s="11" t="s">
        <v>9</v>
      </c>
    </row>
    <row r="76">
      <c r="B76" s="32" t="s">
        <v>1397</v>
      </c>
      <c r="C76" s="33" t="s">
        <v>1399</v>
      </c>
      <c r="D76" s="32" t="s">
        <v>1398</v>
      </c>
      <c r="E76" s="11" t="s">
        <v>13</v>
      </c>
    </row>
    <row r="77">
      <c r="B77" s="32" t="s">
        <v>1335</v>
      </c>
      <c r="C77" s="33" t="s">
        <v>87</v>
      </c>
      <c r="D77" s="32" t="s">
        <v>1333</v>
      </c>
      <c r="E77" s="11" t="s">
        <v>9</v>
      </c>
    </row>
    <row r="78">
      <c r="B78" s="32" t="s">
        <v>1397</v>
      </c>
      <c r="C78" s="33" t="s">
        <v>43</v>
      </c>
      <c r="D78" s="32" t="s">
        <v>1336</v>
      </c>
      <c r="E78" s="11" t="s">
        <v>13</v>
      </c>
    </row>
    <row r="79">
      <c r="B79" s="32" t="s">
        <v>1333</v>
      </c>
      <c r="C79" s="33" t="s">
        <v>7</v>
      </c>
      <c r="D79" s="32" t="s">
        <v>1397</v>
      </c>
      <c r="E79" s="11" t="s">
        <v>9</v>
      </c>
    </row>
    <row r="80">
      <c r="B80" s="32" t="s">
        <v>1335</v>
      </c>
      <c r="C80" s="33" t="s">
        <v>416</v>
      </c>
      <c r="D80" s="32" t="s">
        <v>1398</v>
      </c>
      <c r="E80" s="11" t="s">
        <v>13</v>
      </c>
    </row>
    <row r="81">
      <c r="B81" s="32" t="s">
        <v>1333</v>
      </c>
      <c r="C81" s="35" t="s">
        <v>25</v>
      </c>
      <c r="D81" s="32" t="s">
        <v>1398</v>
      </c>
      <c r="E81" s="11" t="s">
        <v>9</v>
      </c>
    </row>
    <row r="82">
      <c r="B82" s="32" t="s">
        <v>1335</v>
      </c>
      <c r="C82" s="35" t="s">
        <v>218</v>
      </c>
      <c r="D82" s="32" t="s">
        <v>1336</v>
      </c>
      <c r="E82" s="11" t="s">
        <v>13</v>
      </c>
    </row>
    <row r="83">
      <c r="B83" s="32" t="s">
        <v>1398</v>
      </c>
      <c r="C83" s="35" t="s">
        <v>286</v>
      </c>
      <c r="D83" s="32" t="s">
        <v>1336</v>
      </c>
      <c r="E83" s="11" t="s">
        <v>9</v>
      </c>
    </row>
    <row r="84">
      <c r="B84" s="32" t="s">
        <v>1397</v>
      </c>
      <c r="C84" s="35" t="s">
        <v>52</v>
      </c>
      <c r="D84" s="32" t="s">
        <v>1335</v>
      </c>
      <c r="E84" s="11" t="s">
        <v>13</v>
      </c>
    </row>
    <row r="85">
      <c r="B85" s="32" t="s">
        <v>1333</v>
      </c>
      <c r="C85" s="35" t="s">
        <v>18</v>
      </c>
      <c r="D85" s="32" t="s">
        <v>1336</v>
      </c>
      <c r="E85" s="11" t="s">
        <v>9</v>
      </c>
    </row>
    <row r="86">
      <c r="B86" s="32" t="s">
        <v>1398</v>
      </c>
      <c r="C86" s="35" t="s">
        <v>69</v>
      </c>
      <c r="D86" s="32" t="s">
        <v>1397</v>
      </c>
      <c r="E86" s="11" t="s">
        <v>13</v>
      </c>
    </row>
    <row r="87">
      <c r="B87" s="32" t="s">
        <v>1333</v>
      </c>
      <c r="C87" s="35" t="s">
        <v>285</v>
      </c>
      <c r="D87" s="32" t="s">
        <v>1335</v>
      </c>
      <c r="E87" s="11" t="s">
        <v>9</v>
      </c>
    </row>
    <row r="88">
      <c r="B88" s="32" t="s">
        <v>1336</v>
      </c>
      <c r="C88" s="35" t="s">
        <v>87</v>
      </c>
      <c r="D88" s="32" t="s">
        <v>1397</v>
      </c>
      <c r="E88" s="11" t="s">
        <v>13</v>
      </c>
    </row>
    <row r="89">
      <c r="B89" s="1" t="s">
        <v>1400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16" t="s">
        <v>5</v>
      </c>
    </row>
    <row r="91">
      <c r="B91" s="32" t="s">
        <v>1401</v>
      </c>
      <c r="C91" s="35" t="s">
        <v>1402</v>
      </c>
      <c r="D91" s="32" t="s">
        <v>1339</v>
      </c>
      <c r="E91" s="11" t="s">
        <v>9</v>
      </c>
    </row>
    <row r="92">
      <c r="B92" s="32" t="s">
        <v>1403</v>
      </c>
      <c r="C92" s="35" t="s">
        <v>72</v>
      </c>
      <c r="D92" s="32" t="s">
        <v>1341</v>
      </c>
      <c r="E92" s="11" t="s">
        <v>13</v>
      </c>
    </row>
    <row r="93">
      <c r="B93" s="32" t="s">
        <v>1403</v>
      </c>
      <c r="C93" s="35" t="s">
        <v>68</v>
      </c>
      <c r="D93" s="32" t="s">
        <v>1339</v>
      </c>
      <c r="E93" s="11" t="s">
        <v>9</v>
      </c>
    </row>
    <row r="94">
      <c r="B94" s="32" t="s">
        <v>1404</v>
      </c>
      <c r="C94" s="35" t="s">
        <v>58</v>
      </c>
      <c r="D94" s="32" t="s">
        <v>1341</v>
      </c>
      <c r="E94" s="11" t="s">
        <v>13</v>
      </c>
    </row>
    <row r="95">
      <c r="B95" s="32" t="s">
        <v>1404</v>
      </c>
      <c r="C95" s="35" t="s">
        <v>274</v>
      </c>
      <c r="D95" s="32" t="s">
        <v>1403</v>
      </c>
      <c r="E95" s="11" t="s">
        <v>9</v>
      </c>
    </row>
    <row r="96">
      <c r="B96" s="32" t="s">
        <v>1341</v>
      </c>
      <c r="C96" s="35" t="s">
        <v>28</v>
      </c>
      <c r="D96" s="32" t="s">
        <v>1401</v>
      </c>
      <c r="E96" s="11" t="s">
        <v>13</v>
      </c>
    </row>
    <row r="97">
      <c r="B97" s="32" t="s">
        <v>1404</v>
      </c>
      <c r="C97" s="35" t="s">
        <v>87</v>
      </c>
      <c r="D97" s="32" t="s">
        <v>1339</v>
      </c>
      <c r="E97" s="11" t="s">
        <v>9</v>
      </c>
    </row>
    <row r="98">
      <c r="B98" s="32" t="s">
        <v>1401</v>
      </c>
      <c r="C98" s="35" t="s">
        <v>22</v>
      </c>
      <c r="D98" s="32" t="s">
        <v>1403</v>
      </c>
      <c r="E98" s="11" t="s">
        <v>13</v>
      </c>
    </row>
    <row r="99">
      <c r="B99" s="32" t="s">
        <v>1341</v>
      </c>
      <c r="C99" s="35" t="s">
        <v>66</v>
      </c>
      <c r="D99" s="32" t="s">
        <v>1339</v>
      </c>
      <c r="E99" s="11" t="s">
        <v>9</v>
      </c>
    </row>
    <row r="100">
      <c r="B100" s="32" t="s">
        <v>1401</v>
      </c>
      <c r="C100" s="35" t="s">
        <v>340</v>
      </c>
      <c r="D100" s="32" t="s">
        <v>1404</v>
      </c>
      <c r="E100" s="11" t="s">
        <v>13</v>
      </c>
    </row>
    <row r="101">
      <c r="B101" s="32" t="s">
        <v>1339</v>
      </c>
      <c r="C101" s="35" t="s">
        <v>11</v>
      </c>
      <c r="D101" s="32" t="s">
        <v>1401</v>
      </c>
      <c r="E101" s="11" t="s">
        <v>9</v>
      </c>
    </row>
    <row r="102">
      <c r="B102" s="32" t="s">
        <v>1341</v>
      </c>
      <c r="C102" s="35" t="s">
        <v>220</v>
      </c>
      <c r="D102" s="32" t="s">
        <v>1403</v>
      </c>
      <c r="E102" s="11" t="s">
        <v>13</v>
      </c>
    </row>
    <row r="103">
      <c r="B103" s="32" t="s">
        <v>1339</v>
      </c>
      <c r="C103" s="35" t="s">
        <v>295</v>
      </c>
      <c r="D103" s="32" t="s">
        <v>1403</v>
      </c>
      <c r="E103" s="11" t="s">
        <v>9</v>
      </c>
    </row>
    <row r="104">
      <c r="B104" s="32" t="s">
        <v>1341</v>
      </c>
      <c r="C104" s="35" t="s">
        <v>445</v>
      </c>
      <c r="D104" s="32" t="s">
        <v>1404</v>
      </c>
      <c r="E104" s="11" t="s">
        <v>13</v>
      </c>
    </row>
    <row r="105">
      <c r="B105" s="32" t="s">
        <v>1403</v>
      </c>
      <c r="C105" s="35" t="s">
        <v>1405</v>
      </c>
      <c r="D105" s="32" t="s">
        <v>1404</v>
      </c>
      <c r="E105" s="11" t="s">
        <v>9</v>
      </c>
    </row>
    <row r="106">
      <c r="B106" s="32" t="s">
        <v>1401</v>
      </c>
      <c r="C106" s="35" t="s">
        <v>83</v>
      </c>
      <c r="D106" s="32" t="s">
        <v>1341</v>
      </c>
      <c r="E106" s="11" t="s">
        <v>13</v>
      </c>
    </row>
    <row r="107">
      <c r="B107" s="32" t="s">
        <v>1339</v>
      </c>
      <c r="C107" s="35" t="s">
        <v>444</v>
      </c>
      <c r="D107" s="32" t="s">
        <v>1404</v>
      </c>
      <c r="E107" s="11" t="s">
        <v>9</v>
      </c>
    </row>
    <row r="108">
      <c r="B108" s="32" t="s">
        <v>1403</v>
      </c>
      <c r="C108" s="35" t="s">
        <v>16</v>
      </c>
      <c r="D108" s="32" t="s">
        <v>1401</v>
      </c>
      <c r="E108" s="11" t="s">
        <v>13</v>
      </c>
    </row>
    <row r="109">
      <c r="B109" s="32" t="s">
        <v>1339</v>
      </c>
      <c r="C109" s="35" t="s">
        <v>544</v>
      </c>
      <c r="D109" s="32" t="s">
        <v>1341</v>
      </c>
      <c r="E109" s="11" t="s">
        <v>9</v>
      </c>
    </row>
    <row r="110">
      <c r="B110" s="32" t="s">
        <v>1404</v>
      </c>
      <c r="C110" s="35" t="s">
        <v>68</v>
      </c>
      <c r="D110" s="32" t="s">
        <v>1401</v>
      </c>
      <c r="E110" s="11" t="s">
        <v>13</v>
      </c>
    </row>
    <row r="111">
      <c r="B111" s="1" t="s">
        <v>1406</v>
      </c>
      <c r="C111" s="2"/>
      <c r="D111" s="3"/>
      <c r="E111" s="4"/>
    </row>
    <row r="112"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B113" s="32" t="s">
        <v>1407</v>
      </c>
      <c r="C113" s="33" t="s">
        <v>25</v>
      </c>
      <c r="D113" s="32" t="s">
        <v>263</v>
      </c>
      <c r="E113" s="11" t="s">
        <v>9</v>
      </c>
    </row>
    <row r="114">
      <c r="B114" s="32" t="s">
        <v>1408</v>
      </c>
      <c r="C114" s="33" t="s">
        <v>21</v>
      </c>
      <c r="D114" s="32" t="s">
        <v>1409</v>
      </c>
      <c r="E114" s="11" t="s">
        <v>13</v>
      </c>
    </row>
    <row r="115">
      <c r="B115" s="32" t="s">
        <v>1408</v>
      </c>
      <c r="C115" s="33" t="s">
        <v>251</v>
      </c>
      <c r="D115" s="32" t="s">
        <v>263</v>
      </c>
      <c r="E115" s="11" t="s">
        <v>9</v>
      </c>
    </row>
    <row r="116">
      <c r="B116" s="32" t="s">
        <v>264</v>
      </c>
      <c r="C116" s="33" t="s">
        <v>544</v>
      </c>
      <c r="D116" s="32" t="s">
        <v>1409</v>
      </c>
      <c r="E116" s="11" t="s">
        <v>13</v>
      </c>
    </row>
    <row r="117">
      <c r="B117" s="32" t="s">
        <v>264</v>
      </c>
      <c r="C117" s="33" t="s">
        <v>1410</v>
      </c>
      <c r="D117" s="32" t="s">
        <v>1408</v>
      </c>
      <c r="E117" s="11" t="s">
        <v>9</v>
      </c>
    </row>
    <row r="118">
      <c r="B118" s="32" t="s">
        <v>1409</v>
      </c>
      <c r="C118" s="33" t="s">
        <v>78</v>
      </c>
      <c r="D118" s="32" t="s">
        <v>1407</v>
      </c>
      <c r="E118" s="11" t="s">
        <v>13</v>
      </c>
    </row>
    <row r="119">
      <c r="B119" s="32" t="s">
        <v>264</v>
      </c>
      <c r="C119" s="33" t="s">
        <v>66</v>
      </c>
      <c r="D119" s="32" t="s">
        <v>263</v>
      </c>
      <c r="E119" s="11" t="s">
        <v>9</v>
      </c>
    </row>
    <row r="120">
      <c r="B120" s="32" t="s">
        <v>1407</v>
      </c>
      <c r="C120" s="33" t="s">
        <v>88</v>
      </c>
      <c r="D120" s="32" t="s">
        <v>1408</v>
      </c>
      <c r="E120" s="11" t="s">
        <v>13</v>
      </c>
    </row>
    <row r="121">
      <c r="B121" s="32" t="s">
        <v>1409</v>
      </c>
      <c r="C121" s="33" t="s">
        <v>1411</v>
      </c>
      <c r="D121" s="32" t="s">
        <v>263</v>
      </c>
      <c r="E121" s="11" t="s">
        <v>9</v>
      </c>
    </row>
    <row r="122">
      <c r="B122" s="32" t="s">
        <v>1407</v>
      </c>
      <c r="C122" s="33" t="s">
        <v>733</v>
      </c>
      <c r="D122" s="32" t="s">
        <v>264</v>
      </c>
      <c r="E122" s="11" t="s">
        <v>13</v>
      </c>
    </row>
    <row r="123">
      <c r="B123" s="32" t="s">
        <v>263</v>
      </c>
      <c r="C123" s="33" t="s">
        <v>722</v>
      </c>
      <c r="D123" s="32" t="s">
        <v>1407</v>
      </c>
      <c r="E123" s="11" t="s">
        <v>9</v>
      </c>
    </row>
    <row r="124">
      <c r="A124" s="36" t="s">
        <v>229</v>
      </c>
      <c r="B124" s="32" t="s">
        <v>1409</v>
      </c>
      <c r="C124" s="33" t="s">
        <v>1412</v>
      </c>
      <c r="D124" s="32" t="s">
        <v>1408</v>
      </c>
      <c r="E124" s="11" t="s">
        <v>13</v>
      </c>
    </row>
    <row r="125">
      <c r="B125" s="32" t="s">
        <v>263</v>
      </c>
      <c r="C125" s="35" t="s">
        <v>43</v>
      </c>
      <c r="D125" s="32" t="s">
        <v>1408</v>
      </c>
      <c r="E125" s="11" t="s">
        <v>9</v>
      </c>
    </row>
    <row r="126">
      <c r="B126" s="32" t="s">
        <v>1409</v>
      </c>
      <c r="C126" s="35" t="s">
        <v>187</v>
      </c>
      <c r="D126" s="32" t="s">
        <v>264</v>
      </c>
      <c r="E126" s="11" t="s">
        <v>13</v>
      </c>
    </row>
    <row r="127">
      <c r="B127" s="32" t="s">
        <v>1408</v>
      </c>
      <c r="C127" s="35" t="s">
        <v>19</v>
      </c>
      <c r="D127" s="32" t="s">
        <v>264</v>
      </c>
      <c r="E127" s="11" t="s">
        <v>9</v>
      </c>
    </row>
    <row r="128">
      <c r="B128" s="32" t="s">
        <v>1407</v>
      </c>
      <c r="C128" s="35" t="s">
        <v>68</v>
      </c>
      <c r="D128" s="32" t="s">
        <v>1409</v>
      </c>
      <c r="E128" s="11" t="s">
        <v>13</v>
      </c>
    </row>
    <row r="129">
      <c r="B129" s="32" t="s">
        <v>263</v>
      </c>
      <c r="C129" s="35" t="s">
        <v>328</v>
      </c>
      <c r="D129" s="32" t="s">
        <v>264</v>
      </c>
      <c r="E129" s="11" t="s">
        <v>9</v>
      </c>
    </row>
    <row r="130">
      <c r="B130" s="32" t="s">
        <v>1408</v>
      </c>
      <c r="C130" s="35" t="s">
        <v>239</v>
      </c>
      <c r="D130" s="32" t="s">
        <v>1407</v>
      </c>
      <c r="E130" s="11" t="s">
        <v>13</v>
      </c>
    </row>
    <row r="131">
      <c r="B131" s="32" t="s">
        <v>263</v>
      </c>
      <c r="C131" s="35" t="s">
        <v>24</v>
      </c>
      <c r="D131" s="32" t="s">
        <v>1409</v>
      </c>
      <c r="E131" s="11" t="s">
        <v>9</v>
      </c>
    </row>
    <row r="132">
      <c r="B132" s="32" t="s">
        <v>264</v>
      </c>
      <c r="C132" s="35" t="s">
        <v>64</v>
      </c>
      <c r="D132" s="32" t="s">
        <v>1407</v>
      </c>
      <c r="E132" s="11" t="s">
        <v>13</v>
      </c>
    </row>
    <row r="133">
      <c r="B133" s="1" t="s">
        <v>1413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32" t="s">
        <v>1414</v>
      </c>
      <c r="C135" s="33" t="s">
        <v>68</v>
      </c>
      <c r="D135" s="32" t="s">
        <v>1415</v>
      </c>
      <c r="E135" s="11" t="s">
        <v>33</v>
      </c>
    </row>
    <row r="136">
      <c r="B136" s="32" t="s">
        <v>1416</v>
      </c>
      <c r="C136" s="57" t="s">
        <v>449</v>
      </c>
      <c r="D136" s="32" t="s">
        <v>1417</v>
      </c>
      <c r="E136" s="24" t="s">
        <v>37</v>
      </c>
    </row>
    <row r="137">
      <c r="B137" s="32" t="s">
        <v>1416</v>
      </c>
      <c r="C137" s="57" t="s">
        <v>449</v>
      </c>
      <c r="D137" s="32" t="s">
        <v>1415</v>
      </c>
      <c r="E137" s="24" t="s">
        <v>33</v>
      </c>
    </row>
    <row r="138">
      <c r="B138" s="32" t="s">
        <v>1418</v>
      </c>
      <c r="C138" s="33" t="s">
        <v>218</v>
      </c>
      <c r="D138" s="32" t="s">
        <v>1417</v>
      </c>
      <c r="E138" s="11" t="s">
        <v>37</v>
      </c>
    </row>
    <row r="139">
      <c r="B139" s="32" t="s">
        <v>1418</v>
      </c>
      <c r="C139" s="57" t="s">
        <v>449</v>
      </c>
      <c r="D139" s="32" t="s">
        <v>1416</v>
      </c>
      <c r="E139" s="24" t="s">
        <v>33</v>
      </c>
    </row>
    <row r="140">
      <c r="B140" s="32" t="s">
        <v>1417</v>
      </c>
      <c r="C140" s="33" t="s">
        <v>196</v>
      </c>
      <c r="D140" s="32" t="s">
        <v>1414</v>
      </c>
      <c r="E140" s="11" t="s">
        <v>37</v>
      </c>
    </row>
    <row r="141">
      <c r="B141" s="32" t="s">
        <v>1418</v>
      </c>
      <c r="C141" s="33" t="s">
        <v>21</v>
      </c>
      <c r="D141" s="32" t="s">
        <v>1415</v>
      </c>
      <c r="E141" s="11" t="s">
        <v>33</v>
      </c>
    </row>
    <row r="142">
      <c r="B142" s="32" t="s">
        <v>1414</v>
      </c>
      <c r="C142" s="57" t="s">
        <v>449</v>
      </c>
      <c r="D142" s="32" t="s">
        <v>1416</v>
      </c>
      <c r="E142" s="24" t="s">
        <v>37</v>
      </c>
    </row>
    <row r="143">
      <c r="B143" s="32" t="s">
        <v>1417</v>
      </c>
      <c r="C143" s="33" t="s">
        <v>544</v>
      </c>
      <c r="D143" s="32" t="s">
        <v>1415</v>
      </c>
      <c r="E143" s="11" t="s">
        <v>33</v>
      </c>
    </row>
    <row r="144">
      <c r="B144" s="32" t="s">
        <v>1414</v>
      </c>
      <c r="C144" s="33" t="s">
        <v>1022</v>
      </c>
      <c r="D144" s="32" t="s">
        <v>1418</v>
      </c>
      <c r="E144" s="11" t="s">
        <v>37</v>
      </c>
    </row>
    <row r="145">
      <c r="B145" s="32" t="s">
        <v>1415</v>
      </c>
      <c r="C145" s="33" t="s">
        <v>319</v>
      </c>
      <c r="D145" s="32" t="s">
        <v>1414</v>
      </c>
      <c r="E145" s="11" t="s">
        <v>33</v>
      </c>
    </row>
    <row r="146">
      <c r="B146" s="32" t="s">
        <v>1417</v>
      </c>
      <c r="C146" s="57" t="s">
        <v>449</v>
      </c>
      <c r="D146" s="32" t="s">
        <v>1416</v>
      </c>
      <c r="E146" s="24" t="s">
        <v>37</v>
      </c>
    </row>
    <row r="147">
      <c r="B147" s="32" t="s">
        <v>1415</v>
      </c>
      <c r="C147" s="57" t="s">
        <v>449</v>
      </c>
      <c r="D147" s="32" t="s">
        <v>1416</v>
      </c>
      <c r="E147" s="24" t="s">
        <v>33</v>
      </c>
    </row>
    <row r="148">
      <c r="B148" s="32" t="s">
        <v>1417</v>
      </c>
      <c r="C148" s="35" t="s">
        <v>19</v>
      </c>
      <c r="D148" s="32" t="s">
        <v>1418</v>
      </c>
      <c r="E148" s="11" t="s">
        <v>37</v>
      </c>
    </row>
    <row r="149">
      <c r="B149" s="32" t="s">
        <v>1416</v>
      </c>
      <c r="C149" s="57" t="s">
        <v>449</v>
      </c>
      <c r="D149" s="32" t="s">
        <v>1418</v>
      </c>
      <c r="E149" s="24" t="s">
        <v>33</v>
      </c>
    </row>
    <row r="150">
      <c r="B150" s="32" t="s">
        <v>1414</v>
      </c>
      <c r="C150" s="35" t="s">
        <v>534</v>
      </c>
      <c r="D150" s="32" t="s">
        <v>1417</v>
      </c>
      <c r="E150" s="11" t="s">
        <v>37</v>
      </c>
    </row>
    <row r="151">
      <c r="B151" s="32" t="s">
        <v>1415</v>
      </c>
      <c r="C151" s="35" t="s">
        <v>217</v>
      </c>
      <c r="D151" s="32" t="s">
        <v>1418</v>
      </c>
      <c r="E151" s="11" t="s">
        <v>33</v>
      </c>
    </row>
    <row r="152">
      <c r="B152" s="32" t="s">
        <v>1416</v>
      </c>
      <c r="C152" s="57" t="s">
        <v>449</v>
      </c>
      <c r="D152" s="32" t="s">
        <v>1414</v>
      </c>
      <c r="E152" s="24" t="s">
        <v>37</v>
      </c>
    </row>
    <row r="153">
      <c r="B153" s="32" t="s">
        <v>1415</v>
      </c>
      <c r="C153" s="35" t="s">
        <v>201</v>
      </c>
      <c r="D153" s="32" t="s">
        <v>1417</v>
      </c>
      <c r="E153" s="11" t="s">
        <v>33</v>
      </c>
    </row>
    <row r="154">
      <c r="B154" s="32" t="s">
        <v>1418</v>
      </c>
      <c r="C154" s="35" t="s">
        <v>282</v>
      </c>
      <c r="D154" s="32" t="s">
        <v>1414</v>
      </c>
      <c r="E154" s="11" t="s">
        <v>37</v>
      </c>
    </row>
    <row r="155">
      <c r="B155" s="1" t="s">
        <v>1419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B157" s="32" t="s">
        <v>1420</v>
      </c>
      <c r="C157" s="35" t="s">
        <v>289</v>
      </c>
      <c r="D157" s="32" t="s">
        <v>1421</v>
      </c>
      <c r="E157" s="11" t="s">
        <v>9</v>
      </c>
    </row>
    <row r="158">
      <c r="B158" s="32" t="s">
        <v>1422</v>
      </c>
      <c r="C158" s="35" t="s">
        <v>589</v>
      </c>
      <c r="D158" s="32" t="s">
        <v>1423</v>
      </c>
      <c r="E158" s="11" t="s">
        <v>13</v>
      </c>
    </row>
    <row r="159">
      <c r="B159" s="32" t="s">
        <v>1422</v>
      </c>
      <c r="C159" s="35" t="s">
        <v>87</v>
      </c>
      <c r="D159" s="32" t="s">
        <v>1421</v>
      </c>
      <c r="E159" s="11" t="s">
        <v>9</v>
      </c>
    </row>
    <row r="160">
      <c r="B160" s="32" t="s">
        <v>1424</v>
      </c>
      <c r="C160" s="35" t="s">
        <v>291</v>
      </c>
      <c r="D160" s="32" t="s">
        <v>1423</v>
      </c>
      <c r="E160" s="11" t="s">
        <v>13</v>
      </c>
    </row>
    <row r="161">
      <c r="B161" s="32" t="s">
        <v>1424</v>
      </c>
      <c r="C161" s="35" t="s">
        <v>20</v>
      </c>
      <c r="D161" s="32" t="s">
        <v>1422</v>
      </c>
      <c r="E161" s="11" t="s">
        <v>9</v>
      </c>
    </row>
    <row r="162">
      <c r="B162" s="32" t="s">
        <v>1423</v>
      </c>
      <c r="C162" s="35" t="s">
        <v>201</v>
      </c>
      <c r="D162" s="32" t="s">
        <v>1420</v>
      </c>
      <c r="E162" s="11" t="s">
        <v>13</v>
      </c>
    </row>
    <row r="163">
      <c r="B163" s="32" t="s">
        <v>1424</v>
      </c>
      <c r="C163" s="35" t="s">
        <v>260</v>
      </c>
      <c r="D163" s="32" t="s">
        <v>1421</v>
      </c>
      <c r="E163" s="11" t="s">
        <v>9</v>
      </c>
    </row>
    <row r="164">
      <c r="B164" s="32" t="s">
        <v>1420</v>
      </c>
      <c r="C164" s="35" t="s">
        <v>17</v>
      </c>
      <c r="D164" s="32" t="s">
        <v>1422</v>
      </c>
      <c r="E164" s="11" t="s">
        <v>13</v>
      </c>
    </row>
    <row r="165">
      <c r="B165" s="32" t="s">
        <v>1423</v>
      </c>
      <c r="C165" s="35" t="s">
        <v>82</v>
      </c>
      <c r="D165" s="32" t="s">
        <v>1421</v>
      </c>
      <c r="E165" s="11" t="s">
        <v>9</v>
      </c>
    </row>
    <row r="166">
      <c r="B166" s="32" t="s">
        <v>1420</v>
      </c>
      <c r="C166" s="35" t="s">
        <v>282</v>
      </c>
      <c r="D166" s="32" t="s">
        <v>1424</v>
      </c>
      <c r="E166" s="11" t="s">
        <v>13</v>
      </c>
    </row>
    <row r="167">
      <c r="B167" s="32" t="s">
        <v>1421</v>
      </c>
      <c r="C167" s="35" t="s">
        <v>1425</v>
      </c>
      <c r="D167" s="32" t="s">
        <v>1420</v>
      </c>
      <c r="E167" s="11" t="s">
        <v>9</v>
      </c>
    </row>
    <row r="168">
      <c r="B168" s="32" t="s">
        <v>1423</v>
      </c>
      <c r="C168" s="35" t="s">
        <v>289</v>
      </c>
      <c r="D168" s="32" t="s">
        <v>1422</v>
      </c>
      <c r="E168" s="11" t="s">
        <v>13</v>
      </c>
    </row>
    <row r="169">
      <c r="B169" s="32" t="s">
        <v>1421</v>
      </c>
      <c r="C169" s="35" t="s">
        <v>193</v>
      </c>
      <c r="D169" s="32" t="s">
        <v>1422</v>
      </c>
      <c r="E169" s="11" t="s">
        <v>9</v>
      </c>
    </row>
    <row r="170">
      <c r="B170" s="32" t="s">
        <v>1423</v>
      </c>
      <c r="C170" s="35" t="s">
        <v>329</v>
      </c>
      <c r="D170" s="32" t="s">
        <v>1424</v>
      </c>
      <c r="E170" s="11" t="s">
        <v>13</v>
      </c>
    </row>
    <row r="171">
      <c r="B171" s="32" t="s">
        <v>1422</v>
      </c>
      <c r="C171" s="35" t="s">
        <v>64</v>
      </c>
      <c r="D171" s="32" t="s">
        <v>1424</v>
      </c>
      <c r="E171" s="11" t="s">
        <v>9</v>
      </c>
    </row>
    <row r="172">
      <c r="B172" s="32" t="s">
        <v>1420</v>
      </c>
      <c r="C172" s="35" t="s">
        <v>64</v>
      </c>
      <c r="D172" s="32" t="s">
        <v>1423</v>
      </c>
      <c r="E172" s="11" t="s">
        <v>13</v>
      </c>
    </row>
    <row r="173">
      <c r="B173" s="32" t="s">
        <v>1421</v>
      </c>
      <c r="C173" s="35" t="s">
        <v>45</v>
      </c>
      <c r="D173" s="32" t="s">
        <v>1424</v>
      </c>
      <c r="E173" s="11" t="s">
        <v>9</v>
      </c>
    </row>
    <row r="174">
      <c r="B174" s="32" t="s">
        <v>1422</v>
      </c>
      <c r="C174" s="35" t="s">
        <v>16</v>
      </c>
      <c r="D174" s="32" t="s">
        <v>1420</v>
      </c>
      <c r="E174" s="11" t="s">
        <v>13</v>
      </c>
    </row>
    <row r="175">
      <c r="B175" s="32" t="s">
        <v>1421</v>
      </c>
      <c r="C175" s="35" t="s">
        <v>251</v>
      </c>
      <c r="D175" s="32" t="s">
        <v>1423</v>
      </c>
      <c r="E175" s="11" t="s">
        <v>9</v>
      </c>
    </row>
    <row r="176">
      <c r="B176" s="32" t="s">
        <v>1424</v>
      </c>
      <c r="C176" s="35" t="s">
        <v>545</v>
      </c>
      <c r="D176" s="32" t="s">
        <v>1420</v>
      </c>
      <c r="E176" s="11" t="s">
        <v>13</v>
      </c>
    </row>
    <row r="177">
      <c r="B177" s="1" t="s">
        <v>112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B179" s="32" t="s">
        <v>831</v>
      </c>
      <c r="C179" s="33" t="s">
        <v>317</v>
      </c>
      <c r="D179" s="32" t="s">
        <v>1202</v>
      </c>
      <c r="E179" s="11" t="s">
        <v>33</v>
      </c>
    </row>
    <row r="180">
      <c r="B180" s="32" t="s">
        <v>1426</v>
      </c>
      <c r="C180" s="57" t="s">
        <v>449</v>
      </c>
      <c r="D180" s="32" t="s">
        <v>1221</v>
      </c>
      <c r="E180" s="24" t="s">
        <v>37</v>
      </c>
    </row>
    <row r="181">
      <c r="B181" s="32" t="s">
        <v>1426</v>
      </c>
      <c r="C181" s="57" t="s">
        <v>449</v>
      </c>
      <c r="D181" s="32" t="s">
        <v>1202</v>
      </c>
      <c r="E181" s="24" t="s">
        <v>33</v>
      </c>
    </row>
    <row r="182">
      <c r="B182" s="32" t="s">
        <v>1427</v>
      </c>
      <c r="C182" s="33" t="s">
        <v>41</v>
      </c>
      <c r="D182" s="32" t="s">
        <v>1221</v>
      </c>
      <c r="E182" s="11" t="s">
        <v>37</v>
      </c>
    </row>
    <row r="183">
      <c r="B183" s="32" t="s">
        <v>1427</v>
      </c>
      <c r="C183" s="57" t="s">
        <v>449</v>
      </c>
      <c r="D183" s="32" t="s">
        <v>1426</v>
      </c>
      <c r="E183" s="24" t="s">
        <v>33</v>
      </c>
    </row>
    <row r="184">
      <c r="B184" s="32" t="s">
        <v>1221</v>
      </c>
      <c r="C184" s="33" t="s">
        <v>829</v>
      </c>
      <c r="D184" s="32" t="s">
        <v>831</v>
      </c>
      <c r="E184" s="11" t="s">
        <v>37</v>
      </c>
    </row>
    <row r="185">
      <c r="B185" s="32" t="s">
        <v>1427</v>
      </c>
      <c r="C185" s="33" t="s">
        <v>566</v>
      </c>
      <c r="D185" s="32" t="s">
        <v>1202</v>
      </c>
      <c r="E185" s="11" t="s">
        <v>33</v>
      </c>
    </row>
    <row r="186">
      <c r="B186" s="32" t="s">
        <v>831</v>
      </c>
      <c r="C186" s="57" t="s">
        <v>449</v>
      </c>
      <c r="D186" s="32" t="s">
        <v>1426</v>
      </c>
      <c r="E186" s="24" t="s">
        <v>37</v>
      </c>
    </row>
    <row r="187">
      <c r="B187" s="32" t="s">
        <v>1221</v>
      </c>
      <c r="C187" s="60" t="s">
        <v>41</v>
      </c>
      <c r="D187" s="32" t="s">
        <v>1202</v>
      </c>
      <c r="E187" s="11" t="s">
        <v>33</v>
      </c>
    </row>
    <row r="188">
      <c r="B188" s="32" t="s">
        <v>831</v>
      </c>
      <c r="C188" s="33" t="s">
        <v>218</v>
      </c>
      <c r="D188" s="32" t="s">
        <v>1427</v>
      </c>
      <c r="E188" s="11" t="s">
        <v>37</v>
      </c>
    </row>
    <row r="189">
      <c r="B189" s="32" t="s">
        <v>1202</v>
      </c>
      <c r="C189" s="33" t="s">
        <v>1428</v>
      </c>
      <c r="D189" s="32" t="s">
        <v>831</v>
      </c>
      <c r="E189" s="11" t="s">
        <v>33</v>
      </c>
    </row>
    <row r="190">
      <c r="B190" s="32" t="s">
        <v>1221</v>
      </c>
      <c r="C190" s="57" t="s">
        <v>449</v>
      </c>
      <c r="D190" s="32" t="s">
        <v>1426</v>
      </c>
      <c r="E190" s="24" t="s">
        <v>37</v>
      </c>
    </row>
    <row r="191">
      <c r="B191" s="32" t="s">
        <v>1202</v>
      </c>
      <c r="C191" s="57" t="s">
        <v>449</v>
      </c>
      <c r="D191" s="32" t="s">
        <v>1426</v>
      </c>
      <c r="E191" s="24" t="s">
        <v>33</v>
      </c>
    </row>
    <row r="192">
      <c r="B192" s="32" t="s">
        <v>1221</v>
      </c>
      <c r="C192" s="35" t="s">
        <v>282</v>
      </c>
      <c r="D192" s="32" t="s">
        <v>1427</v>
      </c>
      <c r="E192" s="11" t="s">
        <v>37</v>
      </c>
    </row>
    <row r="193">
      <c r="B193" s="32" t="s">
        <v>1426</v>
      </c>
      <c r="C193" s="57" t="s">
        <v>449</v>
      </c>
      <c r="D193" s="32" t="s">
        <v>1427</v>
      </c>
      <c r="E193" s="24" t="s">
        <v>33</v>
      </c>
    </row>
    <row r="194">
      <c r="B194" s="32" t="s">
        <v>831</v>
      </c>
      <c r="C194" s="35" t="s">
        <v>872</v>
      </c>
      <c r="D194" s="32" t="s">
        <v>1221</v>
      </c>
      <c r="E194" s="11" t="s">
        <v>37</v>
      </c>
    </row>
    <row r="195">
      <c r="B195" s="32" t="s">
        <v>1202</v>
      </c>
      <c r="C195" s="35" t="s">
        <v>260</v>
      </c>
      <c r="D195" s="32" t="s">
        <v>1427</v>
      </c>
      <c r="E195" s="11" t="s">
        <v>33</v>
      </c>
    </row>
    <row r="196">
      <c r="B196" s="32" t="s">
        <v>1426</v>
      </c>
      <c r="C196" s="57" t="s">
        <v>449</v>
      </c>
      <c r="D196" s="32" t="s">
        <v>831</v>
      </c>
      <c r="E196" s="24" t="s">
        <v>37</v>
      </c>
    </row>
    <row r="197">
      <c r="B197" s="32" t="s">
        <v>1202</v>
      </c>
      <c r="C197" s="35" t="s">
        <v>81</v>
      </c>
      <c r="D197" s="32" t="s">
        <v>1221</v>
      </c>
      <c r="E197" s="11" t="s">
        <v>33</v>
      </c>
    </row>
    <row r="198">
      <c r="B198" s="32" t="s">
        <v>1427</v>
      </c>
      <c r="C198" s="35" t="s">
        <v>14</v>
      </c>
      <c r="D198" s="32" t="s">
        <v>831</v>
      </c>
      <c r="E198" s="11" t="s">
        <v>37</v>
      </c>
    </row>
    <row r="199">
      <c r="B199" s="1" t="s">
        <v>1429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B201" s="32" t="s">
        <v>1430</v>
      </c>
      <c r="C201" s="35" t="s">
        <v>260</v>
      </c>
      <c r="D201" s="32" t="s">
        <v>1431</v>
      </c>
      <c r="E201" s="11" t="s">
        <v>33</v>
      </c>
    </row>
    <row r="202">
      <c r="B202" s="32" t="s">
        <v>1432</v>
      </c>
      <c r="C202" s="35" t="s">
        <v>31</v>
      </c>
      <c r="D202" s="32" t="s">
        <v>1433</v>
      </c>
      <c r="E202" s="11" t="s">
        <v>37</v>
      </c>
    </row>
    <row r="203">
      <c r="B203" s="32" t="s">
        <v>1432</v>
      </c>
      <c r="C203" s="35" t="s">
        <v>284</v>
      </c>
      <c r="D203" s="32" t="s">
        <v>1431</v>
      </c>
      <c r="E203" s="11" t="s">
        <v>33</v>
      </c>
    </row>
    <row r="204">
      <c r="B204" s="32" t="s">
        <v>1434</v>
      </c>
      <c r="C204" s="35" t="s">
        <v>201</v>
      </c>
      <c r="D204" s="32" t="s">
        <v>1433</v>
      </c>
      <c r="E204" s="11" t="s">
        <v>37</v>
      </c>
    </row>
    <row r="205">
      <c r="B205" s="32" t="s">
        <v>1434</v>
      </c>
      <c r="C205" s="35" t="s">
        <v>78</v>
      </c>
      <c r="D205" s="32" t="s">
        <v>1432</v>
      </c>
      <c r="E205" s="11" t="s">
        <v>33</v>
      </c>
    </row>
    <row r="206">
      <c r="B206" s="32" t="s">
        <v>1433</v>
      </c>
      <c r="C206" s="35" t="s">
        <v>195</v>
      </c>
      <c r="D206" s="32" t="s">
        <v>1430</v>
      </c>
      <c r="E206" s="11" t="s">
        <v>37</v>
      </c>
    </row>
    <row r="207">
      <c r="B207" s="32" t="s">
        <v>1434</v>
      </c>
      <c r="C207" s="35" t="s">
        <v>282</v>
      </c>
      <c r="D207" s="32" t="s">
        <v>1431</v>
      </c>
      <c r="E207" s="11" t="s">
        <v>33</v>
      </c>
    </row>
    <row r="208">
      <c r="B208" s="32" t="s">
        <v>1430</v>
      </c>
      <c r="C208" s="35" t="s">
        <v>354</v>
      </c>
      <c r="D208" s="32" t="s">
        <v>1432</v>
      </c>
      <c r="E208" s="11" t="s">
        <v>37</v>
      </c>
    </row>
    <row r="209">
      <c r="B209" s="32" t="s">
        <v>1433</v>
      </c>
      <c r="C209" s="35" t="s">
        <v>217</v>
      </c>
      <c r="D209" s="32" t="s">
        <v>1431</v>
      </c>
      <c r="E209" s="11" t="s">
        <v>33</v>
      </c>
    </row>
    <row r="210">
      <c r="B210" s="32" t="s">
        <v>1430</v>
      </c>
      <c r="C210" s="35" t="s">
        <v>297</v>
      </c>
      <c r="D210" s="32" t="s">
        <v>1434</v>
      </c>
      <c r="E210" s="11" t="s">
        <v>37</v>
      </c>
    </row>
    <row r="211">
      <c r="B211" s="32" t="s">
        <v>1431</v>
      </c>
      <c r="C211" s="35" t="s">
        <v>426</v>
      </c>
      <c r="D211" s="32" t="s">
        <v>1430</v>
      </c>
      <c r="E211" s="11" t="s">
        <v>33</v>
      </c>
    </row>
    <row r="212">
      <c r="B212" s="32" t="s">
        <v>1433</v>
      </c>
      <c r="C212" s="35" t="s">
        <v>369</v>
      </c>
      <c r="D212" s="32" t="s">
        <v>1432</v>
      </c>
      <c r="E212" s="11" t="s">
        <v>37</v>
      </c>
    </row>
    <row r="213">
      <c r="B213" s="32" t="s">
        <v>1431</v>
      </c>
      <c r="C213" s="35" t="s">
        <v>195</v>
      </c>
      <c r="D213" s="32" t="s">
        <v>1432</v>
      </c>
      <c r="E213" s="11" t="s">
        <v>33</v>
      </c>
    </row>
    <row r="214">
      <c r="B214" s="32" t="s">
        <v>1433</v>
      </c>
      <c r="C214" s="35" t="s">
        <v>47</v>
      </c>
      <c r="D214" s="32" t="s">
        <v>1434</v>
      </c>
      <c r="E214" s="11" t="s">
        <v>37</v>
      </c>
    </row>
    <row r="215">
      <c r="B215" s="32" t="s">
        <v>1432</v>
      </c>
      <c r="C215" s="35" t="s">
        <v>82</v>
      </c>
      <c r="D215" s="32" t="s">
        <v>1434</v>
      </c>
      <c r="E215" s="11" t="s">
        <v>33</v>
      </c>
    </row>
    <row r="216">
      <c r="B216" s="32" t="s">
        <v>1430</v>
      </c>
      <c r="C216" s="35" t="s">
        <v>196</v>
      </c>
      <c r="D216" s="32" t="s">
        <v>1433</v>
      </c>
      <c r="E216" s="11" t="s">
        <v>37</v>
      </c>
    </row>
    <row r="217">
      <c r="B217" s="32" t="s">
        <v>1431</v>
      </c>
      <c r="C217" s="35" t="s">
        <v>45</v>
      </c>
      <c r="D217" s="32" t="s">
        <v>1434</v>
      </c>
      <c r="E217" s="11" t="s">
        <v>33</v>
      </c>
    </row>
    <row r="218">
      <c r="B218" s="32" t="s">
        <v>1432</v>
      </c>
      <c r="C218" s="35" t="s">
        <v>41</v>
      </c>
      <c r="D218" s="32" t="s">
        <v>1430</v>
      </c>
      <c r="E218" s="11" t="s">
        <v>37</v>
      </c>
    </row>
    <row r="219">
      <c r="B219" s="32" t="s">
        <v>1431</v>
      </c>
      <c r="C219" s="35" t="s">
        <v>190</v>
      </c>
      <c r="D219" s="32" t="s">
        <v>1433</v>
      </c>
      <c r="E219" s="11" t="s">
        <v>33</v>
      </c>
    </row>
    <row r="220">
      <c r="B220" s="32" t="s">
        <v>1434</v>
      </c>
      <c r="C220" s="35" t="s">
        <v>16</v>
      </c>
      <c r="D220" s="32" t="s">
        <v>1430</v>
      </c>
      <c r="E220" s="11" t="s">
        <v>37</v>
      </c>
    </row>
    <row r="221">
      <c r="B221" s="28" t="s">
        <v>1435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34" t="s">
        <v>1436</v>
      </c>
      <c r="C223" s="33" t="s">
        <v>446</v>
      </c>
      <c r="D223" s="34" t="s">
        <v>1437</v>
      </c>
      <c r="E223" s="11" t="s">
        <v>9</v>
      </c>
    </row>
    <row r="224">
      <c r="B224" s="34" t="s">
        <v>1438</v>
      </c>
      <c r="C224" s="33" t="s">
        <v>239</v>
      </c>
      <c r="D224" s="34" t="s">
        <v>1439</v>
      </c>
      <c r="E224" s="11" t="s">
        <v>13</v>
      </c>
    </row>
    <row r="225">
      <c r="B225" s="34" t="s">
        <v>1438</v>
      </c>
      <c r="C225" s="33" t="s">
        <v>215</v>
      </c>
      <c r="D225" s="34" t="s">
        <v>1437</v>
      </c>
      <c r="E225" s="11" t="s">
        <v>9</v>
      </c>
    </row>
    <row r="226">
      <c r="B226" s="34" t="s">
        <v>1440</v>
      </c>
      <c r="C226" s="33" t="s">
        <v>1396</v>
      </c>
      <c r="D226" s="34" t="s">
        <v>1439</v>
      </c>
      <c r="E226" s="11" t="s">
        <v>13</v>
      </c>
    </row>
    <row r="227">
      <c r="B227" s="34" t="s">
        <v>1440</v>
      </c>
      <c r="C227" s="33" t="s">
        <v>201</v>
      </c>
      <c r="D227" s="34" t="s">
        <v>1438</v>
      </c>
      <c r="E227" s="11" t="s">
        <v>9</v>
      </c>
    </row>
    <row r="228">
      <c r="B228" s="34" t="s">
        <v>1439</v>
      </c>
      <c r="C228" s="33" t="s">
        <v>22</v>
      </c>
      <c r="D228" s="34" t="s">
        <v>1436</v>
      </c>
      <c r="E228" s="11" t="s">
        <v>13</v>
      </c>
    </row>
    <row r="229">
      <c r="B229" s="34" t="s">
        <v>1440</v>
      </c>
      <c r="C229" s="33" t="s">
        <v>443</v>
      </c>
      <c r="D229" s="34" t="s">
        <v>1437</v>
      </c>
      <c r="E229" s="11" t="s">
        <v>9</v>
      </c>
    </row>
    <row r="230">
      <c r="B230" s="34" t="s">
        <v>1436</v>
      </c>
      <c r="C230" s="33" t="s">
        <v>28</v>
      </c>
      <c r="D230" s="34" t="s">
        <v>1438</v>
      </c>
      <c r="E230" s="11" t="s">
        <v>13</v>
      </c>
    </row>
    <row r="231">
      <c r="B231" s="34" t="s">
        <v>1439</v>
      </c>
      <c r="C231" s="33" t="s">
        <v>194</v>
      </c>
      <c r="D231" s="34" t="s">
        <v>1437</v>
      </c>
      <c r="E231" s="11" t="s">
        <v>9</v>
      </c>
    </row>
    <row r="232">
      <c r="B232" s="34" t="s">
        <v>1436</v>
      </c>
      <c r="C232" s="33" t="s">
        <v>50</v>
      </c>
      <c r="D232" s="34" t="s">
        <v>1440</v>
      </c>
      <c r="E232" s="11" t="s">
        <v>13</v>
      </c>
    </row>
    <row r="233">
      <c r="B233" s="34" t="s">
        <v>1437</v>
      </c>
      <c r="C233" s="33" t="s">
        <v>190</v>
      </c>
      <c r="D233" s="34" t="s">
        <v>1436</v>
      </c>
      <c r="E233" s="11" t="s">
        <v>9</v>
      </c>
    </row>
    <row r="234">
      <c r="B234" s="34" t="s">
        <v>1439</v>
      </c>
      <c r="C234" s="33" t="s">
        <v>81</v>
      </c>
      <c r="D234" s="34" t="s">
        <v>1438</v>
      </c>
      <c r="E234" s="11" t="s">
        <v>13</v>
      </c>
    </row>
    <row r="235">
      <c r="B235" s="34" t="s">
        <v>1437</v>
      </c>
      <c r="C235" s="35" t="s">
        <v>218</v>
      </c>
      <c r="D235" s="34" t="s">
        <v>1438</v>
      </c>
      <c r="E235" s="11" t="s">
        <v>9</v>
      </c>
    </row>
    <row r="236">
      <c r="B236" s="34" t="s">
        <v>1439</v>
      </c>
      <c r="C236" s="35" t="s">
        <v>76</v>
      </c>
      <c r="D236" s="34" t="s">
        <v>1440</v>
      </c>
      <c r="E236" s="11" t="s">
        <v>13</v>
      </c>
    </row>
    <row r="237">
      <c r="B237" s="34" t="s">
        <v>1438</v>
      </c>
      <c r="C237" s="35" t="s">
        <v>20</v>
      </c>
      <c r="D237" s="34" t="s">
        <v>1440</v>
      </c>
      <c r="E237" s="11" t="s">
        <v>9</v>
      </c>
    </row>
    <row r="238">
      <c r="B238" s="34" t="s">
        <v>1436</v>
      </c>
      <c r="C238" s="35" t="s">
        <v>190</v>
      </c>
      <c r="D238" s="34" t="s">
        <v>1439</v>
      </c>
      <c r="E238" s="11" t="s">
        <v>13</v>
      </c>
    </row>
    <row r="239">
      <c r="B239" s="34" t="s">
        <v>1437</v>
      </c>
      <c r="C239" s="35" t="s">
        <v>20</v>
      </c>
      <c r="D239" s="34" t="s">
        <v>1440</v>
      </c>
      <c r="E239" s="11" t="s">
        <v>9</v>
      </c>
    </row>
    <row r="240">
      <c r="B240" s="34" t="s">
        <v>1438</v>
      </c>
      <c r="C240" s="35" t="s">
        <v>42</v>
      </c>
      <c r="D240" s="34" t="s">
        <v>1436</v>
      </c>
      <c r="E240" s="11" t="s">
        <v>13</v>
      </c>
    </row>
    <row r="241">
      <c r="B241" s="34" t="s">
        <v>1437</v>
      </c>
      <c r="C241" s="35" t="s">
        <v>62</v>
      </c>
      <c r="D241" s="34" t="s">
        <v>1439</v>
      </c>
      <c r="E241" s="11" t="s">
        <v>9</v>
      </c>
    </row>
    <row r="242">
      <c r="B242" s="34" t="s">
        <v>1440</v>
      </c>
      <c r="C242" s="35" t="s">
        <v>380</v>
      </c>
      <c r="D242" s="34" t="s">
        <v>1436</v>
      </c>
      <c r="E242" s="11" t="s">
        <v>13</v>
      </c>
    </row>
    <row r="243">
      <c r="B243" s="28" t="s">
        <v>1441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34" t="s">
        <v>1442</v>
      </c>
      <c r="C245" s="35" t="s">
        <v>18</v>
      </c>
      <c r="D245" s="34" t="s">
        <v>1443</v>
      </c>
      <c r="E245" s="11" t="s">
        <v>9</v>
      </c>
    </row>
    <row r="246">
      <c r="B246" s="34" t="s">
        <v>1444</v>
      </c>
      <c r="C246" s="35" t="s">
        <v>572</v>
      </c>
      <c r="D246" s="34" t="s">
        <v>1445</v>
      </c>
      <c r="E246" s="11" t="s">
        <v>13</v>
      </c>
    </row>
    <row r="247">
      <c r="B247" s="34" t="s">
        <v>1444</v>
      </c>
      <c r="C247" s="35" t="s">
        <v>197</v>
      </c>
      <c r="D247" s="34" t="s">
        <v>1443</v>
      </c>
      <c r="E247" s="11" t="s">
        <v>9</v>
      </c>
    </row>
    <row r="248">
      <c r="B248" s="8" t="s">
        <v>1446</v>
      </c>
      <c r="C248" s="35" t="s">
        <v>64</v>
      </c>
      <c r="D248" s="34" t="s">
        <v>1445</v>
      </c>
      <c r="E248" s="11" t="s">
        <v>13</v>
      </c>
    </row>
    <row r="249">
      <c r="B249" s="8" t="s">
        <v>1446</v>
      </c>
      <c r="C249" s="35" t="s">
        <v>239</v>
      </c>
      <c r="D249" s="34" t="s">
        <v>1444</v>
      </c>
      <c r="E249" s="11" t="s">
        <v>9</v>
      </c>
    </row>
    <row r="250">
      <c r="B250" s="34" t="s">
        <v>1445</v>
      </c>
      <c r="C250" s="35" t="s">
        <v>87</v>
      </c>
      <c r="D250" s="34" t="s">
        <v>1442</v>
      </c>
      <c r="E250" s="11" t="s">
        <v>13</v>
      </c>
    </row>
    <row r="251">
      <c r="B251" s="8" t="s">
        <v>1446</v>
      </c>
      <c r="C251" s="35" t="s">
        <v>48</v>
      </c>
      <c r="D251" s="34" t="s">
        <v>1443</v>
      </c>
      <c r="E251" s="11" t="s">
        <v>9</v>
      </c>
    </row>
    <row r="252">
      <c r="B252" s="34" t="s">
        <v>1442</v>
      </c>
      <c r="C252" s="35" t="s">
        <v>329</v>
      </c>
      <c r="D252" s="34" t="s">
        <v>1444</v>
      </c>
      <c r="E252" s="11" t="s">
        <v>13</v>
      </c>
    </row>
    <row r="253">
      <c r="B253" s="34" t="s">
        <v>1445</v>
      </c>
      <c r="C253" s="35" t="s">
        <v>196</v>
      </c>
      <c r="D253" s="34" t="s">
        <v>1443</v>
      </c>
      <c r="E253" s="11" t="s">
        <v>9</v>
      </c>
    </row>
    <row r="254">
      <c r="B254" s="34" t="s">
        <v>1442</v>
      </c>
      <c r="C254" s="35" t="s">
        <v>18</v>
      </c>
      <c r="D254" s="8" t="s">
        <v>1446</v>
      </c>
      <c r="E254" s="11" t="s">
        <v>13</v>
      </c>
    </row>
    <row r="255">
      <c r="B255" s="34" t="s">
        <v>1443</v>
      </c>
      <c r="C255" s="35" t="s">
        <v>250</v>
      </c>
      <c r="D255" s="34" t="s">
        <v>1442</v>
      </c>
      <c r="E255" s="11" t="s">
        <v>9</v>
      </c>
    </row>
    <row r="256">
      <c r="B256" s="34" t="s">
        <v>1445</v>
      </c>
      <c r="C256" s="35" t="s">
        <v>197</v>
      </c>
      <c r="D256" s="34" t="s">
        <v>1444</v>
      </c>
      <c r="E256" s="11" t="s">
        <v>13</v>
      </c>
    </row>
    <row r="257">
      <c r="B257" s="34" t="s">
        <v>1443</v>
      </c>
      <c r="C257" s="35" t="s">
        <v>295</v>
      </c>
      <c r="D257" s="34" t="s">
        <v>1444</v>
      </c>
      <c r="E257" s="11" t="s">
        <v>9</v>
      </c>
    </row>
    <row r="258">
      <c r="B258" s="34" t="s">
        <v>1445</v>
      </c>
      <c r="C258" s="35" t="s">
        <v>28</v>
      </c>
      <c r="D258" s="8" t="s">
        <v>1446</v>
      </c>
      <c r="E258" s="11" t="s">
        <v>13</v>
      </c>
    </row>
    <row r="259">
      <c r="B259" s="34" t="s">
        <v>1444</v>
      </c>
      <c r="C259" s="35" t="s">
        <v>1447</v>
      </c>
      <c r="D259" s="8" t="s">
        <v>1446</v>
      </c>
      <c r="E259" s="11" t="s">
        <v>9</v>
      </c>
    </row>
    <row r="260">
      <c r="B260" s="34" t="s">
        <v>1442</v>
      </c>
      <c r="C260" s="35" t="s">
        <v>201</v>
      </c>
      <c r="D260" s="34" t="s">
        <v>1445</v>
      </c>
      <c r="E260" s="11" t="s">
        <v>13</v>
      </c>
    </row>
    <row r="261">
      <c r="B261" s="34" t="s">
        <v>1443</v>
      </c>
      <c r="C261" s="35" t="s">
        <v>64</v>
      </c>
      <c r="D261" s="8" t="s">
        <v>1446</v>
      </c>
      <c r="E261" s="11" t="s">
        <v>9</v>
      </c>
    </row>
    <row r="262">
      <c r="B262" s="34" t="s">
        <v>1444</v>
      </c>
      <c r="C262" s="35" t="s">
        <v>218</v>
      </c>
      <c r="D262" s="34" t="s">
        <v>1442</v>
      </c>
      <c r="E262" s="11" t="s">
        <v>13</v>
      </c>
    </row>
    <row r="263">
      <c r="B263" s="34" t="s">
        <v>1443</v>
      </c>
      <c r="C263" s="35" t="s">
        <v>17</v>
      </c>
      <c r="D263" s="34" t="s">
        <v>1445</v>
      </c>
      <c r="E263" s="11" t="s">
        <v>9</v>
      </c>
    </row>
    <row r="264">
      <c r="B264" s="8" t="s">
        <v>1446</v>
      </c>
      <c r="C264" s="35" t="s">
        <v>72</v>
      </c>
      <c r="D264" s="34" t="s">
        <v>1442</v>
      </c>
      <c r="E264" s="11" t="s">
        <v>13</v>
      </c>
    </row>
    <row r="265">
      <c r="B265" s="28" t="s">
        <v>1448</v>
      </c>
      <c r="C265" s="2"/>
      <c r="D265" s="3"/>
      <c r="E265" s="2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34" t="s">
        <v>1449</v>
      </c>
      <c r="C267" s="35" t="s">
        <v>220</v>
      </c>
      <c r="D267" s="34" t="s">
        <v>56</v>
      </c>
      <c r="E267" s="11" t="s">
        <v>33</v>
      </c>
    </row>
    <row r="268">
      <c r="B268" s="34" t="s">
        <v>1450</v>
      </c>
      <c r="C268" s="35" t="s">
        <v>28</v>
      </c>
      <c r="D268" s="34" t="s">
        <v>1451</v>
      </c>
      <c r="E268" s="11" t="s">
        <v>37</v>
      </c>
    </row>
    <row r="269">
      <c r="B269" s="34" t="s">
        <v>1450</v>
      </c>
      <c r="C269" s="35" t="s">
        <v>190</v>
      </c>
      <c r="D269" s="34" t="s">
        <v>56</v>
      </c>
      <c r="E269" s="11" t="s">
        <v>33</v>
      </c>
    </row>
    <row r="270">
      <c r="B270" s="34" t="s">
        <v>1452</v>
      </c>
      <c r="C270" s="35" t="s">
        <v>68</v>
      </c>
      <c r="D270" s="34" t="s">
        <v>1451</v>
      </c>
      <c r="E270" s="11" t="s">
        <v>37</v>
      </c>
    </row>
    <row r="271">
      <c r="B271" s="34" t="s">
        <v>1452</v>
      </c>
      <c r="C271" s="35" t="s">
        <v>25</v>
      </c>
      <c r="D271" s="34" t="s">
        <v>1450</v>
      </c>
      <c r="E271" s="11" t="s">
        <v>33</v>
      </c>
    </row>
    <row r="272">
      <c r="B272" s="34" t="s">
        <v>1451</v>
      </c>
      <c r="C272" s="35" t="s">
        <v>81</v>
      </c>
      <c r="D272" s="34" t="s">
        <v>1449</v>
      </c>
      <c r="E272" s="11" t="s">
        <v>37</v>
      </c>
    </row>
    <row r="273">
      <c r="B273" s="34" t="s">
        <v>1452</v>
      </c>
      <c r="C273" s="35" t="s">
        <v>212</v>
      </c>
      <c r="D273" s="34" t="s">
        <v>56</v>
      </c>
      <c r="E273" s="11" t="s">
        <v>33</v>
      </c>
    </row>
    <row r="274">
      <c r="B274" s="34" t="s">
        <v>1449</v>
      </c>
      <c r="C274" s="35" t="s">
        <v>187</v>
      </c>
      <c r="D274" s="34" t="s">
        <v>1450</v>
      </c>
      <c r="E274" s="11" t="s">
        <v>37</v>
      </c>
    </row>
    <row r="275">
      <c r="B275" s="34" t="s">
        <v>1451</v>
      </c>
      <c r="C275" s="35" t="s">
        <v>404</v>
      </c>
      <c r="D275" s="34" t="s">
        <v>56</v>
      </c>
      <c r="E275" s="11" t="s">
        <v>33</v>
      </c>
    </row>
    <row r="276">
      <c r="B276" s="34" t="s">
        <v>1449</v>
      </c>
      <c r="C276" s="35" t="s">
        <v>293</v>
      </c>
      <c r="D276" s="34" t="s">
        <v>1452</v>
      </c>
      <c r="E276" s="11" t="s">
        <v>37</v>
      </c>
    </row>
    <row r="277">
      <c r="B277" s="34" t="s">
        <v>56</v>
      </c>
      <c r="C277" s="35" t="s">
        <v>190</v>
      </c>
      <c r="D277" s="34" t="s">
        <v>1449</v>
      </c>
      <c r="E277" s="11" t="s">
        <v>33</v>
      </c>
    </row>
    <row r="278">
      <c r="B278" s="34" t="s">
        <v>1451</v>
      </c>
      <c r="C278" s="35" t="s">
        <v>488</v>
      </c>
      <c r="D278" s="34" t="s">
        <v>1450</v>
      </c>
      <c r="E278" s="11" t="s">
        <v>37</v>
      </c>
    </row>
    <row r="279">
      <c r="B279" s="34" t="s">
        <v>56</v>
      </c>
      <c r="C279" s="35" t="s">
        <v>19</v>
      </c>
      <c r="D279" s="34" t="s">
        <v>1450</v>
      </c>
      <c r="E279" s="11" t="s">
        <v>33</v>
      </c>
    </row>
    <row r="280">
      <c r="B280" s="34" t="s">
        <v>1451</v>
      </c>
      <c r="C280" s="35" t="s">
        <v>78</v>
      </c>
      <c r="D280" s="34" t="s">
        <v>1452</v>
      </c>
      <c r="E280" s="11" t="s">
        <v>37</v>
      </c>
    </row>
    <row r="281">
      <c r="B281" s="34" t="s">
        <v>1450</v>
      </c>
      <c r="C281" s="35" t="s">
        <v>17</v>
      </c>
      <c r="D281" s="34" t="s">
        <v>1452</v>
      </c>
      <c r="E281" s="11" t="s">
        <v>33</v>
      </c>
    </row>
    <row r="282">
      <c r="B282" s="34" t="s">
        <v>1449</v>
      </c>
      <c r="C282" s="35" t="s">
        <v>426</v>
      </c>
      <c r="D282" s="34" t="s">
        <v>1451</v>
      </c>
      <c r="E282" s="11" t="s">
        <v>37</v>
      </c>
    </row>
    <row r="283">
      <c r="B283" s="34" t="s">
        <v>56</v>
      </c>
      <c r="C283" s="35" t="s">
        <v>82</v>
      </c>
      <c r="D283" s="34" t="s">
        <v>1452</v>
      </c>
      <c r="E283" s="11" t="s">
        <v>33</v>
      </c>
    </row>
    <row r="284">
      <c r="B284" s="34" t="s">
        <v>1450</v>
      </c>
      <c r="C284" s="35" t="s">
        <v>238</v>
      </c>
      <c r="D284" s="34" t="s">
        <v>1449</v>
      </c>
      <c r="E284" s="11" t="s">
        <v>37</v>
      </c>
    </row>
    <row r="285">
      <c r="B285" s="34" t="s">
        <v>56</v>
      </c>
      <c r="C285" s="35" t="s">
        <v>251</v>
      </c>
      <c r="D285" s="34" t="s">
        <v>1451</v>
      </c>
      <c r="E285" s="11" t="s">
        <v>33</v>
      </c>
    </row>
    <row r="286">
      <c r="B286" s="34" t="s">
        <v>1452</v>
      </c>
      <c r="C286" s="35" t="s">
        <v>72</v>
      </c>
      <c r="D286" s="34" t="s">
        <v>1449</v>
      </c>
      <c r="E286" s="11" t="s">
        <v>37</v>
      </c>
    </row>
    <row r="287">
      <c r="B287" s="28" t="s">
        <v>145</v>
      </c>
      <c r="C287" s="2"/>
      <c r="D287" s="3"/>
      <c r="E287" s="2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34" t="s">
        <v>1453</v>
      </c>
      <c r="C289" s="35" t="s">
        <v>22</v>
      </c>
      <c r="D289" s="34" t="s">
        <v>1454</v>
      </c>
      <c r="E289" s="11" t="s">
        <v>33</v>
      </c>
    </row>
    <row r="290">
      <c r="B290" s="34" t="s">
        <v>1014</v>
      </c>
      <c r="C290" s="35" t="s">
        <v>193</v>
      </c>
      <c r="D290" s="34" t="s">
        <v>1172</v>
      </c>
      <c r="E290" s="11" t="s">
        <v>37</v>
      </c>
    </row>
    <row r="291">
      <c r="B291" s="34" t="s">
        <v>1014</v>
      </c>
      <c r="C291" s="35" t="s">
        <v>657</v>
      </c>
      <c r="D291" s="34" t="s">
        <v>1454</v>
      </c>
      <c r="E291" s="11" t="s">
        <v>33</v>
      </c>
    </row>
    <row r="292">
      <c r="B292" s="34" t="s">
        <v>1455</v>
      </c>
      <c r="C292" s="35" t="s">
        <v>72</v>
      </c>
      <c r="D292" s="34" t="s">
        <v>1172</v>
      </c>
      <c r="E292" s="11" t="s">
        <v>37</v>
      </c>
    </row>
    <row r="293">
      <c r="B293" s="34" t="s">
        <v>1455</v>
      </c>
      <c r="C293" s="35" t="s">
        <v>465</v>
      </c>
      <c r="D293" s="34" t="s">
        <v>1014</v>
      </c>
      <c r="E293" s="11" t="s">
        <v>33</v>
      </c>
    </row>
    <row r="294">
      <c r="B294" s="34" t="s">
        <v>1172</v>
      </c>
      <c r="C294" s="35" t="s">
        <v>201</v>
      </c>
      <c r="D294" s="34" t="s">
        <v>1453</v>
      </c>
      <c r="E294" s="11" t="s">
        <v>37</v>
      </c>
    </row>
    <row r="295">
      <c r="B295" s="34" t="s">
        <v>1455</v>
      </c>
      <c r="C295" s="35" t="s">
        <v>400</v>
      </c>
      <c r="D295" s="34" t="s">
        <v>1454</v>
      </c>
      <c r="E295" s="11" t="s">
        <v>33</v>
      </c>
    </row>
    <row r="296">
      <c r="B296" s="34" t="s">
        <v>1453</v>
      </c>
      <c r="C296" s="35" t="s">
        <v>81</v>
      </c>
      <c r="D296" s="34" t="s">
        <v>1014</v>
      </c>
      <c r="E296" s="11" t="s">
        <v>37</v>
      </c>
    </row>
    <row r="297">
      <c r="B297" s="34" t="s">
        <v>1172</v>
      </c>
      <c r="C297" s="35" t="s">
        <v>81</v>
      </c>
      <c r="D297" s="34" t="s">
        <v>1454</v>
      </c>
      <c r="E297" s="11" t="s">
        <v>33</v>
      </c>
    </row>
    <row r="298">
      <c r="B298" s="34" t="s">
        <v>1453</v>
      </c>
      <c r="C298" s="35" t="s">
        <v>369</v>
      </c>
      <c r="D298" s="34" t="s">
        <v>1455</v>
      </c>
      <c r="E298" s="11" t="s">
        <v>37</v>
      </c>
    </row>
    <row r="299">
      <c r="B299" s="34" t="s">
        <v>1454</v>
      </c>
      <c r="C299" s="35" t="s">
        <v>201</v>
      </c>
      <c r="D299" s="34" t="s">
        <v>1453</v>
      </c>
      <c r="E299" s="11" t="s">
        <v>33</v>
      </c>
    </row>
    <row r="300">
      <c r="B300" s="34" t="s">
        <v>1172</v>
      </c>
      <c r="C300" s="35" t="s">
        <v>293</v>
      </c>
      <c r="D300" s="34" t="s">
        <v>1014</v>
      </c>
      <c r="E300" s="11" t="s">
        <v>37</v>
      </c>
    </row>
    <row r="301">
      <c r="B301" s="34" t="s">
        <v>1454</v>
      </c>
      <c r="C301" s="35" t="s">
        <v>11</v>
      </c>
      <c r="D301" s="34" t="s">
        <v>1014</v>
      </c>
      <c r="E301" s="11" t="s">
        <v>33</v>
      </c>
    </row>
    <row r="302">
      <c r="B302" s="34" t="s">
        <v>1172</v>
      </c>
      <c r="C302" s="35" t="s">
        <v>190</v>
      </c>
      <c r="D302" s="34" t="s">
        <v>1455</v>
      </c>
      <c r="E302" s="11" t="s">
        <v>37</v>
      </c>
    </row>
    <row r="303">
      <c r="B303" s="34" t="s">
        <v>1014</v>
      </c>
      <c r="C303" s="35" t="s">
        <v>72</v>
      </c>
      <c r="D303" s="34" t="s">
        <v>1455</v>
      </c>
      <c r="E303" s="11" t="s">
        <v>33</v>
      </c>
    </row>
    <row r="304">
      <c r="B304" s="34" t="s">
        <v>1453</v>
      </c>
      <c r="C304" s="35" t="s">
        <v>69</v>
      </c>
      <c r="D304" s="34" t="s">
        <v>1172</v>
      </c>
      <c r="E304" s="11" t="s">
        <v>37</v>
      </c>
    </row>
    <row r="305">
      <c r="B305" s="34" t="s">
        <v>1454</v>
      </c>
      <c r="C305" s="35" t="s">
        <v>16</v>
      </c>
      <c r="D305" s="34" t="s">
        <v>1455</v>
      </c>
      <c r="E305" s="11" t="s">
        <v>33</v>
      </c>
    </row>
    <row r="306">
      <c r="B306" s="34" t="s">
        <v>1014</v>
      </c>
      <c r="C306" s="35" t="s">
        <v>72</v>
      </c>
      <c r="D306" s="34" t="s">
        <v>1453</v>
      </c>
      <c r="E306" s="11" t="s">
        <v>37</v>
      </c>
    </row>
    <row r="307">
      <c r="B307" s="34" t="s">
        <v>1454</v>
      </c>
      <c r="C307" s="35" t="s">
        <v>270</v>
      </c>
      <c r="D307" s="34" t="s">
        <v>1172</v>
      </c>
      <c r="E307" s="11" t="s">
        <v>33</v>
      </c>
    </row>
    <row r="308">
      <c r="B308" s="34" t="s">
        <v>1455</v>
      </c>
      <c r="C308" s="35" t="s">
        <v>291</v>
      </c>
      <c r="D308" s="34" t="s">
        <v>1453</v>
      </c>
      <c r="E308" s="11" t="s">
        <v>37</v>
      </c>
    </row>
    <row r="309">
      <c r="B309" s="28" t="s">
        <v>1456</v>
      </c>
      <c r="C309" s="2"/>
      <c r="D309" s="3"/>
      <c r="E309" s="2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34" t="s">
        <v>1457</v>
      </c>
      <c r="C311" s="33" t="s">
        <v>81</v>
      </c>
      <c r="D311" s="34" t="s">
        <v>1458</v>
      </c>
      <c r="E311" s="11" t="s">
        <v>9</v>
      </c>
    </row>
    <row r="312">
      <c r="B312" s="34" t="s">
        <v>1459</v>
      </c>
      <c r="C312" s="33" t="s">
        <v>22</v>
      </c>
      <c r="D312" s="34" t="s">
        <v>1460</v>
      </c>
      <c r="E312" s="11" t="s">
        <v>13</v>
      </c>
    </row>
    <row r="313">
      <c r="B313" s="34" t="s">
        <v>1459</v>
      </c>
      <c r="C313" s="33" t="s">
        <v>201</v>
      </c>
      <c r="D313" s="34" t="s">
        <v>1458</v>
      </c>
      <c r="E313" s="11" t="s">
        <v>9</v>
      </c>
    </row>
    <row r="314">
      <c r="B314" s="8" t="s">
        <v>1461</v>
      </c>
      <c r="C314" s="33" t="s">
        <v>212</v>
      </c>
      <c r="D314" s="34" t="s">
        <v>1460</v>
      </c>
      <c r="E314" s="11" t="s">
        <v>13</v>
      </c>
    </row>
    <row r="315">
      <c r="B315" s="8" t="s">
        <v>1461</v>
      </c>
      <c r="C315" s="33" t="s">
        <v>82</v>
      </c>
      <c r="D315" s="34" t="s">
        <v>1459</v>
      </c>
      <c r="E315" s="11" t="s">
        <v>9</v>
      </c>
    </row>
    <row r="316">
      <c r="B316" s="34" t="s">
        <v>1460</v>
      </c>
      <c r="C316" s="33" t="s">
        <v>88</v>
      </c>
      <c r="D316" s="34" t="s">
        <v>1457</v>
      </c>
      <c r="E316" s="11" t="s">
        <v>13</v>
      </c>
    </row>
    <row r="317">
      <c r="B317" s="8" t="s">
        <v>1461</v>
      </c>
      <c r="C317" s="33" t="s">
        <v>239</v>
      </c>
      <c r="D317" s="34" t="s">
        <v>1458</v>
      </c>
      <c r="E317" s="11" t="s">
        <v>9</v>
      </c>
    </row>
    <row r="318">
      <c r="B318" s="34" t="s">
        <v>1457</v>
      </c>
      <c r="C318" s="33" t="s">
        <v>283</v>
      </c>
      <c r="D318" s="34" t="s">
        <v>1459</v>
      </c>
      <c r="E318" s="11" t="s">
        <v>13</v>
      </c>
    </row>
    <row r="319">
      <c r="B319" s="34" t="s">
        <v>1460</v>
      </c>
      <c r="C319" s="33" t="s">
        <v>875</v>
      </c>
      <c r="D319" s="34" t="s">
        <v>1458</v>
      </c>
      <c r="E319" s="11" t="s">
        <v>9</v>
      </c>
    </row>
    <row r="320">
      <c r="B320" s="34" t="s">
        <v>1457</v>
      </c>
      <c r="C320" s="33" t="s">
        <v>78</v>
      </c>
      <c r="D320" s="8" t="s">
        <v>1461</v>
      </c>
      <c r="E320" s="11" t="s">
        <v>13</v>
      </c>
    </row>
    <row r="321">
      <c r="B321" s="34" t="s">
        <v>1458</v>
      </c>
      <c r="C321" s="33" t="s">
        <v>1462</v>
      </c>
      <c r="D321" s="34" t="s">
        <v>1457</v>
      </c>
      <c r="E321" s="11" t="s">
        <v>9</v>
      </c>
    </row>
    <row r="322">
      <c r="B322" s="34" t="s">
        <v>1460</v>
      </c>
      <c r="C322" s="33" t="s">
        <v>201</v>
      </c>
      <c r="D322" s="34" t="s">
        <v>1459</v>
      </c>
      <c r="E322" s="11" t="s">
        <v>13</v>
      </c>
    </row>
    <row r="323">
      <c r="B323" s="34" t="s">
        <v>1458</v>
      </c>
      <c r="C323" s="35" t="s">
        <v>195</v>
      </c>
      <c r="D323" s="34" t="s">
        <v>1459</v>
      </c>
      <c r="E323" s="11" t="s">
        <v>9</v>
      </c>
    </row>
    <row r="324">
      <c r="B324" s="34" t="s">
        <v>1460</v>
      </c>
      <c r="C324" s="35" t="s">
        <v>26</v>
      </c>
      <c r="D324" s="8" t="s">
        <v>1461</v>
      </c>
      <c r="E324" s="11" t="s">
        <v>13</v>
      </c>
    </row>
    <row r="325">
      <c r="B325" s="34" t="s">
        <v>1459</v>
      </c>
      <c r="C325" s="35" t="s">
        <v>273</v>
      </c>
      <c r="D325" s="8" t="s">
        <v>1461</v>
      </c>
      <c r="E325" s="11" t="s">
        <v>9</v>
      </c>
    </row>
    <row r="326">
      <c r="B326" s="34" t="s">
        <v>1457</v>
      </c>
      <c r="C326" s="35" t="s">
        <v>64</v>
      </c>
      <c r="D326" s="34" t="s">
        <v>1460</v>
      </c>
      <c r="E326" s="11" t="s">
        <v>13</v>
      </c>
    </row>
    <row r="327">
      <c r="B327" s="34" t="s">
        <v>1458</v>
      </c>
      <c r="C327" s="35" t="s">
        <v>232</v>
      </c>
      <c r="D327" s="8" t="s">
        <v>1461</v>
      </c>
      <c r="E327" s="11" t="s">
        <v>9</v>
      </c>
    </row>
    <row r="328">
      <c r="B328" s="34" t="s">
        <v>1459</v>
      </c>
      <c r="C328" s="35" t="s">
        <v>64</v>
      </c>
      <c r="D328" s="34" t="s">
        <v>1457</v>
      </c>
      <c r="E328" s="11" t="s">
        <v>13</v>
      </c>
    </row>
    <row r="329">
      <c r="B329" s="34" t="s">
        <v>1458</v>
      </c>
      <c r="C329" s="35" t="s">
        <v>17</v>
      </c>
      <c r="D329" s="34" t="s">
        <v>1460</v>
      </c>
      <c r="E329" s="11" t="s">
        <v>9</v>
      </c>
    </row>
    <row r="330">
      <c r="B330" s="8" t="s">
        <v>1461</v>
      </c>
      <c r="C330" s="35" t="s">
        <v>857</v>
      </c>
      <c r="D330" s="34" t="s">
        <v>1457</v>
      </c>
      <c r="E330" s="11" t="s">
        <v>13</v>
      </c>
    </row>
    <row r="331">
      <c r="B331" s="28" t="s">
        <v>1463</v>
      </c>
      <c r="C331" s="2"/>
      <c r="D331" s="3"/>
      <c r="E331" s="2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34" t="s">
        <v>720</v>
      </c>
      <c r="C333" s="35" t="s">
        <v>55</v>
      </c>
      <c r="D333" s="34" t="s">
        <v>210</v>
      </c>
      <c r="E333" s="11" t="s">
        <v>33</v>
      </c>
    </row>
    <row r="334">
      <c r="B334" s="34" t="s">
        <v>211</v>
      </c>
      <c r="C334" s="35" t="s">
        <v>16</v>
      </c>
      <c r="D334" s="34" t="s">
        <v>213</v>
      </c>
      <c r="E334" s="11" t="s">
        <v>37</v>
      </c>
    </row>
    <row r="335">
      <c r="B335" s="34" t="s">
        <v>211</v>
      </c>
      <c r="C335" s="35" t="s">
        <v>19</v>
      </c>
      <c r="D335" s="34" t="s">
        <v>210</v>
      </c>
      <c r="E335" s="11" t="s">
        <v>33</v>
      </c>
    </row>
    <row r="336">
      <c r="B336" s="34" t="s">
        <v>1464</v>
      </c>
      <c r="C336" s="35" t="s">
        <v>16</v>
      </c>
      <c r="D336" s="34" t="s">
        <v>213</v>
      </c>
      <c r="E336" s="11" t="s">
        <v>37</v>
      </c>
    </row>
    <row r="337">
      <c r="B337" s="34" t="s">
        <v>1464</v>
      </c>
      <c r="C337" s="35" t="s">
        <v>16</v>
      </c>
      <c r="D337" s="34" t="s">
        <v>211</v>
      </c>
      <c r="E337" s="11" t="s">
        <v>33</v>
      </c>
    </row>
    <row r="338">
      <c r="B338" s="34" t="s">
        <v>213</v>
      </c>
      <c r="C338" s="35" t="s">
        <v>88</v>
      </c>
      <c r="D338" s="34" t="s">
        <v>720</v>
      </c>
      <c r="E338" s="11" t="s">
        <v>37</v>
      </c>
    </row>
    <row r="339">
      <c r="B339" s="34" t="s">
        <v>1464</v>
      </c>
      <c r="C339" s="35" t="s">
        <v>87</v>
      </c>
      <c r="D339" s="34" t="s">
        <v>210</v>
      </c>
      <c r="E339" s="11" t="s">
        <v>33</v>
      </c>
    </row>
    <row r="340">
      <c r="B340" s="34" t="s">
        <v>720</v>
      </c>
      <c r="C340" s="35" t="s">
        <v>87</v>
      </c>
      <c r="D340" s="34" t="s">
        <v>211</v>
      </c>
      <c r="E340" s="11" t="s">
        <v>37</v>
      </c>
    </row>
    <row r="341">
      <c r="B341" s="34" t="s">
        <v>213</v>
      </c>
      <c r="C341" s="35" t="s">
        <v>218</v>
      </c>
      <c r="D341" s="34" t="s">
        <v>210</v>
      </c>
      <c r="E341" s="11" t="s">
        <v>33</v>
      </c>
    </row>
    <row r="342">
      <c r="B342" s="34" t="s">
        <v>720</v>
      </c>
      <c r="C342" s="35" t="s">
        <v>215</v>
      </c>
      <c r="D342" s="34" t="s">
        <v>1464</v>
      </c>
      <c r="E342" s="11" t="s">
        <v>37</v>
      </c>
    </row>
    <row r="343">
      <c r="B343" s="34" t="s">
        <v>210</v>
      </c>
      <c r="C343" s="35" t="s">
        <v>52</v>
      </c>
      <c r="D343" s="34" t="s">
        <v>720</v>
      </c>
      <c r="E343" s="11" t="s">
        <v>33</v>
      </c>
    </row>
    <row r="344">
      <c r="B344" s="34" t="s">
        <v>213</v>
      </c>
      <c r="C344" s="35" t="s">
        <v>81</v>
      </c>
      <c r="D344" s="34" t="s">
        <v>211</v>
      </c>
      <c r="E344" s="11" t="s">
        <v>37</v>
      </c>
    </row>
    <row r="345">
      <c r="B345" s="34" t="s">
        <v>210</v>
      </c>
      <c r="C345" s="35" t="s">
        <v>190</v>
      </c>
      <c r="D345" s="34" t="s">
        <v>211</v>
      </c>
      <c r="E345" s="11" t="s">
        <v>33</v>
      </c>
    </row>
    <row r="346">
      <c r="B346" s="34" t="s">
        <v>213</v>
      </c>
      <c r="C346" s="35" t="s">
        <v>195</v>
      </c>
      <c r="D346" s="34" t="s">
        <v>1464</v>
      </c>
      <c r="E346" s="11" t="s">
        <v>37</v>
      </c>
    </row>
    <row r="347">
      <c r="B347" s="34" t="s">
        <v>211</v>
      </c>
      <c r="C347" s="35" t="s">
        <v>1465</v>
      </c>
      <c r="D347" s="34" t="s">
        <v>1464</v>
      </c>
      <c r="E347" s="11" t="s">
        <v>33</v>
      </c>
    </row>
    <row r="348">
      <c r="B348" s="34" t="s">
        <v>720</v>
      </c>
      <c r="C348" s="35" t="s">
        <v>201</v>
      </c>
      <c r="D348" s="34" t="s">
        <v>213</v>
      </c>
      <c r="E348" s="11" t="s">
        <v>37</v>
      </c>
    </row>
    <row r="349">
      <c r="B349" s="34" t="s">
        <v>210</v>
      </c>
      <c r="C349" s="35" t="s">
        <v>87</v>
      </c>
      <c r="D349" s="34" t="s">
        <v>1464</v>
      </c>
      <c r="E349" s="11" t="s">
        <v>33</v>
      </c>
    </row>
    <row r="350">
      <c r="B350" s="34" t="s">
        <v>211</v>
      </c>
      <c r="C350" s="35" t="s">
        <v>58</v>
      </c>
      <c r="D350" s="34" t="s">
        <v>720</v>
      </c>
      <c r="E350" s="11" t="s">
        <v>37</v>
      </c>
    </row>
    <row r="351">
      <c r="B351" s="34" t="s">
        <v>210</v>
      </c>
      <c r="C351" s="35" t="s">
        <v>68</v>
      </c>
      <c r="D351" s="34" t="s">
        <v>213</v>
      </c>
      <c r="E351" s="11" t="s">
        <v>33</v>
      </c>
    </row>
    <row r="352">
      <c r="B352" s="34" t="s">
        <v>1464</v>
      </c>
      <c r="C352" s="35" t="s">
        <v>43</v>
      </c>
      <c r="D352" s="34" t="s">
        <v>720</v>
      </c>
      <c r="E352" s="11" t="s">
        <v>37</v>
      </c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8"/>
    <hyperlink r:id="rId123" ref="E140"/>
    <hyperlink r:id="rId124" ref="E141"/>
    <hyperlink r:id="rId125" ref="E143"/>
    <hyperlink r:id="rId126" ref="E144"/>
    <hyperlink r:id="rId127" ref="E145"/>
    <hyperlink r:id="rId128" ref="E148"/>
    <hyperlink r:id="rId129" ref="E150"/>
    <hyperlink r:id="rId130" ref="E151"/>
    <hyperlink r:id="rId131" ref="E153"/>
    <hyperlink r:id="rId132" ref="E154"/>
    <hyperlink r:id="rId133" ref="E157"/>
    <hyperlink r:id="rId134" ref="E158"/>
    <hyperlink r:id="rId135" ref="E159"/>
    <hyperlink r:id="rId136" ref="E160"/>
    <hyperlink r:id="rId137" ref="E161"/>
    <hyperlink r:id="rId138" ref="E162"/>
    <hyperlink r:id="rId139" ref="E163"/>
    <hyperlink r:id="rId140" ref="E164"/>
    <hyperlink r:id="rId141" ref="E165"/>
    <hyperlink r:id="rId142" ref="E166"/>
    <hyperlink r:id="rId143" ref="E167"/>
    <hyperlink r:id="rId144" ref="E168"/>
    <hyperlink r:id="rId145" ref="E169"/>
    <hyperlink r:id="rId146" ref="E170"/>
    <hyperlink r:id="rId147" ref="E171"/>
    <hyperlink r:id="rId148" ref="E172"/>
    <hyperlink r:id="rId149" ref="E173"/>
    <hyperlink r:id="rId150" ref="E174"/>
    <hyperlink r:id="rId151" ref="E175"/>
    <hyperlink r:id="rId152" ref="E176"/>
    <hyperlink r:id="rId153" ref="E179"/>
    <hyperlink r:id="rId154" ref="E182"/>
    <hyperlink r:id="rId155" ref="E184"/>
    <hyperlink r:id="rId156" ref="E185"/>
    <hyperlink r:id="rId157" ref="E187"/>
    <hyperlink r:id="rId158" ref="E188"/>
    <hyperlink r:id="rId159" ref="E189"/>
    <hyperlink r:id="rId160" ref="E192"/>
    <hyperlink r:id="rId161" ref="E194"/>
    <hyperlink r:id="rId162" ref="E195"/>
    <hyperlink r:id="rId163" ref="E197"/>
    <hyperlink r:id="rId164" ref="E198"/>
    <hyperlink r:id="rId165" ref="E201"/>
    <hyperlink r:id="rId166" ref="E202"/>
    <hyperlink r:id="rId167" ref="E203"/>
    <hyperlink r:id="rId168" ref="E204"/>
    <hyperlink r:id="rId169" ref="E205"/>
    <hyperlink r:id="rId170" ref="E206"/>
    <hyperlink r:id="rId171" ref="E207"/>
    <hyperlink r:id="rId172" ref="E208"/>
    <hyperlink r:id="rId173" ref="E209"/>
    <hyperlink r:id="rId174" ref="E210"/>
    <hyperlink r:id="rId175" ref="E211"/>
    <hyperlink r:id="rId176" ref="E212"/>
    <hyperlink r:id="rId177" ref="E213"/>
    <hyperlink r:id="rId178" ref="E214"/>
    <hyperlink r:id="rId179" ref="E215"/>
    <hyperlink r:id="rId180" ref="E216"/>
    <hyperlink r:id="rId181" ref="E217"/>
    <hyperlink r:id="rId182" ref="E218"/>
    <hyperlink r:id="rId183" ref="E219"/>
    <hyperlink r:id="rId184" ref="E220"/>
    <hyperlink r:id="rId185" ref="E223"/>
    <hyperlink r:id="rId186" ref="E224"/>
    <hyperlink r:id="rId187" ref="E225"/>
    <hyperlink r:id="rId188" ref="E226"/>
    <hyperlink r:id="rId189" ref="E227"/>
    <hyperlink r:id="rId190" ref="E228"/>
    <hyperlink r:id="rId191" ref="E229"/>
    <hyperlink r:id="rId192" ref="E230"/>
    <hyperlink r:id="rId193" ref="E231"/>
    <hyperlink r:id="rId194" ref="E232"/>
    <hyperlink r:id="rId195" ref="E233"/>
    <hyperlink r:id="rId196" ref="E234"/>
    <hyperlink r:id="rId197" ref="E235"/>
    <hyperlink r:id="rId198" ref="E236"/>
    <hyperlink r:id="rId199" ref="E237"/>
    <hyperlink r:id="rId200" ref="E238"/>
    <hyperlink r:id="rId201" ref="E239"/>
    <hyperlink r:id="rId202" ref="E240"/>
    <hyperlink r:id="rId203" ref="E241"/>
    <hyperlink r:id="rId204" ref="E242"/>
    <hyperlink r:id="rId205" ref="E245"/>
    <hyperlink r:id="rId206" ref="E246"/>
    <hyperlink r:id="rId207" ref="E247"/>
    <hyperlink r:id="rId208" ref="E248"/>
    <hyperlink r:id="rId209" ref="E249"/>
    <hyperlink r:id="rId210" ref="E250"/>
    <hyperlink r:id="rId211" ref="E251"/>
    <hyperlink r:id="rId212" ref="E252"/>
    <hyperlink r:id="rId213" ref="E253"/>
    <hyperlink r:id="rId214" ref="E254"/>
    <hyperlink r:id="rId215" ref="E255"/>
    <hyperlink r:id="rId216" ref="E256"/>
    <hyperlink r:id="rId217" ref="E257"/>
    <hyperlink r:id="rId218" ref="E258"/>
    <hyperlink r:id="rId219" ref="E259"/>
    <hyperlink r:id="rId220" ref="E260"/>
    <hyperlink r:id="rId221" ref="E261"/>
    <hyperlink r:id="rId222" ref="E262"/>
    <hyperlink r:id="rId223" ref="E263"/>
    <hyperlink r:id="rId224" ref="E264"/>
    <hyperlink r:id="rId225" ref="E267"/>
    <hyperlink r:id="rId226" ref="E268"/>
    <hyperlink r:id="rId227" ref="E269"/>
    <hyperlink r:id="rId228" ref="E270"/>
    <hyperlink r:id="rId229" ref="E271"/>
    <hyperlink r:id="rId230" ref="E272"/>
    <hyperlink r:id="rId231" ref="E273"/>
    <hyperlink r:id="rId232" ref="E274"/>
    <hyperlink r:id="rId233" ref="E275"/>
    <hyperlink r:id="rId234" ref="E276"/>
    <hyperlink r:id="rId235" ref="E277"/>
    <hyperlink r:id="rId236" ref="E278"/>
    <hyperlink r:id="rId237" ref="E279"/>
    <hyperlink r:id="rId238" ref="E280"/>
    <hyperlink r:id="rId239" ref="E281"/>
    <hyperlink r:id="rId240" ref="E282"/>
    <hyperlink r:id="rId241" ref="E283"/>
    <hyperlink r:id="rId242" ref="E284"/>
    <hyperlink r:id="rId243" ref="E285"/>
    <hyperlink r:id="rId244" ref="E286"/>
    <hyperlink r:id="rId245" ref="E289"/>
    <hyperlink r:id="rId246" ref="E290"/>
    <hyperlink r:id="rId247" ref="E291"/>
    <hyperlink r:id="rId248" ref="E292"/>
    <hyperlink r:id="rId249" ref="E293"/>
    <hyperlink r:id="rId250" ref="E294"/>
    <hyperlink r:id="rId251" ref="E295"/>
    <hyperlink r:id="rId252" ref="E296"/>
    <hyperlink r:id="rId253" ref="E297"/>
    <hyperlink r:id="rId254" ref="E298"/>
    <hyperlink r:id="rId255" ref="E299"/>
    <hyperlink r:id="rId256" ref="E300"/>
    <hyperlink r:id="rId257" ref="E301"/>
    <hyperlink r:id="rId258" ref="E302"/>
    <hyperlink r:id="rId259" ref="E303"/>
    <hyperlink r:id="rId260" ref="E304"/>
    <hyperlink r:id="rId261" ref="E305"/>
    <hyperlink r:id="rId262" ref="E306"/>
    <hyperlink r:id="rId263" ref="E307"/>
    <hyperlink r:id="rId264" ref="E308"/>
    <hyperlink r:id="rId265" ref="E311"/>
    <hyperlink r:id="rId266" ref="E312"/>
    <hyperlink r:id="rId267" ref="E313"/>
    <hyperlink r:id="rId268" ref="E314"/>
    <hyperlink r:id="rId269" ref="E315"/>
    <hyperlink r:id="rId270" ref="E316"/>
    <hyperlink r:id="rId271" ref="E317"/>
    <hyperlink r:id="rId272" ref="E318"/>
    <hyperlink r:id="rId273" ref="E319"/>
    <hyperlink r:id="rId274" ref="E320"/>
    <hyperlink r:id="rId275" ref="E321"/>
    <hyperlink r:id="rId276" ref="E322"/>
    <hyperlink r:id="rId277" ref="E323"/>
    <hyperlink r:id="rId278" ref="E324"/>
    <hyperlink r:id="rId279" ref="E325"/>
    <hyperlink r:id="rId280" ref="E326"/>
    <hyperlink r:id="rId281" ref="E327"/>
    <hyperlink r:id="rId282" ref="E328"/>
    <hyperlink r:id="rId283" ref="E329"/>
    <hyperlink r:id="rId284" ref="E330"/>
    <hyperlink r:id="rId285" ref="E333"/>
    <hyperlink r:id="rId286" ref="E334"/>
    <hyperlink r:id="rId287" ref="E335"/>
    <hyperlink r:id="rId288" ref="E336"/>
    <hyperlink r:id="rId289" ref="E337"/>
    <hyperlink r:id="rId290" ref="E338"/>
    <hyperlink r:id="rId291" ref="E339"/>
    <hyperlink r:id="rId292" ref="E340"/>
    <hyperlink r:id="rId293" ref="E341"/>
    <hyperlink r:id="rId294" ref="E342"/>
    <hyperlink r:id="rId295" ref="E343"/>
    <hyperlink r:id="rId296" ref="E344"/>
    <hyperlink r:id="rId297" ref="E345"/>
    <hyperlink r:id="rId298" ref="E346"/>
    <hyperlink r:id="rId299" ref="E347"/>
    <hyperlink r:id="rId300" ref="E348"/>
    <hyperlink r:id="rId301" ref="E349"/>
    <hyperlink r:id="rId302" ref="E350"/>
    <hyperlink r:id="rId303" ref="E351"/>
    <hyperlink r:id="rId304" ref="E352"/>
  </hyperlinks>
  <drawing r:id="rId305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 t="s">
        <v>663</v>
      </c>
      <c r="B1" s="1" t="s">
        <v>0</v>
      </c>
      <c r="C1" s="2"/>
      <c r="D1" s="3"/>
      <c r="E1" s="29"/>
    </row>
    <row r="2">
      <c r="A2" s="66"/>
      <c r="B2" s="6" t="s">
        <v>2</v>
      </c>
      <c r="C2" s="6" t="s">
        <v>3</v>
      </c>
      <c r="D2" s="6" t="s">
        <v>4</v>
      </c>
      <c r="E2" s="6" t="s">
        <v>5</v>
      </c>
    </row>
    <row r="3">
      <c r="A3" s="66"/>
      <c r="B3" s="32" t="s">
        <v>1387</v>
      </c>
      <c r="C3" s="35" t="s">
        <v>404</v>
      </c>
      <c r="D3" s="34" t="s">
        <v>958</v>
      </c>
      <c r="E3" s="11" t="s">
        <v>33</v>
      </c>
    </row>
    <row r="4">
      <c r="A4" s="66"/>
      <c r="B4" s="32" t="s">
        <v>957</v>
      </c>
      <c r="C4" s="35" t="s">
        <v>64</v>
      </c>
      <c r="D4" s="32" t="s">
        <v>15</v>
      </c>
      <c r="E4" s="11" t="s">
        <v>37</v>
      </c>
    </row>
    <row r="5">
      <c r="A5" s="66"/>
      <c r="B5" s="34" t="s">
        <v>959</v>
      </c>
      <c r="C5" s="35" t="s">
        <v>16</v>
      </c>
      <c r="D5" s="32" t="s">
        <v>1387</v>
      </c>
      <c r="E5" s="11" t="s">
        <v>33</v>
      </c>
    </row>
    <row r="6">
      <c r="A6" s="66"/>
      <c r="B6" s="32" t="s">
        <v>957</v>
      </c>
      <c r="C6" s="35" t="s">
        <v>1466</v>
      </c>
      <c r="D6" s="34" t="s">
        <v>958</v>
      </c>
      <c r="E6" s="11" t="s">
        <v>37</v>
      </c>
    </row>
    <row r="7">
      <c r="A7" s="66"/>
      <c r="B7" s="34" t="s">
        <v>959</v>
      </c>
      <c r="C7" s="35" t="s">
        <v>201</v>
      </c>
      <c r="D7" s="32" t="s">
        <v>15</v>
      </c>
      <c r="E7" s="11" t="s">
        <v>33</v>
      </c>
    </row>
    <row r="8">
      <c r="A8" s="66"/>
      <c r="B8" s="32" t="s">
        <v>957</v>
      </c>
      <c r="C8" s="35" t="s">
        <v>27</v>
      </c>
      <c r="D8" s="32" t="s">
        <v>1387</v>
      </c>
      <c r="E8" s="11" t="s">
        <v>37</v>
      </c>
    </row>
    <row r="9">
      <c r="A9" s="66"/>
      <c r="B9" s="34" t="s">
        <v>959</v>
      </c>
      <c r="C9" s="35" t="s">
        <v>87</v>
      </c>
      <c r="D9" s="34" t="s">
        <v>958</v>
      </c>
      <c r="E9" s="11" t="s">
        <v>33</v>
      </c>
    </row>
    <row r="10">
      <c r="A10" s="66"/>
      <c r="B10" s="32" t="s">
        <v>15</v>
      </c>
      <c r="C10" s="35" t="s">
        <v>352</v>
      </c>
      <c r="D10" s="32" t="s">
        <v>1387</v>
      </c>
      <c r="E10" s="11" t="s">
        <v>37</v>
      </c>
    </row>
    <row r="11">
      <c r="A11" s="66"/>
      <c r="B11" s="34" t="s">
        <v>959</v>
      </c>
      <c r="C11" s="35" t="s">
        <v>232</v>
      </c>
      <c r="D11" s="32" t="s">
        <v>957</v>
      </c>
      <c r="E11" s="11" t="s">
        <v>33</v>
      </c>
    </row>
    <row r="12">
      <c r="A12" s="66"/>
      <c r="B12" s="32" t="s">
        <v>15</v>
      </c>
      <c r="C12" s="35" t="s">
        <v>195</v>
      </c>
      <c r="D12" s="34" t="s">
        <v>958</v>
      </c>
      <c r="E12" s="11" t="s">
        <v>37</v>
      </c>
    </row>
    <row r="13">
      <c r="A13" s="66"/>
      <c r="B13" s="34" t="s">
        <v>958</v>
      </c>
      <c r="C13" s="35" t="s">
        <v>544</v>
      </c>
      <c r="D13" s="32" t="s">
        <v>1387</v>
      </c>
      <c r="E13" s="11" t="s">
        <v>33</v>
      </c>
    </row>
    <row r="14">
      <c r="A14" s="66"/>
      <c r="B14" s="32" t="s">
        <v>15</v>
      </c>
      <c r="C14" s="35" t="s">
        <v>195</v>
      </c>
      <c r="D14" s="32" t="s">
        <v>957</v>
      </c>
      <c r="E14" s="11" t="s">
        <v>37</v>
      </c>
    </row>
    <row r="15">
      <c r="A15" s="66"/>
      <c r="B15" s="32" t="s">
        <v>1387</v>
      </c>
      <c r="C15" s="35" t="s">
        <v>196</v>
      </c>
      <c r="D15" s="34" t="s">
        <v>959</v>
      </c>
      <c r="E15" s="11" t="s">
        <v>33</v>
      </c>
    </row>
    <row r="16">
      <c r="A16" s="66"/>
      <c r="B16" s="34" t="s">
        <v>958</v>
      </c>
      <c r="C16" s="35" t="s">
        <v>251</v>
      </c>
      <c r="D16" s="32" t="s">
        <v>957</v>
      </c>
      <c r="E16" s="11" t="s">
        <v>37</v>
      </c>
    </row>
    <row r="17">
      <c r="A17" s="66"/>
      <c r="B17" s="32" t="s">
        <v>15</v>
      </c>
      <c r="C17" s="35" t="s">
        <v>43</v>
      </c>
      <c r="D17" s="34" t="s">
        <v>959</v>
      </c>
      <c r="E17" s="11" t="s">
        <v>33</v>
      </c>
    </row>
    <row r="18">
      <c r="A18" s="66"/>
      <c r="B18" s="32" t="s">
        <v>1387</v>
      </c>
      <c r="C18" s="35" t="s">
        <v>66</v>
      </c>
      <c r="D18" s="32" t="s">
        <v>957</v>
      </c>
      <c r="E18" s="11" t="s">
        <v>37</v>
      </c>
    </row>
    <row r="19">
      <c r="A19" s="66"/>
      <c r="B19" s="34" t="s">
        <v>958</v>
      </c>
      <c r="C19" s="35" t="s">
        <v>494</v>
      </c>
      <c r="D19" s="34" t="s">
        <v>959</v>
      </c>
      <c r="E19" s="11" t="s">
        <v>33</v>
      </c>
    </row>
    <row r="20">
      <c r="A20" s="66"/>
      <c r="B20" s="32" t="s">
        <v>1387</v>
      </c>
      <c r="C20" s="35" t="s">
        <v>293</v>
      </c>
      <c r="D20" s="32" t="s">
        <v>15</v>
      </c>
      <c r="E20" s="11" t="s">
        <v>37</v>
      </c>
    </row>
    <row r="21">
      <c r="A21" s="66"/>
      <c r="B21" s="32" t="s">
        <v>957</v>
      </c>
      <c r="C21" s="35" t="s">
        <v>80</v>
      </c>
      <c r="D21" s="34" t="s">
        <v>959</v>
      </c>
      <c r="E21" s="11" t="s">
        <v>33</v>
      </c>
    </row>
    <row r="22">
      <c r="A22" s="66"/>
      <c r="B22" s="34" t="s">
        <v>958</v>
      </c>
      <c r="C22" s="35" t="s">
        <v>260</v>
      </c>
      <c r="D22" s="32" t="s">
        <v>15</v>
      </c>
      <c r="E22" s="11" t="s">
        <v>37</v>
      </c>
    </row>
    <row r="23">
      <c r="A23" s="66"/>
      <c r="B23" s="1" t="s">
        <v>1321</v>
      </c>
      <c r="C23" s="2"/>
      <c r="D23" s="3"/>
      <c r="E23" s="48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1467</v>
      </c>
      <c r="C25" s="33" t="s">
        <v>16</v>
      </c>
      <c r="D25" s="32" t="s">
        <v>1322</v>
      </c>
      <c r="E25" s="11" t="s">
        <v>9</v>
      </c>
    </row>
    <row r="26">
      <c r="A26" s="66"/>
      <c r="B26" s="32" t="s">
        <v>1468</v>
      </c>
      <c r="C26" s="33" t="s">
        <v>369</v>
      </c>
      <c r="D26" s="32" t="s">
        <v>1469</v>
      </c>
      <c r="E26" s="11" t="s">
        <v>13</v>
      </c>
    </row>
    <row r="27">
      <c r="A27" s="66"/>
      <c r="B27" s="34" t="s">
        <v>1470</v>
      </c>
      <c r="C27" s="33" t="s">
        <v>273</v>
      </c>
      <c r="D27" s="34" t="s">
        <v>1467</v>
      </c>
      <c r="E27" s="11" t="s">
        <v>9</v>
      </c>
    </row>
    <row r="28">
      <c r="A28" s="66"/>
      <c r="B28" s="32" t="s">
        <v>1468</v>
      </c>
      <c r="C28" s="33" t="s">
        <v>218</v>
      </c>
      <c r="D28" s="32" t="s">
        <v>1322</v>
      </c>
      <c r="E28" s="11" t="s">
        <v>13</v>
      </c>
    </row>
    <row r="29">
      <c r="A29" s="66"/>
      <c r="B29" s="34" t="s">
        <v>1470</v>
      </c>
      <c r="C29" s="33" t="s">
        <v>220</v>
      </c>
      <c r="D29" s="32" t="s">
        <v>1469</v>
      </c>
      <c r="E29" s="11" t="s">
        <v>9</v>
      </c>
    </row>
    <row r="30">
      <c r="A30" s="66"/>
      <c r="B30" s="32" t="s">
        <v>1468</v>
      </c>
      <c r="C30" s="33" t="s">
        <v>751</v>
      </c>
      <c r="D30" s="34" t="s">
        <v>1467</v>
      </c>
      <c r="E30" s="11" t="s">
        <v>13</v>
      </c>
    </row>
    <row r="31">
      <c r="A31" s="66"/>
      <c r="B31" s="34" t="s">
        <v>1470</v>
      </c>
      <c r="C31" s="33" t="s">
        <v>88</v>
      </c>
      <c r="D31" s="32" t="s">
        <v>1322</v>
      </c>
      <c r="E31" s="11" t="s">
        <v>9</v>
      </c>
    </row>
    <row r="32">
      <c r="A32" s="66"/>
      <c r="B32" s="32" t="s">
        <v>1469</v>
      </c>
      <c r="C32" s="33" t="s">
        <v>285</v>
      </c>
      <c r="D32" s="34" t="s">
        <v>1467</v>
      </c>
      <c r="E32" s="11" t="s">
        <v>13</v>
      </c>
    </row>
    <row r="33">
      <c r="A33" s="66"/>
      <c r="B33" s="34" t="s">
        <v>1470</v>
      </c>
      <c r="C33" s="33" t="s">
        <v>70</v>
      </c>
      <c r="D33" s="32" t="s">
        <v>1468</v>
      </c>
      <c r="E33" s="11" t="s">
        <v>9</v>
      </c>
    </row>
    <row r="34">
      <c r="A34" s="66"/>
      <c r="B34" s="32" t="s">
        <v>1469</v>
      </c>
      <c r="C34" s="33" t="s">
        <v>71</v>
      </c>
      <c r="D34" s="32" t="s">
        <v>1322</v>
      </c>
      <c r="E34" s="11" t="s">
        <v>13</v>
      </c>
    </row>
    <row r="35">
      <c r="A35" s="66"/>
      <c r="B35" s="32" t="s">
        <v>1322</v>
      </c>
      <c r="C35" s="33" t="s">
        <v>11</v>
      </c>
      <c r="D35" s="34" t="s">
        <v>1467</v>
      </c>
      <c r="E35" s="11" t="s">
        <v>9</v>
      </c>
    </row>
    <row r="36">
      <c r="A36" s="66"/>
      <c r="B36" s="32" t="s">
        <v>1469</v>
      </c>
      <c r="C36" s="33" t="s">
        <v>69</v>
      </c>
      <c r="D36" s="32" t="s">
        <v>1468</v>
      </c>
      <c r="E36" s="11" t="s">
        <v>13</v>
      </c>
    </row>
    <row r="37">
      <c r="A37" s="66"/>
      <c r="B37" s="34" t="s">
        <v>1467</v>
      </c>
      <c r="C37" s="35" t="s">
        <v>43</v>
      </c>
      <c r="D37" s="34" t="s">
        <v>1470</v>
      </c>
      <c r="E37" s="11" t="s">
        <v>9</v>
      </c>
    </row>
    <row r="38">
      <c r="A38" s="66"/>
      <c r="B38" s="32" t="s">
        <v>1322</v>
      </c>
      <c r="C38" s="35" t="s">
        <v>286</v>
      </c>
      <c r="D38" s="32" t="s">
        <v>1468</v>
      </c>
      <c r="E38" s="11" t="s">
        <v>13</v>
      </c>
    </row>
    <row r="39">
      <c r="A39" s="66"/>
      <c r="B39" s="32" t="s">
        <v>1469</v>
      </c>
      <c r="C39" s="35" t="s">
        <v>62</v>
      </c>
      <c r="D39" s="34" t="s">
        <v>1470</v>
      </c>
      <c r="E39" s="11" t="s">
        <v>9</v>
      </c>
    </row>
    <row r="40">
      <c r="A40" s="66"/>
      <c r="B40" s="34" t="s">
        <v>1467</v>
      </c>
      <c r="C40" s="35" t="s">
        <v>28</v>
      </c>
      <c r="D40" s="32" t="s">
        <v>1468</v>
      </c>
      <c r="E40" s="11" t="s">
        <v>13</v>
      </c>
    </row>
    <row r="41">
      <c r="A41" s="66"/>
      <c r="B41" s="32" t="s">
        <v>1322</v>
      </c>
      <c r="C41" s="35" t="s">
        <v>55</v>
      </c>
      <c r="D41" s="34" t="s">
        <v>1470</v>
      </c>
      <c r="E41" s="11" t="s">
        <v>9</v>
      </c>
    </row>
    <row r="42">
      <c r="A42" s="66"/>
      <c r="B42" s="34" t="s">
        <v>1467</v>
      </c>
      <c r="C42" s="35" t="s">
        <v>71</v>
      </c>
      <c r="D42" s="32" t="s">
        <v>1469</v>
      </c>
      <c r="E42" s="11" t="s">
        <v>13</v>
      </c>
    </row>
    <row r="43">
      <c r="A43" s="66"/>
      <c r="B43" s="32" t="s">
        <v>1468</v>
      </c>
      <c r="C43" s="35" t="s">
        <v>240</v>
      </c>
      <c r="D43" s="34" t="s">
        <v>1470</v>
      </c>
      <c r="E43" s="11" t="s">
        <v>9</v>
      </c>
    </row>
    <row r="44">
      <c r="A44" s="67"/>
      <c r="B44" s="32" t="s">
        <v>1322</v>
      </c>
      <c r="C44" s="35" t="s">
        <v>17</v>
      </c>
      <c r="D44" s="32" t="s">
        <v>1469</v>
      </c>
      <c r="E44" s="11" t="s">
        <v>13</v>
      </c>
    </row>
    <row r="45">
      <c r="B45" s="1" t="s">
        <v>1327</v>
      </c>
      <c r="C45" s="2"/>
      <c r="D45" s="3"/>
      <c r="E45" s="14"/>
    </row>
    <row r="46">
      <c r="B46" s="16" t="s">
        <v>2</v>
      </c>
      <c r="C46" s="16" t="s">
        <v>3</v>
      </c>
      <c r="D46" s="16" t="s">
        <v>4</v>
      </c>
      <c r="E46" s="16" t="s">
        <v>5</v>
      </c>
    </row>
    <row r="47">
      <c r="B47" s="32" t="s">
        <v>1371</v>
      </c>
      <c r="C47" s="35" t="s">
        <v>197</v>
      </c>
      <c r="D47" s="32" t="s">
        <v>1471</v>
      </c>
      <c r="E47" s="11" t="s">
        <v>33</v>
      </c>
    </row>
    <row r="48">
      <c r="B48" s="32" t="s">
        <v>1472</v>
      </c>
      <c r="C48" s="35" t="s">
        <v>17</v>
      </c>
      <c r="D48" s="32" t="s">
        <v>1395</v>
      </c>
      <c r="E48" s="11" t="s">
        <v>37</v>
      </c>
    </row>
    <row r="49">
      <c r="B49" s="32" t="s">
        <v>1305</v>
      </c>
      <c r="C49" s="35" t="s">
        <v>536</v>
      </c>
      <c r="D49" s="32" t="s">
        <v>1371</v>
      </c>
      <c r="E49" s="11" t="s">
        <v>33</v>
      </c>
    </row>
    <row r="50">
      <c r="B50" s="32" t="s">
        <v>1472</v>
      </c>
      <c r="C50" s="35" t="s">
        <v>52</v>
      </c>
      <c r="D50" s="32" t="s">
        <v>1471</v>
      </c>
      <c r="E50" s="11" t="s">
        <v>37</v>
      </c>
    </row>
    <row r="51">
      <c r="B51" s="32" t="s">
        <v>1305</v>
      </c>
      <c r="C51" s="35" t="s">
        <v>239</v>
      </c>
      <c r="D51" s="32" t="s">
        <v>1395</v>
      </c>
      <c r="E51" s="11" t="s">
        <v>33</v>
      </c>
    </row>
    <row r="52">
      <c r="B52" s="32" t="s">
        <v>1472</v>
      </c>
      <c r="C52" s="35" t="s">
        <v>509</v>
      </c>
      <c r="D52" s="32" t="s">
        <v>1371</v>
      </c>
      <c r="E52" s="11" t="s">
        <v>37</v>
      </c>
    </row>
    <row r="53">
      <c r="B53" s="32" t="s">
        <v>1305</v>
      </c>
      <c r="C53" s="35" t="s">
        <v>35</v>
      </c>
      <c r="D53" s="32" t="s">
        <v>1471</v>
      </c>
      <c r="E53" s="11" t="s">
        <v>33</v>
      </c>
    </row>
    <row r="54">
      <c r="B54" s="32" t="s">
        <v>1395</v>
      </c>
      <c r="C54" s="35" t="s">
        <v>291</v>
      </c>
      <c r="D54" s="32" t="s">
        <v>1371</v>
      </c>
      <c r="E54" s="11" t="s">
        <v>37</v>
      </c>
    </row>
    <row r="55">
      <c r="B55" s="32" t="s">
        <v>1305</v>
      </c>
      <c r="C55" s="35" t="s">
        <v>81</v>
      </c>
      <c r="D55" s="32" t="s">
        <v>1472</v>
      </c>
      <c r="E55" s="11" t="s">
        <v>33</v>
      </c>
    </row>
    <row r="56">
      <c r="B56" s="32" t="s">
        <v>1395</v>
      </c>
      <c r="C56" s="35" t="s">
        <v>35</v>
      </c>
      <c r="D56" s="32" t="s">
        <v>1471</v>
      </c>
      <c r="E56" s="11" t="s">
        <v>37</v>
      </c>
    </row>
    <row r="57">
      <c r="B57" s="32" t="s">
        <v>1471</v>
      </c>
      <c r="C57" s="35" t="s">
        <v>797</v>
      </c>
      <c r="D57" s="32" t="s">
        <v>1371</v>
      </c>
      <c r="E57" s="11" t="s">
        <v>33</v>
      </c>
    </row>
    <row r="58">
      <c r="B58" s="32" t="s">
        <v>1395</v>
      </c>
      <c r="C58" s="35" t="s">
        <v>22</v>
      </c>
      <c r="D58" s="32" t="s">
        <v>1472</v>
      </c>
      <c r="E58" s="11" t="s">
        <v>37</v>
      </c>
    </row>
    <row r="59">
      <c r="B59" s="32" t="s">
        <v>1371</v>
      </c>
      <c r="C59" s="35" t="s">
        <v>25</v>
      </c>
      <c r="D59" s="32" t="s">
        <v>1305</v>
      </c>
      <c r="E59" s="11" t="s">
        <v>33</v>
      </c>
    </row>
    <row r="60">
      <c r="B60" s="32" t="s">
        <v>1471</v>
      </c>
      <c r="C60" s="35" t="s">
        <v>378</v>
      </c>
      <c r="D60" s="32" t="s">
        <v>1472</v>
      </c>
      <c r="E60" s="11" t="s">
        <v>37</v>
      </c>
    </row>
    <row r="61">
      <c r="B61" s="32" t="s">
        <v>1395</v>
      </c>
      <c r="C61" s="35" t="s">
        <v>261</v>
      </c>
      <c r="D61" s="32" t="s">
        <v>1305</v>
      </c>
      <c r="E61" s="11" t="s">
        <v>33</v>
      </c>
    </row>
    <row r="62">
      <c r="B62" s="32" t="s">
        <v>1371</v>
      </c>
      <c r="C62" s="35" t="s">
        <v>215</v>
      </c>
      <c r="D62" s="32" t="s">
        <v>1472</v>
      </c>
      <c r="E62" s="11" t="s">
        <v>37</v>
      </c>
    </row>
    <row r="63">
      <c r="B63" s="32" t="s">
        <v>1471</v>
      </c>
      <c r="C63" s="35" t="s">
        <v>87</v>
      </c>
      <c r="D63" s="32" t="s">
        <v>1305</v>
      </c>
      <c r="E63" s="11" t="s">
        <v>33</v>
      </c>
    </row>
    <row r="64">
      <c r="B64" s="32" t="s">
        <v>1371</v>
      </c>
      <c r="C64" s="35" t="s">
        <v>14</v>
      </c>
      <c r="D64" s="32" t="s">
        <v>1395</v>
      </c>
      <c r="E64" s="11" t="s">
        <v>37</v>
      </c>
    </row>
    <row r="65">
      <c r="B65" s="32" t="s">
        <v>1472</v>
      </c>
      <c r="C65" s="35" t="s">
        <v>7</v>
      </c>
      <c r="D65" s="32" t="s">
        <v>1305</v>
      </c>
      <c r="E65" s="11" t="s">
        <v>33</v>
      </c>
    </row>
    <row r="66">
      <c r="B66" s="32" t="s">
        <v>1471</v>
      </c>
      <c r="C66" s="35" t="s">
        <v>16</v>
      </c>
      <c r="D66" s="32" t="s">
        <v>1395</v>
      </c>
      <c r="E66" s="11" t="s">
        <v>37</v>
      </c>
    </row>
    <row r="67">
      <c r="B67" s="1" t="s">
        <v>1331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16" t="s">
        <v>5</v>
      </c>
    </row>
    <row r="69">
      <c r="B69" s="32" t="s">
        <v>1473</v>
      </c>
      <c r="C69" s="33" t="s">
        <v>82</v>
      </c>
      <c r="D69" s="32" t="s">
        <v>1397</v>
      </c>
      <c r="E69" s="11" t="s">
        <v>9</v>
      </c>
    </row>
    <row r="70">
      <c r="B70" s="32" t="s">
        <v>1474</v>
      </c>
      <c r="C70" s="33" t="s">
        <v>251</v>
      </c>
      <c r="D70" s="32" t="s">
        <v>1475</v>
      </c>
      <c r="E70" s="11" t="s">
        <v>13</v>
      </c>
    </row>
    <row r="71">
      <c r="B71" s="32" t="s">
        <v>1476</v>
      </c>
      <c r="C71" s="33" t="s">
        <v>355</v>
      </c>
      <c r="D71" s="32" t="s">
        <v>1473</v>
      </c>
      <c r="E71" s="11" t="s">
        <v>9</v>
      </c>
    </row>
    <row r="72">
      <c r="B72" s="32" t="s">
        <v>1474</v>
      </c>
      <c r="C72" s="33" t="s">
        <v>201</v>
      </c>
      <c r="D72" s="32" t="s">
        <v>1397</v>
      </c>
      <c r="E72" s="11" t="s">
        <v>13</v>
      </c>
    </row>
    <row r="73">
      <c r="B73" s="32" t="s">
        <v>1476</v>
      </c>
      <c r="C73" s="33" t="s">
        <v>1477</v>
      </c>
      <c r="D73" s="32" t="s">
        <v>1475</v>
      </c>
      <c r="E73" s="11" t="s">
        <v>9</v>
      </c>
    </row>
    <row r="74">
      <c r="B74" s="32" t="s">
        <v>1474</v>
      </c>
      <c r="C74" s="33" t="s">
        <v>218</v>
      </c>
      <c r="D74" s="32" t="s">
        <v>1473</v>
      </c>
      <c r="E74" s="11" t="s">
        <v>13</v>
      </c>
    </row>
    <row r="75">
      <c r="B75" s="32" t="s">
        <v>1476</v>
      </c>
      <c r="C75" s="33" t="s">
        <v>684</v>
      </c>
      <c r="D75" s="32" t="s">
        <v>1397</v>
      </c>
      <c r="E75" s="11" t="s">
        <v>9</v>
      </c>
    </row>
    <row r="76">
      <c r="B76" s="32" t="s">
        <v>1475</v>
      </c>
      <c r="C76" s="33" t="s">
        <v>857</v>
      </c>
      <c r="D76" s="32" t="s">
        <v>1473</v>
      </c>
      <c r="E76" s="11" t="s">
        <v>13</v>
      </c>
    </row>
    <row r="77">
      <c r="B77" s="32" t="s">
        <v>1476</v>
      </c>
      <c r="C77" s="33" t="s">
        <v>11</v>
      </c>
      <c r="D77" s="32" t="s">
        <v>1474</v>
      </c>
      <c r="E77" s="11" t="s">
        <v>9</v>
      </c>
    </row>
    <row r="78">
      <c r="B78" s="32" t="s">
        <v>1475</v>
      </c>
      <c r="C78" s="33" t="s">
        <v>509</v>
      </c>
      <c r="D78" s="32" t="s">
        <v>1397</v>
      </c>
      <c r="E78" s="11" t="s">
        <v>13</v>
      </c>
    </row>
    <row r="79">
      <c r="B79" s="32" t="s">
        <v>1397</v>
      </c>
      <c r="C79" s="33" t="s">
        <v>87</v>
      </c>
      <c r="D79" s="32" t="s">
        <v>1473</v>
      </c>
      <c r="E79" s="11" t="s">
        <v>9</v>
      </c>
    </row>
    <row r="80">
      <c r="B80" s="32" t="s">
        <v>1475</v>
      </c>
      <c r="C80" s="33" t="s">
        <v>71</v>
      </c>
      <c r="D80" s="32" t="s">
        <v>1474</v>
      </c>
      <c r="E80" s="11" t="s">
        <v>13</v>
      </c>
    </row>
    <row r="81">
      <c r="B81" s="32" t="s">
        <v>1473</v>
      </c>
      <c r="C81" s="35" t="s">
        <v>389</v>
      </c>
      <c r="D81" s="32" t="s">
        <v>1476</v>
      </c>
      <c r="E81" s="11" t="s">
        <v>9</v>
      </c>
    </row>
    <row r="82">
      <c r="B82" s="32" t="s">
        <v>1397</v>
      </c>
      <c r="C82" s="35" t="s">
        <v>306</v>
      </c>
      <c r="D82" s="32" t="s">
        <v>1474</v>
      </c>
      <c r="E82" s="11" t="s">
        <v>13</v>
      </c>
    </row>
    <row r="83">
      <c r="B83" s="32" t="s">
        <v>1475</v>
      </c>
      <c r="C83" s="35" t="s">
        <v>83</v>
      </c>
      <c r="D83" s="32" t="s">
        <v>1476</v>
      </c>
      <c r="E83" s="11" t="s">
        <v>9</v>
      </c>
    </row>
    <row r="84">
      <c r="B84" s="32" t="s">
        <v>1473</v>
      </c>
      <c r="C84" s="37" t="s">
        <v>194</v>
      </c>
      <c r="D84" s="32" t="s">
        <v>1474</v>
      </c>
      <c r="E84" s="11" t="s">
        <v>13</v>
      </c>
    </row>
    <row r="85">
      <c r="B85" s="32" t="s">
        <v>1397</v>
      </c>
      <c r="C85" s="35" t="s">
        <v>47</v>
      </c>
      <c r="D85" s="32" t="s">
        <v>1476</v>
      </c>
      <c r="E85" s="11" t="s">
        <v>9</v>
      </c>
    </row>
    <row r="86">
      <c r="B86" s="32" t="s">
        <v>1473</v>
      </c>
      <c r="C86" s="35" t="s">
        <v>1478</v>
      </c>
      <c r="D86" s="32" t="s">
        <v>1475</v>
      </c>
      <c r="E86" s="11" t="s">
        <v>13</v>
      </c>
    </row>
    <row r="87">
      <c r="B87" s="32" t="s">
        <v>1474</v>
      </c>
      <c r="C87" s="35" t="s">
        <v>28</v>
      </c>
      <c r="D87" s="32" t="s">
        <v>1476</v>
      </c>
      <c r="E87" s="11" t="s">
        <v>9</v>
      </c>
    </row>
    <row r="88">
      <c r="B88" s="32" t="s">
        <v>1397</v>
      </c>
      <c r="C88" s="35" t="s">
        <v>71</v>
      </c>
      <c r="D88" s="32" t="s">
        <v>1475</v>
      </c>
      <c r="E88" s="11" t="s">
        <v>13</v>
      </c>
    </row>
    <row r="89">
      <c r="B89" s="1" t="s">
        <v>1400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16" t="s">
        <v>5</v>
      </c>
    </row>
    <row r="91">
      <c r="B91" s="32" t="s">
        <v>1046</v>
      </c>
      <c r="C91" s="35" t="s">
        <v>81</v>
      </c>
      <c r="D91" s="32" t="s">
        <v>1479</v>
      </c>
      <c r="E91" s="11" t="s">
        <v>9</v>
      </c>
    </row>
    <row r="92">
      <c r="B92" s="32" t="s">
        <v>1480</v>
      </c>
      <c r="C92" s="35" t="s">
        <v>17</v>
      </c>
      <c r="D92" s="32" t="s">
        <v>1481</v>
      </c>
      <c r="E92" s="11" t="s">
        <v>13</v>
      </c>
    </row>
    <row r="93">
      <c r="B93" s="32" t="s">
        <v>1480</v>
      </c>
      <c r="C93" s="35" t="s">
        <v>19</v>
      </c>
      <c r="D93" s="32" t="s">
        <v>1479</v>
      </c>
      <c r="E93" s="11" t="s">
        <v>9</v>
      </c>
    </row>
    <row r="94">
      <c r="B94" s="32" t="s">
        <v>1482</v>
      </c>
      <c r="C94" s="35" t="s">
        <v>25</v>
      </c>
      <c r="D94" s="32" t="s">
        <v>1481</v>
      </c>
      <c r="E94" s="11" t="s">
        <v>13</v>
      </c>
    </row>
    <row r="95">
      <c r="B95" s="32" t="s">
        <v>1482</v>
      </c>
      <c r="C95" s="35" t="s">
        <v>572</v>
      </c>
      <c r="D95" s="32" t="s">
        <v>1480</v>
      </c>
      <c r="E95" s="11" t="s">
        <v>9</v>
      </c>
    </row>
    <row r="96">
      <c r="B96" s="32" t="s">
        <v>1481</v>
      </c>
      <c r="C96" s="35" t="s">
        <v>24</v>
      </c>
      <c r="D96" s="32" t="s">
        <v>1046</v>
      </c>
      <c r="E96" s="11" t="s">
        <v>13</v>
      </c>
    </row>
    <row r="97">
      <c r="B97" s="32" t="s">
        <v>1482</v>
      </c>
      <c r="C97" s="35" t="s">
        <v>55</v>
      </c>
      <c r="D97" s="32" t="s">
        <v>1479</v>
      </c>
      <c r="E97" s="11" t="s">
        <v>9</v>
      </c>
    </row>
    <row r="98">
      <c r="B98" s="32" t="s">
        <v>1046</v>
      </c>
      <c r="C98" s="35" t="s">
        <v>369</v>
      </c>
      <c r="D98" s="32" t="s">
        <v>1480</v>
      </c>
      <c r="E98" s="11" t="s">
        <v>13</v>
      </c>
    </row>
    <row r="99">
      <c r="B99" s="32" t="s">
        <v>1481</v>
      </c>
      <c r="C99" s="35" t="s">
        <v>403</v>
      </c>
      <c r="D99" s="32" t="s">
        <v>1479</v>
      </c>
      <c r="E99" s="11" t="s">
        <v>9</v>
      </c>
    </row>
    <row r="100">
      <c r="B100" s="32" t="s">
        <v>1046</v>
      </c>
      <c r="C100" s="35" t="s">
        <v>370</v>
      </c>
      <c r="D100" s="32" t="s">
        <v>1482</v>
      </c>
      <c r="E100" s="11" t="s">
        <v>13</v>
      </c>
    </row>
    <row r="101">
      <c r="B101" s="32" t="s">
        <v>1479</v>
      </c>
      <c r="C101" s="35" t="s">
        <v>302</v>
      </c>
      <c r="D101" s="32" t="s">
        <v>1046</v>
      </c>
      <c r="E101" s="11" t="s">
        <v>9</v>
      </c>
    </row>
    <row r="102">
      <c r="B102" s="32" t="s">
        <v>1481</v>
      </c>
      <c r="C102" s="35" t="s">
        <v>950</v>
      </c>
      <c r="D102" s="32" t="s">
        <v>1480</v>
      </c>
      <c r="E102" s="11" t="s">
        <v>13</v>
      </c>
    </row>
    <row r="103">
      <c r="B103" s="32" t="s">
        <v>1479</v>
      </c>
      <c r="C103" s="35" t="s">
        <v>411</v>
      </c>
      <c r="D103" s="32" t="s">
        <v>1480</v>
      </c>
      <c r="E103" s="11" t="s">
        <v>9</v>
      </c>
    </row>
    <row r="104">
      <c r="B104" s="32" t="s">
        <v>1481</v>
      </c>
      <c r="C104" s="35" t="s">
        <v>190</v>
      </c>
      <c r="D104" s="32" t="s">
        <v>1482</v>
      </c>
      <c r="E104" s="11" t="s">
        <v>13</v>
      </c>
    </row>
    <row r="105">
      <c r="B105" s="32" t="s">
        <v>1480</v>
      </c>
      <c r="C105" s="35" t="s">
        <v>81</v>
      </c>
      <c r="D105" s="32" t="s">
        <v>1482</v>
      </c>
      <c r="E105" s="11" t="s">
        <v>9</v>
      </c>
    </row>
    <row r="106">
      <c r="B106" s="32" t="s">
        <v>1046</v>
      </c>
      <c r="C106" s="35" t="s">
        <v>197</v>
      </c>
      <c r="D106" s="32" t="s">
        <v>1481</v>
      </c>
      <c r="E106" s="11" t="s">
        <v>13</v>
      </c>
    </row>
    <row r="107">
      <c r="B107" s="32" t="s">
        <v>1479</v>
      </c>
      <c r="C107" s="35" t="s">
        <v>88</v>
      </c>
      <c r="D107" s="32" t="s">
        <v>1482</v>
      </c>
      <c r="E107" s="11" t="s">
        <v>9</v>
      </c>
    </row>
    <row r="108">
      <c r="B108" s="32" t="s">
        <v>1480</v>
      </c>
      <c r="C108" s="35" t="s">
        <v>28</v>
      </c>
      <c r="D108" s="32" t="s">
        <v>1046</v>
      </c>
      <c r="E108" s="11" t="s">
        <v>13</v>
      </c>
    </row>
    <row r="109">
      <c r="B109" s="32" t="s">
        <v>1479</v>
      </c>
      <c r="C109" s="35" t="s">
        <v>286</v>
      </c>
      <c r="D109" s="32" t="s">
        <v>1481</v>
      </c>
      <c r="E109" s="11" t="s">
        <v>9</v>
      </c>
    </row>
    <row r="110">
      <c r="B110" s="32" t="s">
        <v>1482</v>
      </c>
      <c r="C110" s="35" t="s">
        <v>321</v>
      </c>
      <c r="D110" s="32" t="s">
        <v>1046</v>
      </c>
      <c r="E110" s="11" t="s">
        <v>13</v>
      </c>
    </row>
    <row r="111">
      <c r="B111" s="1" t="s">
        <v>1406</v>
      </c>
      <c r="C111" s="2"/>
      <c r="D111" s="3"/>
      <c r="E111" s="4"/>
    </row>
    <row r="112"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B113" s="32" t="s">
        <v>1217</v>
      </c>
      <c r="C113" s="33" t="s">
        <v>239</v>
      </c>
      <c r="D113" s="32" t="s">
        <v>1483</v>
      </c>
      <c r="E113" s="11" t="s">
        <v>9</v>
      </c>
    </row>
    <row r="114">
      <c r="B114" s="32" t="s">
        <v>1484</v>
      </c>
      <c r="C114" s="33" t="s">
        <v>195</v>
      </c>
      <c r="D114" s="32" t="s">
        <v>1485</v>
      </c>
      <c r="E114" s="11" t="s">
        <v>13</v>
      </c>
    </row>
    <row r="115">
      <c r="B115" s="32" t="s">
        <v>1484</v>
      </c>
      <c r="C115" s="33" t="s">
        <v>16</v>
      </c>
      <c r="D115" s="32" t="s">
        <v>1483</v>
      </c>
      <c r="E115" s="11" t="s">
        <v>9</v>
      </c>
    </row>
    <row r="116">
      <c r="B116" s="32" t="s">
        <v>1486</v>
      </c>
      <c r="C116" s="33" t="s">
        <v>270</v>
      </c>
      <c r="D116" s="32" t="s">
        <v>1485</v>
      </c>
      <c r="E116" s="11" t="s">
        <v>13</v>
      </c>
    </row>
    <row r="117">
      <c r="B117" s="32" t="s">
        <v>1486</v>
      </c>
      <c r="C117" s="33" t="s">
        <v>20</v>
      </c>
      <c r="D117" s="32" t="s">
        <v>1484</v>
      </c>
      <c r="E117" s="11" t="s">
        <v>9</v>
      </c>
    </row>
    <row r="118">
      <c r="B118" s="32" t="s">
        <v>1485</v>
      </c>
      <c r="C118" s="33" t="s">
        <v>43</v>
      </c>
      <c r="D118" s="32" t="s">
        <v>1217</v>
      </c>
      <c r="E118" s="11" t="s">
        <v>13</v>
      </c>
    </row>
    <row r="119">
      <c r="B119" s="32" t="s">
        <v>1486</v>
      </c>
      <c r="C119" s="33" t="s">
        <v>66</v>
      </c>
      <c r="D119" s="32" t="s">
        <v>1483</v>
      </c>
      <c r="E119" s="11" t="s">
        <v>9</v>
      </c>
    </row>
    <row r="120">
      <c r="B120" s="32" t="s">
        <v>1217</v>
      </c>
      <c r="C120" s="33" t="s">
        <v>306</v>
      </c>
      <c r="D120" s="32" t="s">
        <v>1484</v>
      </c>
      <c r="E120" s="11" t="s">
        <v>13</v>
      </c>
    </row>
    <row r="121">
      <c r="B121" s="32" t="s">
        <v>1485</v>
      </c>
      <c r="C121" s="33" t="s">
        <v>71</v>
      </c>
      <c r="D121" s="32" t="s">
        <v>1483</v>
      </c>
      <c r="E121" s="11" t="s">
        <v>9</v>
      </c>
    </row>
    <row r="122">
      <c r="B122" s="32" t="s">
        <v>1217</v>
      </c>
      <c r="C122" s="33" t="s">
        <v>18</v>
      </c>
      <c r="D122" s="32" t="s">
        <v>1486</v>
      </c>
      <c r="E122" s="11" t="s">
        <v>13</v>
      </c>
    </row>
    <row r="123">
      <c r="B123" s="32" t="s">
        <v>1483</v>
      </c>
      <c r="C123" s="33" t="s">
        <v>542</v>
      </c>
      <c r="D123" s="32" t="s">
        <v>1217</v>
      </c>
      <c r="E123" s="11" t="s">
        <v>9</v>
      </c>
    </row>
    <row r="124">
      <c r="B124" s="32" t="s">
        <v>1485</v>
      </c>
      <c r="C124" s="33" t="s">
        <v>43</v>
      </c>
      <c r="D124" s="32" t="s">
        <v>1484</v>
      </c>
      <c r="E124" s="11" t="s">
        <v>13</v>
      </c>
    </row>
    <row r="125">
      <c r="B125" s="32" t="s">
        <v>1483</v>
      </c>
      <c r="C125" s="35" t="s">
        <v>239</v>
      </c>
      <c r="D125" s="32" t="s">
        <v>1484</v>
      </c>
      <c r="E125" s="11" t="s">
        <v>9</v>
      </c>
    </row>
    <row r="126">
      <c r="B126" s="32" t="s">
        <v>1485</v>
      </c>
      <c r="C126" s="35" t="s">
        <v>291</v>
      </c>
      <c r="D126" s="32" t="s">
        <v>1486</v>
      </c>
      <c r="E126" s="11" t="s">
        <v>13</v>
      </c>
    </row>
    <row r="127">
      <c r="B127" s="32" t="s">
        <v>1484</v>
      </c>
      <c r="C127" s="35" t="s">
        <v>16</v>
      </c>
      <c r="D127" s="32" t="s">
        <v>1486</v>
      </c>
      <c r="E127" s="11" t="s">
        <v>9</v>
      </c>
    </row>
    <row r="128">
      <c r="B128" s="32" t="s">
        <v>1217</v>
      </c>
      <c r="C128" s="35" t="s">
        <v>66</v>
      </c>
      <c r="D128" s="32" t="s">
        <v>1485</v>
      </c>
      <c r="E128" s="11" t="s">
        <v>13</v>
      </c>
    </row>
    <row r="129">
      <c r="B129" s="32" t="s">
        <v>1483</v>
      </c>
      <c r="C129" s="35" t="s">
        <v>25</v>
      </c>
      <c r="D129" s="32" t="s">
        <v>1486</v>
      </c>
      <c r="E129" s="11" t="s">
        <v>9</v>
      </c>
    </row>
    <row r="130">
      <c r="B130" s="32" t="s">
        <v>1484</v>
      </c>
      <c r="C130" s="35" t="s">
        <v>270</v>
      </c>
      <c r="D130" s="32" t="s">
        <v>1217</v>
      </c>
      <c r="E130" s="11" t="s">
        <v>13</v>
      </c>
    </row>
    <row r="131">
      <c r="B131" s="32" t="s">
        <v>1483</v>
      </c>
      <c r="C131" s="35" t="s">
        <v>286</v>
      </c>
      <c r="D131" s="32" t="s">
        <v>1485</v>
      </c>
      <c r="E131" s="11" t="s">
        <v>9</v>
      </c>
    </row>
    <row r="132">
      <c r="B132" s="32" t="s">
        <v>1486</v>
      </c>
      <c r="C132" s="35" t="s">
        <v>307</v>
      </c>
      <c r="D132" s="32" t="s">
        <v>1217</v>
      </c>
      <c r="E132" s="11" t="s">
        <v>13</v>
      </c>
    </row>
    <row r="133">
      <c r="B133" s="1" t="s">
        <v>1413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32" t="s">
        <v>1487</v>
      </c>
      <c r="C135" s="35" t="s">
        <v>87</v>
      </c>
      <c r="D135" s="32" t="s">
        <v>1488</v>
      </c>
      <c r="E135" s="11" t="s">
        <v>33</v>
      </c>
    </row>
    <row r="136">
      <c r="B136" s="32" t="s">
        <v>1361</v>
      </c>
      <c r="C136" s="35" t="s">
        <v>566</v>
      </c>
      <c r="D136" s="32" t="s">
        <v>1489</v>
      </c>
      <c r="E136" s="11" t="s">
        <v>37</v>
      </c>
    </row>
    <row r="137">
      <c r="B137" s="32" t="s">
        <v>1361</v>
      </c>
      <c r="C137" s="35" t="s">
        <v>193</v>
      </c>
      <c r="D137" s="32" t="s">
        <v>1488</v>
      </c>
      <c r="E137" s="11" t="s">
        <v>33</v>
      </c>
    </row>
    <row r="138">
      <c r="B138" s="32" t="s">
        <v>1490</v>
      </c>
      <c r="C138" s="35" t="s">
        <v>1491</v>
      </c>
      <c r="D138" s="32" t="s">
        <v>1489</v>
      </c>
      <c r="E138" s="24" t="s">
        <v>37</v>
      </c>
    </row>
    <row r="139">
      <c r="B139" s="32" t="s">
        <v>1490</v>
      </c>
      <c r="C139" s="35" t="s">
        <v>190</v>
      </c>
      <c r="D139" s="32" t="s">
        <v>1361</v>
      </c>
      <c r="E139" s="11" t="s">
        <v>33</v>
      </c>
    </row>
    <row r="140">
      <c r="B140" s="32" t="s">
        <v>1489</v>
      </c>
      <c r="C140" s="35" t="s">
        <v>726</v>
      </c>
      <c r="D140" s="32" t="s">
        <v>1487</v>
      </c>
      <c r="E140" s="11" t="s">
        <v>37</v>
      </c>
    </row>
    <row r="141">
      <c r="B141" s="32" t="s">
        <v>1490</v>
      </c>
      <c r="C141" s="35" t="s">
        <v>43</v>
      </c>
      <c r="D141" s="32" t="s">
        <v>1488</v>
      </c>
      <c r="E141" s="11" t="s">
        <v>33</v>
      </c>
    </row>
    <row r="142">
      <c r="B142" s="32" t="s">
        <v>1487</v>
      </c>
      <c r="C142" s="35" t="s">
        <v>43</v>
      </c>
      <c r="D142" s="32" t="s">
        <v>1361</v>
      </c>
      <c r="E142" s="11" t="s">
        <v>37</v>
      </c>
    </row>
    <row r="143">
      <c r="B143" s="32" t="s">
        <v>1489</v>
      </c>
      <c r="C143" s="35" t="s">
        <v>86</v>
      </c>
      <c r="D143" s="32" t="s">
        <v>1488</v>
      </c>
      <c r="E143" s="11" t="s">
        <v>33</v>
      </c>
    </row>
    <row r="144">
      <c r="B144" s="32" t="s">
        <v>1487</v>
      </c>
      <c r="C144" s="35" t="s">
        <v>435</v>
      </c>
      <c r="D144" s="32" t="s">
        <v>1490</v>
      </c>
      <c r="E144" s="11" t="s">
        <v>37</v>
      </c>
    </row>
    <row r="145">
      <c r="B145" s="32" t="s">
        <v>1488</v>
      </c>
      <c r="C145" s="35" t="s">
        <v>25</v>
      </c>
      <c r="D145" s="32" t="s">
        <v>1487</v>
      </c>
      <c r="E145" s="11" t="s">
        <v>33</v>
      </c>
    </row>
    <row r="146">
      <c r="B146" s="32" t="s">
        <v>1489</v>
      </c>
      <c r="C146" s="35" t="s">
        <v>273</v>
      </c>
      <c r="D146" s="32" t="s">
        <v>1361</v>
      </c>
      <c r="E146" s="11" t="s">
        <v>37</v>
      </c>
    </row>
    <row r="147">
      <c r="B147" s="32" t="s">
        <v>1488</v>
      </c>
      <c r="C147" s="35" t="s">
        <v>411</v>
      </c>
      <c r="D147" s="32" t="s">
        <v>1361</v>
      </c>
      <c r="E147" s="11" t="s">
        <v>33</v>
      </c>
    </row>
    <row r="148">
      <c r="B148" s="32" t="s">
        <v>1489</v>
      </c>
      <c r="C148" s="35" t="s">
        <v>201</v>
      </c>
      <c r="D148" s="32" t="s">
        <v>1490</v>
      </c>
      <c r="E148" s="11" t="s">
        <v>37</v>
      </c>
    </row>
    <row r="149">
      <c r="B149" s="32" t="s">
        <v>1361</v>
      </c>
      <c r="C149" s="35" t="s">
        <v>285</v>
      </c>
      <c r="D149" s="32" t="s">
        <v>1490</v>
      </c>
      <c r="E149" s="11" t="s">
        <v>33</v>
      </c>
    </row>
    <row r="150">
      <c r="B150" s="32" t="s">
        <v>1487</v>
      </c>
      <c r="C150" s="35" t="s">
        <v>282</v>
      </c>
      <c r="D150" s="32" t="s">
        <v>1489</v>
      </c>
      <c r="E150" s="11" t="s">
        <v>37</v>
      </c>
    </row>
    <row r="151">
      <c r="B151" s="32" t="s">
        <v>1488</v>
      </c>
      <c r="C151" s="35" t="s">
        <v>260</v>
      </c>
      <c r="D151" s="32" t="s">
        <v>1490</v>
      </c>
      <c r="E151" s="11" t="s">
        <v>33</v>
      </c>
    </row>
    <row r="152">
      <c r="B152" s="32" t="s">
        <v>1361</v>
      </c>
      <c r="C152" s="35" t="s">
        <v>17</v>
      </c>
      <c r="D152" s="32" t="s">
        <v>1487</v>
      </c>
      <c r="E152" s="11" t="s">
        <v>37</v>
      </c>
    </row>
    <row r="153">
      <c r="B153" s="32" t="s">
        <v>1488</v>
      </c>
      <c r="C153" s="35" t="s">
        <v>28</v>
      </c>
      <c r="D153" s="32" t="s">
        <v>1489</v>
      </c>
      <c r="E153" s="11" t="s">
        <v>33</v>
      </c>
    </row>
    <row r="154">
      <c r="B154" s="32" t="s">
        <v>1490</v>
      </c>
      <c r="C154" s="35" t="s">
        <v>378</v>
      </c>
      <c r="D154" s="32" t="s">
        <v>1487</v>
      </c>
      <c r="E154" s="11" t="s">
        <v>37</v>
      </c>
    </row>
    <row r="155">
      <c r="B155" s="1" t="s">
        <v>1419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B157" s="32" t="s">
        <v>1492</v>
      </c>
      <c r="C157" s="35" t="s">
        <v>220</v>
      </c>
      <c r="D157" s="32" t="s">
        <v>1421</v>
      </c>
      <c r="E157" s="11" t="s">
        <v>9</v>
      </c>
    </row>
    <row r="158">
      <c r="B158" s="32" t="s">
        <v>1493</v>
      </c>
      <c r="C158" s="35" t="s">
        <v>936</v>
      </c>
      <c r="D158" s="32" t="s">
        <v>1494</v>
      </c>
      <c r="E158" s="11" t="s">
        <v>13</v>
      </c>
    </row>
    <row r="159">
      <c r="B159" s="32" t="s">
        <v>1493</v>
      </c>
      <c r="C159" s="35" t="s">
        <v>494</v>
      </c>
      <c r="D159" s="32" t="s">
        <v>1421</v>
      </c>
      <c r="E159" s="11" t="s">
        <v>9</v>
      </c>
    </row>
    <row r="160">
      <c r="B160" s="8" t="s">
        <v>1495</v>
      </c>
      <c r="C160" s="35" t="s">
        <v>1496</v>
      </c>
      <c r="D160" s="32" t="s">
        <v>1494</v>
      </c>
      <c r="E160" s="11" t="s">
        <v>13</v>
      </c>
    </row>
    <row r="161">
      <c r="B161" s="8" t="s">
        <v>1495</v>
      </c>
      <c r="C161" s="35" t="s">
        <v>87</v>
      </c>
      <c r="D161" s="32" t="s">
        <v>1493</v>
      </c>
      <c r="E161" s="11" t="s">
        <v>9</v>
      </c>
    </row>
    <row r="162">
      <c r="B162" s="32" t="s">
        <v>1494</v>
      </c>
      <c r="C162" s="35" t="s">
        <v>790</v>
      </c>
      <c r="D162" s="32" t="s">
        <v>1492</v>
      </c>
      <c r="E162" s="11" t="s">
        <v>13</v>
      </c>
    </row>
    <row r="163">
      <c r="B163" s="8" t="s">
        <v>1495</v>
      </c>
      <c r="C163" s="35" t="s">
        <v>1497</v>
      </c>
      <c r="D163" s="32" t="s">
        <v>1421</v>
      </c>
      <c r="E163" s="11" t="s">
        <v>9</v>
      </c>
    </row>
    <row r="164">
      <c r="B164" s="32" t="s">
        <v>1492</v>
      </c>
      <c r="C164" s="35" t="s">
        <v>260</v>
      </c>
      <c r="D164" s="32" t="s">
        <v>1493</v>
      </c>
      <c r="E164" s="11" t="s">
        <v>13</v>
      </c>
    </row>
    <row r="165">
      <c r="B165" s="32" t="s">
        <v>1494</v>
      </c>
      <c r="C165" s="35" t="s">
        <v>58</v>
      </c>
      <c r="D165" s="32" t="s">
        <v>1421</v>
      </c>
      <c r="E165" s="11" t="s">
        <v>9</v>
      </c>
    </row>
    <row r="166">
      <c r="B166" s="32" t="s">
        <v>1492</v>
      </c>
      <c r="C166" s="35" t="s">
        <v>285</v>
      </c>
      <c r="D166" s="8" t="s">
        <v>1495</v>
      </c>
      <c r="E166" s="11" t="s">
        <v>13</v>
      </c>
    </row>
    <row r="167">
      <c r="B167" s="32" t="s">
        <v>1421</v>
      </c>
      <c r="C167" s="35" t="s">
        <v>62</v>
      </c>
      <c r="D167" s="32" t="s">
        <v>1492</v>
      </c>
      <c r="E167" s="11" t="s">
        <v>9</v>
      </c>
    </row>
    <row r="168">
      <c r="B168" s="32" t="s">
        <v>1494</v>
      </c>
      <c r="C168" s="35" t="s">
        <v>23</v>
      </c>
      <c r="D168" s="32" t="s">
        <v>1493</v>
      </c>
      <c r="E168" s="11" t="s">
        <v>13</v>
      </c>
    </row>
    <row r="169">
      <c r="B169" s="32" t="s">
        <v>1421</v>
      </c>
      <c r="C169" s="35" t="s">
        <v>400</v>
      </c>
      <c r="D169" s="32" t="s">
        <v>1493</v>
      </c>
      <c r="E169" s="11" t="s">
        <v>9</v>
      </c>
    </row>
    <row r="170">
      <c r="B170" s="32" t="s">
        <v>1494</v>
      </c>
      <c r="C170" s="35" t="s">
        <v>1005</v>
      </c>
      <c r="D170" s="8" t="s">
        <v>1495</v>
      </c>
      <c r="E170" s="11" t="s">
        <v>13</v>
      </c>
    </row>
    <row r="171">
      <c r="B171" s="32" t="s">
        <v>1493</v>
      </c>
      <c r="C171" s="35" t="s">
        <v>566</v>
      </c>
      <c r="D171" s="8" t="s">
        <v>1495</v>
      </c>
      <c r="E171" s="11" t="s">
        <v>9</v>
      </c>
    </row>
    <row r="172">
      <c r="B172" s="32" t="s">
        <v>1492</v>
      </c>
      <c r="C172" s="35" t="s">
        <v>614</v>
      </c>
      <c r="D172" s="32" t="s">
        <v>1494</v>
      </c>
      <c r="E172" s="11" t="s">
        <v>13</v>
      </c>
    </row>
    <row r="173">
      <c r="B173" s="32" t="s">
        <v>1421</v>
      </c>
      <c r="C173" s="35" t="s">
        <v>72</v>
      </c>
      <c r="D173" s="8" t="s">
        <v>1495</v>
      </c>
      <c r="E173" s="11" t="s">
        <v>9</v>
      </c>
    </row>
    <row r="174">
      <c r="B174" s="32" t="s">
        <v>1493</v>
      </c>
      <c r="C174" s="35" t="s">
        <v>28</v>
      </c>
      <c r="D174" s="32" t="s">
        <v>1492</v>
      </c>
      <c r="E174" s="11" t="s">
        <v>13</v>
      </c>
    </row>
    <row r="175">
      <c r="B175" s="32" t="s">
        <v>1421</v>
      </c>
      <c r="C175" s="35" t="s">
        <v>47</v>
      </c>
      <c r="D175" s="32" t="s">
        <v>1494</v>
      </c>
      <c r="E175" s="11" t="s">
        <v>9</v>
      </c>
    </row>
    <row r="176">
      <c r="B176" s="8" t="s">
        <v>1495</v>
      </c>
      <c r="C176" s="35" t="s">
        <v>72</v>
      </c>
      <c r="D176" s="32" t="s">
        <v>1492</v>
      </c>
      <c r="E176" s="11" t="s">
        <v>13</v>
      </c>
    </row>
    <row r="177">
      <c r="B177" s="1" t="s">
        <v>112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B179" s="32" t="s">
        <v>1498</v>
      </c>
      <c r="C179" s="35" t="s">
        <v>426</v>
      </c>
      <c r="D179" s="32" t="s">
        <v>1074</v>
      </c>
      <c r="E179" s="11" t="s">
        <v>33</v>
      </c>
    </row>
    <row r="180">
      <c r="B180" s="32" t="s">
        <v>1499</v>
      </c>
      <c r="C180" s="35" t="s">
        <v>81</v>
      </c>
      <c r="D180" s="32" t="s">
        <v>1500</v>
      </c>
      <c r="E180" s="11" t="s">
        <v>37</v>
      </c>
    </row>
    <row r="181">
      <c r="B181" s="32" t="s">
        <v>1499</v>
      </c>
      <c r="C181" s="35" t="s">
        <v>28</v>
      </c>
      <c r="D181" s="32" t="s">
        <v>1074</v>
      </c>
      <c r="E181" s="11" t="s">
        <v>33</v>
      </c>
    </row>
    <row r="182">
      <c r="B182" s="32" t="s">
        <v>1349</v>
      </c>
      <c r="C182" s="35" t="s">
        <v>261</v>
      </c>
      <c r="D182" s="32" t="s">
        <v>1500</v>
      </c>
      <c r="E182" s="11" t="s">
        <v>37</v>
      </c>
    </row>
    <row r="183">
      <c r="B183" s="32" t="s">
        <v>1349</v>
      </c>
      <c r="C183" s="35" t="s">
        <v>285</v>
      </c>
      <c r="D183" s="32" t="s">
        <v>1499</v>
      </c>
      <c r="E183" s="11" t="s">
        <v>33</v>
      </c>
    </row>
    <row r="184">
      <c r="B184" s="32" t="s">
        <v>1500</v>
      </c>
      <c r="C184" s="35" t="s">
        <v>1501</v>
      </c>
      <c r="D184" s="32" t="s">
        <v>1498</v>
      </c>
      <c r="E184" s="11" t="s">
        <v>37</v>
      </c>
    </row>
    <row r="185">
      <c r="B185" s="32" t="s">
        <v>1349</v>
      </c>
      <c r="C185" s="35" t="s">
        <v>62</v>
      </c>
      <c r="D185" s="32" t="s">
        <v>1074</v>
      </c>
      <c r="E185" s="11" t="s">
        <v>33</v>
      </c>
    </row>
    <row r="186">
      <c r="B186" s="32" t="s">
        <v>1498</v>
      </c>
      <c r="C186" s="35" t="s">
        <v>195</v>
      </c>
      <c r="D186" s="32" t="s">
        <v>1499</v>
      </c>
      <c r="E186" s="11" t="s">
        <v>37</v>
      </c>
    </row>
    <row r="187">
      <c r="B187" s="32" t="s">
        <v>1500</v>
      </c>
      <c r="C187" s="35" t="s">
        <v>83</v>
      </c>
      <c r="D187" s="32" t="s">
        <v>1074</v>
      </c>
      <c r="E187" s="11" t="s">
        <v>33</v>
      </c>
    </row>
    <row r="188">
      <c r="B188" s="32" t="s">
        <v>1498</v>
      </c>
      <c r="C188" s="35" t="s">
        <v>22</v>
      </c>
      <c r="D188" s="32" t="s">
        <v>1349</v>
      </c>
      <c r="E188" s="11" t="s">
        <v>37</v>
      </c>
    </row>
    <row r="189">
      <c r="B189" s="32" t="s">
        <v>1074</v>
      </c>
      <c r="C189" s="35" t="s">
        <v>28</v>
      </c>
      <c r="D189" s="32" t="s">
        <v>1498</v>
      </c>
      <c r="E189" s="11" t="s">
        <v>33</v>
      </c>
    </row>
    <row r="190">
      <c r="B190" s="32" t="s">
        <v>1500</v>
      </c>
      <c r="C190" s="35" t="s">
        <v>55</v>
      </c>
      <c r="D190" s="32" t="s">
        <v>1499</v>
      </c>
      <c r="E190" s="11" t="s">
        <v>37</v>
      </c>
    </row>
    <row r="191">
      <c r="B191" s="32" t="s">
        <v>1074</v>
      </c>
      <c r="C191" s="35" t="s">
        <v>1502</v>
      </c>
      <c r="D191" s="32" t="s">
        <v>1499</v>
      </c>
      <c r="E191" s="11" t="s">
        <v>33</v>
      </c>
    </row>
    <row r="192">
      <c r="B192" s="32" t="s">
        <v>1500</v>
      </c>
      <c r="C192" s="35" t="s">
        <v>17</v>
      </c>
      <c r="D192" s="32" t="s">
        <v>1349</v>
      </c>
      <c r="E192" s="11" t="s">
        <v>37</v>
      </c>
    </row>
    <row r="193">
      <c r="B193" s="32" t="s">
        <v>1499</v>
      </c>
      <c r="C193" s="35" t="s">
        <v>71</v>
      </c>
      <c r="D193" s="32" t="s">
        <v>1349</v>
      </c>
      <c r="E193" s="11" t="s">
        <v>33</v>
      </c>
    </row>
    <row r="194">
      <c r="B194" s="32" t="s">
        <v>1498</v>
      </c>
      <c r="C194" s="35" t="s">
        <v>58</v>
      </c>
      <c r="D194" s="32" t="s">
        <v>1500</v>
      </c>
      <c r="E194" s="11" t="s">
        <v>37</v>
      </c>
    </row>
    <row r="195">
      <c r="B195" s="32" t="s">
        <v>1074</v>
      </c>
      <c r="C195" s="35" t="s">
        <v>190</v>
      </c>
      <c r="D195" s="32" t="s">
        <v>1349</v>
      </c>
      <c r="E195" s="11" t="s">
        <v>33</v>
      </c>
    </row>
    <row r="196">
      <c r="B196" s="32" t="s">
        <v>1499</v>
      </c>
      <c r="C196" s="35" t="s">
        <v>21</v>
      </c>
      <c r="D196" s="32" t="s">
        <v>1498</v>
      </c>
      <c r="E196" s="11" t="s">
        <v>37</v>
      </c>
    </row>
    <row r="197">
      <c r="B197" s="32" t="s">
        <v>1074</v>
      </c>
      <c r="C197" s="35" t="s">
        <v>55</v>
      </c>
      <c r="D197" s="32" t="s">
        <v>1500</v>
      </c>
      <c r="E197" s="11" t="s">
        <v>33</v>
      </c>
    </row>
    <row r="198">
      <c r="B198" s="32" t="s">
        <v>1349</v>
      </c>
      <c r="C198" s="35" t="s">
        <v>87</v>
      </c>
      <c r="D198" s="32" t="s">
        <v>1498</v>
      </c>
      <c r="E198" s="11" t="s">
        <v>37</v>
      </c>
    </row>
    <row r="199">
      <c r="B199" s="1" t="s">
        <v>1429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B201" s="32" t="s">
        <v>1503</v>
      </c>
      <c r="C201" s="35" t="s">
        <v>1496</v>
      </c>
      <c r="D201" s="32" t="s">
        <v>1504</v>
      </c>
      <c r="E201" s="11" t="s">
        <v>33</v>
      </c>
    </row>
    <row r="202">
      <c r="B202" s="32" t="s">
        <v>1505</v>
      </c>
      <c r="C202" s="35" t="s">
        <v>197</v>
      </c>
      <c r="D202" s="32" t="s">
        <v>1506</v>
      </c>
      <c r="E202" s="11" t="s">
        <v>37</v>
      </c>
    </row>
    <row r="203">
      <c r="B203" s="32" t="s">
        <v>1505</v>
      </c>
      <c r="C203" s="35" t="s">
        <v>7</v>
      </c>
      <c r="D203" s="32" t="s">
        <v>1504</v>
      </c>
      <c r="E203" s="11" t="s">
        <v>33</v>
      </c>
    </row>
    <row r="204">
      <c r="B204" s="32" t="s">
        <v>1507</v>
      </c>
      <c r="C204" s="35" t="s">
        <v>195</v>
      </c>
      <c r="D204" s="32" t="s">
        <v>1506</v>
      </c>
      <c r="E204" s="11" t="s">
        <v>37</v>
      </c>
    </row>
    <row r="205">
      <c r="B205" s="32" t="s">
        <v>1507</v>
      </c>
      <c r="C205" s="35" t="s">
        <v>426</v>
      </c>
      <c r="D205" s="32" t="s">
        <v>1505</v>
      </c>
      <c r="E205" s="11" t="s">
        <v>33</v>
      </c>
    </row>
    <row r="206">
      <c r="B206" s="32" t="s">
        <v>1506</v>
      </c>
      <c r="C206" s="35" t="s">
        <v>201</v>
      </c>
      <c r="D206" s="32" t="s">
        <v>1503</v>
      </c>
      <c r="E206" s="11" t="s">
        <v>37</v>
      </c>
    </row>
    <row r="207">
      <c r="B207" s="32" t="s">
        <v>1507</v>
      </c>
      <c r="C207" s="35" t="s">
        <v>354</v>
      </c>
      <c r="D207" s="32" t="s">
        <v>1504</v>
      </c>
      <c r="E207" s="11" t="s">
        <v>33</v>
      </c>
    </row>
    <row r="208">
      <c r="B208" s="32" t="s">
        <v>1503</v>
      </c>
      <c r="C208" s="35" t="s">
        <v>196</v>
      </c>
      <c r="D208" s="32" t="s">
        <v>1505</v>
      </c>
      <c r="E208" s="11" t="s">
        <v>37</v>
      </c>
    </row>
    <row r="209">
      <c r="B209" s="32" t="s">
        <v>1506</v>
      </c>
      <c r="C209" s="35" t="s">
        <v>239</v>
      </c>
      <c r="D209" s="32" t="s">
        <v>1504</v>
      </c>
      <c r="E209" s="11" t="s">
        <v>33</v>
      </c>
    </row>
    <row r="210">
      <c r="B210" s="32" t="s">
        <v>1503</v>
      </c>
      <c r="C210" s="35" t="s">
        <v>426</v>
      </c>
      <c r="D210" s="32" t="s">
        <v>1507</v>
      </c>
      <c r="E210" s="11" t="s">
        <v>37</v>
      </c>
    </row>
    <row r="211">
      <c r="B211" s="32" t="s">
        <v>1504</v>
      </c>
      <c r="C211" s="35" t="s">
        <v>87</v>
      </c>
      <c r="D211" s="32" t="s">
        <v>1503</v>
      </c>
      <c r="E211" s="68" t="s">
        <v>33</v>
      </c>
    </row>
    <row r="212">
      <c r="B212" s="32" t="s">
        <v>1506</v>
      </c>
      <c r="C212" s="35" t="s">
        <v>274</v>
      </c>
      <c r="D212" s="32" t="s">
        <v>1505</v>
      </c>
      <c r="E212" s="11" t="s">
        <v>37</v>
      </c>
    </row>
    <row r="213">
      <c r="B213" s="32" t="s">
        <v>1504</v>
      </c>
      <c r="C213" s="35" t="s">
        <v>243</v>
      </c>
      <c r="D213" s="32" t="s">
        <v>1505</v>
      </c>
      <c r="E213" s="11" t="s">
        <v>33</v>
      </c>
    </row>
    <row r="214">
      <c r="B214" s="32" t="s">
        <v>1506</v>
      </c>
      <c r="C214" s="35" t="s">
        <v>270</v>
      </c>
      <c r="D214" s="32" t="s">
        <v>1507</v>
      </c>
      <c r="E214" s="11" t="s">
        <v>37</v>
      </c>
    </row>
    <row r="215">
      <c r="B215" s="32" t="s">
        <v>1505</v>
      </c>
      <c r="C215" s="35" t="s">
        <v>22</v>
      </c>
      <c r="D215" s="32" t="s">
        <v>1507</v>
      </c>
      <c r="E215" s="11" t="s">
        <v>33</v>
      </c>
    </row>
    <row r="216">
      <c r="B216" s="32" t="s">
        <v>1503</v>
      </c>
      <c r="C216" s="35" t="s">
        <v>71</v>
      </c>
      <c r="D216" s="32" t="s">
        <v>1506</v>
      </c>
      <c r="E216" s="11" t="s">
        <v>37</v>
      </c>
    </row>
    <row r="217">
      <c r="B217" s="32" t="s">
        <v>1504</v>
      </c>
      <c r="C217" s="35" t="s">
        <v>836</v>
      </c>
      <c r="D217" s="32" t="s">
        <v>1507</v>
      </c>
      <c r="E217" s="11" t="s">
        <v>33</v>
      </c>
    </row>
    <row r="218">
      <c r="B218" s="32" t="s">
        <v>1505</v>
      </c>
      <c r="C218" s="35" t="s">
        <v>18</v>
      </c>
      <c r="D218" s="32" t="s">
        <v>1503</v>
      </c>
      <c r="E218" s="11" t="s">
        <v>37</v>
      </c>
    </row>
    <row r="219">
      <c r="B219" s="32" t="s">
        <v>1504</v>
      </c>
      <c r="C219" s="35" t="s">
        <v>14</v>
      </c>
      <c r="D219" s="32" t="s">
        <v>1506</v>
      </c>
      <c r="E219" s="11" t="s">
        <v>33</v>
      </c>
    </row>
    <row r="220">
      <c r="B220" s="32" t="s">
        <v>1507</v>
      </c>
      <c r="C220" s="35" t="s">
        <v>55</v>
      </c>
      <c r="D220" s="32" t="s">
        <v>1503</v>
      </c>
      <c r="E220" s="11" t="s">
        <v>37</v>
      </c>
    </row>
    <row r="221">
      <c r="B221" s="28" t="s">
        <v>1435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34" t="s">
        <v>1508</v>
      </c>
      <c r="C223" s="33" t="s">
        <v>22</v>
      </c>
      <c r="D223" s="34" t="s">
        <v>1509</v>
      </c>
      <c r="E223" s="11" t="s">
        <v>9</v>
      </c>
    </row>
    <row r="224">
      <c r="B224" s="34" t="s">
        <v>1510</v>
      </c>
      <c r="C224" s="33" t="s">
        <v>64</v>
      </c>
      <c r="D224" s="34" t="s">
        <v>1440</v>
      </c>
      <c r="E224" s="11" t="s">
        <v>13</v>
      </c>
    </row>
    <row r="225">
      <c r="B225" s="34" t="s">
        <v>1510</v>
      </c>
      <c r="C225" s="33" t="s">
        <v>31</v>
      </c>
      <c r="D225" s="34" t="s">
        <v>1509</v>
      </c>
      <c r="E225" s="11" t="s">
        <v>9</v>
      </c>
    </row>
    <row r="226">
      <c r="B226" s="8" t="s">
        <v>1511</v>
      </c>
      <c r="C226" s="33" t="s">
        <v>55</v>
      </c>
      <c r="D226" s="34" t="s">
        <v>1440</v>
      </c>
      <c r="E226" s="11" t="s">
        <v>13</v>
      </c>
    </row>
    <row r="227">
      <c r="B227" s="8" t="s">
        <v>1511</v>
      </c>
      <c r="C227" s="33" t="s">
        <v>43</v>
      </c>
      <c r="D227" s="34" t="s">
        <v>1510</v>
      </c>
      <c r="E227" s="11" t="s">
        <v>9</v>
      </c>
    </row>
    <row r="228">
      <c r="B228" s="34" t="s">
        <v>1440</v>
      </c>
      <c r="C228" s="33" t="s">
        <v>43</v>
      </c>
      <c r="D228" s="34" t="s">
        <v>1508</v>
      </c>
      <c r="E228" s="11" t="s">
        <v>13</v>
      </c>
    </row>
    <row r="229">
      <c r="B229" s="8" t="s">
        <v>1511</v>
      </c>
      <c r="C229" s="33" t="s">
        <v>83</v>
      </c>
      <c r="D229" s="34" t="s">
        <v>1509</v>
      </c>
      <c r="E229" s="11" t="s">
        <v>9</v>
      </c>
    </row>
    <row r="230">
      <c r="B230" s="34" t="s">
        <v>1508</v>
      </c>
      <c r="C230" s="33" t="s">
        <v>65</v>
      </c>
      <c r="D230" s="34" t="s">
        <v>1510</v>
      </c>
      <c r="E230" s="11" t="s">
        <v>13</v>
      </c>
    </row>
    <row r="231">
      <c r="B231" s="34" t="s">
        <v>1440</v>
      </c>
      <c r="C231" s="33" t="s">
        <v>319</v>
      </c>
      <c r="D231" s="34" t="s">
        <v>1509</v>
      </c>
      <c r="E231" s="11" t="s">
        <v>9</v>
      </c>
    </row>
    <row r="232">
      <c r="B232" s="34" t="s">
        <v>1508</v>
      </c>
      <c r="C232" s="33" t="s">
        <v>64</v>
      </c>
      <c r="D232" s="8" t="s">
        <v>1511</v>
      </c>
      <c r="E232" s="11" t="s">
        <v>13</v>
      </c>
    </row>
    <row r="233">
      <c r="B233" s="34" t="s">
        <v>1509</v>
      </c>
      <c r="C233" s="33" t="s">
        <v>22</v>
      </c>
      <c r="D233" s="34" t="s">
        <v>1508</v>
      </c>
      <c r="E233" s="11" t="s">
        <v>9</v>
      </c>
    </row>
    <row r="234">
      <c r="B234" s="34" t="s">
        <v>1440</v>
      </c>
      <c r="C234" s="33" t="s">
        <v>31</v>
      </c>
      <c r="D234" s="34" t="s">
        <v>1510</v>
      </c>
      <c r="E234" s="11" t="s">
        <v>13</v>
      </c>
    </row>
    <row r="235">
      <c r="B235" s="34" t="s">
        <v>1509</v>
      </c>
      <c r="C235" s="35" t="s">
        <v>286</v>
      </c>
      <c r="D235" s="34" t="s">
        <v>1510</v>
      </c>
      <c r="E235" s="11" t="s">
        <v>9</v>
      </c>
    </row>
    <row r="236">
      <c r="B236" s="34" t="s">
        <v>1440</v>
      </c>
      <c r="C236" s="35" t="s">
        <v>17</v>
      </c>
      <c r="D236" s="8" t="s">
        <v>1511</v>
      </c>
      <c r="E236" s="11" t="s">
        <v>13</v>
      </c>
    </row>
    <row r="237">
      <c r="B237" s="34" t="s">
        <v>1510</v>
      </c>
      <c r="C237" s="35" t="s">
        <v>28</v>
      </c>
      <c r="D237" s="8" t="s">
        <v>1511</v>
      </c>
      <c r="E237" s="11" t="s">
        <v>9</v>
      </c>
    </row>
    <row r="238">
      <c r="B238" s="34" t="s">
        <v>1508</v>
      </c>
      <c r="C238" s="35" t="s">
        <v>293</v>
      </c>
      <c r="D238" s="34" t="s">
        <v>1440</v>
      </c>
      <c r="E238" s="11" t="s">
        <v>13</v>
      </c>
    </row>
    <row r="239">
      <c r="B239" s="34" t="s">
        <v>1509</v>
      </c>
      <c r="C239" s="35" t="s">
        <v>267</v>
      </c>
      <c r="D239" s="8" t="s">
        <v>1511</v>
      </c>
      <c r="E239" s="11" t="s">
        <v>9</v>
      </c>
    </row>
    <row r="240">
      <c r="B240" s="34" t="s">
        <v>1510</v>
      </c>
      <c r="C240" s="35" t="s">
        <v>38</v>
      </c>
      <c r="D240" s="34" t="s">
        <v>1508</v>
      </c>
      <c r="E240" s="11" t="s">
        <v>13</v>
      </c>
    </row>
    <row r="241">
      <c r="B241" s="34" t="s">
        <v>1509</v>
      </c>
      <c r="C241" s="35" t="s">
        <v>534</v>
      </c>
      <c r="D241" s="34" t="s">
        <v>1440</v>
      </c>
      <c r="E241" s="11" t="s">
        <v>9</v>
      </c>
    </row>
    <row r="242">
      <c r="B242" s="8" t="s">
        <v>1511</v>
      </c>
      <c r="C242" s="35" t="s">
        <v>544</v>
      </c>
      <c r="D242" s="34" t="s">
        <v>1508</v>
      </c>
      <c r="E242" s="11" t="s">
        <v>13</v>
      </c>
    </row>
    <row r="243">
      <c r="B243" s="28" t="s">
        <v>1441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34" t="s">
        <v>1512</v>
      </c>
      <c r="C245" s="35" t="s">
        <v>201</v>
      </c>
      <c r="D245" s="34" t="s">
        <v>1513</v>
      </c>
      <c r="E245" s="11" t="s">
        <v>9</v>
      </c>
    </row>
    <row r="246">
      <c r="B246" s="34" t="s">
        <v>1514</v>
      </c>
      <c r="C246" s="35" t="s">
        <v>196</v>
      </c>
      <c r="D246" s="34" t="s">
        <v>1515</v>
      </c>
      <c r="E246" s="11" t="s">
        <v>13</v>
      </c>
    </row>
    <row r="247">
      <c r="B247" s="34" t="s">
        <v>1514</v>
      </c>
      <c r="C247" s="35" t="s">
        <v>193</v>
      </c>
      <c r="D247" s="34" t="s">
        <v>1513</v>
      </c>
      <c r="E247" s="11" t="s">
        <v>9</v>
      </c>
    </row>
    <row r="248">
      <c r="B248" s="34" t="s">
        <v>1516</v>
      </c>
      <c r="C248" s="35" t="s">
        <v>81</v>
      </c>
      <c r="D248" s="34" t="s">
        <v>1515</v>
      </c>
      <c r="E248" s="11" t="s">
        <v>13</v>
      </c>
    </row>
    <row r="249">
      <c r="B249" s="34" t="s">
        <v>1516</v>
      </c>
      <c r="C249" s="35" t="s">
        <v>215</v>
      </c>
      <c r="D249" s="34" t="s">
        <v>1514</v>
      </c>
      <c r="E249" s="11" t="s">
        <v>9</v>
      </c>
    </row>
    <row r="250">
      <c r="B250" s="34" t="s">
        <v>1515</v>
      </c>
      <c r="C250" s="35" t="s">
        <v>87</v>
      </c>
      <c r="D250" s="34" t="s">
        <v>1512</v>
      </c>
      <c r="E250" s="11" t="s">
        <v>13</v>
      </c>
    </row>
    <row r="251">
      <c r="B251" s="34" t="s">
        <v>1516</v>
      </c>
      <c r="C251" s="35" t="s">
        <v>780</v>
      </c>
      <c r="D251" s="34" t="s">
        <v>1513</v>
      </c>
      <c r="E251" s="11" t="s">
        <v>9</v>
      </c>
    </row>
    <row r="252">
      <c r="B252" s="34" t="s">
        <v>1512</v>
      </c>
      <c r="C252" s="35" t="s">
        <v>260</v>
      </c>
      <c r="D252" s="34" t="s">
        <v>1514</v>
      </c>
      <c r="E252" s="11" t="s">
        <v>13</v>
      </c>
    </row>
    <row r="253">
      <c r="B253" s="34" t="s">
        <v>1515</v>
      </c>
      <c r="C253" s="35" t="s">
        <v>233</v>
      </c>
      <c r="D253" s="34" t="s">
        <v>1513</v>
      </c>
      <c r="E253" s="11" t="s">
        <v>9</v>
      </c>
    </row>
    <row r="254">
      <c r="B254" s="34" t="s">
        <v>1512</v>
      </c>
      <c r="C254" s="35" t="s">
        <v>212</v>
      </c>
      <c r="D254" s="34" t="s">
        <v>1516</v>
      </c>
      <c r="E254" s="11" t="s">
        <v>13</v>
      </c>
    </row>
    <row r="255">
      <c r="B255" s="34" t="s">
        <v>1513</v>
      </c>
      <c r="C255" s="35" t="s">
        <v>41</v>
      </c>
      <c r="D255" s="34" t="s">
        <v>1512</v>
      </c>
      <c r="E255" s="11" t="s">
        <v>9</v>
      </c>
    </row>
    <row r="256">
      <c r="B256" s="34" t="s">
        <v>1515</v>
      </c>
      <c r="C256" s="35" t="s">
        <v>190</v>
      </c>
      <c r="D256" s="34" t="s">
        <v>1514</v>
      </c>
      <c r="E256" s="11" t="s">
        <v>13</v>
      </c>
    </row>
    <row r="257">
      <c r="B257" s="34" t="s">
        <v>1513</v>
      </c>
      <c r="C257" s="35" t="s">
        <v>81</v>
      </c>
      <c r="D257" s="34" t="s">
        <v>1514</v>
      </c>
      <c r="E257" s="11" t="s">
        <v>9</v>
      </c>
    </row>
    <row r="258">
      <c r="B258" s="34" t="s">
        <v>1515</v>
      </c>
      <c r="C258" s="35" t="s">
        <v>41</v>
      </c>
      <c r="D258" s="34" t="s">
        <v>1516</v>
      </c>
      <c r="E258" s="11" t="s">
        <v>13</v>
      </c>
    </row>
    <row r="259">
      <c r="B259" s="34" t="s">
        <v>1514</v>
      </c>
      <c r="C259" s="35" t="s">
        <v>67</v>
      </c>
      <c r="D259" s="34" t="s">
        <v>1516</v>
      </c>
      <c r="E259" s="11" t="s">
        <v>9</v>
      </c>
    </row>
    <row r="260">
      <c r="B260" s="34" t="s">
        <v>1512</v>
      </c>
      <c r="C260" s="35" t="s">
        <v>534</v>
      </c>
      <c r="D260" s="34" t="s">
        <v>1515</v>
      </c>
      <c r="E260" s="11" t="s">
        <v>13</v>
      </c>
    </row>
    <row r="261">
      <c r="B261" s="34" t="s">
        <v>1513</v>
      </c>
      <c r="C261" s="35" t="s">
        <v>238</v>
      </c>
      <c r="D261" s="34" t="s">
        <v>1516</v>
      </c>
      <c r="E261" s="11" t="s">
        <v>9</v>
      </c>
    </row>
    <row r="262">
      <c r="B262" s="34" t="s">
        <v>1514</v>
      </c>
      <c r="C262" s="35" t="s">
        <v>71</v>
      </c>
      <c r="D262" s="34" t="s">
        <v>1512</v>
      </c>
      <c r="E262" s="11" t="s">
        <v>13</v>
      </c>
    </row>
    <row r="263">
      <c r="B263" s="34" t="s">
        <v>1513</v>
      </c>
      <c r="C263" s="35" t="s">
        <v>64</v>
      </c>
      <c r="D263" s="34" t="s">
        <v>1515</v>
      </c>
      <c r="E263" s="11" t="s">
        <v>9</v>
      </c>
    </row>
    <row r="264">
      <c r="B264" s="34" t="s">
        <v>1516</v>
      </c>
      <c r="C264" s="35" t="s">
        <v>282</v>
      </c>
      <c r="D264" s="34" t="s">
        <v>1512</v>
      </c>
      <c r="E264" s="11" t="s">
        <v>13</v>
      </c>
    </row>
    <row r="265">
      <c r="B265" s="28" t="s">
        <v>1448</v>
      </c>
      <c r="C265" s="2"/>
      <c r="D265" s="3"/>
      <c r="E265" s="2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34" t="s">
        <v>1517</v>
      </c>
      <c r="C267" s="35" t="s">
        <v>238</v>
      </c>
      <c r="D267" s="34" t="s">
        <v>1452</v>
      </c>
      <c r="E267" s="11" t="s">
        <v>33</v>
      </c>
    </row>
    <row r="268">
      <c r="B268" s="34" t="s">
        <v>1518</v>
      </c>
      <c r="C268" s="35" t="s">
        <v>65</v>
      </c>
      <c r="D268" s="34" t="s">
        <v>605</v>
      </c>
      <c r="E268" s="11" t="s">
        <v>37</v>
      </c>
    </row>
    <row r="269">
      <c r="B269" s="34" t="s">
        <v>1518</v>
      </c>
      <c r="C269" s="35" t="s">
        <v>88</v>
      </c>
      <c r="D269" s="34" t="s">
        <v>1452</v>
      </c>
      <c r="E269" s="11" t="s">
        <v>33</v>
      </c>
    </row>
    <row r="270">
      <c r="B270" s="34" t="s">
        <v>1519</v>
      </c>
      <c r="C270" s="35" t="s">
        <v>81</v>
      </c>
      <c r="D270" s="34" t="s">
        <v>605</v>
      </c>
      <c r="E270" s="11" t="s">
        <v>37</v>
      </c>
    </row>
    <row r="271">
      <c r="B271" s="34" t="s">
        <v>1519</v>
      </c>
      <c r="C271" s="35" t="s">
        <v>328</v>
      </c>
      <c r="D271" s="34" t="s">
        <v>1518</v>
      </c>
      <c r="E271" s="11" t="s">
        <v>33</v>
      </c>
    </row>
    <row r="272">
      <c r="B272" s="34" t="s">
        <v>605</v>
      </c>
      <c r="C272" s="35" t="s">
        <v>260</v>
      </c>
      <c r="D272" s="34" t="s">
        <v>1517</v>
      </c>
      <c r="E272" s="11" t="s">
        <v>37</v>
      </c>
    </row>
    <row r="273">
      <c r="B273" s="34" t="s">
        <v>1519</v>
      </c>
      <c r="C273" s="35" t="s">
        <v>82</v>
      </c>
      <c r="D273" s="34" t="s">
        <v>1452</v>
      </c>
      <c r="E273" s="11" t="s">
        <v>33</v>
      </c>
    </row>
    <row r="274">
      <c r="B274" s="34" t="s">
        <v>1517</v>
      </c>
      <c r="C274" s="35" t="s">
        <v>41</v>
      </c>
      <c r="D274" s="34" t="s">
        <v>1518</v>
      </c>
      <c r="E274" s="11" t="s">
        <v>37</v>
      </c>
    </row>
    <row r="275">
      <c r="B275" s="34" t="s">
        <v>605</v>
      </c>
      <c r="C275" s="35" t="s">
        <v>283</v>
      </c>
      <c r="D275" s="34" t="s">
        <v>1452</v>
      </c>
      <c r="E275" s="11" t="s">
        <v>33</v>
      </c>
    </row>
    <row r="276">
      <c r="B276" s="34" t="s">
        <v>1517</v>
      </c>
      <c r="C276" s="35" t="s">
        <v>14</v>
      </c>
      <c r="D276" s="34" t="s">
        <v>1519</v>
      </c>
      <c r="E276" s="11" t="s">
        <v>37</v>
      </c>
    </row>
    <row r="277">
      <c r="B277" s="34" t="s">
        <v>1452</v>
      </c>
      <c r="C277" s="35" t="s">
        <v>82</v>
      </c>
      <c r="D277" s="34" t="s">
        <v>1517</v>
      </c>
      <c r="E277" s="11" t="s">
        <v>33</v>
      </c>
    </row>
    <row r="278">
      <c r="B278" s="34" t="s">
        <v>605</v>
      </c>
      <c r="C278" s="35" t="s">
        <v>31</v>
      </c>
      <c r="D278" s="34" t="s">
        <v>1518</v>
      </c>
      <c r="E278" s="11" t="s">
        <v>37</v>
      </c>
    </row>
    <row r="279">
      <c r="B279" s="34" t="s">
        <v>1452</v>
      </c>
      <c r="C279" s="35" t="s">
        <v>196</v>
      </c>
      <c r="D279" s="34" t="s">
        <v>1518</v>
      </c>
      <c r="E279" s="11" t="s">
        <v>33</v>
      </c>
    </row>
    <row r="280">
      <c r="B280" s="34" t="s">
        <v>605</v>
      </c>
      <c r="C280" s="35" t="s">
        <v>68</v>
      </c>
      <c r="D280" s="34" t="s">
        <v>1519</v>
      </c>
      <c r="E280" s="11" t="s">
        <v>37</v>
      </c>
    </row>
    <row r="281">
      <c r="B281" s="34" t="s">
        <v>1518</v>
      </c>
      <c r="C281" s="35" t="s">
        <v>20</v>
      </c>
      <c r="D281" s="34" t="s">
        <v>1519</v>
      </c>
      <c r="E281" s="11" t="s">
        <v>33</v>
      </c>
    </row>
    <row r="282">
      <c r="B282" s="34" t="s">
        <v>1517</v>
      </c>
      <c r="C282" s="35" t="s">
        <v>494</v>
      </c>
      <c r="D282" s="34" t="s">
        <v>605</v>
      </c>
      <c r="E282" s="11" t="s">
        <v>37</v>
      </c>
    </row>
    <row r="283">
      <c r="B283" s="34" t="s">
        <v>1452</v>
      </c>
      <c r="C283" s="35" t="s">
        <v>43</v>
      </c>
      <c r="D283" s="34" t="s">
        <v>1519</v>
      </c>
      <c r="E283" s="11" t="s">
        <v>33</v>
      </c>
    </row>
    <row r="284">
      <c r="B284" s="34" t="s">
        <v>1518</v>
      </c>
      <c r="C284" s="35" t="s">
        <v>283</v>
      </c>
      <c r="D284" s="34" t="s">
        <v>1517</v>
      </c>
      <c r="E284" s="11" t="s">
        <v>37</v>
      </c>
    </row>
    <row r="285">
      <c r="B285" s="34" t="s">
        <v>1452</v>
      </c>
      <c r="C285" s="35" t="s">
        <v>19</v>
      </c>
      <c r="D285" s="34" t="s">
        <v>605</v>
      </c>
      <c r="E285" s="11" t="s">
        <v>33</v>
      </c>
    </row>
    <row r="286">
      <c r="B286" s="34" t="s">
        <v>1519</v>
      </c>
      <c r="C286" s="35" t="s">
        <v>535</v>
      </c>
      <c r="D286" s="34" t="s">
        <v>1517</v>
      </c>
      <c r="E286" s="11" t="s">
        <v>37</v>
      </c>
    </row>
    <row r="287">
      <c r="B287" s="28" t="s">
        <v>145</v>
      </c>
      <c r="C287" s="2"/>
      <c r="D287" s="3"/>
      <c r="E287" s="2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34" t="s">
        <v>1520</v>
      </c>
      <c r="C289" s="35" t="s">
        <v>566</v>
      </c>
      <c r="D289" s="34" t="s">
        <v>1078</v>
      </c>
      <c r="E289" s="11" t="s">
        <v>33</v>
      </c>
    </row>
    <row r="290">
      <c r="B290" s="34" t="s">
        <v>874</v>
      </c>
      <c r="C290" s="35" t="s">
        <v>733</v>
      </c>
      <c r="D290" s="34" t="s">
        <v>1238</v>
      </c>
      <c r="E290" s="11" t="s">
        <v>37</v>
      </c>
    </row>
    <row r="291">
      <c r="B291" s="34" t="s">
        <v>874</v>
      </c>
      <c r="C291" s="35" t="s">
        <v>1521</v>
      </c>
      <c r="D291" s="34" t="s">
        <v>1078</v>
      </c>
      <c r="E291" s="11" t="s">
        <v>33</v>
      </c>
    </row>
    <row r="292">
      <c r="B292" s="34" t="s">
        <v>1522</v>
      </c>
      <c r="C292" s="35" t="s">
        <v>428</v>
      </c>
      <c r="D292" s="34" t="s">
        <v>1238</v>
      </c>
      <c r="E292" s="11" t="s">
        <v>37</v>
      </c>
    </row>
    <row r="293">
      <c r="B293" s="34" t="s">
        <v>1522</v>
      </c>
      <c r="C293" s="35" t="s">
        <v>28</v>
      </c>
      <c r="D293" s="34" t="s">
        <v>874</v>
      </c>
      <c r="E293" s="11" t="s">
        <v>33</v>
      </c>
    </row>
    <row r="294">
      <c r="B294" s="34" t="s">
        <v>1238</v>
      </c>
      <c r="C294" s="35" t="s">
        <v>194</v>
      </c>
      <c r="D294" s="34" t="s">
        <v>1520</v>
      </c>
      <c r="E294" s="11" t="s">
        <v>37</v>
      </c>
    </row>
    <row r="295">
      <c r="B295" s="34" t="s">
        <v>1522</v>
      </c>
      <c r="C295" s="35" t="s">
        <v>416</v>
      </c>
      <c r="D295" s="34" t="s">
        <v>1078</v>
      </c>
      <c r="E295" s="11" t="s">
        <v>33</v>
      </c>
    </row>
    <row r="296">
      <c r="B296" s="34" t="s">
        <v>1520</v>
      </c>
      <c r="C296" s="35" t="s">
        <v>72</v>
      </c>
      <c r="D296" s="34" t="s">
        <v>874</v>
      </c>
      <c r="E296" s="11" t="s">
        <v>37</v>
      </c>
    </row>
    <row r="297">
      <c r="B297" s="34" t="s">
        <v>1238</v>
      </c>
      <c r="C297" s="35" t="s">
        <v>302</v>
      </c>
      <c r="D297" s="34" t="s">
        <v>1078</v>
      </c>
      <c r="E297" s="11" t="s">
        <v>33</v>
      </c>
    </row>
    <row r="298">
      <c r="B298" s="34" t="s">
        <v>1520</v>
      </c>
      <c r="C298" s="35" t="s">
        <v>25</v>
      </c>
      <c r="D298" s="34" t="s">
        <v>1522</v>
      </c>
      <c r="E298" s="11" t="s">
        <v>37</v>
      </c>
    </row>
    <row r="299">
      <c r="B299" s="34" t="s">
        <v>1078</v>
      </c>
      <c r="C299" s="35" t="s">
        <v>65</v>
      </c>
      <c r="D299" s="34" t="s">
        <v>1520</v>
      </c>
      <c r="E299" s="11" t="s">
        <v>33</v>
      </c>
    </row>
    <row r="300">
      <c r="B300" s="34" t="s">
        <v>1238</v>
      </c>
      <c r="C300" s="35" t="s">
        <v>52</v>
      </c>
      <c r="D300" s="34" t="s">
        <v>874</v>
      </c>
      <c r="E300" s="11" t="s">
        <v>37</v>
      </c>
    </row>
    <row r="301">
      <c r="B301" s="34" t="s">
        <v>1078</v>
      </c>
      <c r="C301" s="35" t="s">
        <v>21</v>
      </c>
      <c r="D301" s="34" t="s">
        <v>874</v>
      </c>
      <c r="E301" s="11" t="s">
        <v>33</v>
      </c>
    </row>
    <row r="302">
      <c r="B302" s="34" t="s">
        <v>1238</v>
      </c>
      <c r="C302" s="35" t="s">
        <v>17</v>
      </c>
      <c r="D302" s="34" t="s">
        <v>1522</v>
      </c>
      <c r="E302" s="11" t="s">
        <v>37</v>
      </c>
    </row>
    <row r="303">
      <c r="B303" s="34" t="s">
        <v>874</v>
      </c>
      <c r="C303" s="35" t="s">
        <v>218</v>
      </c>
      <c r="D303" s="34" t="s">
        <v>1522</v>
      </c>
      <c r="E303" s="11" t="s">
        <v>33</v>
      </c>
    </row>
    <row r="304">
      <c r="B304" s="34" t="s">
        <v>1520</v>
      </c>
      <c r="C304" s="35" t="s">
        <v>22</v>
      </c>
      <c r="D304" s="34" t="s">
        <v>1238</v>
      </c>
      <c r="E304" s="11" t="s">
        <v>37</v>
      </c>
    </row>
    <row r="305">
      <c r="B305" s="34" t="s">
        <v>1078</v>
      </c>
      <c r="C305" s="35" t="s">
        <v>58</v>
      </c>
      <c r="D305" s="34" t="s">
        <v>1522</v>
      </c>
      <c r="E305" s="11" t="s">
        <v>33</v>
      </c>
    </row>
    <row r="306">
      <c r="B306" s="34" t="s">
        <v>874</v>
      </c>
      <c r="C306" s="35" t="s">
        <v>19</v>
      </c>
      <c r="D306" s="34" t="s">
        <v>1520</v>
      </c>
      <c r="E306" s="11" t="s">
        <v>37</v>
      </c>
    </row>
    <row r="307">
      <c r="B307" s="34" t="s">
        <v>1078</v>
      </c>
      <c r="C307" s="35" t="s">
        <v>82</v>
      </c>
      <c r="D307" s="34" t="s">
        <v>1238</v>
      </c>
      <c r="E307" s="11" t="s">
        <v>33</v>
      </c>
    </row>
    <row r="308">
      <c r="B308" s="34" t="s">
        <v>1522</v>
      </c>
      <c r="C308" s="35" t="s">
        <v>71</v>
      </c>
      <c r="D308" s="34" t="s">
        <v>1520</v>
      </c>
      <c r="E308" s="11" t="s">
        <v>37</v>
      </c>
    </row>
    <row r="309">
      <c r="B309" s="28" t="s">
        <v>1456</v>
      </c>
      <c r="C309" s="2"/>
      <c r="D309" s="3"/>
      <c r="E309" s="2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34" t="s">
        <v>1523</v>
      </c>
      <c r="C311" s="33" t="s">
        <v>64</v>
      </c>
      <c r="D311" s="34" t="s">
        <v>1524</v>
      </c>
      <c r="E311" s="11" t="s">
        <v>9</v>
      </c>
    </row>
    <row r="312">
      <c r="B312" s="34" t="s">
        <v>1525</v>
      </c>
      <c r="C312" s="33" t="s">
        <v>11</v>
      </c>
      <c r="D312" s="34" t="s">
        <v>1526</v>
      </c>
      <c r="E312" s="11" t="s">
        <v>13</v>
      </c>
    </row>
    <row r="313">
      <c r="B313" s="34" t="s">
        <v>1525</v>
      </c>
      <c r="C313" s="33" t="s">
        <v>43</v>
      </c>
      <c r="D313" s="34" t="s">
        <v>1524</v>
      </c>
      <c r="E313" s="11" t="s">
        <v>9</v>
      </c>
    </row>
    <row r="314">
      <c r="B314" s="34" t="s">
        <v>1527</v>
      </c>
      <c r="C314" s="33" t="s">
        <v>19</v>
      </c>
      <c r="D314" s="34" t="s">
        <v>1526</v>
      </c>
      <c r="E314" s="11" t="s">
        <v>13</v>
      </c>
    </row>
    <row r="315">
      <c r="B315" s="34" t="s">
        <v>1527</v>
      </c>
      <c r="C315" s="33" t="s">
        <v>321</v>
      </c>
      <c r="D315" s="34" t="s">
        <v>1525</v>
      </c>
      <c r="E315" s="11" t="s">
        <v>9</v>
      </c>
    </row>
    <row r="316">
      <c r="B316" s="34" t="s">
        <v>1526</v>
      </c>
      <c r="C316" s="33" t="s">
        <v>66</v>
      </c>
      <c r="D316" s="34" t="s">
        <v>1523</v>
      </c>
      <c r="E316" s="11" t="s">
        <v>13</v>
      </c>
    </row>
    <row r="317">
      <c r="B317" s="34" t="s">
        <v>1527</v>
      </c>
      <c r="C317" s="33" t="s">
        <v>232</v>
      </c>
      <c r="D317" s="34" t="s">
        <v>1524</v>
      </c>
      <c r="E317" s="11" t="s">
        <v>9</v>
      </c>
    </row>
    <row r="318">
      <c r="B318" s="34" t="s">
        <v>1523</v>
      </c>
      <c r="C318" s="33" t="s">
        <v>251</v>
      </c>
      <c r="D318" s="34" t="s">
        <v>1525</v>
      </c>
      <c r="E318" s="11" t="s">
        <v>13</v>
      </c>
    </row>
    <row r="319">
      <c r="B319" s="34" t="s">
        <v>1526</v>
      </c>
      <c r="C319" s="33" t="s">
        <v>25</v>
      </c>
      <c r="D319" s="34" t="s">
        <v>1524</v>
      </c>
      <c r="E319" s="11" t="s">
        <v>9</v>
      </c>
    </row>
    <row r="320">
      <c r="B320" s="34" t="s">
        <v>1523</v>
      </c>
      <c r="C320" s="33" t="s">
        <v>87</v>
      </c>
      <c r="D320" s="34" t="s">
        <v>1527</v>
      </c>
      <c r="E320" s="11" t="s">
        <v>13</v>
      </c>
    </row>
    <row r="321">
      <c r="B321" s="34" t="s">
        <v>1524</v>
      </c>
      <c r="C321" s="33" t="s">
        <v>43</v>
      </c>
      <c r="D321" s="34" t="s">
        <v>1523</v>
      </c>
      <c r="E321" s="11" t="s">
        <v>9</v>
      </c>
    </row>
    <row r="322">
      <c r="B322" s="34" t="s">
        <v>1526</v>
      </c>
      <c r="C322" s="33" t="s">
        <v>35</v>
      </c>
      <c r="D322" s="34" t="s">
        <v>1525</v>
      </c>
      <c r="E322" s="11" t="s">
        <v>13</v>
      </c>
    </row>
    <row r="323">
      <c r="B323" s="34" t="s">
        <v>1524</v>
      </c>
      <c r="C323" s="35" t="s">
        <v>17</v>
      </c>
      <c r="D323" s="34" t="s">
        <v>1525</v>
      </c>
      <c r="E323" s="11" t="s">
        <v>9</v>
      </c>
    </row>
    <row r="324">
      <c r="B324" s="34" t="s">
        <v>1526</v>
      </c>
      <c r="C324" s="35" t="s">
        <v>16</v>
      </c>
      <c r="D324" s="34" t="s">
        <v>1527</v>
      </c>
      <c r="E324" s="11" t="s">
        <v>13</v>
      </c>
    </row>
    <row r="325">
      <c r="B325" s="34" t="s">
        <v>1525</v>
      </c>
      <c r="C325" s="35" t="s">
        <v>286</v>
      </c>
      <c r="D325" s="34" t="s">
        <v>1527</v>
      </c>
      <c r="E325" s="11" t="s">
        <v>9</v>
      </c>
    </row>
    <row r="326">
      <c r="B326" s="34" t="s">
        <v>1523</v>
      </c>
      <c r="C326" s="35" t="s">
        <v>231</v>
      </c>
      <c r="D326" s="34" t="s">
        <v>1526</v>
      </c>
      <c r="E326" s="11" t="s">
        <v>13</v>
      </c>
    </row>
    <row r="327">
      <c r="B327" s="34" t="s">
        <v>1524</v>
      </c>
      <c r="C327" s="35" t="s">
        <v>58</v>
      </c>
      <c r="D327" s="34" t="s">
        <v>1527</v>
      </c>
      <c r="E327" s="11" t="s">
        <v>9</v>
      </c>
    </row>
    <row r="328">
      <c r="B328" s="34" t="s">
        <v>1525</v>
      </c>
      <c r="C328" s="35" t="s">
        <v>25</v>
      </c>
      <c r="D328" s="34" t="s">
        <v>1523</v>
      </c>
      <c r="E328" s="11" t="s">
        <v>13</v>
      </c>
    </row>
    <row r="329">
      <c r="B329" s="34" t="s">
        <v>1524</v>
      </c>
      <c r="C329" s="35" t="s">
        <v>17</v>
      </c>
      <c r="D329" s="34" t="s">
        <v>1526</v>
      </c>
      <c r="E329" s="11" t="s">
        <v>9</v>
      </c>
    </row>
    <row r="330">
      <c r="B330" s="34" t="s">
        <v>1527</v>
      </c>
      <c r="C330" s="35" t="s">
        <v>195</v>
      </c>
      <c r="D330" s="34" t="s">
        <v>1523</v>
      </c>
      <c r="E330" s="11" t="s">
        <v>13</v>
      </c>
    </row>
    <row r="331">
      <c r="B331" s="28" t="s">
        <v>1463</v>
      </c>
      <c r="C331" s="2"/>
      <c r="D331" s="3"/>
      <c r="E331" s="2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34" t="s">
        <v>720</v>
      </c>
      <c r="C333" s="35" t="s">
        <v>815</v>
      </c>
      <c r="D333" s="34" t="s">
        <v>213</v>
      </c>
      <c r="E333" s="11" t="s">
        <v>33</v>
      </c>
    </row>
    <row r="334">
      <c r="B334" s="34" t="s">
        <v>623</v>
      </c>
      <c r="C334" s="35" t="s">
        <v>48</v>
      </c>
      <c r="D334" s="34" t="s">
        <v>502</v>
      </c>
      <c r="E334" s="11" t="s">
        <v>37</v>
      </c>
    </row>
    <row r="335">
      <c r="B335" s="34" t="s">
        <v>623</v>
      </c>
      <c r="C335" s="35" t="s">
        <v>68</v>
      </c>
      <c r="D335" s="34" t="s">
        <v>213</v>
      </c>
      <c r="E335" s="11" t="s">
        <v>33</v>
      </c>
    </row>
    <row r="336">
      <c r="B336" s="34" t="s">
        <v>1528</v>
      </c>
      <c r="C336" s="35" t="s">
        <v>187</v>
      </c>
      <c r="D336" s="34" t="s">
        <v>502</v>
      </c>
      <c r="E336" s="11" t="s">
        <v>37</v>
      </c>
    </row>
    <row r="337">
      <c r="B337" s="34" t="s">
        <v>1528</v>
      </c>
      <c r="C337" s="35" t="s">
        <v>81</v>
      </c>
      <c r="D337" s="34" t="s">
        <v>623</v>
      </c>
      <c r="E337" s="11" t="s">
        <v>33</v>
      </c>
    </row>
    <row r="338">
      <c r="B338" s="34" t="s">
        <v>502</v>
      </c>
      <c r="C338" s="35" t="s">
        <v>48</v>
      </c>
      <c r="D338" s="34" t="s">
        <v>720</v>
      </c>
      <c r="E338" s="11" t="s">
        <v>37</v>
      </c>
    </row>
    <row r="339">
      <c r="B339" s="34" t="s">
        <v>1528</v>
      </c>
      <c r="C339" s="35" t="s">
        <v>751</v>
      </c>
      <c r="D339" s="34" t="s">
        <v>213</v>
      </c>
      <c r="E339" s="11" t="s">
        <v>33</v>
      </c>
    </row>
    <row r="340">
      <c r="B340" s="34" t="s">
        <v>720</v>
      </c>
      <c r="C340" s="35" t="s">
        <v>218</v>
      </c>
      <c r="D340" s="34" t="s">
        <v>623</v>
      </c>
      <c r="E340" s="11" t="s">
        <v>37</v>
      </c>
    </row>
    <row r="341">
      <c r="B341" s="34" t="s">
        <v>502</v>
      </c>
      <c r="C341" s="35" t="s">
        <v>893</v>
      </c>
      <c r="D341" s="34" t="s">
        <v>213</v>
      </c>
      <c r="E341" s="11" t="s">
        <v>33</v>
      </c>
    </row>
    <row r="342">
      <c r="B342" s="34" t="s">
        <v>720</v>
      </c>
      <c r="C342" s="35" t="s">
        <v>72</v>
      </c>
      <c r="D342" s="34" t="s">
        <v>1528</v>
      </c>
      <c r="E342" s="11" t="s">
        <v>37</v>
      </c>
    </row>
    <row r="343">
      <c r="B343" s="34" t="s">
        <v>213</v>
      </c>
      <c r="C343" s="35" t="s">
        <v>289</v>
      </c>
      <c r="D343" s="34" t="s">
        <v>720</v>
      </c>
      <c r="E343" s="11" t="s">
        <v>33</v>
      </c>
    </row>
    <row r="344">
      <c r="B344" s="34" t="s">
        <v>502</v>
      </c>
      <c r="C344" s="35" t="s">
        <v>88</v>
      </c>
      <c r="D344" s="34" t="s">
        <v>623</v>
      </c>
      <c r="E344" s="11" t="s">
        <v>37</v>
      </c>
    </row>
    <row r="345">
      <c r="B345" s="34" t="s">
        <v>213</v>
      </c>
      <c r="C345" s="35" t="s">
        <v>1529</v>
      </c>
      <c r="D345" s="34" t="s">
        <v>623</v>
      </c>
      <c r="E345" s="11" t="s">
        <v>33</v>
      </c>
    </row>
    <row r="346">
      <c r="B346" s="34" t="s">
        <v>502</v>
      </c>
      <c r="C346" s="35" t="s">
        <v>68</v>
      </c>
      <c r="D346" s="34" t="s">
        <v>1528</v>
      </c>
      <c r="E346" s="11" t="s">
        <v>37</v>
      </c>
    </row>
    <row r="347">
      <c r="B347" s="34" t="s">
        <v>623</v>
      </c>
      <c r="C347" s="35" t="s">
        <v>201</v>
      </c>
      <c r="D347" s="34" t="s">
        <v>1528</v>
      </c>
      <c r="E347" s="11" t="s">
        <v>33</v>
      </c>
    </row>
    <row r="348">
      <c r="B348" s="34" t="s">
        <v>720</v>
      </c>
      <c r="C348" s="35" t="s">
        <v>194</v>
      </c>
      <c r="D348" s="34" t="s">
        <v>502</v>
      </c>
      <c r="E348" s="11" t="s">
        <v>37</v>
      </c>
    </row>
    <row r="349">
      <c r="B349" s="34" t="s">
        <v>213</v>
      </c>
      <c r="C349" s="35" t="s">
        <v>201</v>
      </c>
      <c r="D349" s="34" t="s">
        <v>1528</v>
      </c>
      <c r="E349" s="11" t="s">
        <v>33</v>
      </c>
    </row>
    <row r="350">
      <c r="B350" s="34" t="s">
        <v>623</v>
      </c>
      <c r="C350" s="35" t="s">
        <v>66</v>
      </c>
      <c r="D350" s="34" t="s">
        <v>720</v>
      </c>
      <c r="E350" s="11" t="s">
        <v>37</v>
      </c>
    </row>
    <row r="351">
      <c r="B351" s="34" t="s">
        <v>213</v>
      </c>
      <c r="C351" s="35" t="s">
        <v>370</v>
      </c>
      <c r="D351" s="34" t="s">
        <v>502</v>
      </c>
      <c r="E351" s="11" t="s">
        <v>33</v>
      </c>
    </row>
    <row r="352">
      <c r="B352" s="34" t="s">
        <v>1528</v>
      </c>
      <c r="C352" s="35" t="s">
        <v>260</v>
      </c>
      <c r="D352" s="34" t="s">
        <v>720</v>
      </c>
      <c r="E352" s="11" t="s">
        <v>37</v>
      </c>
    </row>
    <row r="353">
      <c r="B353" s="31"/>
      <c r="C353" s="31"/>
      <c r="D353" s="31"/>
      <c r="E353" s="31"/>
      <c r="I353" s="36" t="s">
        <v>242</v>
      </c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</hyperlinks>
  <drawing r:id="rId320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 t="s">
        <v>663</v>
      </c>
      <c r="B1" s="1" t="s">
        <v>0</v>
      </c>
      <c r="C1" s="2"/>
      <c r="D1" s="3"/>
      <c r="E1" s="29"/>
    </row>
    <row r="2">
      <c r="A2" s="66"/>
      <c r="B2" s="6" t="s">
        <v>2</v>
      </c>
      <c r="C2" s="6" t="s">
        <v>3</v>
      </c>
      <c r="D2" s="6" t="s">
        <v>4</v>
      </c>
      <c r="E2" s="6" t="s">
        <v>5</v>
      </c>
    </row>
    <row r="3">
      <c r="A3" s="66"/>
      <c r="B3" s="32" t="s">
        <v>171</v>
      </c>
      <c r="C3" s="35" t="s">
        <v>201</v>
      </c>
      <c r="D3" s="34" t="s">
        <v>1319</v>
      </c>
      <c r="E3" s="11" t="s">
        <v>33</v>
      </c>
    </row>
    <row r="4">
      <c r="A4" s="66"/>
      <c r="B4" s="32" t="s">
        <v>958</v>
      </c>
      <c r="C4" s="35" t="s">
        <v>44</v>
      </c>
      <c r="D4" s="32" t="s">
        <v>1530</v>
      </c>
      <c r="E4" s="11" t="s">
        <v>37</v>
      </c>
    </row>
    <row r="5">
      <c r="A5" s="66"/>
      <c r="B5" s="34" t="s">
        <v>959</v>
      </c>
      <c r="C5" s="35" t="s">
        <v>260</v>
      </c>
      <c r="D5" s="32" t="s">
        <v>171</v>
      </c>
      <c r="E5" s="11" t="s">
        <v>33</v>
      </c>
    </row>
    <row r="6">
      <c r="A6" s="66"/>
      <c r="B6" s="32" t="s">
        <v>958</v>
      </c>
      <c r="C6" s="35" t="s">
        <v>232</v>
      </c>
      <c r="D6" s="34" t="s">
        <v>1319</v>
      </c>
      <c r="E6" s="11" t="s">
        <v>37</v>
      </c>
    </row>
    <row r="7">
      <c r="A7" s="66"/>
      <c r="B7" s="34" t="s">
        <v>959</v>
      </c>
      <c r="C7" s="35" t="s">
        <v>726</v>
      </c>
      <c r="D7" s="32" t="s">
        <v>1530</v>
      </c>
      <c r="E7" s="11" t="s">
        <v>33</v>
      </c>
    </row>
    <row r="8">
      <c r="A8" s="66"/>
      <c r="B8" s="32" t="s">
        <v>958</v>
      </c>
      <c r="C8" s="35" t="s">
        <v>716</v>
      </c>
      <c r="D8" s="32" t="s">
        <v>171</v>
      </c>
      <c r="E8" s="11" t="s">
        <v>37</v>
      </c>
    </row>
    <row r="9">
      <c r="A9" s="66"/>
      <c r="B9" s="34" t="s">
        <v>959</v>
      </c>
      <c r="C9" s="35" t="s">
        <v>370</v>
      </c>
      <c r="D9" s="34" t="s">
        <v>1319</v>
      </c>
      <c r="E9" s="11" t="s">
        <v>33</v>
      </c>
    </row>
    <row r="10">
      <c r="A10" s="66"/>
      <c r="B10" s="32" t="s">
        <v>1530</v>
      </c>
      <c r="C10" s="35" t="s">
        <v>319</v>
      </c>
      <c r="D10" s="32" t="s">
        <v>171</v>
      </c>
      <c r="E10" s="11" t="s">
        <v>37</v>
      </c>
    </row>
    <row r="11">
      <c r="A11" s="66"/>
      <c r="B11" s="34" t="s">
        <v>959</v>
      </c>
      <c r="C11" s="35" t="s">
        <v>218</v>
      </c>
      <c r="D11" s="32" t="s">
        <v>958</v>
      </c>
      <c r="E11" s="11" t="s">
        <v>33</v>
      </c>
    </row>
    <row r="12">
      <c r="A12" s="66"/>
      <c r="B12" s="32" t="s">
        <v>1530</v>
      </c>
      <c r="C12" s="35" t="s">
        <v>268</v>
      </c>
      <c r="D12" s="34" t="s">
        <v>1319</v>
      </c>
      <c r="E12" s="11" t="s">
        <v>37</v>
      </c>
    </row>
    <row r="13">
      <c r="A13" s="66"/>
      <c r="B13" s="34" t="s">
        <v>1319</v>
      </c>
      <c r="C13" s="35" t="s">
        <v>87</v>
      </c>
      <c r="D13" s="32" t="s">
        <v>171</v>
      </c>
      <c r="E13" s="11" t="s">
        <v>33</v>
      </c>
    </row>
    <row r="14">
      <c r="A14" s="66"/>
      <c r="B14" s="32" t="s">
        <v>1530</v>
      </c>
      <c r="C14" s="35" t="s">
        <v>260</v>
      </c>
      <c r="D14" s="32" t="s">
        <v>958</v>
      </c>
      <c r="E14" s="11" t="s">
        <v>37</v>
      </c>
    </row>
    <row r="15">
      <c r="A15" s="66"/>
      <c r="B15" s="32" t="s">
        <v>171</v>
      </c>
      <c r="C15" s="35" t="s">
        <v>282</v>
      </c>
      <c r="D15" s="34" t="s">
        <v>959</v>
      </c>
      <c r="E15" s="11" t="s">
        <v>33</v>
      </c>
    </row>
    <row r="16">
      <c r="A16" s="66"/>
      <c r="B16" s="34" t="s">
        <v>1319</v>
      </c>
      <c r="C16" s="35" t="s">
        <v>55</v>
      </c>
      <c r="D16" s="32" t="s">
        <v>958</v>
      </c>
      <c r="E16" s="11" t="s">
        <v>37</v>
      </c>
    </row>
    <row r="17">
      <c r="A17" s="66"/>
      <c r="B17" s="32" t="s">
        <v>1530</v>
      </c>
      <c r="C17" s="35" t="s">
        <v>297</v>
      </c>
      <c r="D17" s="34" t="s">
        <v>959</v>
      </c>
      <c r="E17" s="11" t="s">
        <v>33</v>
      </c>
    </row>
    <row r="18">
      <c r="A18" s="66"/>
      <c r="B18" s="32" t="s">
        <v>171</v>
      </c>
      <c r="C18" s="35" t="s">
        <v>72</v>
      </c>
      <c r="D18" s="32" t="s">
        <v>958</v>
      </c>
      <c r="E18" s="11" t="s">
        <v>37</v>
      </c>
    </row>
    <row r="19">
      <c r="A19" s="66"/>
      <c r="B19" s="34" t="s">
        <v>1319</v>
      </c>
      <c r="C19" s="35" t="s">
        <v>544</v>
      </c>
      <c r="D19" s="34" t="s">
        <v>959</v>
      </c>
      <c r="E19" s="11" t="s">
        <v>33</v>
      </c>
    </row>
    <row r="20">
      <c r="A20" s="66"/>
      <c r="B20" s="32" t="s">
        <v>171</v>
      </c>
      <c r="C20" s="35" t="s">
        <v>27</v>
      </c>
      <c r="D20" s="32" t="s">
        <v>1530</v>
      </c>
      <c r="E20" s="11" t="s">
        <v>37</v>
      </c>
    </row>
    <row r="21">
      <c r="A21" s="66"/>
      <c r="B21" s="32" t="s">
        <v>958</v>
      </c>
      <c r="C21" s="35" t="s">
        <v>49</v>
      </c>
      <c r="D21" s="34" t="s">
        <v>959</v>
      </c>
      <c r="E21" s="11" t="s">
        <v>33</v>
      </c>
    </row>
    <row r="22">
      <c r="A22" s="66"/>
      <c r="B22" s="34" t="s">
        <v>1319</v>
      </c>
      <c r="C22" s="35" t="s">
        <v>250</v>
      </c>
      <c r="D22" s="32" t="s">
        <v>1530</v>
      </c>
      <c r="E22" s="11" t="s">
        <v>37</v>
      </c>
    </row>
    <row r="23">
      <c r="A23" s="66"/>
      <c r="B23" s="1" t="s">
        <v>1321</v>
      </c>
      <c r="C23" s="2"/>
      <c r="D23" s="3"/>
      <c r="E23" s="48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1531</v>
      </c>
      <c r="C25" s="33" t="s">
        <v>78</v>
      </c>
      <c r="D25" s="32" t="s">
        <v>1532</v>
      </c>
      <c r="E25" s="11" t="s">
        <v>9</v>
      </c>
    </row>
    <row r="26">
      <c r="A26" s="66"/>
      <c r="B26" s="32" t="s">
        <v>1533</v>
      </c>
      <c r="C26" s="33" t="s">
        <v>24</v>
      </c>
      <c r="D26" s="32" t="s">
        <v>1388</v>
      </c>
      <c r="E26" s="11" t="s">
        <v>13</v>
      </c>
    </row>
    <row r="27">
      <c r="A27" s="66"/>
      <c r="B27" s="34" t="s">
        <v>1534</v>
      </c>
      <c r="C27" s="33" t="s">
        <v>572</v>
      </c>
      <c r="D27" s="34" t="s">
        <v>1531</v>
      </c>
      <c r="E27" s="11" t="s">
        <v>9</v>
      </c>
    </row>
    <row r="28">
      <c r="A28" s="66"/>
      <c r="B28" s="32" t="s">
        <v>1533</v>
      </c>
      <c r="C28" s="33" t="s">
        <v>87</v>
      </c>
      <c r="D28" s="32" t="s">
        <v>1532</v>
      </c>
      <c r="E28" s="11" t="s">
        <v>13</v>
      </c>
    </row>
    <row r="29">
      <c r="A29" s="66"/>
      <c r="B29" s="34" t="s">
        <v>1534</v>
      </c>
      <c r="C29" s="33" t="s">
        <v>193</v>
      </c>
      <c r="D29" s="32" t="s">
        <v>1388</v>
      </c>
      <c r="E29" s="11" t="s">
        <v>9</v>
      </c>
    </row>
    <row r="30">
      <c r="A30" s="66"/>
      <c r="B30" s="32" t="s">
        <v>1533</v>
      </c>
      <c r="C30" s="33" t="s">
        <v>270</v>
      </c>
      <c r="D30" s="34" t="s">
        <v>1531</v>
      </c>
      <c r="E30" s="11" t="s">
        <v>13</v>
      </c>
    </row>
    <row r="31">
      <c r="A31" s="66"/>
      <c r="B31" s="34" t="s">
        <v>1534</v>
      </c>
      <c r="C31" s="33" t="s">
        <v>45</v>
      </c>
      <c r="D31" s="32" t="s">
        <v>1532</v>
      </c>
      <c r="E31" s="11" t="s">
        <v>9</v>
      </c>
    </row>
    <row r="32">
      <c r="A32" s="66"/>
      <c r="B32" s="32" t="s">
        <v>1388</v>
      </c>
      <c r="C32" s="33" t="s">
        <v>20</v>
      </c>
      <c r="D32" s="34" t="s">
        <v>1531</v>
      </c>
      <c r="E32" s="11" t="s">
        <v>13</v>
      </c>
    </row>
    <row r="33">
      <c r="A33" s="66"/>
      <c r="B33" s="34" t="s">
        <v>1534</v>
      </c>
      <c r="C33" s="33" t="s">
        <v>853</v>
      </c>
      <c r="D33" s="32" t="s">
        <v>1533</v>
      </c>
      <c r="E33" s="11" t="s">
        <v>9</v>
      </c>
    </row>
    <row r="34">
      <c r="A34" s="66"/>
      <c r="B34" s="32" t="s">
        <v>1388</v>
      </c>
      <c r="C34" s="33" t="s">
        <v>43</v>
      </c>
      <c r="D34" s="32" t="s">
        <v>1532</v>
      </c>
      <c r="E34" s="11" t="s">
        <v>13</v>
      </c>
    </row>
    <row r="35">
      <c r="A35" s="66"/>
      <c r="B35" s="32" t="s">
        <v>1532</v>
      </c>
      <c r="C35" s="33" t="s">
        <v>857</v>
      </c>
      <c r="D35" s="34" t="s">
        <v>1531</v>
      </c>
      <c r="E35" s="11" t="s">
        <v>9</v>
      </c>
    </row>
    <row r="36">
      <c r="A36" s="66"/>
      <c r="B36" s="32" t="s">
        <v>1388</v>
      </c>
      <c r="C36" s="33" t="s">
        <v>289</v>
      </c>
      <c r="D36" s="32" t="s">
        <v>1533</v>
      </c>
      <c r="E36" s="11" t="s">
        <v>13</v>
      </c>
    </row>
    <row r="37">
      <c r="A37" s="66"/>
      <c r="B37" s="34" t="s">
        <v>1531</v>
      </c>
      <c r="C37" s="35" t="s">
        <v>196</v>
      </c>
      <c r="D37" s="34" t="s">
        <v>1534</v>
      </c>
      <c r="E37" s="11" t="s">
        <v>9</v>
      </c>
    </row>
    <row r="38">
      <c r="A38" s="66"/>
      <c r="B38" s="32" t="s">
        <v>1532</v>
      </c>
      <c r="C38" s="35" t="s">
        <v>11</v>
      </c>
      <c r="D38" s="32" t="s">
        <v>1533</v>
      </c>
      <c r="E38" s="11" t="s">
        <v>13</v>
      </c>
    </row>
    <row r="39">
      <c r="A39" s="66"/>
      <c r="B39" s="32" t="s">
        <v>1388</v>
      </c>
      <c r="C39" s="35" t="s">
        <v>231</v>
      </c>
      <c r="D39" s="34" t="s">
        <v>1534</v>
      </c>
      <c r="E39" s="11" t="s">
        <v>9</v>
      </c>
    </row>
    <row r="40">
      <c r="A40" s="66"/>
      <c r="B40" s="34" t="s">
        <v>1531</v>
      </c>
      <c r="C40" s="35" t="s">
        <v>240</v>
      </c>
      <c r="D40" s="32" t="s">
        <v>1533</v>
      </c>
      <c r="E40" s="11" t="s">
        <v>13</v>
      </c>
    </row>
    <row r="41">
      <c r="A41" s="66"/>
      <c r="B41" s="32" t="s">
        <v>1532</v>
      </c>
      <c r="C41" s="35" t="s">
        <v>282</v>
      </c>
      <c r="D41" s="34" t="s">
        <v>1534</v>
      </c>
      <c r="E41" s="11" t="s">
        <v>9</v>
      </c>
    </row>
    <row r="42">
      <c r="A42" s="66"/>
      <c r="B42" s="34" t="s">
        <v>1531</v>
      </c>
      <c r="C42" s="35" t="s">
        <v>302</v>
      </c>
      <c r="D42" s="32" t="s">
        <v>1388</v>
      </c>
      <c r="E42" s="11" t="s">
        <v>13</v>
      </c>
    </row>
    <row r="43">
      <c r="A43" s="66"/>
      <c r="B43" s="32" t="s">
        <v>1533</v>
      </c>
      <c r="C43" s="35" t="s">
        <v>47</v>
      </c>
      <c r="D43" s="34" t="s">
        <v>1534</v>
      </c>
      <c r="E43" s="11" t="s">
        <v>9</v>
      </c>
    </row>
    <row r="44">
      <c r="A44" s="67"/>
      <c r="B44" s="32" t="s">
        <v>1532</v>
      </c>
      <c r="C44" s="35" t="s">
        <v>21</v>
      </c>
      <c r="D44" s="32" t="s">
        <v>1388</v>
      </c>
      <c r="E44" s="11" t="s">
        <v>13</v>
      </c>
    </row>
    <row r="45">
      <c r="B45" s="1" t="s">
        <v>1327</v>
      </c>
      <c r="C45" s="2"/>
      <c r="D45" s="3"/>
      <c r="E45" s="14"/>
    </row>
    <row r="46">
      <c r="B46" s="16" t="s">
        <v>2</v>
      </c>
      <c r="C46" s="16" t="s">
        <v>3</v>
      </c>
      <c r="D46" s="16" t="s">
        <v>4</v>
      </c>
      <c r="E46" s="16" t="s">
        <v>5</v>
      </c>
    </row>
    <row r="47">
      <c r="B47" s="32" t="s">
        <v>1393</v>
      </c>
      <c r="C47" s="35" t="s">
        <v>81</v>
      </c>
      <c r="D47" s="32" t="s">
        <v>1535</v>
      </c>
      <c r="E47" s="11" t="s">
        <v>33</v>
      </c>
    </row>
    <row r="48">
      <c r="B48" s="32" t="s">
        <v>1536</v>
      </c>
      <c r="C48" s="35" t="s">
        <v>413</v>
      </c>
      <c r="D48" s="32" t="s">
        <v>1100</v>
      </c>
      <c r="E48" s="11" t="s">
        <v>37</v>
      </c>
    </row>
    <row r="49">
      <c r="B49" s="32" t="s">
        <v>1537</v>
      </c>
      <c r="C49" s="35" t="s">
        <v>20</v>
      </c>
      <c r="D49" s="32" t="s">
        <v>1393</v>
      </c>
      <c r="E49" s="11" t="s">
        <v>33</v>
      </c>
    </row>
    <row r="50">
      <c r="B50" s="32" t="s">
        <v>1536</v>
      </c>
      <c r="C50" s="35" t="s">
        <v>18</v>
      </c>
      <c r="D50" s="32" t="s">
        <v>1535</v>
      </c>
      <c r="E50" s="11" t="s">
        <v>37</v>
      </c>
    </row>
    <row r="51">
      <c r="B51" s="32" t="s">
        <v>1537</v>
      </c>
      <c r="C51" s="35" t="s">
        <v>64</v>
      </c>
      <c r="D51" s="32" t="s">
        <v>1100</v>
      </c>
      <c r="E51" s="11" t="s">
        <v>33</v>
      </c>
    </row>
    <row r="52">
      <c r="B52" s="32" t="s">
        <v>1536</v>
      </c>
      <c r="C52" s="35" t="s">
        <v>76</v>
      </c>
      <c r="D52" s="32" t="s">
        <v>1393</v>
      </c>
      <c r="E52" s="11" t="s">
        <v>37</v>
      </c>
    </row>
    <row r="53">
      <c r="B53" s="32" t="s">
        <v>1537</v>
      </c>
      <c r="C53" s="35" t="s">
        <v>41</v>
      </c>
      <c r="D53" s="32" t="s">
        <v>1535</v>
      </c>
      <c r="E53" s="11" t="s">
        <v>33</v>
      </c>
    </row>
    <row r="54">
      <c r="B54" s="32" t="s">
        <v>1100</v>
      </c>
      <c r="C54" s="35" t="s">
        <v>893</v>
      </c>
      <c r="D54" s="32" t="s">
        <v>1393</v>
      </c>
      <c r="E54" s="11" t="s">
        <v>37</v>
      </c>
    </row>
    <row r="55">
      <c r="B55" s="32" t="s">
        <v>1537</v>
      </c>
      <c r="C55" s="35" t="s">
        <v>217</v>
      </c>
      <c r="D55" s="32" t="s">
        <v>1536</v>
      </c>
      <c r="E55" s="11" t="s">
        <v>33</v>
      </c>
    </row>
    <row r="56">
      <c r="B56" s="32" t="s">
        <v>1100</v>
      </c>
      <c r="C56" s="35" t="s">
        <v>217</v>
      </c>
      <c r="D56" s="32" t="s">
        <v>1535</v>
      </c>
      <c r="E56" s="11" t="s">
        <v>37</v>
      </c>
    </row>
    <row r="57">
      <c r="B57" s="32" t="s">
        <v>1535</v>
      </c>
      <c r="C57" s="35" t="s">
        <v>41</v>
      </c>
      <c r="D57" s="32" t="s">
        <v>1393</v>
      </c>
      <c r="E57" s="11" t="s">
        <v>33</v>
      </c>
    </row>
    <row r="58">
      <c r="B58" s="32" t="s">
        <v>1100</v>
      </c>
      <c r="C58" s="35" t="s">
        <v>78</v>
      </c>
      <c r="D58" s="32" t="s">
        <v>1536</v>
      </c>
      <c r="E58" s="11" t="s">
        <v>37</v>
      </c>
    </row>
    <row r="59">
      <c r="B59" s="32" t="s">
        <v>1393</v>
      </c>
      <c r="C59" s="35" t="s">
        <v>291</v>
      </c>
      <c r="D59" s="32" t="s">
        <v>1537</v>
      </c>
      <c r="E59" s="11" t="s">
        <v>33</v>
      </c>
    </row>
    <row r="60">
      <c r="B60" s="32" t="s">
        <v>1535</v>
      </c>
      <c r="C60" s="35" t="s">
        <v>282</v>
      </c>
      <c r="D60" s="32" t="s">
        <v>1536</v>
      </c>
      <c r="E60" s="11" t="s">
        <v>37</v>
      </c>
    </row>
    <row r="61">
      <c r="B61" s="32" t="s">
        <v>1100</v>
      </c>
      <c r="C61" s="35" t="s">
        <v>201</v>
      </c>
      <c r="D61" s="32" t="s">
        <v>1537</v>
      </c>
      <c r="E61" s="11" t="s">
        <v>33</v>
      </c>
    </row>
    <row r="62">
      <c r="B62" s="32" t="s">
        <v>1393</v>
      </c>
      <c r="C62" s="35" t="s">
        <v>906</v>
      </c>
      <c r="D62" s="32" t="s">
        <v>1536</v>
      </c>
      <c r="E62" s="11" t="s">
        <v>37</v>
      </c>
    </row>
    <row r="63">
      <c r="B63" s="32" t="s">
        <v>1535</v>
      </c>
      <c r="C63" s="35" t="s">
        <v>27</v>
      </c>
      <c r="D63" s="32" t="s">
        <v>1537</v>
      </c>
      <c r="E63" s="11" t="s">
        <v>33</v>
      </c>
    </row>
    <row r="64">
      <c r="B64" s="32" t="s">
        <v>1393</v>
      </c>
      <c r="C64" s="35" t="s">
        <v>1186</v>
      </c>
      <c r="D64" s="32" t="s">
        <v>1100</v>
      </c>
      <c r="E64" s="11" t="s">
        <v>37</v>
      </c>
    </row>
    <row r="65">
      <c r="B65" s="32" t="s">
        <v>1536</v>
      </c>
      <c r="C65" s="35" t="s">
        <v>362</v>
      </c>
      <c r="D65" s="32" t="s">
        <v>1537</v>
      </c>
      <c r="E65" s="11" t="s">
        <v>33</v>
      </c>
    </row>
    <row r="66">
      <c r="B66" s="32" t="s">
        <v>1535</v>
      </c>
      <c r="C66" s="35" t="s">
        <v>1538</v>
      </c>
      <c r="D66" s="32" t="s">
        <v>1100</v>
      </c>
      <c r="E66" s="11" t="s">
        <v>37</v>
      </c>
    </row>
    <row r="67">
      <c r="B67" s="1" t="s">
        <v>1331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16" t="s">
        <v>5</v>
      </c>
    </row>
    <row r="69">
      <c r="B69" s="32" t="s">
        <v>1539</v>
      </c>
      <c r="C69" s="33" t="s">
        <v>55</v>
      </c>
      <c r="D69" s="32" t="s">
        <v>1398</v>
      </c>
      <c r="E69" s="11" t="s">
        <v>9</v>
      </c>
    </row>
    <row r="70">
      <c r="B70" s="32" t="s">
        <v>1540</v>
      </c>
      <c r="C70" s="33" t="s">
        <v>21</v>
      </c>
      <c r="D70" s="32" t="s">
        <v>1541</v>
      </c>
      <c r="E70" s="11" t="s">
        <v>13</v>
      </c>
    </row>
    <row r="71">
      <c r="B71" s="32" t="s">
        <v>1542</v>
      </c>
      <c r="C71" s="33" t="s">
        <v>45</v>
      </c>
      <c r="D71" s="32" t="s">
        <v>1539</v>
      </c>
      <c r="E71" s="11" t="s">
        <v>9</v>
      </c>
    </row>
    <row r="72">
      <c r="B72" s="32" t="s">
        <v>1540</v>
      </c>
      <c r="C72" s="33" t="s">
        <v>31</v>
      </c>
      <c r="D72" s="32" t="s">
        <v>1398</v>
      </c>
      <c r="E72" s="11" t="s">
        <v>13</v>
      </c>
    </row>
    <row r="73">
      <c r="B73" s="32" t="s">
        <v>1542</v>
      </c>
      <c r="C73" s="33" t="s">
        <v>78</v>
      </c>
      <c r="D73" s="32" t="s">
        <v>1541</v>
      </c>
      <c r="E73" s="11" t="s">
        <v>9</v>
      </c>
    </row>
    <row r="74">
      <c r="B74" s="32" t="s">
        <v>1540</v>
      </c>
      <c r="C74" s="33" t="s">
        <v>22</v>
      </c>
      <c r="D74" s="32" t="s">
        <v>1539</v>
      </c>
      <c r="E74" s="11" t="s">
        <v>13</v>
      </c>
    </row>
    <row r="75">
      <c r="B75" s="32" t="s">
        <v>1542</v>
      </c>
      <c r="C75" s="33" t="s">
        <v>28</v>
      </c>
      <c r="D75" s="32" t="s">
        <v>1398</v>
      </c>
      <c r="E75" s="11" t="s">
        <v>9</v>
      </c>
    </row>
    <row r="76">
      <c r="B76" s="32" t="s">
        <v>1541</v>
      </c>
      <c r="C76" s="33" t="s">
        <v>190</v>
      </c>
      <c r="D76" s="32" t="s">
        <v>1539</v>
      </c>
      <c r="E76" s="11" t="s">
        <v>13</v>
      </c>
    </row>
    <row r="77">
      <c r="B77" s="32" t="s">
        <v>1542</v>
      </c>
      <c r="C77" s="33" t="s">
        <v>370</v>
      </c>
      <c r="D77" s="32" t="s">
        <v>1540</v>
      </c>
      <c r="E77" s="11" t="s">
        <v>9</v>
      </c>
    </row>
    <row r="78">
      <c r="B78" s="32" t="s">
        <v>1541</v>
      </c>
      <c r="C78" s="33" t="s">
        <v>87</v>
      </c>
      <c r="D78" s="32" t="s">
        <v>1398</v>
      </c>
      <c r="E78" s="11" t="s">
        <v>13</v>
      </c>
    </row>
    <row r="79">
      <c r="B79" s="32" t="s">
        <v>1398</v>
      </c>
      <c r="C79" s="33" t="s">
        <v>68</v>
      </c>
      <c r="D79" s="32" t="s">
        <v>1539</v>
      </c>
      <c r="E79" s="11" t="s">
        <v>9</v>
      </c>
    </row>
    <row r="80">
      <c r="B80" s="32" t="s">
        <v>1541</v>
      </c>
      <c r="C80" s="33" t="s">
        <v>66</v>
      </c>
      <c r="D80" s="32" t="s">
        <v>1540</v>
      </c>
      <c r="E80" s="11" t="s">
        <v>13</v>
      </c>
    </row>
    <row r="81">
      <c r="B81" s="32" t="s">
        <v>1539</v>
      </c>
      <c r="C81" s="35" t="s">
        <v>836</v>
      </c>
      <c r="D81" s="32" t="s">
        <v>1542</v>
      </c>
      <c r="E81" s="11" t="s">
        <v>9</v>
      </c>
    </row>
    <row r="82">
      <c r="B82" s="32" t="s">
        <v>1398</v>
      </c>
      <c r="C82" s="35" t="s">
        <v>64</v>
      </c>
      <c r="D82" s="32" t="s">
        <v>1540</v>
      </c>
      <c r="E82" s="11" t="s">
        <v>13</v>
      </c>
    </row>
    <row r="83">
      <c r="B83" s="32" t="s">
        <v>1541</v>
      </c>
      <c r="C83" s="35" t="s">
        <v>494</v>
      </c>
      <c r="D83" s="32" t="s">
        <v>1542</v>
      </c>
      <c r="E83" s="11" t="s">
        <v>9</v>
      </c>
    </row>
    <row r="84">
      <c r="B84" s="32" t="s">
        <v>1539</v>
      </c>
      <c r="C84" s="35" t="s">
        <v>82</v>
      </c>
      <c r="D84" s="32" t="s">
        <v>1540</v>
      </c>
      <c r="E84" s="11" t="s">
        <v>13</v>
      </c>
    </row>
    <row r="85">
      <c r="B85" s="32" t="s">
        <v>1398</v>
      </c>
      <c r="C85" s="35" t="s">
        <v>814</v>
      </c>
      <c r="D85" s="32" t="s">
        <v>1542</v>
      </c>
      <c r="E85" s="11" t="s">
        <v>9</v>
      </c>
    </row>
    <row r="86">
      <c r="B86" s="32" t="s">
        <v>1539</v>
      </c>
      <c r="C86" s="35" t="s">
        <v>82</v>
      </c>
      <c r="D86" s="32" t="s">
        <v>1541</v>
      </c>
      <c r="E86" s="11" t="s">
        <v>13</v>
      </c>
    </row>
    <row r="87">
      <c r="B87" s="32" t="s">
        <v>1540</v>
      </c>
      <c r="C87" s="35" t="s">
        <v>233</v>
      </c>
      <c r="D87" s="32" t="s">
        <v>1542</v>
      </c>
      <c r="E87" s="11" t="s">
        <v>9</v>
      </c>
    </row>
    <row r="88">
      <c r="B88" s="32" t="s">
        <v>1398</v>
      </c>
      <c r="C88" s="35" t="s">
        <v>282</v>
      </c>
      <c r="D88" s="32" t="s">
        <v>1541</v>
      </c>
      <c r="E88" s="11" t="s">
        <v>13</v>
      </c>
    </row>
    <row r="89">
      <c r="B89" s="1" t="s">
        <v>1400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16" t="s">
        <v>5</v>
      </c>
    </row>
    <row r="91">
      <c r="B91" s="32" t="s">
        <v>1543</v>
      </c>
      <c r="C91" s="35" t="s">
        <v>285</v>
      </c>
      <c r="D91" s="32" t="s">
        <v>1265</v>
      </c>
      <c r="E91" s="11" t="s">
        <v>9</v>
      </c>
    </row>
    <row r="92">
      <c r="B92" s="32" t="s">
        <v>1544</v>
      </c>
      <c r="C92" s="35" t="s">
        <v>28</v>
      </c>
      <c r="D92" s="32" t="s">
        <v>1339</v>
      </c>
      <c r="E92" s="11" t="s">
        <v>13</v>
      </c>
    </row>
    <row r="93">
      <c r="B93" s="32" t="s">
        <v>1545</v>
      </c>
      <c r="C93" s="35" t="s">
        <v>270</v>
      </c>
      <c r="D93" s="32" t="s">
        <v>1543</v>
      </c>
      <c r="E93" s="11" t="s">
        <v>9</v>
      </c>
    </row>
    <row r="94">
      <c r="B94" s="32" t="s">
        <v>1544</v>
      </c>
      <c r="C94" s="35" t="s">
        <v>193</v>
      </c>
      <c r="D94" s="32" t="s">
        <v>1265</v>
      </c>
      <c r="E94" s="11" t="s">
        <v>13</v>
      </c>
    </row>
    <row r="95">
      <c r="B95" s="32" t="s">
        <v>1545</v>
      </c>
      <c r="C95" s="35" t="s">
        <v>190</v>
      </c>
      <c r="D95" s="32" t="s">
        <v>1339</v>
      </c>
      <c r="E95" s="11" t="s">
        <v>9</v>
      </c>
    </row>
    <row r="96">
      <c r="B96" s="32" t="s">
        <v>1544</v>
      </c>
      <c r="C96" s="35" t="s">
        <v>203</v>
      </c>
      <c r="D96" s="32" t="s">
        <v>1543</v>
      </c>
      <c r="E96" s="11" t="s">
        <v>13</v>
      </c>
    </row>
    <row r="97">
      <c r="B97" s="32" t="s">
        <v>1545</v>
      </c>
      <c r="C97" s="35" t="s">
        <v>43</v>
      </c>
      <c r="D97" s="32" t="s">
        <v>1265</v>
      </c>
      <c r="E97" s="11" t="s">
        <v>9</v>
      </c>
    </row>
    <row r="98">
      <c r="B98" s="32" t="s">
        <v>1339</v>
      </c>
      <c r="C98" s="35" t="s">
        <v>1546</v>
      </c>
      <c r="D98" s="32" t="s">
        <v>1543</v>
      </c>
      <c r="E98" s="11" t="s">
        <v>13</v>
      </c>
    </row>
    <row r="99">
      <c r="B99" s="32" t="s">
        <v>1545</v>
      </c>
      <c r="C99" s="35" t="s">
        <v>11</v>
      </c>
      <c r="D99" s="32" t="s">
        <v>1544</v>
      </c>
      <c r="E99" s="11" t="s">
        <v>9</v>
      </c>
    </row>
    <row r="100">
      <c r="B100" s="32" t="s">
        <v>1339</v>
      </c>
      <c r="C100" s="35" t="s">
        <v>27</v>
      </c>
      <c r="D100" s="32" t="s">
        <v>1265</v>
      </c>
      <c r="E100" s="11" t="s">
        <v>13</v>
      </c>
    </row>
    <row r="101">
      <c r="B101" s="32" t="s">
        <v>1265</v>
      </c>
      <c r="C101" s="35" t="s">
        <v>389</v>
      </c>
      <c r="D101" s="32" t="s">
        <v>1543</v>
      </c>
      <c r="E101" s="11" t="s">
        <v>9</v>
      </c>
    </row>
    <row r="102">
      <c r="B102" s="32" t="s">
        <v>1339</v>
      </c>
      <c r="C102" s="35" t="s">
        <v>43</v>
      </c>
      <c r="D102" s="32" t="s">
        <v>1544</v>
      </c>
      <c r="E102" s="11" t="s">
        <v>13</v>
      </c>
    </row>
    <row r="103">
      <c r="B103" s="32" t="s">
        <v>1543</v>
      </c>
      <c r="C103" s="35" t="s">
        <v>355</v>
      </c>
      <c r="D103" s="32" t="s">
        <v>1545</v>
      </c>
      <c r="E103" s="11" t="s">
        <v>9</v>
      </c>
    </row>
    <row r="104">
      <c r="B104" s="32" t="s">
        <v>1265</v>
      </c>
      <c r="C104" s="35" t="s">
        <v>87</v>
      </c>
      <c r="D104" s="32" t="s">
        <v>1544</v>
      </c>
      <c r="E104" s="11" t="s">
        <v>13</v>
      </c>
    </row>
    <row r="105">
      <c r="B105" s="32" t="s">
        <v>1339</v>
      </c>
      <c r="C105" s="35" t="s">
        <v>11</v>
      </c>
      <c r="D105" s="32" t="s">
        <v>1545</v>
      </c>
      <c r="E105" s="11" t="s">
        <v>9</v>
      </c>
    </row>
    <row r="106">
      <c r="B106" s="32" t="s">
        <v>1543</v>
      </c>
      <c r="C106" s="35" t="s">
        <v>72</v>
      </c>
      <c r="D106" s="32" t="s">
        <v>1544</v>
      </c>
      <c r="E106" s="11" t="s">
        <v>13</v>
      </c>
    </row>
    <row r="107">
      <c r="B107" s="32" t="s">
        <v>1265</v>
      </c>
      <c r="C107" s="35" t="s">
        <v>217</v>
      </c>
      <c r="D107" s="32" t="s">
        <v>1545</v>
      </c>
      <c r="E107" s="11" t="s">
        <v>9</v>
      </c>
    </row>
    <row r="108">
      <c r="B108" s="32" t="s">
        <v>1543</v>
      </c>
      <c r="C108" s="35" t="s">
        <v>55</v>
      </c>
      <c r="D108" s="32" t="s">
        <v>1339</v>
      </c>
      <c r="E108" s="11" t="s">
        <v>13</v>
      </c>
    </row>
    <row r="109">
      <c r="B109" s="32" t="s">
        <v>1544</v>
      </c>
      <c r="C109" s="35" t="s">
        <v>55</v>
      </c>
      <c r="D109" s="32" t="s">
        <v>1545</v>
      </c>
      <c r="E109" s="11" t="s">
        <v>9</v>
      </c>
    </row>
    <row r="110">
      <c r="B110" s="32" t="s">
        <v>1265</v>
      </c>
      <c r="C110" s="35" t="s">
        <v>337</v>
      </c>
      <c r="D110" s="32" t="s">
        <v>1339</v>
      </c>
      <c r="E110" s="11" t="s">
        <v>13</v>
      </c>
    </row>
    <row r="111">
      <c r="B111" s="1" t="s">
        <v>1406</v>
      </c>
      <c r="C111" s="2"/>
      <c r="D111" s="3"/>
      <c r="E111" s="4"/>
    </row>
    <row r="112"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B113" s="32" t="s">
        <v>266</v>
      </c>
      <c r="C113" s="33" t="s">
        <v>196</v>
      </c>
      <c r="D113" s="32" t="s">
        <v>1547</v>
      </c>
      <c r="E113" s="11" t="s">
        <v>9</v>
      </c>
    </row>
    <row r="114">
      <c r="B114" s="32" t="s">
        <v>262</v>
      </c>
      <c r="C114" s="33" t="s">
        <v>196</v>
      </c>
      <c r="D114" s="32" t="s">
        <v>1214</v>
      </c>
      <c r="E114" s="11" t="s">
        <v>13</v>
      </c>
    </row>
    <row r="115">
      <c r="B115" s="32" t="s">
        <v>265</v>
      </c>
      <c r="C115" s="33" t="s">
        <v>47</v>
      </c>
      <c r="D115" s="32" t="s">
        <v>266</v>
      </c>
      <c r="E115" s="11" t="s">
        <v>9</v>
      </c>
    </row>
    <row r="116">
      <c r="B116" s="32" t="s">
        <v>262</v>
      </c>
      <c r="C116" s="33" t="s">
        <v>11</v>
      </c>
      <c r="D116" s="32" t="s">
        <v>1547</v>
      </c>
      <c r="E116" s="11" t="s">
        <v>13</v>
      </c>
    </row>
    <row r="117">
      <c r="B117" s="32" t="s">
        <v>265</v>
      </c>
      <c r="C117" s="33" t="s">
        <v>81</v>
      </c>
      <c r="D117" s="32" t="s">
        <v>1214</v>
      </c>
      <c r="E117" s="11" t="s">
        <v>9</v>
      </c>
    </row>
    <row r="118">
      <c r="B118" s="32" t="s">
        <v>262</v>
      </c>
      <c r="C118" s="33" t="s">
        <v>684</v>
      </c>
      <c r="D118" s="32" t="s">
        <v>266</v>
      </c>
      <c r="E118" s="11" t="s">
        <v>13</v>
      </c>
    </row>
    <row r="119">
      <c r="B119" s="32" t="s">
        <v>265</v>
      </c>
      <c r="C119" s="33" t="s">
        <v>536</v>
      </c>
      <c r="D119" s="32" t="s">
        <v>1547</v>
      </c>
      <c r="E119" s="11" t="s">
        <v>9</v>
      </c>
    </row>
    <row r="120">
      <c r="B120" s="32" t="s">
        <v>1214</v>
      </c>
      <c r="C120" s="33" t="s">
        <v>86</v>
      </c>
      <c r="D120" s="32" t="s">
        <v>266</v>
      </c>
      <c r="E120" s="11" t="s">
        <v>13</v>
      </c>
    </row>
    <row r="121">
      <c r="B121" s="32" t="s">
        <v>265</v>
      </c>
      <c r="C121" s="33" t="s">
        <v>87</v>
      </c>
      <c r="D121" s="32" t="s">
        <v>262</v>
      </c>
      <c r="E121" s="11" t="s">
        <v>9</v>
      </c>
    </row>
    <row r="122">
      <c r="B122" s="32" t="s">
        <v>1214</v>
      </c>
      <c r="C122" s="33" t="s">
        <v>249</v>
      </c>
      <c r="D122" s="32" t="s">
        <v>1547</v>
      </c>
      <c r="E122" s="11" t="s">
        <v>13</v>
      </c>
    </row>
    <row r="123">
      <c r="B123" s="32" t="s">
        <v>1547</v>
      </c>
      <c r="C123" s="33" t="s">
        <v>87</v>
      </c>
      <c r="D123" s="32" t="s">
        <v>266</v>
      </c>
      <c r="E123" s="11" t="s">
        <v>9</v>
      </c>
    </row>
    <row r="124">
      <c r="B124" s="32" t="s">
        <v>1214</v>
      </c>
      <c r="C124" s="33" t="s">
        <v>251</v>
      </c>
      <c r="D124" s="32" t="s">
        <v>262</v>
      </c>
      <c r="E124" s="11" t="s">
        <v>13</v>
      </c>
    </row>
    <row r="125">
      <c r="B125" s="32" t="s">
        <v>266</v>
      </c>
      <c r="C125" s="35" t="s">
        <v>81</v>
      </c>
      <c r="D125" s="32" t="s">
        <v>265</v>
      </c>
      <c r="E125" s="11" t="s">
        <v>9</v>
      </c>
    </row>
    <row r="126">
      <c r="B126" s="32" t="s">
        <v>1547</v>
      </c>
      <c r="C126" s="35" t="s">
        <v>43</v>
      </c>
      <c r="D126" s="32" t="s">
        <v>262</v>
      </c>
      <c r="E126" s="11" t="s">
        <v>13</v>
      </c>
    </row>
    <row r="127">
      <c r="B127" s="32" t="s">
        <v>1214</v>
      </c>
      <c r="C127" s="35" t="s">
        <v>62</v>
      </c>
      <c r="D127" s="32" t="s">
        <v>265</v>
      </c>
      <c r="E127" s="11" t="s">
        <v>9</v>
      </c>
    </row>
    <row r="128">
      <c r="B128" s="32" t="s">
        <v>266</v>
      </c>
      <c r="C128" s="35" t="s">
        <v>25</v>
      </c>
      <c r="D128" s="32" t="s">
        <v>262</v>
      </c>
      <c r="E128" s="11" t="s">
        <v>13</v>
      </c>
    </row>
    <row r="129">
      <c r="B129" s="32" t="s">
        <v>1547</v>
      </c>
      <c r="C129" s="35" t="s">
        <v>22</v>
      </c>
      <c r="D129" s="32" t="s">
        <v>265</v>
      </c>
      <c r="E129" s="11" t="s">
        <v>9</v>
      </c>
    </row>
    <row r="130">
      <c r="B130" s="32" t="s">
        <v>266</v>
      </c>
      <c r="C130" s="35" t="s">
        <v>187</v>
      </c>
      <c r="D130" s="32" t="s">
        <v>1214</v>
      </c>
      <c r="E130" s="11" t="s">
        <v>13</v>
      </c>
    </row>
    <row r="131">
      <c r="B131" s="32" t="s">
        <v>262</v>
      </c>
      <c r="C131" s="35" t="s">
        <v>16</v>
      </c>
      <c r="D131" s="32" t="s">
        <v>265</v>
      </c>
      <c r="E131" s="11" t="s">
        <v>9</v>
      </c>
    </row>
    <row r="132">
      <c r="B132" s="32" t="s">
        <v>1547</v>
      </c>
      <c r="C132" s="35" t="s">
        <v>22</v>
      </c>
      <c r="D132" s="32" t="s">
        <v>1214</v>
      </c>
      <c r="E132" s="11" t="s">
        <v>13</v>
      </c>
    </row>
    <row r="133">
      <c r="B133" s="1" t="s">
        <v>1413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32" t="s">
        <v>1548</v>
      </c>
      <c r="C135" s="33" t="s">
        <v>43</v>
      </c>
      <c r="D135" s="32" t="s">
        <v>1083</v>
      </c>
      <c r="E135" s="11" t="s">
        <v>33</v>
      </c>
    </row>
    <row r="136">
      <c r="B136" s="32" t="s">
        <v>1549</v>
      </c>
      <c r="C136" s="33" t="s">
        <v>14</v>
      </c>
      <c r="D136" s="32" t="s">
        <v>1550</v>
      </c>
      <c r="E136" s="11" t="s">
        <v>37</v>
      </c>
    </row>
    <row r="137">
      <c r="B137" s="32" t="s">
        <v>1551</v>
      </c>
      <c r="C137" s="33" t="s">
        <v>325</v>
      </c>
      <c r="D137" s="32" t="s">
        <v>1548</v>
      </c>
      <c r="E137" s="11" t="s">
        <v>33</v>
      </c>
    </row>
    <row r="138">
      <c r="B138" s="32" t="s">
        <v>1549</v>
      </c>
      <c r="C138" s="33" t="s">
        <v>20</v>
      </c>
      <c r="D138" s="32" t="s">
        <v>1083</v>
      </c>
      <c r="E138" s="11" t="s">
        <v>37</v>
      </c>
    </row>
    <row r="139">
      <c r="B139" s="32" t="s">
        <v>1551</v>
      </c>
      <c r="C139" s="33" t="s">
        <v>196</v>
      </c>
      <c r="D139" s="32" t="s">
        <v>1550</v>
      </c>
      <c r="E139" s="11" t="s">
        <v>33</v>
      </c>
    </row>
    <row r="140">
      <c r="B140" s="32" t="s">
        <v>1549</v>
      </c>
      <c r="C140" s="33" t="s">
        <v>20</v>
      </c>
      <c r="D140" s="32" t="s">
        <v>1548</v>
      </c>
      <c r="E140" s="11" t="s">
        <v>37</v>
      </c>
    </row>
    <row r="141">
      <c r="B141" s="32" t="s">
        <v>1551</v>
      </c>
      <c r="C141" s="33" t="s">
        <v>62</v>
      </c>
      <c r="D141" s="32" t="s">
        <v>1083</v>
      </c>
      <c r="E141" s="11" t="s">
        <v>33</v>
      </c>
    </row>
    <row r="142">
      <c r="B142" s="32" t="s">
        <v>1550</v>
      </c>
      <c r="C142" s="33" t="s">
        <v>217</v>
      </c>
      <c r="D142" s="32" t="s">
        <v>1548</v>
      </c>
      <c r="E142" s="11" t="s">
        <v>37</v>
      </c>
    </row>
    <row r="143">
      <c r="B143" s="32" t="s">
        <v>1551</v>
      </c>
      <c r="C143" s="33" t="s">
        <v>190</v>
      </c>
      <c r="D143" s="32" t="s">
        <v>1549</v>
      </c>
      <c r="E143" s="11" t="s">
        <v>33</v>
      </c>
    </row>
    <row r="144">
      <c r="B144" s="32" t="s">
        <v>1550</v>
      </c>
      <c r="C144" s="33" t="s">
        <v>71</v>
      </c>
      <c r="D144" s="32" t="s">
        <v>1083</v>
      </c>
      <c r="E144" s="11" t="s">
        <v>37</v>
      </c>
    </row>
    <row r="145">
      <c r="B145" s="32" t="s">
        <v>1083</v>
      </c>
      <c r="C145" s="33" t="s">
        <v>1552</v>
      </c>
      <c r="D145" s="32" t="s">
        <v>1548</v>
      </c>
      <c r="E145" s="11" t="s">
        <v>33</v>
      </c>
    </row>
    <row r="146">
      <c r="B146" s="32" t="s">
        <v>1550</v>
      </c>
      <c r="C146" s="33" t="s">
        <v>41</v>
      </c>
      <c r="D146" s="32" t="s">
        <v>1549</v>
      </c>
      <c r="E146" s="11" t="s">
        <v>37</v>
      </c>
    </row>
    <row r="147">
      <c r="B147" s="32" t="s">
        <v>1548</v>
      </c>
      <c r="C147" s="33" t="s">
        <v>201</v>
      </c>
      <c r="D147" s="32" t="s">
        <v>1551</v>
      </c>
      <c r="E147" s="11" t="s">
        <v>33</v>
      </c>
    </row>
    <row r="148">
      <c r="B148" s="32" t="s">
        <v>1083</v>
      </c>
      <c r="C148" s="33" t="s">
        <v>62</v>
      </c>
      <c r="D148" s="32" t="s">
        <v>1549</v>
      </c>
      <c r="E148" s="11" t="s">
        <v>37</v>
      </c>
    </row>
    <row r="149">
      <c r="B149" s="32" t="s">
        <v>1550</v>
      </c>
      <c r="C149" s="33" t="s">
        <v>297</v>
      </c>
      <c r="D149" s="32" t="s">
        <v>1551</v>
      </c>
      <c r="E149" s="11" t="s">
        <v>33</v>
      </c>
    </row>
    <row r="150">
      <c r="B150" s="32" t="s">
        <v>1548</v>
      </c>
      <c r="C150" s="33" t="s">
        <v>81</v>
      </c>
      <c r="D150" s="32" t="s">
        <v>1549</v>
      </c>
      <c r="E150" s="11" t="s">
        <v>37</v>
      </c>
    </row>
    <row r="151">
      <c r="B151" s="32" t="s">
        <v>1083</v>
      </c>
      <c r="C151" s="33" t="s">
        <v>260</v>
      </c>
      <c r="D151" s="32" t="s">
        <v>1551</v>
      </c>
      <c r="E151" s="11" t="s">
        <v>33</v>
      </c>
    </row>
    <row r="152">
      <c r="B152" s="32" t="s">
        <v>1548</v>
      </c>
      <c r="C152" s="33" t="s">
        <v>194</v>
      </c>
      <c r="D152" s="32" t="s">
        <v>1550</v>
      </c>
      <c r="E152" s="11" t="s">
        <v>37</v>
      </c>
    </row>
    <row r="153">
      <c r="B153" s="32" t="s">
        <v>1549</v>
      </c>
      <c r="C153" s="33" t="s">
        <v>500</v>
      </c>
      <c r="D153" s="32" t="s">
        <v>1551</v>
      </c>
      <c r="E153" s="11" t="s">
        <v>33</v>
      </c>
    </row>
    <row r="154">
      <c r="B154" s="32" t="s">
        <v>1083</v>
      </c>
      <c r="C154" s="33" t="s">
        <v>41</v>
      </c>
      <c r="D154" s="32" t="s">
        <v>1550</v>
      </c>
      <c r="E154" s="11" t="s">
        <v>37</v>
      </c>
    </row>
    <row r="155">
      <c r="B155" s="1" t="s">
        <v>1419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B157" s="32" t="s">
        <v>1553</v>
      </c>
      <c r="C157" s="35" t="s">
        <v>274</v>
      </c>
      <c r="D157" s="32" t="s">
        <v>1554</v>
      </c>
      <c r="E157" s="11" t="s">
        <v>9</v>
      </c>
    </row>
    <row r="158">
      <c r="B158" s="32" t="s">
        <v>1555</v>
      </c>
      <c r="C158" s="35" t="s">
        <v>220</v>
      </c>
      <c r="D158" s="32" t="s">
        <v>1556</v>
      </c>
      <c r="E158" s="11" t="s">
        <v>13</v>
      </c>
    </row>
    <row r="159">
      <c r="B159" s="32" t="s">
        <v>1557</v>
      </c>
      <c r="C159" s="35" t="s">
        <v>297</v>
      </c>
      <c r="D159" s="32" t="s">
        <v>1553</v>
      </c>
      <c r="E159" s="11" t="s">
        <v>9</v>
      </c>
    </row>
    <row r="160">
      <c r="B160" s="32" t="s">
        <v>1555</v>
      </c>
      <c r="C160" s="35" t="s">
        <v>195</v>
      </c>
      <c r="D160" s="32" t="s">
        <v>1554</v>
      </c>
      <c r="E160" s="11" t="s">
        <v>13</v>
      </c>
    </row>
    <row r="161">
      <c r="B161" s="32" t="s">
        <v>1557</v>
      </c>
      <c r="C161" s="35" t="s">
        <v>197</v>
      </c>
      <c r="D161" s="32" t="s">
        <v>1556</v>
      </c>
      <c r="E161" s="11" t="s">
        <v>9</v>
      </c>
    </row>
    <row r="162">
      <c r="B162" s="32" t="s">
        <v>1555</v>
      </c>
      <c r="C162" s="35" t="s">
        <v>260</v>
      </c>
      <c r="D162" s="32" t="s">
        <v>1553</v>
      </c>
      <c r="E162" s="11" t="s">
        <v>13</v>
      </c>
      <c r="H162" s="36" t="s">
        <v>663</v>
      </c>
    </row>
    <row r="163">
      <c r="B163" s="32" t="s">
        <v>1557</v>
      </c>
      <c r="C163" s="35" t="s">
        <v>285</v>
      </c>
      <c r="D163" s="32" t="s">
        <v>1554</v>
      </c>
      <c r="E163" s="11" t="s">
        <v>9</v>
      </c>
    </row>
    <row r="164">
      <c r="B164" s="32" t="s">
        <v>1556</v>
      </c>
      <c r="C164" s="35" t="s">
        <v>22</v>
      </c>
      <c r="D164" s="32" t="s">
        <v>1553</v>
      </c>
      <c r="E164" s="11" t="s">
        <v>13</v>
      </c>
    </row>
    <row r="165">
      <c r="B165" s="32" t="s">
        <v>1557</v>
      </c>
      <c r="C165" s="35" t="s">
        <v>190</v>
      </c>
      <c r="D165" s="32" t="s">
        <v>1555</v>
      </c>
      <c r="E165" s="11" t="s">
        <v>9</v>
      </c>
    </row>
    <row r="166">
      <c r="B166" s="32" t="s">
        <v>1556</v>
      </c>
      <c r="C166" s="35" t="s">
        <v>196</v>
      </c>
      <c r="D166" s="32" t="s">
        <v>1554</v>
      </c>
      <c r="E166" s="11" t="s">
        <v>13</v>
      </c>
    </row>
    <row r="167">
      <c r="B167" s="32" t="s">
        <v>1554</v>
      </c>
      <c r="C167" s="35" t="s">
        <v>55</v>
      </c>
      <c r="D167" s="32" t="s">
        <v>1553</v>
      </c>
      <c r="E167" s="11" t="s">
        <v>9</v>
      </c>
    </row>
    <row r="168">
      <c r="B168" s="32" t="s">
        <v>1556</v>
      </c>
      <c r="C168" s="35" t="s">
        <v>273</v>
      </c>
      <c r="D168" s="32" t="s">
        <v>1555</v>
      </c>
      <c r="E168" s="11" t="s">
        <v>13</v>
      </c>
    </row>
    <row r="169">
      <c r="B169" s="32" t="s">
        <v>1553</v>
      </c>
      <c r="C169" s="35" t="s">
        <v>64</v>
      </c>
      <c r="D169" s="32" t="s">
        <v>1557</v>
      </c>
      <c r="E169" s="11" t="s">
        <v>9</v>
      </c>
    </row>
    <row r="170">
      <c r="B170" s="32" t="s">
        <v>1554</v>
      </c>
      <c r="C170" s="35" t="s">
        <v>64</v>
      </c>
      <c r="D170" s="32" t="s">
        <v>1555</v>
      </c>
      <c r="E170" s="11" t="s">
        <v>13</v>
      </c>
    </row>
    <row r="171">
      <c r="B171" s="32" t="s">
        <v>1556</v>
      </c>
      <c r="C171" s="35" t="s">
        <v>291</v>
      </c>
      <c r="D171" s="32" t="s">
        <v>1557</v>
      </c>
      <c r="E171" s="11" t="s">
        <v>9</v>
      </c>
    </row>
    <row r="172">
      <c r="B172" s="32" t="s">
        <v>1553</v>
      </c>
      <c r="C172" s="35" t="s">
        <v>338</v>
      </c>
      <c r="D172" s="32" t="s">
        <v>1555</v>
      </c>
      <c r="E172" s="11" t="s">
        <v>13</v>
      </c>
    </row>
    <row r="173">
      <c r="B173" s="32" t="s">
        <v>1554</v>
      </c>
      <c r="C173" s="35" t="s">
        <v>66</v>
      </c>
      <c r="D173" s="32" t="s">
        <v>1557</v>
      </c>
      <c r="E173" s="11" t="s">
        <v>9</v>
      </c>
    </row>
    <row r="174">
      <c r="B174" s="32" t="s">
        <v>1553</v>
      </c>
      <c r="C174" s="35" t="s">
        <v>11</v>
      </c>
      <c r="D174" s="32" t="s">
        <v>1556</v>
      </c>
      <c r="E174" s="11" t="s">
        <v>13</v>
      </c>
    </row>
    <row r="175">
      <c r="B175" s="32" t="s">
        <v>1555</v>
      </c>
      <c r="C175" s="35" t="s">
        <v>282</v>
      </c>
      <c r="D175" s="32" t="s">
        <v>1557</v>
      </c>
      <c r="E175" s="11" t="s">
        <v>9</v>
      </c>
    </row>
    <row r="176">
      <c r="B176" s="32" t="s">
        <v>1554</v>
      </c>
      <c r="C176" s="35" t="s">
        <v>1558</v>
      </c>
      <c r="D176" s="32" t="s">
        <v>1556</v>
      </c>
      <c r="E176" s="11" t="s">
        <v>13</v>
      </c>
    </row>
    <row r="177">
      <c r="B177" s="1" t="s">
        <v>112</v>
      </c>
      <c r="C177" s="2"/>
      <c r="D177" s="3"/>
      <c r="E177" s="4"/>
      <c r="G177" s="36" t="s">
        <v>663</v>
      </c>
    </row>
    <row r="178"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B179" s="32" t="s">
        <v>739</v>
      </c>
      <c r="C179" s="33" t="s">
        <v>81</v>
      </c>
      <c r="D179" s="32" t="s">
        <v>1559</v>
      </c>
      <c r="E179" s="11" t="s">
        <v>33</v>
      </c>
    </row>
    <row r="180">
      <c r="B180" s="32" t="s">
        <v>1150</v>
      </c>
      <c r="C180" s="33" t="s">
        <v>197</v>
      </c>
      <c r="D180" s="32" t="s">
        <v>1560</v>
      </c>
      <c r="E180" s="11" t="s">
        <v>37</v>
      </c>
    </row>
    <row r="181">
      <c r="B181" s="32" t="s">
        <v>1561</v>
      </c>
      <c r="C181" s="33" t="s">
        <v>488</v>
      </c>
      <c r="D181" s="32" t="s">
        <v>739</v>
      </c>
      <c r="E181" s="11" t="s">
        <v>33</v>
      </c>
    </row>
    <row r="182">
      <c r="B182" s="32" t="s">
        <v>1150</v>
      </c>
      <c r="C182" s="33" t="s">
        <v>267</v>
      </c>
      <c r="D182" s="32" t="s">
        <v>1559</v>
      </c>
      <c r="E182" s="11" t="s">
        <v>37</v>
      </c>
    </row>
    <row r="183">
      <c r="B183" s="32" t="s">
        <v>1561</v>
      </c>
      <c r="C183" s="33" t="s">
        <v>497</v>
      </c>
      <c r="D183" s="32" t="s">
        <v>1560</v>
      </c>
      <c r="E183" s="11" t="s">
        <v>33</v>
      </c>
    </row>
    <row r="184">
      <c r="B184" s="32" t="s">
        <v>1150</v>
      </c>
      <c r="C184" s="33" t="s">
        <v>220</v>
      </c>
      <c r="D184" s="32" t="s">
        <v>739</v>
      </c>
      <c r="E184" s="11" t="s">
        <v>37</v>
      </c>
    </row>
    <row r="185">
      <c r="B185" s="32" t="s">
        <v>1561</v>
      </c>
      <c r="C185" s="33" t="s">
        <v>352</v>
      </c>
      <c r="D185" s="32" t="s">
        <v>1559</v>
      </c>
      <c r="E185" s="11" t="s">
        <v>33</v>
      </c>
    </row>
    <row r="186">
      <c r="B186" s="32" t="s">
        <v>1560</v>
      </c>
      <c r="C186" s="33" t="s">
        <v>71</v>
      </c>
      <c r="D186" s="32" t="s">
        <v>739</v>
      </c>
      <c r="E186" s="11" t="s">
        <v>37</v>
      </c>
    </row>
    <row r="187">
      <c r="B187" s="32" t="s">
        <v>1561</v>
      </c>
      <c r="C187" s="33" t="s">
        <v>212</v>
      </c>
      <c r="D187" s="32" t="s">
        <v>1150</v>
      </c>
      <c r="E187" s="11" t="s">
        <v>33</v>
      </c>
    </row>
    <row r="188">
      <c r="B188" s="32" t="s">
        <v>1560</v>
      </c>
      <c r="C188" s="33" t="s">
        <v>218</v>
      </c>
      <c r="D188" s="32" t="s">
        <v>1559</v>
      </c>
      <c r="E188" s="11" t="s">
        <v>37</v>
      </c>
    </row>
    <row r="189">
      <c r="B189" s="32" t="s">
        <v>1559</v>
      </c>
      <c r="C189" s="33" t="s">
        <v>49</v>
      </c>
      <c r="D189" s="32" t="s">
        <v>739</v>
      </c>
      <c r="E189" s="11" t="s">
        <v>33</v>
      </c>
    </row>
    <row r="190">
      <c r="B190" s="32" t="s">
        <v>1560</v>
      </c>
      <c r="C190" s="33" t="s">
        <v>194</v>
      </c>
      <c r="D190" s="32" t="s">
        <v>1150</v>
      </c>
      <c r="E190" s="11" t="s">
        <v>37</v>
      </c>
    </row>
    <row r="191">
      <c r="B191" s="32" t="s">
        <v>739</v>
      </c>
      <c r="C191" s="35" t="s">
        <v>64</v>
      </c>
      <c r="D191" s="32" t="s">
        <v>1561</v>
      </c>
      <c r="E191" s="11" t="s">
        <v>33</v>
      </c>
    </row>
    <row r="192">
      <c r="B192" s="32" t="s">
        <v>1559</v>
      </c>
      <c r="C192" s="35" t="s">
        <v>62</v>
      </c>
      <c r="D192" s="32" t="s">
        <v>1150</v>
      </c>
      <c r="E192" s="11" t="s">
        <v>37</v>
      </c>
    </row>
    <row r="193">
      <c r="B193" s="32" t="s">
        <v>1560</v>
      </c>
      <c r="C193" s="35" t="s">
        <v>22</v>
      </c>
      <c r="D193" s="32" t="s">
        <v>1561</v>
      </c>
      <c r="E193" s="11" t="s">
        <v>33</v>
      </c>
    </row>
    <row r="194">
      <c r="B194" s="32" t="s">
        <v>739</v>
      </c>
      <c r="C194" s="35" t="s">
        <v>285</v>
      </c>
      <c r="D194" s="32" t="s">
        <v>1150</v>
      </c>
      <c r="E194" s="11" t="s">
        <v>37</v>
      </c>
    </row>
    <row r="195">
      <c r="B195" s="32" t="s">
        <v>1559</v>
      </c>
      <c r="C195" s="35" t="s">
        <v>71</v>
      </c>
      <c r="D195" s="32" t="s">
        <v>1561</v>
      </c>
      <c r="E195" s="11" t="s">
        <v>33</v>
      </c>
    </row>
    <row r="196">
      <c r="B196" s="32" t="s">
        <v>739</v>
      </c>
      <c r="C196" s="35" t="s">
        <v>797</v>
      </c>
      <c r="D196" s="32" t="s">
        <v>1560</v>
      </c>
      <c r="E196" s="11" t="s">
        <v>37</v>
      </c>
    </row>
    <row r="197">
      <c r="B197" s="32" t="s">
        <v>1150</v>
      </c>
      <c r="C197" s="35" t="s">
        <v>197</v>
      </c>
      <c r="D197" s="32" t="s">
        <v>1561</v>
      </c>
      <c r="E197" s="11" t="s">
        <v>33</v>
      </c>
    </row>
    <row r="198">
      <c r="B198" s="32" t="s">
        <v>1559</v>
      </c>
      <c r="C198" s="35" t="s">
        <v>86</v>
      </c>
      <c r="D198" s="32" t="s">
        <v>1560</v>
      </c>
      <c r="E198" s="11" t="s">
        <v>37</v>
      </c>
    </row>
    <row r="199">
      <c r="B199" s="1" t="s">
        <v>1429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B201" s="32" t="s">
        <v>1562</v>
      </c>
      <c r="C201" s="35" t="s">
        <v>196</v>
      </c>
      <c r="D201" s="32" t="s">
        <v>1505</v>
      </c>
      <c r="E201" s="11" t="s">
        <v>33</v>
      </c>
    </row>
    <row r="202">
      <c r="B202" s="8" t="s">
        <v>1563</v>
      </c>
      <c r="C202" s="35" t="s">
        <v>81</v>
      </c>
      <c r="D202" s="32" t="s">
        <v>1564</v>
      </c>
      <c r="E202" s="11" t="s">
        <v>37</v>
      </c>
    </row>
    <row r="203">
      <c r="B203" s="32" t="s">
        <v>1565</v>
      </c>
      <c r="C203" s="35" t="s">
        <v>41</v>
      </c>
      <c r="D203" s="32" t="s">
        <v>1562</v>
      </c>
      <c r="E203" s="11" t="s">
        <v>33</v>
      </c>
    </row>
    <row r="204">
      <c r="B204" s="8" t="s">
        <v>1563</v>
      </c>
      <c r="C204" s="35" t="s">
        <v>64</v>
      </c>
      <c r="D204" s="32" t="s">
        <v>1505</v>
      </c>
      <c r="E204" s="11" t="s">
        <v>37</v>
      </c>
    </row>
    <row r="205">
      <c r="B205" s="32" t="s">
        <v>1565</v>
      </c>
      <c r="C205" s="35" t="s">
        <v>23</v>
      </c>
      <c r="D205" s="32" t="s">
        <v>1564</v>
      </c>
      <c r="E205" s="11" t="s">
        <v>33</v>
      </c>
    </row>
    <row r="206">
      <c r="B206" s="8" t="s">
        <v>1563</v>
      </c>
      <c r="C206" s="35" t="s">
        <v>190</v>
      </c>
      <c r="D206" s="32" t="s">
        <v>1562</v>
      </c>
      <c r="E206" s="11" t="s">
        <v>37</v>
      </c>
    </row>
    <row r="207">
      <c r="B207" s="32" t="s">
        <v>1565</v>
      </c>
      <c r="C207" s="35" t="s">
        <v>212</v>
      </c>
      <c r="D207" s="32" t="s">
        <v>1505</v>
      </c>
      <c r="E207" s="11" t="s">
        <v>33</v>
      </c>
    </row>
    <row r="208">
      <c r="B208" s="32" t="s">
        <v>1564</v>
      </c>
      <c r="C208" s="35" t="s">
        <v>218</v>
      </c>
      <c r="D208" s="32" t="s">
        <v>1562</v>
      </c>
      <c r="E208" s="11" t="s">
        <v>37</v>
      </c>
    </row>
    <row r="209">
      <c r="B209" s="32" t="s">
        <v>1565</v>
      </c>
      <c r="C209" s="35" t="s">
        <v>283</v>
      </c>
      <c r="D209" s="8" t="s">
        <v>1563</v>
      </c>
      <c r="E209" s="11" t="s">
        <v>33</v>
      </c>
    </row>
    <row r="210">
      <c r="B210" s="32" t="s">
        <v>1564</v>
      </c>
      <c r="C210" s="35" t="s">
        <v>14</v>
      </c>
      <c r="D210" s="32" t="s">
        <v>1505</v>
      </c>
      <c r="E210" s="11" t="s">
        <v>37</v>
      </c>
    </row>
    <row r="211">
      <c r="B211" s="32" t="s">
        <v>1505</v>
      </c>
      <c r="C211" s="35" t="s">
        <v>244</v>
      </c>
      <c r="D211" s="32" t="s">
        <v>1562</v>
      </c>
      <c r="E211" s="11" t="s">
        <v>33</v>
      </c>
    </row>
    <row r="212">
      <c r="B212" s="32" t="s">
        <v>1564</v>
      </c>
      <c r="C212" s="35" t="s">
        <v>81</v>
      </c>
      <c r="D212" s="8" t="s">
        <v>1563</v>
      </c>
      <c r="E212" s="11" t="s">
        <v>37</v>
      </c>
    </row>
    <row r="213">
      <c r="B213" s="32" t="s">
        <v>1562</v>
      </c>
      <c r="C213" s="35" t="s">
        <v>220</v>
      </c>
      <c r="D213" s="32" t="s">
        <v>1565</v>
      </c>
      <c r="E213" s="11" t="s">
        <v>33</v>
      </c>
    </row>
    <row r="214">
      <c r="B214" s="32" t="s">
        <v>1505</v>
      </c>
      <c r="C214" s="35" t="s">
        <v>71</v>
      </c>
      <c r="D214" s="8" t="s">
        <v>1563</v>
      </c>
      <c r="E214" s="11" t="s">
        <v>37</v>
      </c>
    </row>
    <row r="215">
      <c r="B215" s="32" t="s">
        <v>1564</v>
      </c>
      <c r="C215" s="35" t="s">
        <v>389</v>
      </c>
      <c r="D215" s="32" t="s">
        <v>1565</v>
      </c>
      <c r="E215" s="11" t="s">
        <v>33</v>
      </c>
    </row>
    <row r="216">
      <c r="B216" s="32" t="s">
        <v>1562</v>
      </c>
      <c r="C216" s="35" t="s">
        <v>47</v>
      </c>
      <c r="D216" s="8" t="s">
        <v>1563</v>
      </c>
      <c r="E216" s="11" t="s">
        <v>37</v>
      </c>
    </row>
    <row r="217">
      <c r="B217" s="32" t="s">
        <v>1505</v>
      </c>
      <c r="C217" s="35" t="s">
        <v>520</v>
      </c>
      <c r="D217" s="32" t="s">
        <v>1565</v>
      </c>
      <c r="E217" s="11" t="s">
        <v>33</v>
      </c>
    </row>
    <row r="218">
      <c r="B218" s="32" t="s">
        <v>1562</v>
      </c>
      <c r="C218" s="35" t="s">
        <v>58</v>
      </c>
      <c r="D218" s="32" t="s">
        <v>1564</v>
      </c>
      <c r="E218" s="11" t="s">
        <v>37</v>
      </c>
    </row>
    <row r="219">
      <c r="B219" s="8" t="s">
        <v>1563</v>
      </c>
      <c r="C219" s="35" t="s">
        <v>400</v>
      </c>
      <c r="D219" s="32" t="s">
        <v>1565</v>
      </c>
      <c r="E219" s="11" t="s">
        <v>33</v>
      </c>
    </row>
    <row r="220">
      <c r="B220" s="32" t="s">
        <v>1505</v>
      </c>
      <c r="C220" s="35" t="s">
        <v>65</v>
      </c>
      <c r="D220" s="32" t="s">
        <v>1564</v>
      </c>
      <c r="E220" s="11" t="s">
        <v>37</v>
      </c>
    </row>
    <row r="221">
      <c r="B221" s="28" t="s">
        <v>1435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34" t="s">
        <v>528</v>
      </c>
      <c r="C223" s="33" t="s">
        <v>251</v>
      </c>
      <c r="D223" s="34" t="s">
        <v>783</v>
      </c>
      <c r="E223" s="11" t="s">
        <v>9</v>
      </c>
    </row>
    <row r="224">
      <c r="B224" s="34" t="s">
        <v>39</v>
      </c>
      <c r="C224" s="33" t="s">
        <v>20</v>
      </c>
      <c r="D224" s="34" t="s">
        <v>1437</v>
      </c>
      <c r="E224" s="11" t="s">
        <v>13</v>
      </c>
    </row>
    <row r="225">
      <c r="B225" s="34" t="s">
        <v>998</v>
      </c>
      <c r="C225" s="33" t="s">
        <v>19</v>
      </c>
      <c r="D225" s="34" t="s">
        <v>528</v>
      </c>
      <c r="E225" s="11" t="s">
        <v>9</v>
      </c>
    </row>
    <row r="226">
      <c r="B226" s="34" t="s">
        <v>39</v>
      </c>
      <c r="C226" s="33" t="s">
        <v>81</v>
      </c>
      <c r="D226" s="34" t="s">
        <v>783</v>
      </c>
      <c r="E226" s="11" t="s">
        <v>13</v>
      </c>
    </row>
    <row r="227">
      <c r="B227" s="34" t="s">
        <v>998</v>
      </c>
      <c r="C227" s="33" t="s">
        <v>282</v>
      </c>
      <c r="D227" s="34" t="s">
        <v>1437</v>
      </c>
      <c r="E227" s="11" t="s">
        <v>9</v>
      </c>
    </row>
    <row r="228">
      <c r="B228" s="34" t="s">
        <v>39</v>
      </c>
      <c r="C228" s="33" t="s">
        <v>20</v>
      </c>
      <c r="D228" s="34" t="s">
        <v>528</v>
      </c>
      <c r="E228" s="11" t="s">
        <v>13</v>
      </c>
    </row>
    <row r="229">
      <c r="B229" s="34" t="s">
        <v>998</v>
      </c>
      <c r="C229" s="33" t="s">
        <v>22</v>
      </c>
      <c r="D229" s="34" t="s">
        <v>783</v>
      </c>
      <c r="E229" s="11" t="s">
        <v>9</v>
      </c>
    </row>
    <row r="230">
      <c r="B230" s="34" t="s">
        <v>1437</v>
      </c>
      <c r="C230" s="33" t="s">
        <v>1566</v>
      </c>
      <c r="D230" s="34" t="s">
        <v>528</v>
      </c>
      <c r="E230" s="11" t="s">
        <v>13</v>
      </c>
    </row>
    <row r="231">
      <c r="B231" s="34" t="s">
        <v>998</v>
      </c>
      <c r="C231" s="33" t="s">
        <v>83</v>
      </c>
      <c r="D231" s="34" t="s">
        <v>39</v>
      </c>
      <c r="E231" s="11" t="s">
        <v>9</v>
      </c>
    </row>
    <row r="232">
      <c r="B232" s="34" t="s">
        <v>1437</v>
      </c>
      <c r="C232" s="33" t="s">
        <v>27</v>
      </c>
      <c r="D232" s="34" t="s">
        <v>783</v>
      </c>
      <c r="E232" s="11" t="s">
        <v>13</v>
      </c>
    </row>
    <row r="233">
      <c r="B233" s="34" t="s">
        <v>783</v>
      </c>
      <c r="C233" s="33" t="s">
        <v>18</v>
      </c>
      <c r="D233" s="34" t="s">
        <v>528</v>
      </c>
      <c r="E233" s="11" t="s">
        <v>9</v>
      </c>
    </row>
    <row r="234">
      <c r="B234" s="34" t="s">
        <v>1437</v>
      </c>
      <c r="C234" s="33" t="s">
        <v>48</v>
      </c>
      <c r="D234" s="34" t="s">
        <v>39</v>
      </c>
      <c r="E234" s="11" t="s">
        <v>13</v>
      </c>
    </row>
    <row r="235">
      <c r="B235" s="34" t="s">
        <v>528</v>
      </c>
      <c r="C235" s="35" t="s">
        <v>55</v>
      </c>
      <c r="D235" s="34" t="s">
        <v>998</v>
      </c>
      <c r="E235" s="11" t="s">
        <v>9</v>
      </c>
    </row>
    <row r="236">
      <c r="B236" s="34" t="s">
        <v>783</v>
      </c>
      <c r="C236" s="35" t="s">
        <v>41</v>
      </c>
      <c r="D236" s="34" t="s">
        <v>39</v>
      </c>
      <c r="E236" s="11" t="s">
        <v>13</v>
      </c>
    </row>
    <row r="237">
      <c r="B237" s="34" t="s">
        <v>1437</v>
      </c>
      <c r="C237" s="35" t="s">
        <v>250</v>
      </c>
      <c r="D237" s="34" t="s">
        <v>998</v>
      </c>
      <c r="E237" s="11" t="s">
        <v>9</v>
      </c>
    </row>
    <row r="238">
      <c r="B238" s="34" t="s">
        <v>528</v>
      </c>
      <c r="C238" s="35" t="s">
        <v>193</v>
      </c>
      <c r="D238" s="34" t="s">
        <v>39</v>
      </c>
      <c r="E238" s="11" t="s">
        <v>13</v>
      </c>
    </row>
    <row r="239">
      <c r="B239" s="34" t="s">
        <v>783</v>
      </c>
      <c r="C239" s="35" t="s">
        <v>81</v>
      </c>
      <c r="D239" s="34" t="s">
        <v>998</v>
      </c>
      <c r="E239" s="11" t="s">
        <v>9</v>
      </c>
    </row>
    <row r="240">
      <c r="B240" s="34" t="s">
        <v>528</v>
      </c>
      <c r="C240" s="35" t="s">
        <v>87</v>
      </c>
      <c r="D240" s="34" t="s">
        <v>1437</v>
      </c>
      <c r="E240" s="11" t="s">
        <v>13</v>
      </c>
    </row>
    <row r="241">
      <c r="B241" s="34" t="s">
        <v>39</v>
      </c>
      <c r="C241" s="35" t="s">
        <v>11</v>
      </c>
      <c r="D241" s="34" t="s">
        <v>998</v>
      </c>
      <c r="E241" s="11" t="s">
        <v>9</v>
      </c>
    </row>
    <row r="242">
      <c r="B242" s="34" t="s">
        <v>783</v>
      </c>
      <c r="C242" s="35" t="s">
        <v>217</v>
      </c>
      <c r="D242" s="34" t="s">
        <v>1437</v>
      </c>
      <c r="E242" s="11" t="s">
        <v>13</v>
      </c>
    </row>
    <row r="243">
      <c r="B243" s="28" t="s">
        <v>1441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34" t="s">
        <v>1567</v>
      </c>
      <c r="C245" s="35" t="s">
        <v>64</v>
      </c>
      <c r="D245" s="34" t="s">
        <v>1568</v>
      </c>
      <c r="E245" s="11" t="s">
        <v>9</v>
      </c>
    </row>
    <row r="246">
      <c r="B246" s="34" t="s">
        <v>1569</v>
      </c>
      <c r="C246" s="35" t="s">
        <v>589</v>
      </c>
      <c r="D246" s="34" t="s">
        <v>1570</v>
      </c>
      <c r="E246" s="11" t="s">
        <v>13</v>
      </c>
    </row>
    <row r="247">
      <c r="B247" s="34" t="s">
        <v>1512</v>
      </c>
      <c r="C247" s="35" t="s">
        <v>269</v>
      </c>
      <c r="D247" s="34" t="s">
        <v>1567</v>
      </c>
      <c r="E247" s="11" t="s">
        <v>9</v>
      </c>
    </row>
    <row r="248">
      <c r="B248" s="34" t="s">
        <v>1569</v>
      </c>
      <c r="C248" s="35" t="s">
        <v>190</v>
      </c>
      <c r="D248" s="34" t="s">
        <v>1568</v>
      </c>
      <c r="E248" s="11" t="s">
        <v>13</v>
      </c>
    </row>
    <row r="249">
      <c r="B249" s="34" t="s">
        <v>1512</v>
      </c>
      <c r="C249" s="35" t="s">
        <v>87</v>
      </c>
      <c r="D249" s="34" t="s">
        <v>1570</v>
      </c>
      <c r="E249" s="11" t="s">
        <v>9</v>
      </c>
    </row>
    <row r="250">
      <c r="B250" s="34" t="s">
        <v>1569</v>
      </c>
      <c r="C250" s="35" t="s">
        <v>41</v>
      </c>
      <c r="D250" s="34" t="s">
        <v>1567</v>
      </c>
      <c r="E250" s="11" t="s">
        <v>13</v>
      </c>
    </row>
    <row r="251">
      <c r="B251" s="34" t="s">
        <v>1512</v>
      </c>
      <c r="C251" s="35" t="s">
        <v>201</v>
      </c>
      <c r="D251" s="34" t="s">
        <v>1568</v>
      </c>
      <c r="E251" s="11" t="s">
        <v>9</v>
      </c>
    </row>
    <row r="252">
      <c r="B252" s="34" t="s">
        <v>1570</v>
      </c>
      <c r="C252" s="35" t="s">
        <v>584</v>
      </c>
      <c r="D252" s="34" t="s">
        <v>1567</v>
      </c>
      <c r="E252" s="11" t="s">
        <v>13</v>
      </c>
    </row>
    <row r="253">
      <c r="B253" s="34" t="s">
        <v>1512</v>
      </c>
      <c r="C253" s="35" t="s">
        <v>81</v>
      </c>
      <c r="D253" s="34" t="s">
        <v>1569</v>
      </c>
      <c r="E253" s="11" t="s">
        <v>9</v>
      </c>
    </row>
    <row r="254">
      <c r="B254" s="34" t="s">
        <v>1570</v>
      </c>
      <c r="C254" s="35" t="s">
        <v>20</v>
      </c>
      <c r="D254" s="34" t="s">
        <v>1568</v>
      </c>
      <c r="E254" s="11" t="s">
        <v>13</v>
      </c>
    </row>
    <row r="255">
      <c r="B255" s="34" t="s">
        <v>1568</v>
      </c>
      <c r="C255" s="35" t="s">
        <v>566</v>
      </c>
      <c r="D255" s="34" t="s">
        <v>1567</v>
      </c>
      <c r="E255" s="11" t="s">
        <v>9</v>
      </c>
    </row>
    <row r="256">
      <c r="B256" s="34" t="s">
        <v>1570</v>
      </c>
      <c r="C256" s="35" t="s">
        <v>1342</v>
      </c>
      <c r="D256" s="34" t="s">
        <v>1569</v>
      </c>
      <c r="E256" s="11" t="s">
        <v>13</v>
      </c>
    </row>
    <row r="257">
      <c r="B257" s="34" t="s">
        <v>1567</v>
      </c>
      <c r="C257" s="35" t="s">
        <v>81</v>
      </c>
      <c r="D257" s="34" t="s">
        <v>1512</v>
      </c>
      <c r="E257" s="11" t="s">
        <v>9</v>
      </c>
    </row>
    <row r="258">
      <c r="B258" s="34" t="s">
        <v>1568</v>
      </c>
      <c r="C258" s="35" t="s">
        <v>699</v>
      </c>
      <c r="D258" s="34" t="s">
        <v>1569</v>
      </c>
      <c r="E258" s="11" t="s">
        <v>13</v>
      </c>
    </row>
    <row r="259">
      <c r="B259" s="34" t="s">
        <v>1570</v>
      </c>
      <c r="C259" s="35" t="s">
        <v>87</v>
      </c>
      <c r="D259" s="34" t="s">
        <v>1512</v>
      </c>
      <c r="E259" s="11" t="s">
        <v>9</v>
      </c>
    </row>
    <row r="260">
      <c r="B260" s="34" t="s">
        <v>1567</v>
      </c>
      <c r="C260" s="35" t="s">
        <v>276</v>
      </c>
      <c r="D260" s="34" t="s">
        <v>1569</v>
      </c>
      <c r="E260" s="11" t="s">
        <v>13</v>
      </c>
    </row>
    <row r="261">
      <c r="B261" s="34" t="s">
        <v>1568</v>
      </c>
      <c r="C261" s="35" t="s">
        <v>215</v>
      </c>
      <c r="D261" s="34" t="s">
        <v>1512</v>
      </c>
      <c r="E261" s="11" t="s">
        <v>9</v>
      </c>
    </row>
    <row r="262">
      <c r="B262" s="34" t="s">
        <v>1567</v>
      </c>
      <c r="C262" s="35" t="s">
        <v>35</v>
      </c>
      <c r="D262" s="34" t="s">
        <v>1570</v>
      </c>
      <c r="E262" s="11" t="s">
        <v>13</v>
      </c>
    </row>
    <row r="263">
      <c r="B263" s="34" t="s">
        <v>1569</v>
      </c>
      <c r="C263" s="35" t="s">
        <v>239</v>
      </c>
      <c r="D263" s="34" t="s">
        <v>1512</v>
      </c>
      <c r="E263" s="11" t="s">
        <v>9</v>
      </c>
    </row>
    <row r="264">
      <c r="B264" s="34" t="s">
        <v>1568</v>
      </c>
      <c r="C264" s="35" t="s">
        <v>66</v>
      </c>
      <c r="D264" s="34" t="s">
        <v>1570</v>
      </c>
      <c r="E264" s="11" t="s">
        <v>13</v>
      </c>
    </row>
    <row r="265">
      <c r="B265" s="28" t="s">
        <v>1448</v>
      </c>
      <c r="C265" s="2"/>
      <c r="D265" s="3"/>
      <c r="E265" s="2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34" t="s">
        <v>1571</v>
      </c>
      <c r="C267" s="35" t="s">
        <v>66</v>
      </c>
      <c r="D267" s="34" t="s">
        <v>1572</v>
      </c>
      <c r="E267" s="11" t="s">
        <v>33</v>
      </c>
    </row>
    <row r="268">
      <c r="B268" s="8" t="s">
        <v>1573</v>
      </c>
      <c r="C268" s="35" t="s">
        <v>267</v>
      </c>
      <c r="D268" s="34" t="s">
        <v>1574</v>
      </c>
      <c r="E268" s="11" t="s">
        <v>37</v>
      </c>
    </row>
    <row r="269">
      <c r="B269" s="34" t="s">
        <v>1519</v>
      </c>
      <c r="C269" s="35" t="s">
        <v>62</v>
      </c>
      <c r="D269" s="34" t="s">
        <v>1571</v>
      </c>
      <c r="E269" s="11" t="s">
        <v>33</v>
      </c>
    </row>
    <row r="270">
      <c r="B270" s="8" t="s">
        <v>1573</v>
      </c>
      <c r="C270" s="35" t="s">
        <v>43</v>
      </c>
      <c r="D270" s="34" t="s">
        <v>1572</v>
      </c>
      <c r="E270" s="11" t="s">
        <v>37</v>
      </c>
    </row>
    <row r="271">
      <c r="B271" s="34" t="s">
        <v>1519</v>
      </c>
      <c r="C271" s="35" t="s">
        <v>25</v>
      </c>
      <c r="D271" s="34" t="s">
        <v>1574</v>
      </c>
      <c r="E271" s="11" t="s">
        <v>33</v>
      </c>
    </row>
    <row r="272">
      <c r="B272" s="8" t="s">
        <v>1573</v>
      </c>
      <c r="C272" s="35" t="s">
        <v>950</v>
      </c>
      <c r="D272" s="34" t="s">
        <v>1571</v>
      </c>
      <c r="E272" s="11" t="s">
        <v>37</v>
      </c>
    </row>
    <row r="273">
      <c r="B273" s="34" t="s">
        <v>1519</v>
      </c>
      <c r="C273" s="35" t="s">
        <v>49</v>
      </c>
      <c r="D273" s="34" t="s">
        <v>1572</v>
      </c>
      <c r="E273" s="11" t="s">
        <v>33</v>
      </c>
    </row>
    <row r="274">
      <c r="B274" s="34" t="s">
        <v>1574</v>
      </c>
      <c r="C274" s="35" t="s">
        <v>28</v>
      </c>
      <c r="D274" s="34" t="s">
        <v>1571</v>
      </c>
      <c r="E274" s="11" t="s">
        <v>37</v>
      </c>
    </row>
    <row r="275">
      <c r="B275" s="34" t="s">
        <v>1519</v>
      </c>
      <c r="C275" s="35" t="s">
        <v>196</v>
      </c>
      <c r="D275" s="8" t="s">
        <v>1573</v>
      </c>
      <c r="E275" s="11" t="s">
        <v>33</v>
      </c>
    </row>
    <row r="276">
      <c r="B276" s="34" t="s">
        <v>1574</v>
      </c>
      <c r="C276" s="35" t="s">
        <v>195</v>
      </c>
      <c r="D276" s="34" t="s">
        <v>1572</v>
      </c>
      <c r="E276" s="11" t="s">
        <v>37</v>
      </c>
    </row>
    <row r="277">
      <c r="B277" s="34" t="s">
        <v>1572</v>
      </c>
      <c r="C277" s="35" t="s">
        <v>190</v>
      </c>
      <c r="D277" s="34" t="s">
        <v>1571</v>
      </c>
      <c r="E277" s="11" t="s">
        <v>33</v>
      </c>
    </row>
    <row r="278">
      <c r="B278" s="34" t="s">
        <v>1574</v>
      </c>
      <c r="C278" s="35" t="s">
        <v>205</v>
      </c>
      <c r="D278" s="8" t="s">
        <v>1573</v>
      </c>
      <c r="E278" s="11" t="s">
        <v>37</v>
      </c>
    </row>
    <row r="279">
      <c r="B279" s="34" t="s">
        <v>1571</v>
      </c>
      <c r="C279" s="35" t="s">
        <v>1552</v>
      </c>
      <c r="D279" s="34" t="s">
        <v>1519</v>
      </c>
      <c r="E279" s="11" t="s">
        <v>33</v>
      </c>
    </row>
    <row r="280">
      <c r="B280" s="34" t="s">
        <v>1572</v>
      </c>
      <c r="C280" s="35" t="s">
        <v>88</v>
      </c>
      <c r="D280" s="8" t="s">
        <v>1573</v>
      </c>
      <c r="E280" s="11" t="s">
        <v>37</v>
      </c>
    </row>
    <row r="281">
      <c r="B281" s="34" t="s">
        <v>1574</v>
      </c>
      <c r="C281" s="35" t="s">
        <v>250</v>
      </c>
      <c r="D281" s="34" t="s">
        <v>1519</v>
      </c>
      <c r="E281" s="11" t="s">
        <v>33</v>
      </c>
    </row>
    <row r="282">
      <c r="B282" s="34" t="s">
        <v>1571</v>
      </c>
      <c r="C282" s="35" t="s">
        <v>220</v>
      </c>
      <c r="D282" s="8" t="s">
        <v>1573</v>
      </c>
      <c r="E282" s="11" t="s">
        <v>37</v>
      </c>
    </row>
    <row r="283">
      <c r="B283" s="34" t="s">
        <v>1572</v>
      </c>
      <c r="C283" s="35" t="s">
        <v>58</v>
      </c>
      <c r="D283" s="34" t="s">
        <v>1519</v>
      </c>
      <c r="E283" s="11" t="s">
        <v>33</v>
      </c>
    </row>
    <row r="284">
      <c r="B284" s="34" t="s">
        <v>1571</v>
      </c>
      <c r="C284" s="35" t="s">
        <v>217</v>
      </c>
      <c r="D284" s="34" t="s">
        <v>1574</v>
      </c>
      <c r="E284" s="11" t="s">
        <v>37</v>
      </c>
    </row>
    <row r="285">
      <c r="B285" s="8" t="s">
        <v>1573</v>
      </c>
      <c r="C285" s="35" t="s">
        <v>466</v>
      </c>
      <c r="D285" s="34" t="s">
        <v>1519</v>
      </c>
      <c r="E285" s="11" t="s">
        <v>33</v>
      </c>
    </row>
    <row r="286">
      <c r="B286" s="34" t="s">
        <v>1572</v>
      </c>
      <c r="C286" s="35" t="s">
        <v>196</v>
      </c>
      <c r="D286" s="34" t="s">
        <v>1574</v>
      </c>
      <c r="E286" s="11" t="s">
        <v>37</v>
      </c>
    </row>
    <row r="287">
      <c r="B287" s="28" t="s">
        <v>145</v>
      </c>
      <c r="C287" s="2"/>
      <c r="D287" s="3"/>
      <c r="E287" s="2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34" t="s">
        <v>1575</v>
      </c>
      <c r="C289" s="35" t="s">
        <v>285</v>
      </c>
      <c r="D289" s="34" t="s">
        <v>146</v>
      </c>
      <c r="E289" s="11" t="s">
        <v>33</v>
      </c>
    </row>
    <row r="290">
      <c r="B290" s="8" t="s">
        <v>1576</v>
      </c>
      <c r="C290" s="35" t="s">
        <v>197</v>
      </c>
      <c r="D290" s="34" t="s">
        <v>1237</v>
      </c>
      <c r="E290" s="11" t="s">
        <v>37</v>
      </c>
    </row>
    <row r="291">
      <c r="B291" s="34" t="s">
        <v>1577</v>
      </c>
      <c r="C291" s="35" t="s">
        <v>270</v>
      </c>
      <c r="D291" s="34" t="s">
        <v>1575</v>
      </c>
      <c r="E291" s="11" t="s">
        <v>33</v>
      </c>
    </row>
    <row r="292">
      <c r="B292" s="8" t="s">
        <v>1576</v>
      </c>
      <c r="C292" s="35" t="s">
        <v>19</v>
      </c>
      <c r="D292" s="34" t="s">
        <v>146</v>
      </c>
      <c r="E292" s="11" t="s">
        <v>37</v>
      </c>
    </row>
    <row r="293">
      <c r="B293" s="34" t="s">
        <v>1577</v>
      </c>
      <c r="C293" s="35" t="s">
        <v>42</v>
      </c>
      <c r="D293" s="34" t="s">
        <v>1237</v>
      </c>
      <c r="E293" s="11" t="s">
        <v>33</v>
      </c>
    </row>
    <row r="294">
      <c r="B294" s="8" t="s">
        <v>1576</v>
      </c>
      <c r="C294" s="35" t="s">
        <v>291</v>
      </c>
      <c r="D294" s="34" t="s">
        <v>1575</v>
      </c>
      <c r="E294" s="11" t="s">
        <v>37</v>
      </c>
    </row>
    <row r="295">
      <c r="B295" s="34" t="s">
        <v>1577</v>
      </c>
      <c r="C295" s="35" t="s">
        <v>23</v>
      </c>
      <c r="D295" s="34" t="s">
        <v>146</v>
      </c>
      <c r="E295" s="11" t="s">
        <v>33</v>
      </c>
    </row>
    <row r="296">
      <c r="B296" s="34" t="s">
        <v>1237</v>
      </c>
      <c r="C296" s="35" t="s">
        <v>1578</v>
      </c>
      <c r="D296" s="34" t="s">
        <v>1575</v>
      </c>
      <c r="E296" s="11" t="s">
        <v>37</v>
      </c>
    </row>
    <row r="297">
      <c r="B297" s="34" t="s">
        <v>1577</v>
      </c>
      <c r="C297" s="35" t="s">
        <v>291</v>
      </c>
      <c r="D297" s="8" t="s">
        <v>1576</v>
      </c>
      <c r="E297" s="11" t="s">
        <v>33</v>
      </c>
    </row>
    <row r="298">
      <c r="B298" s="34" t="s">
        <v>1237</v>
      </c>
      <c r="C298" s="35" t="s">
        <v>47</v>
      </c>
      <c r="D298" s="34" t="s">
        <v>146</v>
      </c>
      <c r="E298" s="11" t="s">
        <v>37</v>
      </c>
    </row>
    <row r="299">
      <c r="B299" s="34" t="s">
        <v>146</v>
      </c>
      <c r="C299" s="35" t="s">
        <v>906</v>
      </c>
      <c r="D299" s="34" t="s">
        <v>1575</v>
      </c>
      <c r="E299" s="11" t="s">
        <v>33</v>
      </c>
    </row>
    <row r="300">
      <c r="B300" s="34" t="s">
        <v>1237</v>
      </c>
      <c r="C300" s="35" t="s">
        <v>25</v>
      </c>
      <c r="D300" s="8" t="s">
        <v>1576</v>
      </c>
      <c r="E300" s="11" t="s">
        <v>37</v>
      </c>
    </row>
    <row r="301">
      <c r="B301" s="34" t="s">
        <v>1575</v>
      </c>
      <c r="C301" s="35" t="s">
        <v>22</v>
      </c>
      <c r="D301" s="34" t="s">
        <v>1577</v>
      </c>
      <c r="E301" s="11" t="s">
        <v>33</v>
      </c>
    </row>
    <row r="302">
      <c r="B302" s="34" t="s">
        <v>146</v>
      </c>
      <c r="C302" s="35" t="s">
        <v>412</v>
      </c>
      <c r="D302" s="8" t="s">
        <v>1576</v>
      </c>
      <c r="E302" s="11" t="s">
        <v>37</v>
      </c>
    </row>
    <row r="303">
      <c r="B303" s="34" t="s">
        <v>1237</v>
      </c>
      <c r="C303" s="35" t="s">
        <v>64</v>
      </c>
      <c r="D303" s="34" t="s">
        <v>1577</v>
      </c>
      <c r="E303" s="11" t="s">
        <v>33</v>
      </c>
    </row>
    <row r="304">
      <c r="B304" s="34" t="s">
        <v>1575</v>
      </c>
      <c r="C304" s="35" t="s">
        <v>11</v>
      </c>
      <c r="D304" s="8" t="s">
        <v>1576</v>
      </c>
      <c r="E304" s="11" t="s">
        <v>37</v>
      </c>
    </row>
    <row r="305">
      <c r="B305" s="34" t="s">
        <v>146</v>
      </c>
      <c r="C305" s="35" t="s">
        <v>306</v>
      </c>
      <c r="D305" s="34" t="s">
        <v>1577</v>
      </c>
      <c r="E305" s="11" t="s">
        <v>33</v>
      </c>
    </row>
    <row r="306">
      <c r="B306" s="34" t="s">
        <v>1575</v>
      </c>
      <c r="C306" s="35" t="s">
        <v>195</v>
      </c>
      <c r="D306" s="34" t="s">
        <v>1237</v>
      </c>
      <c r="E306" s="11" t="s">
        <v>37</v>
      </c>
    </row>
    <row r="307">
      <c r="B307" s="8" t="s">
        <v>1576</v>
      </c>
      <c r="C307" s="35" t="s">
        <v>19</v>
      </c>
      <c r="D307" s="34" t="s">
        <v>1577</v>
      </c>
      <c r="E307" s="11" t="s">
        <v>33</v>
      </c>
    </row>
    <row r="308">
      <c r="B308" s="34" t="s">
        <v>146</v>
      </c>
      <c r="C308" s="35" t="s">
        <v>404</v>
      </c>
      <c r="D308" s="34" t="s">
        <v>1237</v>
      </c>
      <c r="E308" s="11" t="s">
        <v>37</v>
      </c>
    </row>
    <row r="309">
      <c r="B309" s="28" t="s">
        <v>1456</v>
      </c>
      <c r="C309" s="2"/>
      <c r="D309" s="3"/>
      <c r="E309" s="2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34" t="s">
        <v>1579</v>
      </c>
      <c r="C311" s="33" t="s">
        <v>18</v>
      </c>
      <c r="D311" s="34" t="s">
        <v>1580</v>
      </c>
      <c r="E311" s="11" t="s">
        <v>9</v>
      </c>
    </row>
    <row r="312">
      <c r="B312" s="34" t="s">
        <v>1581</v>
      </c>
      <c r="C312" s="33" t="s">
        <v>1266</v>
      </c>
      <c r="D312" s="34" t="s">
        <v>1582</v>
      </c>
      <c r="E312" s="11" t="s">
        <v>13</v>
      </c>
    </row>
    <row r="313">
      <c r="B313" s="34" t="s">
        <v>1523</v>
      </c>
      <c r="C313" s="33" t="s">
        <v>11</v>
      </c>
      <c r="D313" s="34" t="s">
        <v>1579</v>
      </c>
      <c r="E313" s="11" t="s">
        <v>9</v>
      </c>
    </row>
    <row r="314">
      <c r="B314" s="34" t="s">
        <v>1581</v>
      </c>
      <c r="C314" s="33" t="s">
        <v>16</v>
      </c>
      <c r="D314" s="34" t="s">
        <v>1580</v>
      </c>
      <c r="E314" s="11" t="s">
        <v>13</v>
      </c>
    </row>
    <row r="315">
      <c r="B315" s="34" t="s">
        <v>1523</v>
      </c>
      <c r="C315" s="33" t="s">
        <v>706</v>
      </c>
      <c r="D315" s="34" t="s">
        <v>1582</v>
      </c>
      <c r="E315" s="11" t="s">
        <v>9</v>
      </c>
    </row>
    <row r="316">
      <c r="B316" s="34" t="s">
        <v>1581</v>
      </c>
      <c r="C316" s="33" t="s">
        <v>19</v>
      </c>
      <c r="D316" s="34" t="s">
        <v>1579</v>
      </c>
      <c r="E316" s="11" t="s">
        <v>13</v>
      </c>
    </row>
    <row r="317">
      <c r="B317" s="34" t="s">
        <v>1523</v>
      </c>
      <c r="C317" s="33" t="s">
        <v>71</v>
      </c>
      <c r="D317" s="34" t="s">
        <v>1580</v>
      </c>
      <c r="E317" s="11" t="s">
        <v>9</v>
      </c>
    </row>
    <row r="318">
      <c r="B318" s="34" t="s">
        <v>1582</v>
      </c>
      <c r="C318" s="33" t="s">
        <v>370</v>
      </c>
      <c r="D318" s="34" t="s">
        <v>1579</v>
      </c>
      <c r="E318" s="11" t="s">
        <v>13</v>
      </c>
    </row>
    <row r="319">
      <c r="B319" s="34" t="s">
        <v>1523</v>
      </c>
      <c r="C319" s="33" t="s">
        <v>18</v>
      </c>
      <c r="D319" s="34" t="s">
        <v>1581</v>
      </c>
      <c r="E319" s="11" t="s">
        <v>9</v>
      </c>
    </row>
    <row r="320">
      <c r="B320" s="34" t="s">
        <v>1582</v>
      </c>
      <c r="C320" s="33" t="s">
        <v>240</v>
      </c>
      <c r="D320" s="34" t="s">
        <v>1580</v>
      </c>
      <c r="E320" s="11" t="s">
        <v>13</v>
      </c>
    </row>
    <row r="321">
      <c r="B321" s="34" t="s">
        <v>1580</v>
      </c>
      <c r="C321" s="33" t="s">
        <v>21</v>
      </c>
      <c r="D321" s="34" t="s">
        <v>1579</v>
      </c>
      <c r="E321" s="11" t="s">
        <v>9</v>
      </c>
    </row>
    <row r="322">
      <c r="B322" s="34" t="s">
        <v>1582</v>
      </c>
      <c r="C322" s="33" t="s">
        <v>71</v>
      </c>
      <c r="D322" s="34" t="s">
        <v>1581</v>
      </c>
      <c r="E322" s="11" t="s">
        <v>13</v>
      </c>
    </row>
    <row r="323">
      <c r="B323" s="34" t="s">
        <v>1579</v>
      </c>
      <c r="C323" s="35" t="s">
        <v>218</v>
      </c>
      <c r="D323" s="34" t="s">
        <v>1523</v>
      </c>
      <c r="E323" s="11" t="s">
        <v>9</v>
      </c>
    </row>
    <row r="324">
      <c r="B324" s="34" t="s">
        <v>1580</v>
      </c>
      <c r="C324" s="35" t="s">
        <v>370</v>
      </c>
      <c r="D324" s="34" t="s">
        <v>1581</v>
      </c>
      <c r="E324" s="11" t="s">
        <v>13</v>
      </c>
    </row>
    <row r="325">
      <c r="B325" s="34" t="s">
        <v>1582</v>
      </c>
      <c r="C325" s="35" t="s">
        <v>587</v>
      </c>
      <c r="D325" s="34" t="s">
        <v>1523</v>
      </c>
      <c r="E325" s="11" t="s">
        <v>9</v>
      </c>
    </row>
    <row r="326">
      <c r="B326" s="34" t="s">
        <v>1579</v>
      </c>
      <c r="C326" s="35" t="s">
        <v>190</v>
      </c>
      <c r="D326" s="34" t="s">
        <v>1581</v>
      </c>
      <c r="E326" s="11" t="s">
        <v>13</v>
      </c>
    </row>
    <row r="327">
      <c r="B327" s="34" t="s">
        <v>1580</v>
      </c>
      <c r="C327" s="35" t="s">
        <v>82</v>
      </c>
      <c r="D327" s="34" t="s">
        <v>1523</v>
      </c>
      <c r="E327" s="11" t="s">
        <v>9</v>
      </c>
    </row>
    <row r="328">
      <c r="B328" s="34" t="s">
        <v>1579</v>
      </c>
      <c r="C328" s="35" t="s">
        <v>1583</v>
      </c>
      <c r="D328" s="34" t="s">
        <v>1582</v>
      </c>
      <c r="E328" s="11" t="s">
        <v>13</v>
      </c>
    </row>
    <row r="329">
      <c r="B329" s="34" t="s">
        <v>1581</v>
      </c>
      <c r="C329" s="35" t="s">
        <v>43</v>
      </c>
      <c r="D329" s="34" t="s">
        <v>1523</v>
      </c>
      <c r="E329" s="11" t="s">
        <v>9</v>
      </c>
    </row>
    <row r="330">
      <c r="B330" s="34" t="s">
        <v>1580</v>
      </c>
      <c r="C330" s="35" t="s">
        <v>14</v>
      </c>
      <c r="D330" s="34" t="s">
        <v>1582</v>
      </c>
      <c r="E330" s="11" t="s">
        <v>13</v>
      </c>
    </row>
    <row r="331">
      <c r="B331" s="28" t="s">
        <v>1463</v>
      </c>
      <c r="C331" s="2"/>
      <c r="D331" s="3"/>
      <c r="E331" s="2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34" t="s">
        <v>1584</v>
      </c>
      <c r="C333" s="35" t="s">
        <v>58</v>
      </c>
      <c r="D333" s="34" t="s">
        <v>1585</v>
      </c>
      <c r="E333" s="11" t="s">
        <v>33</v>
      </c>
    </row>
    <row r="334">
      <c r="B334" s="34" t="s">
        <v>808</v>
      </c>
      <c r="C334" s="35" t="s">
        <v>270</v>
      </c>
      <c r="D334" s="34" t="s">
        <v>622</v>
      </c>
      <c r="E334" s="11" t="s">
        <v>37</v>
      </c>
    </row>
    <row r="335">
      <c r="B335" s="34" t="s">
        <v>214</v>
      </c>
      <c r="C335" s="35" t="s">
        <v>544</v>
      </c>
      <c r="D335" s="34" t="s">
        <v>1584</v>
      </c>
      <c r="E335" s="11" t="s">
        <v>33</v>
      </c>
    </row>
    <row r="336">
      <c r="B336" s="34" t="s">
        <v>808</v>
      </c>
      <c r="C336" s="35" t="s">
        <v>201</v>
      </c>
      <c r="D336" s="34" t="s">
        <v>1585</v>
      </c>
      <c r="E336" s="11" t="s">
        <v>37</v>
      </c>
    </row>
    <row r="337">
      <c r="B337" s="34" t="s">
        <v>214</v>
      </c>
      <c r="C337" s="35" t="s">
        <v>201</v>
      </c>
      <c r="D337" s="34" t="s">
        <v>622</v>
      </c>
      <c r="E337" s="11" t="s">
        <v>33</v>
      </c>
    </row>
    <row r="338">
      <c r="B338" s="34" t="s">
        <v>808</v>
      </c>
      <c r="C338" s="35" t="s">
        <v>273</v>
      </c>
      <c r="D338" s="34" t="s">
        <v>1584</v>
      </c>
      <c r="E338" s="11" t="s">
        <v>37</v>
      </c>
    </row>
    <row r="339">
      <c r="B339" s="34" t="s">
        <v>214</v>
      </c>
      <c r="C339" s="35" t="s">
        <v>87</v>
      </c>
      <c r="D339" s="34" t="s">
        <v>1585</v>
      </c>
      <c r="E339" s="11" t="s">
        <v>33</v>
      </c>
    </row>
    <row r="340">
      <c r="B340" s="34" t="s">
        <v>622</v>
      </c>
      <c r="C340" s="35" t="s">
        <v>72</v>
      </c>
      <c r="D340" s="34" t="s">
        <v>1584</v>
      </c>
      <c r="E340" s="11" t="s">
        <v>37</v>
      </c>
    </row>
    <row r="341">
      <c r="B341" s="34" t="s">
        <v>214</v>
      </c>
      <c r="C341" s="35" t="s">
        <v>329</v>
      </c>
      <c r="D341" s="34" t="s">
        <v>808</v>
      </c>
      <c r="E341" s="11" t="s">
        <v>33</v>
      </c>
    </row>
    <row r="342">
      <c r="B342" s="34" t="s">
        <v>622</v>
      </c>
      <c r="C342" s="35" t="s">
        <v>294</v>
      </c>
      <c r="D342" s="34" t="s">
        <v>1585</v>
      </c>
      <c r="E342" s="11" t="s">
        <v>37</v>
      </c>
    </row>
    <row r="343">
      <c r="B343" s="34" t="s">
        <v>1585</v>
      </c>
      <c r="C343" s="35" t="s">
        <v>7</v>
      </c>
      <c r="D343" s="34" t="s">
        <v>1584</v>
      </c>
      <c r="E343" s="11" t="s">
        <v>33</v>
      </c>
    </row>
    <row r="344">
      <c r="B344" s="34" t="s">
        <v>622</v>
      </c>
      <c r="C344" s="35" t="s">
        <v>43</v>
      </c>
      <c r="D344" s="34" t="s">
        <v>808</v>
      </c>
      <c r="E344" s="11" t="s">
        <v>37</v>
      </c>
    </row>
    <row r="345">
      <c r="B345" s="34" t="s">
        <v>1584</v>
      </c>
      <c r="C345" s="35" t="s">
        <v>25</v>
      </c>
      <c r="D345" s="34" t="s">
        <v>214</v>
      </c>
      <c r="E345" s="11" t="s">
        <v>33</v>
      </c>
    </row>
    <row r="346">
      <c r="B346" s="34" t="s">
        <v>1585</v>
      </c>
      <c r="C346" s="35" t="s">
        <v>48</v>
      </c>
      <c r="D346" s="34" t="s">
        <v>808</v>
      </c>
      <c r="E346" s="11" t="s">
        <v>37</v>
      </c>
    </row>
    <row r="347">
      <c r="B347" s="34" t="s">
        <v>622</v>
      </c>
      <c r="C347" s="35" t="s">
        <v>352</v>
      </c>
      <c r="D347" s="34" t="s">
        <v>214</v>
      </c>
      <c r="E347" s="11" t="s">
        <v>33</v>
      </c>
    </row>
    <row r="348">
      <c r="B348" s="34" t="s">
        <v>1584</v>
      </c>
      <c r="C348" s="35" t="s">
        <v>22</v>
      </c>
      <c r="D348" s="34" t="s">
        <v>808</v>
      </c>
      <c r="E348" s="11" t="s">
        <v>37</v>
      </c>
    </row>
    <row r="349">
      <c r="B349" s="34" t="s">
        <v>1585</v>
      </c>
      <c r="C349" s="35" t="s">
        <v>389</v>
      </c>
      <c r="D349" s="34" t="s">
        <v>214</v>
      </c>
      <c r="E349" s="11" t="s">
        <v>33</v>
      </c>
    </row>
    <row r="350">
      <c r="B350" s="34" t="s">
        <v>1584</v>
      </c>
      <c r="C350" s="35" t="s">
        <v>207</v>
      </c>
      <c r="D350" s="34" t="s">
        <v>622</v>
      </c>
      <c r="E350" s="11" t="s">
        <v>37</v>
      </c>
    </row>
    <row r="351">
      <c r="B351" s="34" t="s">
        <v>808</v>
      </c>
      <c r="C351" s="35" t="s">
        <v>68</v>
      </c>
      <c r="D351" s="34" t="s">
        <v>214</v>
      </c>
      <c r="E351" s="11" t="s">
        <v>33</v>
      </c>
    </row>
    <row r="352">
      <c r="B352" s="34" t="s">
        <v>1585</v>
      </c>
      <c r="C352" s="35" t="s">
        <v>370</v>
      </c>
      <c r="D352" s="34" t="s">
        <v>622</v>
      </c>
      <c r="E352" s="11" t="s">
        <v>37</v>
      </c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 t="s">
        <v>663</v>
      </c>
      <c r="B1" s="1" t="s">
        <v>0</v>
      </c>
      <c r="C1" s="2"/>
      <c r="D1" s="3"/>
      <c r="E1" s="29"/>
    </row>
    <row r="2">
      <c r="A2" s="66"/>
      <c r="B2" s="6" t="s">
        <v>2</v>
      </c>
      <c r="C2" s="6" t="s">
        <v>3</v>
      </c>
      <c r="D2" s="6" t="s">
        <v>4</v>
      </c>
      <c r="E2" s="6" t="s">
        <v>5</v>
      </c>
    </row>
    <row r="3">
      <c r="A3" s="66"/>
      <c r="B3" s="8" t="s">
        <v>169</v>
      </c>
      <c r="C3" s="35" t="s">
        <v>83</v>
      </c>
      <c r="D3" s="34" t="s">
        <v>1586</v>
      </c>
      <c r="E3" s="11" t="s">
        <v>33</v>
      </c>
    </row>
    <row r="4">
      <c r="A4" s="66"/>
      <c r="B4" s="32" t="s">
        <v>956</v>
      </c>
      <c r="C4" s="35" t="s">
        <v>28</v>
      </c>
      <c r="D4" s="32" t="s">
        <v>1587</v>
      </c>
      <c r="E4" s="11" t="s">
        <v>37</v>
      </c>
    </row>
    <row r="5">
      <c r="A5" s="66"/>
      <c r="B5" s="34" t="s">
        <v>957</v>
      </c>
      <c r="C5" s="35" t="s">
        <v>16</v>
      </c>
      <c r="D5" s="8" t="s">
        <v>169</v>
      </c>
      <c r="E5" s="11" t="s">
        <v>33</v>
      </c>
    </row>
    <row r="6">
      <c r="A6" s="66"/>
      <c r="B6" s="32" t="s">
        <v>956</v>
      </c>
      <c r="C6" s="35" t="s">
        <v>41</v>
      </c>
      <c r="D6" s="34" t="s">
        <v>1586</v>
      </c>
      <c r="E6" s="11" t="s">
        <v>37</v>
      </c>
    </row>
    <row r="7">
      <c r="A7" s="66"/>
      <c r="B7" s="34" t="s">
        <v>957</v>
      </c>
      <c r="C7" s="35" t="s">
        <v>16</v>
      </c>
      <c r="D7" s="32" t="s">
        <v>1587</v>
      </c>
      <c r="E7" s="11" t="s">
        <v>33</v>
      </c>
    </row>
    <row r="8">
      <c r="A8" s="66"/>
      <c r="B8" s="32" t="s">
        <v>956</v>
      </c>
      <c r="C8" s="35" t="s">
        <v>87</v>
      </c>
      <c r="D8" s="8" t="s">
        <v>169</v>
      </c>
      <c r="E8" s="11" t="s">
        <v>37</v>
      </c>
    </row>
    <row r="9">
      <c r="A9" s="66"/>
      <c r="B9" s="34" t="s">
        <v>957</v>
      </c>
      <c r="C9" s="35" t="s">
        <v>190</v>
      </c>
      <c r="D9" s="34" t="s">
        <v>1586</v>
      </c>
      <c r="E9" s="11" t="s">
        <v>33</v>
      </c>
    </row>
    <row r="10">
      <c r="A10" s="66"/>
      <c r="B10" s="32" t="s">
        <v>1587</v>
      </c>
      <c r="C10" s="35" t="s">
        <v>22</v>
      </c>
      <c r="D10" s="8" t="s">
        <v>169</v>
      </c>
      <c r="E10" s="11" t="s">
        <v>37</v>
      </c>
    </row>
    <row r="11">
      <c r="A11" s="66"/>
      <c r="B11" s="34" t="s">
        <v>957</v>
      </c>
      <c r="C11" s="35" t="s">
        <v>201</v>
      </c>
      <c r="D11" s="32" t="s">
        <v>956</v>
      </c>
      <c r="E11" s="11" t="s">
        <v>33</v>
      </c>
    </row>
    <row r="12">
      <c r="A12" s="66"/>
      <c r="B12" s="32" t="s">
        <v>1587</v>
      </c>
      <c r="C12" s="35" t="s">
        <v>357</v>
      </c>
      <c r="D12" s="34" t="s">
        <v>1586</v>
      </c>
      <c r="E12" s="11" t="s">
        <v>37</v>
      </c>
    </row>
    <row r="13">
      <c r="A13" s="66"/>
      <c r="B13" s="34" t="s">
        <v>1586</v>
      </c>
      <c r="C13" s="35" t="s">
        <v>81</v>
      </c>
      <c r="D13" s="8" t="s">
        <v>169</v>
      </c>
      <c r="E13" s="11" t="s">
        <v>33</v>
      </c>
    </row>
    <row r="14">
      <c r="A14" s="66"/>
      <c r="B14" s="32" t="s">
        <v>1587</v>
      </c>
      <c r="C14" s="35" t="s">
        <v>55</v>
      </c>
      <c r="D14" s="32" t="s">
        <v>956</v>
      </c>
      <c r="E14" s="11" t="s">
        <v>37</v>
      </c>
    </row>
    <row r="15">
      <c r="A15" s="66"/>
      <c r="B15" s="8" t="s">
        <v>169</v>
      </c>
      <c r="C15" s="35" t="s">
        <v>81</v>
      </c>
      <c r="D15" s="34" t="s">
        <v>957</v>
      </c>
      <c r="E15" s="11" t="s">
        <v>33</v>
      </c>
    </row>
    <row r="16">
      <c r="A16" s="66"/>
      <c r="B16" s="34" t="s">
        <v>1586</v>
      </c>
      <c r="C16" s="35" t="s">
        <v>81</v>
      </c>
      <c r="D16" s="32" t="s">
        <v>956</v>
      </c>
      <c r="E16" s="11" t="s">
        <v>37</v>
      </c>
    </row>
    <row r="17">
      <c r="A17" s="66"/>
      <c r="B17" s="32" t="s">
        <v>1587</v>
      </c>
      <c r="C17" s="35" t="s">
        <v>22</v>
      </c>
      <c r="D17" s="34" t="s">
        <v>957</v>
      </c>
      <c r="E17" s="11" t="s">
        <v>33</v>
      </c>
    </row>
    <row r="18">
      <c r="A18" s="66"/>
      <c r="B18" s="8" t="s">
        <v>169</v>
      </c>
      <c r="C18" s="35" t="s">
        <v>78</v>
      </c>
      <c r="D18" s="32" t="s">
        <v>956</v>
      </c>
      <c r="E18" s="11" t="s">
        <v>37</v>
      </c>
    </row>
    <row r="19">
      <c r="A19" s="66"/>
      <c r="B19" s="34" t="s">
        <v>1586</v>
      </c>
      <c r="C19" s="35" t="s">
        <v>81</v>
      </c>
      <c r="D19" s="34" t="s">
        <v>957</v>
      </c>
      <c r="E19" s="11" t="s">
        <v>33</v>
      </c>
    </row>
    <row r="20">
      <c r="A20" s="66"/>
      <c r="B20" s="8" t="s">
        <v>169</v>
      </c>
      <c r="C20" s="35" t="s">
        <v>369</v>
      </c>
      <c r="D20" s="32" t="s">
        <v>1587</v>
      </c>
      <c r="E20" s="11" t="s">
        <v>37</v>
      </c>
    </row>
    <row r="21">
      <c r="A21" s="66"/>
      <c r="B21" s="32" t="s">
        <v>956</v>
      </c>
      <c r="C21" s="35" t="s">
        <v>187</v>
      </c>
      <c r="D21" s="34" t="s">
        <v>957</v>
      </c>
      <c r="E21" s="11" t="s">
        <v>33</v>
      </c>
    </row>
    <row r="22">
      <c r="A22" s="66"/>
      <c r="B22" s="34" t="s">
        <v>1586</v>
      </c>
      <c r="C22" s="35" t="s">
        <v>403</v>
      </c>
      <c r="D22" s="32" t="s">
        <v>1587</v>
      </c>
      <c r="E22" s="11" t="s">
        <v>37</v>
      </c>
    </row>
    <row r="23">
      <c r="A23" s="66"/>
      <c r="B23" s="1" t="s">
        <v>1321</v>
      </c>
      <c r="C23" s="2"/>
      <c r="D23" s="3"/>
      <c r="E23" s="48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1391</v>
      </c>
      <c r="C25" s="33" t="s">
        <v>201</v>
      </c>
      <c r="D25" s="32" t="s">
        <v>1588</v>
      </c>
      <c r="E25" s="11" t="s">
        <v>9</v>
      </c>
    </row>
    <row r="26">
      <c r="A26" s="66"/>
      <c r="B26" s="32" t="s">
        <v>1531</v>
      </c>
      <c r="C26" s="33" t="s">
        <v>370</v>
      </c>
      <c r="D26" s="32" t="s">
        <v>1468</v>
      </c>
      <c r="E26" s="11" t="s">
        <v>13</v>
      </c>
    </row>
    <row r="27">
      <c r="A27" s="66"/>
      <c r="B27" s="34" t="s">
        <v>1470</v>
      </c>
      <c r="C27" s="33" t="s">
        <v>55</v>
      </c>
      <c r="D27" s="34" t="s">
        <v>1391</v>
      </c>
      <c r="E27" s="11" t="s">
        <v>9</v>
      </c>
    </row>
    <row r="28">
      <c r="A28" s="66"/>
      <c r="B28" s="32" t="s">
        <v>1531</v>
      </c>
      <c r="C28" s="33" t="s">
        <v>81</v>
      </c>
      <c r="D28" s="32" t="s">
        <v>1588</v>
      </c>
      <c r="E28" s="11" t="s">
        <v>13</v>
      </c>
    </row>
    <row r="29">
      <c r="A29" s="66"/>
      <c r="B29" s="34" t="s">
        <v>1470</v>
      </c>
      <c r="C29" s="33" t="s">
        <v>533</v>
      </c>
      <c r="D29" s="32" t="s">
        <v>1468</v>
      </c>
      <c r="E29" s="11" t="s">
        <v>9</v>
      </c>
    </row>
    <row r="30">
      <c r="A30" s="66"/>
      <c r="B30" s="32" t="s">
        <v>1531</v>
      </c>
      <c r="C30" s="33" t="s">
        <v>19</v>
      </c>
      <c r="D30" s="34" t="s">
        <v>1391</v>
      </c>
      <c r="E30" s="11" t="s">
        <v>13</v>
      </c>
    </row>
    <row r="31">
      <c r="A31" s="66"/>
      <c r="B31" s="34" t="s">
        <v>1470</v>
      </c>
      <c r="C31" s="33" t="s">
        <v>217</v>
      </c>
      <c r="D31" s="32" t="s">
        <v>1588</v>
      </c>
      <c r="E31" s="11" t="s">
        <v>9</v>
      </c>
    </row>
    <row r="32">
      <c r="A32" s="66"/>
      <c r="B32" s="32" t="s">
        <v>1468</v>
      </c>
      <c r="C32" s="33" t="s">
        <v>249</v>
      </c>
      <c r="D32" s="34" t="s">
        <v>1391</v>
      </c>
      <c r="E32" s="11" t="s">
        <v>13</v>
      </c>
    </row>
    <row r="33">
      <c r="A33" s="66"/>
      <c r="B33" s="34" t="s">
        <v>1470</v>
      </c>
      <c r="C33" s="33" t="s">
        <v>306</v>
      </c>
      <c r="D33" s="32" t="s">
        <v>1531</v>
      </c>
      <c r="E33" s="11" t="s">
        <v>9</v>
      </c>
    </row>
    <row r="34">
      <c r="A34" s="66"/>
      <c r="B34" s="32" t="s">
        <v>1468</v>
      </c>
      <c r="C34" s="33" t="s">
        <v>18</v>
      </c>
      <c r="D34" s="32" t="s">
        <v>1588</v>
      </c>
      <c r="E34" s="11" t="s">
        <v>13</v>
      </c>
    </row>
    <row r="35">
      <c r="A35" s="66"/>
      <c r="B35" s="32" t="s">
        <v>1588</v>
      </c>
      <c r="C35" s="33" t="s">
        <v>193</v>
      </c>
      <c r="D35" s="34" t="s">
        <v>1391</v>
      </c>
      <c r="E35" s="11" t="s">
        <v>9</v>
      </c>
    </row>
    <row r="36">
      <c r="A36" s="66"/>
      <c r="B36" s="32" t="s">
        <v>1468</v>
      </c>
      <c r="C36" s="33" t="s">
        <v>270</v>
      </c>
      <c r="D36" s="32" t="s">
        <v>1531</v>
      </c>
      <c r="E36" s="11" t="s">
        <v>13</v>
      </c>
    </row>
    <row r="37">
      <c r="A37" s="66"/>
      <c r="B37" s="34" t="s">
        <v>1391</v>
      </c>
      <c r="C37" s="35" t="s">
        <v>282</v>
      </c>
      <c r="D37" s="34" t="s">
        <v>1470</v>
      </c>
      <c r="E37" s="11" t="s">
        <v>9</v>
      </c>
    </row>
    <row r="38">
      <c r="A38" s="66"/>
      <c r="B38" s="32" t="s">
        <v>1588</v>
      </c>
      <c r="C38" s="35" t="s">
        <v>534</v>
      </c>
      <c r="D38" s="32" t="s">
        <v>1531</v>
      </c>
      <c r="E38" s="11" t="s">
        <v>13</v>
      </c>
    </row>
    <row r="39">
      <c r="A39" s="66"/>
      <c r="B39" s="32" t="s">
        <v>1468</v>
      </c>
      <c r="C39" s="35" t="s">
        <v>64</v>
      </c>
      <c r="D39" s="34" t="s">
        <v>1470</v>
      </c>
      <c r="E39" s="11" t="s">
        <v>9</v>
      </c>
    </row>
    <row r="40">
      <c r="A40" s="66"/>
      <c r="B40" s="34" t="s">
        <v>1391</v>
      </c>
      <c r="C40" s="35" t="s">
        <v>416</v>
      </c>
      <c r="D40" s="32" t="s">
        <v>1531</v>
      </c>
      <c r="E40" s="11" t="s">
        <v>13</v>
      </c>
    </row>
    <row r="41">
      <c r="A41" s="66"/>
      <c r="B41" s="32" t="s">
        <v>1588</v>
      </c>
      <c r="C41" s="35" t="s">
        <v>65</v>
      </c>
      <c r="D41" s="34" t="s">
        <v>1470</v>
      </c>
      <c r="E41" s="11" t="s">
        <v>9</v>
      </c>
    </row>
    <row r="42">
      <c r="A42" s="66"/>
      <c r="B42" s="34" t="s">
        <v>1391</v>
      </c>
      <c r="C42" s="35" t="s">
        <v>20</v>
      </c>
      <c r="D42" s="32" t="s">
        <v>1468</v>
      </c>
      <c r="E42" s="11" t="s">
        <v>13</v>
      </c>
    </row>
    <row r="43">
      <c r="A43" s="66"/>
      <c r="B43" s="32" t="s">
        <v>1531</v>
      </c>
      <c r="C43" s="35" t="s">
        <v>52</v>
      </c>
      <c r="D43" s="34" t="s">
        <v>1470</v>
      </c>
      <c r="E43" s="11" t="s">
        <v>9</v>
      </c>
    </row>
    <row r="44">
      <c r="A44" s="67"/>
      <c r="B44" s="32" t="s">
        <v>1588</v>
      </c>
      <c r="C44" s="35" t="s">
        <v>81</v>
      </c>
      <c r="D44" s="32" t="s">
        <v>1468</v>
      </c>
      <c r="E44" s="11" t="s">
        <v>13</v>
      </c>
    </row>
    <row r="45">
      <c r="B45" s="1" t="s">
        <v>1327</v>
      </c>
      <c r="C45" s="2"/>
      <c r="D45" s="3"/>
      <c r="E45" s="14"/>
    </row>
    <row r="46">
      <c r="B46" s="16" t="s">
        <v>2</v>
      </c>
      <c r="C46" s="16" t="s">
        <v>3</v>
      </c>
      <c r="D46" s="16" t="s">
        <v>4</v>
      </c>
      <c r="E46" s="16" t="s">
        <v>5</v>
      </c>
    </row>
    <row r="47">
      <c r="B47" s="8" t="s">
        <v>1394</v>
      </c>
      <c r="C47" s="35" t="s">
        <v>25</v>
      </c>
      <c r="D47" s="32" t="s">
        <v>1589</v>
      </c>
      <c r="E47" s="11" t="s">
        <v>33</v>
      </c>
    </row>
    <row r="48">
      <c r="B48" s="32" t="s">
        <v>577</v>
      </c>
      <c r="C48" s="35" t="s">
        <v>201</v>
      </c>
      <c r="D48" s="32" t="s">
        <v>1590</v>
      </c>
      <c r="E48" s="11" t="s">
        <v>37</v>
      </c>
    </row>
    <row r="49">
      <c r="B49" s="32" t="s">
        <v>1329</v>
      </c>
      <c r="C49" s="35" t="s">
        <v>62</v>
      </c>
      <c r="D49" s="8" t="s">
        <v>1394</v>
      </c>
      <c r="E49" s="11" t="s">
        <v>33</v>
      </c>
    </row>
    <row r="50">
      <c r="B50" s="32" t="s">
        <v>577</v>
      </c>
      <c r="C50" s="35" t="s">
        <v>336</v>
      </c>
      <c r="D50" s="32" t="s">
        <v>1589</v>
      </c>
      <c r="E50" s="11" t="s">
        <v>37</v>
      </c>
    </row>
    <row r="51">
      <c r="B51" s="32" t="s">
        <v>1329</v>
      </c>
      <c r="C51" s="35" t="s">
        <v>17</v>
      </c>
      <c r="D51" s="32" t="s">
        <v>1590</v>
      </c>
      <c r="E51" s="11" t="s">
        <v>33</v>
      </c>
    </row>
    <row r="52">
      <c r="B52" s="32" t="s">
        <v>577</v>
      </c>
      <c r="C52" s="35" t="s">
        <v>42</v>
      </c>
      <c r="D52" s="8" t="s">
        <v>1394</v>
      </c>
      <c r="E52" s="11" t="s">
        <v>37</v>
      </c>
    </row>
    <row r="53">
      <c r="B53" s="32" t="s">
        <v>1329</v>
      </c>
      <c r="C53" s="35" t="s">
        <v>24</v>
      </c>
      <c r="D53" s="32" t="s">
        <v>1589</v>
      </c>
      <c r="E53" s="11" t="s">
        <v>33</v>
      </c>
    </row>
    <row r="54">
      <c r="B54" s="32" t="s">
        <v>1590</v>
      </c>
      <c r="C54" s="35" t="s">
        <v>82</v>
      </c>
      <c r="D54" s="8" t="s">
        <v>1394</v>
      </c>
      <c r="E54" s="11" t="s">
        <v>37</v>
      </c>
    </row>
    <row r="55">
      <c r="B55" s="32" t="s">
        <v>1329</v>
      </c>
      <c r="C55" s="35" t="s">
        <v>203</v>
      </c>
      <c r="D55" s="32" t="s">
        <v>577</v>
      </c>
      <c r="E55" s="11" t="s">
        <v>33</v>
      </c>
    </row>
    <row r="56">
      <c r="B56" s="32" t="s">
        <v>1590</v>
      </c>
      <c r="C56" s="35" t="s">
        <v>1591</v>
      </c>
      <c r="D56" s="32" t="s">
        <v>1589</v>
      </c>
      <c r="E56" s="11" t="s">
        <v>37</v>
      </c>
    </row>
    <row r="57">
      <c r="B57" s="32" t="s">
        <v>1589</v>
      </c>
      <c r="C57" s="35" t="s">
        <v>86</v>
      </c>
      <c r="D57" s="8" t="s">
        <v>1394</v>
      </c>
      <c r="E57" s="11" t="s">
        <v>33</v>
      </c>
    </row>
    <row r="58">
      <c r="B58" s="32" t="s">
        <v>1590</v>
      </c>
      <c r="C58" s="35" t="s">
        <v>47</v>
      </c>
      <c r="D58" s="32" t="s">
        <v>577</v>
      </c>
      <c r="E58" s="11" t="s">
        <v>37</v>
      </c>
    </row>
    <row r="59">
      <c r="B59" s="8" t="s">
        <v>1394</v>
      </c>
      <c r="C59" s="35" t="s">
        <v>412</v>
      </c>
      <c r="D59" s="32" t="s">
        <v>1329</v>
      </c>
      <c r="E59" s="11" t="s">
        <v>33</v>
      </c>
    </row>
    <row r="60">
      <c r="B60" s="32" t="s">
        <v>1589</v>
      </c>
      <c r="C60" s="35" t="s">
        <v>472</v>
      </c>
      <c r="D60" s="32" t="s">
        <v>577</v>
      </c>
      <c r="E60" s="11" t="s">
        <v>37</v>
      </c>
    </row>
    <row r="61">
      <c r="B61" s="32" t="s">
        <v>1590</v>
      </c>
      <c r="C61" s="35" t="s">
        <v>18</v>
      </c>
      <c r="D61" s="32" t="s">
        <v>1329</v>
      </c>
      <c r="E61" s="11" t="s">
        <v>33</v>
      </c>
    </row>
    <row r="62">
      <c r="B62" s="8" t="s">
        <v>1394</v>
      </c>
      <c r="C62" s="35" t="s">
        <v>66</v>
      </c>
      <c r="D62" s="32" t="s">
        <v>577</v>
      </c>
      <c r="E62" s="11" t="s">
        <v>37</v>
      </c>
    </row>
    <row r="63">
      <c r="B63" s="32" t="s">
        <v>1589</v>
      </c>
      <c r="C63" s="35" t="s">
        <v>81</v>
      </c>
      <c r="D63" s="32" t="s">
        <v>1329</v>
      </c>
      <c r="E63" s="11" t="s">
        <v>33</v>
      </c>
    </row>
    <row r="64">
      <c r="B64" s="8" t="s">
        <v>1394</v>
      </c>
      <c r="C64" s="35" t="s">
        <v>195</v>
      </c>
      <c r="D64" s="32" t="s">
        <v>1590</v>
      </c>
      <c r="E64" s="11" t="s">
        <v>37</v>
      </c>
    </row>
    <row r="65">
      <c r="B65" s="32" t="s">
        <v>577</v>
      </c>
      <c r="C65" s="35" t="s">
        <v>215</v>
      </c>
      <c r="D65" s="32" t="s">
        <v>1329</v>
      </c>
      <c r="E65" s="11" t="s">
        <v>33</v>
      </c>
    </row>
    <row r="66">
      <c r="B66" s="32" t="s">
        <v>1589</v>
      </c>
      <c r="C66" s="35" t="s">
        <v>413</v>
      </c>
      <c r="D66" s="32" t="s">
        <v>1590</v>
      </c>
      <c r="E66" s="11" t="s">
        <v>37</v>
      </c>
    </row>
    <row r="67">
      <c r="B67" s="1" t="s">
        <v>1331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16" t="s">
        <v>5</v>
      </c>
    </row>
    <row r="69">
      <c r="B69" s="32" t="s">
        <v>1592</v>
      </c>
      <c r="C69" s="33" t="s">
        <v>201</v>
      </c>
      <c r="D69" s="32" t="s">
        <v>1593</v>
      </c>
      <c r="E69" s="11" t="s">
        <v>9</v>
      </c>
    </row>
    <row r="70">
      <c r="B70" s="32" t="s">
        <v>1594</v>
      </c>
      <c r="C70" s="33" t="s">
        <v>951</v>
      </c>
      <c r="D70" s="32" t="s">
        <v>1595</v>
      </c>
      <c r="E70" s="11" t="s">
        <v>13</v>
      </c>
    </row>
    <row r="71">
      <c r="B71" s="32" t="s">
        <v>1596</v>
      </c>
      <c r="C71" s="33" t="s">
        <v>197</v>
      </c>
      <c r="D71" s="32" t="s">
        <v>1592</v>
      </c>
      <c r="E71" s="11" t="s">
        <v>9</v>
      </c>
    </row>
    <row r="72">
      <c r="B72" s="32" t="s">
        <v>1594</v>
      </c>
      <c r="C72" s="33" t="s">
        <v>286</v>
      </c>
      <c r="D72" s="32" t="s">
        <v>1593</v>
      </c>
      <c r="E72" s="11" t="s">
        <v>13</v>
      </c>
    </row>
    <row r="73">
      <c r="B73" s="32" t="s">
        <v>1596</v>
      </c>
      <c r="C73" s="33" t="s">
        <v>81</v>
      </c>
      <c r="D73" s="32" t="s">
        <v>1595</v>
      </c>
      <c r="E73" s="11" t="s">
        <v>9</v>
      </c>
    </row>
    <row r="74">
      <c r="B74" s="32" t="s">
        <v>1594</v>
      </c>
      <c r="C74" s="33" t="s">
        <v>62</v>
      </c>
      <c r="D74" s="32" t="s">
        <v>1592</v>
      </c>
      <c r="E74" s="11" t="s">
        <v>13</v>
      </c>
    </row>
    <row r="75">
      <c r="B75" s="32" t="s">
        <v>1596</v>
      </c>
      <c r="C75" s="33" t="s">
        <v>460</v>
      </c>
      <c r="D75" s="32" t="s">
        <v>1593</v>
      </c>
      <c r="E75" s="11" t="s">
        <v>9</v>
      </c>
    </row>
    <row r="76">
      <c r="B76" s="32" t="s">
        <v>1595</v>
      </c>
      <c r="C76" s="33" t="s">
        <v>286</v>
      </c>
      <c r="D76" s="32" t="s">
        <v>1592</v>
      </c>
      <c r="E76" s="11" t="s">
        <v>13</v>
      </c>
    </row>
    <row r="77">
      <c r="B77" s="32" t="s">
        <v>1596</v>
      </c>
      <c r="C77" s="33" t="s">
        <v>260</v>
      </c>
      <c r="D77" s="32" t="s">
        <v>1594</v>
      </c>
      <c r="E77" s="11" t="s">
        <v>9</v>
      </c>
    </row>
    <row r="78">
      <c r="B78" s="32" t="s">
        <v>1595</v>
      </c>
      <c r="C78" s="33" t="s">
        <v>285</v>
      </c>
      <c r="D78" s="32" t="s">
        <v>1593</v>
      </c>
      <c r="E78" s="11" t="s">
        <v>13</v>
      </c>
    </row>
    <row r="79">
      <c r="B79" s="32" t="s">
        <v>1593</v>
      </c>
      <c r="C79" s="33" t="s">
        <v>16</v>
      </c>
      <c r="D79" s="32" t="s">
        <v>1592</v>
      </c>
      <c r="E79" s="11" t="s">
        <v>9</v>
      </c>
    </row>
    <row r="80">
      <c r="B80" s="32" t="s">
        <v>1595</v>
      </c>
      <c r="C80" s="33" t="s">
        <v>62</v>
      </c>
      <c r="D80" s="32" t="s">
        <v>1594</v>
      </c>
      <c r="E80" s="11" t="s">
        <v>13</v>
      </c>
    </row>
    <row r="81">
      <c r="B81" s="32" t="s">
        <v>1592</v>
      </c>
      <c r="C81" s="35" t="s">
        <v>197</v>
      </c>
      <c r="D81" s="32" t="s">
        <v>1596</v>
      </c>
      <c r="E81" s="11" t="s">
        <v>9</v>
      </c>
    </row>
    <row r="82">
      <c r="B82" s="32" t="s">
        <v>1593</v>
      </c>
      <c r="C82" s="35" t="s">
        <v>201</v>
      </c>
      <c r="D82" s="32" t="s">
        <v>1594</v>
      </c>
      <c r="E82" s="11" t="s">
        <v>13</v>
      </c>
    </row>
    <row r="83">
      <c r="B83" s="32" t="s">
        <v>1595</v>
      </c>
      <c r="C83" s="35" t="s">
        <v>190</v>
      </c>
      <c r="D83" s="32" t="s">
        <v>1596</v>
      </c>
      <c r="E83" s="11" t="s">
        <v>9</v>
      </c>
    </row>
    <row r="84">
      <c r="B84" s="32" t="s">
        <v>1592</v>
      </c>
      <c r="C84" s="35" t="s">
        <v>984</v>
      </c>
      <c r="D84" s="32" t="s">
        <v>1594</v>
      </c>
      <c r="E84" s="11" t="s">
        <v>13</v>
      </c>
    </row>
    <row r="85">
      <c r="B85" s="32" t="s">
        <v>1593</v>
      </c>
      <c r="C85" s="35" t="s">
        <v>472</v>
      </c>
      <c r="D85" s="32" t="s">
        <v>1596</v>
      </c>
      <c r="E85" s="11" t="s">
        <v>9</v>
      </c>
    </row>
    <row r="86">
      <c r="B86" s="32" t="s">
        <v>1592</v>
      </c>
      <c r="C86" s="35" t="s">
        <v>66</v>
      </c>
      <c r="D86" s="32" t="s">
        <v>1595</v>
      </c>
      <c r="E86" s="11" t="s">
        <v>13</v>
      </c>
    </row>
    <row r="87">
      <c r="B87" s="32" t="s">
        <v>1594</v>
      </c>
      <c r="C87" s="35" t="s">
        <v>545</v>
      </c>
      <c r="D87" s="32" t="s">
        <v>1596</v>
      </c>
      <c r="E87" s="11" t="s">
        <v>9</v>
      </c>
    </row>
    <row r="88">
      <c r="B88" s="32" t="s">
        <v>1593</v>
      </c>
      <c r="C88" s="35" t="s">
        <v>239</v>
      </c>
      <c r="D88" s="32" t="s">
        <v>1595</v>
      </c>
      <c r="E88" s="11" t="s">
        <v>13</v>
      </c>
    </row>
    <row r="89">
      <c r="B89" s="1" t="s">
        <v>1400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16" t="s">
        <v>5</v>
      </c>
    </row>
    <row r="91">
      <c r="B91" s="32" t="s">
        <v>1403</v>
      </c>
      <c r="C91" s="35" t="s">
        <v>11</v>
      </c>
      <c r="D91" s="32" t="s">
        <v>1597</v>
      </c>
      <c r="E91" s="11" t="s">
        <v>9</v>
      </c>
    </row>
    <row r="92">
      <c r="B92" s="32" t="s">
        <v>1404</v>
      </c>
      <c r="C92" s="35" t="s">
        <v>16</v>
      </c>
      <c r="D92" s="32" t="s">
        <v>1046</v>
      </c>
      <c r="E92" s="11" t="s">
        <v>13</v>
      </c>
    </row>
    <row r="93">
      <c r="B93" s="32" t="s">
        <v>1598</v>
      </c>
      <c r="C93" s="35" t="s">
        <v>11</v>
      </c>
      <c r="D93" s="32" t="s">
        <v>1403</v>
      </c>
      <c r="E93" s="11" t="s">
        <v>9</v>
      </c>
    </row>
    <row r="94">
      <c r="B94" s="32" t="s">
        <v>1404</v>
      </c>
      <c r="C94" s="35" t="s">
        <v>251</v>
      </c>
      <c r="D94" s="32" t="s">
        <v>1597</v>
      </c>
      <c r="E94" s="11" t="s">
        <v>13</v>
      </c>
    </row>
    <row r="95">
      <c r="B95" s="32" t="s">
        <v>1598</v>
      </c>
      <c r="C95" s="35" t="s">
        <v>196</v>
      </c>
      <c r="D95" s="32" t="s">
        <v>1046</v>
      </c>
      <c r="E95" s="11" t="s">
        <v>9</v>
      </c>
    </row>
    <row r="96">
      <c r="B96" s="32" t="s">
        <v>1404</v>
      </c>
      <c r="C96" s="35" t="s">
        <v>17</v>
      </c>
      <c r="D96" s="32" t="s">
        <v>1403</v>
      </c>
      <c r="E96" s="11" t="s">
        <v>13</v>
      </c>
    </row>
    <row r="97">
      <c r="B97" s="32" t="s">
        <v>1598</v>
      </c>
      <c r="C97" s="35" t="s">
        <v>17</v>
      </c>
      <c r="D97" s="32" t="s">
        <v>1597</v>
      </c>
      <c r="E97" s="11" t="s">
        <v>9</v>
      </c>
    </row>
    <row r="98">
      <c r="B98" s="32" t="s">
        <v>1046</v>
      </c>
      <c r="C98" s="42" t="s">
        <v>449</v>
      </c>
      <c r="D98" s="32" t="s">
        <v>1403</v>
      </c>
      <c r="E98" s="24" t="s">
        <v>13</v>
      </c>
    </row>
    <row r="99">
      <c r="B99" s="32" t="s">
        <v>1598</v>
      </c>
      <c r="C99" s="35" t="s">
        <v>25</v>
      </c>
      <c r="D99" s="32" t="s">
        <v>1404</v>
      </c>
      <c r="E99" s="11" t="s">
        <v>9</v>
      </c>
    </row>
    <row r="100">
      <c r="B100" s="32" t="s">
        <v>1046</v>
      </c>
      <c r="C100" s="42" t="s">
        <v>449</v>
      </c>
      <c r="D100" s="32" t="s">
        <v>1597</v>
      </c>
      <c r="E100" s="24" t="s">
        <v>13</v>
      </c>
    </row>
    <row r="101">
      <c r="B101" s="32" t="s">
        <v>1597</v>
      </c>
      <c r="C101" s="69" t="s">
        <v>19</v>
      </c>
      <c r="D101" s="32" t="s">
        <v>1403</v>
      </c>
      <c r="E101" s="11" t="s">
        <v>9</v>
      </c>
    </row>
    <row r="102">
      <c r="B102" s="32" t="s">
        <v>1046</v>
      </c>
      <c r="C102" s="42" t="s">
        <v>449</v>
      </c>
      <c r="D102" s="32" t="s">
        <v>1404</v>
      </c>
      <c r="E102" s="24" t="s">
        <v>13</v>
      </c>
    </row>
    <row r="103">
      <c r="B103" s="32" t="s">
        <v>1403</v>
      </c>
      <c r="C103" s="35" t="s">
        <v>268</v>
      </c>
      <c r="D103" s="32" t="s">
        <v>1598</v>
      </c>
      <c r="E103" s="11" t="s">
        <v>9</v>
      </c>
    </row>
    <row r="104">
      <c r="B104" s="32" t="s">
        <v>1597</v>
      </c>
      <c r="C104" s="42" t="s">
        <v>449</v>
      </c>
      <c r="D104" s="32" t="s">
        <v>1404</v>
      </c>
      <c r="E104" s="24" t="s">
        <v>13</v>
      </c>
    </row>
    <row r="105">
      <c r="B105" s="32" t="s">
        <v>1046</v>
      </c>
      <c r="C105" s="35" t="s">
        <v>87</v>
      </c>
      <c r="D105" s="32" t="s">
        <v>1598</v>
      </c>
      <c r="E105" s="11" t="s">
        <v>9</v>
      </c>
    </row>
    <row r="106">
      <c r="B106" s="32" t="s">
        <v>1403</v>
      </c>
      <c r="C106" s="42" t="s">
        <v>449</v>
      </c>
      <c r="D106" s="32" t="s">
        <v>1404</v>
      </c>
      <c r="E106" s="24" t="s">
        <v>13</v>
      </c>
    </row>
    <row r="107">
      <c r="B107" s="32" t="s">
        <v>1597</v>
      </c>
      <c r="C107" s="35" t="s">
        <v>11</v>
      </c>
      <c r="D107" s="32" t="s">
        <v>1598</v>
      </c>
      <c r="E107" s="11" t="s">
        <v>9</v>
      </c>
    </row>
    <row r="108">
      <c r="B108" s="32" t="s">
        <v>1403</v>
      </c>
      <c r="C108" s="42" t="s">
        <v>449</v>
      </c>
      <c r="D108" s="32" t="s">
        <v>1046</v>
      </c>
      <c r="E108" s="24" t="s">
        <v>13</v>
      </c>
    </row>
    <row r="109">
      <c r="B109" s="32" t="s">
        <v>1404</v>
      </c>
      <c r="C109" s="35" t="s">
        <v>239</v>
      </c>
      <c r="D109" s="32" t="s">
        <v>1598</v>
      </c>
      <c r="E109" s="11" t="s">
        <v>9</v>
      </c>
    </row>
    <row r="110">
      <c r="B110" s="32" t="s">
        <v>1597</v>
      </c>
      <c r="C110" s="42" t="s">
        <v>449</v>
      </c>
      <c r="D110" s="32" t="s">
        <v>1046</v>
      </c>
      <c r="E110" s="24" t="s">
        <v>13</v>
      </c>
    </row>
    <row r="111">
      <c r="B111" s="1" t="s">
        <v>1406</v>
      </c>
      <c r="C111" s="2"/>
      <c r="D111" s="3"/>
      <c r="E111" s="4"/>
    </row>
    <row r="112"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B113" s="32" t="s">
        <v>1599</v>
      </c>
      <c r="C113" s="33" t="s">
        <v>215</v>
      </c>
      <c r="D113" s="32" t="s">
        <v>117</v>
      </c>
      <c r="E113" s="11" t="s">
        <v>9</v>
      </c>
    </row>
    <row r="114">
      <c r="B114" s="32" t="s">
        <v>1215</v>
      </c>
      <c r="C114" s="42" t="s">
        <v>449</v>
      </c>
      <c r="D114" s="32" t="s">
        <v>1217</v>
      </c>
      <c r="E114" s="24" t="s">
        <v>13</v>
      </c>
    </row>
    <row r="115">
      <c r="B115" s="32" t="s">
        <v>1600</v>
      </c>
      <c r="C115" s="33" t="s">
        <v>48</v>
      </c>
      <c r="D115" s="32" t="s">
        <v>1599</v>
      </c>
      <c r="E115" s="11" t="s">
        <v>9</v>
      </c>
    </row>
    <row r="116">
      <c r="B116" s="32" t="s">
        <v>1215</v>
      </c>
      <c r="C116" s="42" t="s">
        <v>449</v>
      </c>
      <c r="D116" s="32" t="s">
        <v>117</v>
      </c>
      <c r="E116" s="24" t="s">
        <v>13</v>
      </c>
    </row>
    <row r="117">
      <c r="B117" s="32" t="s">
        <v>1600</v>
      </c>
      <c r="C117" s="33" t="s">
        <v>22</v>
      </c>
      <c r="D117" s="32" t="s">
        <v>1217</v>
      </c>
      <c r="E117" s="11" t="s">
        <v>9</v>
      </c>
    </row>
    <row r="118">
      <c r="B118" s="32" t="s">
        <v>1215</v>
      </c>
      <c r="C118" s="42" t="s">
        <v>449</v>
      </c>
      <c r="D118" s="32" t="s">
        <v>1599</v>
      </c>
      <c r="E118" s="24" t="s">
        <v>13</v>
      </c>
    </row>
    <row r="119">
      <c r="B119" s="32" t="s">
        <v>1600</v>
      </c>
      <c r="C119" s="33" t="s">
        <v>28</v>
      </c>
      <c r="D119" s="32" t="s">
        <v>117</v>
      </c>
      <c r="E119" s="11" t="s">
        <v>9</v>
      </c>
    </row>
    <row r="120">
      <c r="B120" s="32" t="s">
        <v>1217</v>
      </c>
      <c r="C120" s="42" t="s">
        <v>449</v>
      </c>
      <c r="D120" s="32" t="s">
        <v>1599</v>
      </c>
      <c r="E120" s="24" t="s">
        <v>13</v>
      </c>
    </row>
    <row r="121">
      <c r="B121" s="32" t="s">
        <v>1600</v>
      </c>
      <c r="C121" s="33" t="s">
        <v>22</v>
      </c>
      <c r="D121" s="32" t="s">
        <v>1215</v>
      </c>
      <c r="E121" s="11" t="s">
        <v>9</v>
      </c>
    </row>
    <row r="122">
      <c r="B122" s="32" t="s">
        <v>1217</v>
      </c>
      <c r="C122" s="42" t="s">
        <v>449</v>
      </c>
      <c r="D122" s="32" t="s">
        <v>117</v>
      </c>
      <c r="E122" s="24" t="s">
        <v>13</v>
      </c>
    </row>
    <row r="123">
      <c r="B123" s="32" t="s">
        <v>117</v>
      </c>
      <c r="C123" s="33" t="s">
        <v>16</v>
      </c>
      <c r="D123" s="32" t="s">
        <v>1599</v>
      </c>
      <c r="E123" s="11" t="s">
        <v>9</v>
      </c>
    </row>
    <row r="124">
      <c r="B124" s="32" t="s">
        <v>1217</v>
      </c>
      <c r="C124" s="42" t="s">
        <v>449</v>
      </c>
      <c r="D124" s="32" t="s">
        <v>1215</v>
      </c>
      <c r="E124" s="24" t="s">
        <v>13</v>
      </c>
    </row>
    <row r="125">
      <c r="B125" s="32" t="s">
        <v>1599</v>
      </c>
      <c r="C125" s="35" t="s">
        <v>289</v>
      </c>
      <c r="D125" s="32" t="s">
        <v>1600</v>
      </c>
      <c r="E125" s="11" t="s">
        <v>9</v>
      </c>
    </row>
    <row r="126">
      <c r="B126" s="32" t="s">
        <v>117</v>
      </c>
      <c r="C126" s="42" t="s">
        <v>449</v>
      </c>
      <c r="D126" s="32" t="s">
        <v>1215</v>
      </c>
      <c r="E126" s="24" t="s">
        <v>13</v>
      </c>
    </row>
    <row r="127">
      <c r="B127" s="32" t="s">
        <v>1217</v>
      </c>
      <c r="C127" s="35" t="s">
        <v>22</v>
      </c>
      <c r="D127" s="32" t="s">
        <v>1600</v>
      </c>
      <c r="E127" s="11" t="s">
        <v>9</v>
      </c>
    </row>
    <row r="128">
      <c r="B128" s="32" t="s">
        <v>1599</v>
      </c>
      <c r="C128" s="42" t="s">
        <v>449</v>
      </c>
      <c r="D128" s="32" t="s">
        <v>1215</v>
      </c>
      <c r="E128" s="24" t="s">
        <v>13</v>
      </c>
    </row>
    <row r="129">
      <c r="B129" s="32" t="s">
        <v>117</v>
      </c>
      <c r="C129" s="35" t="s">
        <v>19</v>
      </c>
      <c r="D129" s="32" t="s">
        <v>1600</v>
      </c>
      <c r="E129" s="11" t="s">
        <v>9</v>
      </c>
    </row>
    <row r="130">
      <c r="B130" s="32" t="s">
        <v>1599</v>
      </c>
      <c r="C130" s="42" t="s">
        <v>449</v>
      </c>
      <c r="D130" s="32" t="s">
        <v>1217</v>
      </c>
      <c r="E130" s="24" t="s">
        <v>13</v>
      </c>
    </row>
    <row r="131">
      <c r="B131" s="32" t="s">
        <v>1215</v>
      </c>
      <c r="C131" s="35" t="s">
        <v>196</v>
      </c>
      <c r="D131" s="32" t="s">
        <v>1600</v>
      </c>
      <c r="E131" s="11" t="s">
        <v>9</v>
      </c>
    </row>
    <row r="132">
      <c r="B132" s="32" t="s">
        <v>117</v>
      </c>
      <c r="C132" s="35" t="s">
        <v>41</v>
      </c>
      <c r="D132" s="32" t="s">
        <v>1217</v>
      </c>
      <c r="E132" s="11" t="s">
        <v>13</v>
      </c>
    </row>
    <row r="133">
      <c r="B133" s="1" t="s">
        <v>1413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32" t="s">
        <v>1489</v>
      </c>
      <c r="C135" s="35" t="s">
        <v>68</v>
      </c>
      <c r="D135" s="32" t="s">
        <v>1601</v>
      </c>
      <c r="E135" s="11" t="s">
        <v>33</v>
      </c>
    </row>
    <row r="136">
      <c r="B136" s="32" t="s">
        <v>1083</v>
      </c>
      <c r="C136" s="35" t="s">
        <v>18</v>
      </c>
      <c r="D136" s="32" t="s">
        <v>671</v>
      </c>
      <c r="E136" s="11" t="s">
        <v>37</v>
      </c>
      <c r="L136" s="36" t="s">
        <v>242</v>
      </c>
    </row>
    <row r="137">
      <c r="B137" s="32" t="s">
        <v>1415</v>
      </c>
      <c r="C137" s="35" t="s">
        <v>197</v>
      </c>
      <c r="D137" s="32" t="s">
        <v>1489</v>
      </c>
      <c r="E137" s="11" t="s">
        <v>33</v>
      </c>
    </row>
    <row r="138">
      <c r="B138" s="32" t="s">
        <v>1083</v>
      </c>
      <c r="C138" s="35" t="s">
        <v>201</v>
      </c>
      <c r="D138" s="32" t="s">
        <v>1601</v>
      </c>
      <c r="E138" s="11" t="s">
        <v>37</v>
      </c>
    </row>
    <row r="139">
      <c r="B139" s="32" t="s">
        <v>1415</v>
      </c>
      <c r="C139" s="35" t="s">
        <v>217</v>
      </c>
      <c r="D139" s="32" t="s">
        <v>671</v>
      </c>
      <c r="E139" s="11" t="s">
        <v>33</v>
      </c>
    </row>
    <row r="140">
      <c r="B140" s="32" t="s">
        <v>1083</v>
      </c>
      <c r="C140" s="35" t="s">
        <v>239</v>
      </c>
      <c r="D140" s="32" t="s">
        <v>1489</v>
      </c>
      <c r="E140" s="11" t="s">
        <v>37</v>
      </c>
    </row>
    <row r="141">
      <c r="B141" s="32" t="s">
        <v>1415</v>
      </c>
      <c r="C141" s="35" t="s">
        <v>72</v>
      </c>
      <c r="D141" s="32" t="s">
        <v>1601</v>
      </c>
      <c r="E141" s="11" t="s">
        <v>33</v>
      </c>
    </row>
    <row r="142">
      <c r="B142" s="32" t="s">
        <v>671</v>
      </c>
      <c r="C142" s="35" t="s">
        <v>1102</v>
      </c>
      <c r="D142" s="32" t="s">
        <v>1489</v>
      </c>
      <c r="E142" s="11" t="s">
        <v>37</v>
      </c>
    </row>
    <row r="143">
      <c r="B143" s="32" t="s">
        <v>1415</v>
      </c>
      <c r="C143" s="35" t="s">
        <v>1602</v>
      </c>
      <c r="D143" s="32" t="s">
        <v>1083</v>
      </c>
      <c r="E143" s="11" t="s">
        <v>33</v>
      </c>
    </row>
    <row r="144">
      <c r="B144" s="32" t="s">
        <v>671</v>
      </c>
      <c r="C144" s="35" t="s">
        <v>726</v>
      </c>
      <c r="D144" s="32" t="s">
        <v>1601</v>
      </c>
      <c r="E144" s="11" t="s">
        <v>37</v>
      </c>
    </row>
    <row r="145">
      <c r="B145" s="32" t="s">
        <v>1601</v>
      </c>
      <c r="C145" s="35" t="s">
        <v>488</v>
      </c>
      <c r="D145" s="32" t="s">
        <v>1489</v>
      </c>
      <c r="E145" s="11" t="s">
        <v>33</v>
      </c>
      <c r="G145" s="36"/>
    </row>
    <row r="146">
      <c r="B146" s="32" t="s">
        <v>671</v>
      </c>
      <c r="C146" s="35" t="s">
        <v>72</v>
      </c>
      <c r="D146" s="32" t="s">
        <v>1083</v>
      </c>
      <c r="E146" s="11" t="s">
        <v>37</v>
      </c>
    </row>
    <row r="147">
      <c r="B147" s="32" t="s">
        <v>1489</v>
      </c>
      <c r="C147" s="35" t="s">
        <v>190</v>
      </c>
      <c r="D147" s="32" t="s">
        <v>1415</v>
      </c>
      <c r="E147" s="11" t="s">
        <v>33</v>
      </c>
    </row>
    <row r="148">
      <c r="B148" s="32" t="s">
        <v>1601</v>
      </c>
      <c r="C148" s="35" t="s">
        <v>194</v>
      </c>
      <c r="D148" s="32" t="s">
        <v>1083</v>
      </c>
      <c r="E148" s="11" t="s">
        <v>37</v>
      </c>
    </row>
    <row r="149">
      <c r="B149" s="32" t="s">
        <v>671</v>
      </c>
      <c r="C149" s="35" t="s">
        <v>338</v>
      </c>
      <c r="D149" s="32" t="s">
        <v>1415</v>
      </c>
      <c r="E149" s="11" t="s">
        <v>33</v>
      </c>
    </row>
    <row r="150">
      <c r="B150" s="32" t="s">
        <v>1489</v>
      </c>
      <c r="C150" s="35" t="s">
        <v>260</v>
      </c>
      <c r="D150" s="32" t="s">
        <v>1083</v>
      </c>
      <c r="E150" s="11" t="s">
        <v>37</v>
      </c>
    </row>
    <row r="151">
      <c r="B151" s="32" t="s">
        <v>1601</v>
      </c>
      <c r="C151" s="35" t="s">
        <v>24</v>
      </c>
      <c r="D151" s="32" t="s">
        <v>1415</v>
      </c>
      <c r="E151" s="11" t="s">
        <v>33</v>
      </c>
    </row>
    <row r="152">
      <c r="B152" s="32" t="s">
        <v>1489</v>
      </c>
      <c r="C152" s="35" t="s">
        <v>716</v>
      </c>
      <c r="D152" s="32" t="s">
        <v>671</v>
      </c>
      <c r="E152" s="11" t="s">
        <v>37</v>
      </c>
    </row>
    <row r="153">
      <c r="B153" s="32" t="s">
        <v>1083</v>
      </c>
      <c r="C153" s="35" t="s">
        <v>31</v>
      </c>
      <c r="D153" s="32" t="s">
        <v>1415</v>
      </c>
      <c r="E153" s="11" t="s">
        <v>33</v>
      </c>
    </row>
    <row r="154">
      <c r="B154" s="32" t="s">
        <v>1601</v>
      </c>
      <c r="C154" s="35" t="s">
        <v>293</v>
      </c>
      <c r="D154" s="32" t="s">
        <v>671</v>
      </c>
      <c r="E154" s="11" t="s">
        <v>37</v>
      </c>
    </row>
    <row r="155">
      <c r="B155" s="1" t="s">
        <v>1419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B157" s="32" t="s">
        <v>1603</v>
      </c>
      <c r="C157" s="35" t="s">
        <v>16</v>
      </c>
      <c r="D157" s="32" t="s">
        <v>1604</v>
      </c>
      <c r="E157" s="11" t="s">
        <v>9</v>
      </c>
    </row>
    <row r="158">
      <c r="B158" s="32" t="s">
        <v>1605</v>
      </c>
      <c r="C158" s="35" t="s">
        <v>62</v>
      </c>
      <c r="D158" s="32" t="s">
        <v>1606</v>
      </c>
      <c r="E158" s="11" t="s">
        <v>13</v>
      </c>
    </row>
    <row r="159">
      <c r="B159" s="32" t="s">
        <v>1607</v>
      </c>
      <c r="C159" s="35" t="s">
        <v>443</v>
      </c>
      <c r="D159" s="32" t="s">
        <v>1603</v>
      </c>
      <c r="E159" s="11" t="s">
        <v>9</v>
      </c>
    </row>
    <row r="160">
      <c r="B160" s="32" t="s">
        <v>1605</v>
      </c>
      <c r="C160" s="35" t="s">
        <v>45</v>
      </c>
      <c r="D160" s="32" t="s">
        <v>1604</v>
      </c>
      <c r="E160" s="11" t="s">
        <v>13</v>
      </c>
      <c r="G160" s="54"/>
    </row>
    <row r="161">
      <c r="B161" s="32" t="s">
        <v>1607</v>
      </c>
      <c r="C161" s="35" t="s">
        <v>197</v>
      </c>
      <c r="D161" s="32" t="s">
        <v>1606</v>
      </c>
      <c r="E161" s="11" t="s">
        <v>9</v>
      </c>
    </row>
    <row r="162">
      <c r="B162" s="32" t="s">
        <v>1605</v>
      </c>
      <c r="C162" s="35" t="s">
        <v>193</v>
      </c>
      <c r="D162" s="32" t="s">
        <v>1603</v>
      </c>
      <c r="E162" s="11" t="s">
        <v>13</v>
      </c>
    </row>
    <row r="163">
      <c r="B163" s="32" t="s">
        <v>1607</v>
      </c>
      <c r="C163" s="35" t="s">
        <v>390</v>
      </c>
      <c r="D163" s="32" t="s">
        <v>1604</v>
      </c>
      <c r="E163" s="11" t="s">
        <v>9</v>
      </c>
    </row>
    <row r="164">
      <c r="B164" s="32" t="s">
        <v>1606</v>
      </c>
      <c r="C164" s="35" t="s">
        <v>194</v>
      </c>
      <c r="D164" s="32" t="s">
        <v>1603</v>
      </c>
      <c r="E164" s="11" t="s">
        <v>13</v>
      </c>
    </row>
    <row r="165">
      <c r="B165" s="32" t="s">
        <v>1607</v>
      </c>
      <c r="C165" s="35" t="s">
        <v>339</v>
      </c>
      <c r="D165" s="32" t="s">
        <v>1605</v>
      </c>
      <c r="E165" s="11" t="s">
        <v>9</v>
      </c>
    </row>
    <row r="166">
      <c r="B166" s="32" t="s">
        <v>1606</v>
      </c>
      <c r="C166" s="35" t="s">
        <v>284</v>
      </c>
      <c r="D166" s="32" t="s">
        <v>1604</v>
      </c>
      <c r="E166" s="11" t="s">
        <v>13</v>
      </c>
    </row>
    <row r="167">
      <c r="B167" s="32" t="s">
        <v>1604</v>
      </c>
      <c r="C167" s="35" t="s">
        <v>363</v>
      </c>
      <c r="D167" s="32" t="s">
        <v>1603</v>
      </c>
      <c r="E167" s="11" t="s">
        <v>9</v>
      </c>
      <c r="I167" s="36" t="s">
        <v>242</v>
      </c>
    </row>
    <row r="168">
      <c r="B168" s="32" t="s">
        <v>1606</v>
      </c>
      <c r="C168" s="35" t="s">
        <v>81</v>
      </c>
      <c r="D168" s="32" t="s">
        <v>1605</v>
      </c>
      <c r="E168" s="11" t="s">
        <v>13</v>
      </c>
    </row>
    <row r="169">
      <c r="B169" s="32" t="s">
        <v>1603</v>
      </c>
      <c r="C169" s="35" t="s">
        <v>72</v>
      </c>
      <c r="D169" s="32" t="s">
        <v>1607</v>
      </c>
      <c r="E169" s="11" t="s">
        <v>9</v>
      </c>
    </row>
    <row r="170">
      <c r="B170" s="32" t="s">
        <v>1604</v>
      </c>
      <c r="C170" s="35" t="s">
        <v>81</v>
      </c>
      <c r="D170" s="32" t="s">
        <v>1605</v>
      </c>
      <c r="E170" s="11" t="s">
        <v>13</v>
      </c>
    </row>
    <row r="171">
      <c r="B171" s="32" t="s">
        <v>1606</v>
      </c>
      <c r="C171" s="35" t="s">
        <v>362</v>
      </c>
      <c r="D171" s="32" t="s">
        <v>1607</v>
      </c>
      <c r="E171" s="11" t="s">
        <v>9</v>
      </c>
    </row>
    <row r="172">
      <c r="B172" s="32" t="s">
        <v>1603</v>
      </c>
      <c r="C172" s="35" t="s">
        <v>25</v>
      </c>
      <c r="D172" s="32" t="s">
        <v>1605</v>
      </c>
      <c r="E172" s="11" t="s">
        <v>13</v>
      </c>
    </row>
    <row r="173">
      <c r="B173" s="32" t="s">
        <v>1604</v>
      </c>
      <c r="C173" s="35" t="s">
        <v>578</v>
      </c>
      <c r="D173" s="32" t="s">
        <v>1607</v>
      </c>
      <c r="E173" s="11" t="s">
        <v>9</v>
      </c>
    </row>
    <row r="174">
      <c r="B174" s="32" t="s">
        <v>1603</v>
      </c>
      <c r="C174" s="35" t="s">
        <v>69</v>
      </c>
      <c r="D174" s="32" t="s">
        <v>1606</v>
      </c>
      <c r="E174" s="11" t="s">
        <v>13</v>
      </c>
    </row>
    <row r="175">
      <c r="B175" s="32" t="s">
        <v>1605</v>
      </c>
      <c r="C175" s="35" t="s">
        <v>426</v>
      </c>
      <c r="D175" s="32" t="s">
        <v>1607</v>
      </c>
      <c r="E175" s="11" t="s">
        <v>9</v>
      </c>
    </row>
    <row r="176">
      <c r="B176" s="32" t="s">
        <v>1604</v>
      </c>
      <c r="C176" s="35" t="s">
        <v>66</v>
      </c>
      <c r="D176" s="32" t="s">
        <v>1606</v>
      </c>
      <c r="E176" s="11" t="s">
        <v>13</v>
      </c>
    </row>
    <row r="177">
      <c r="B177" s="1" t="s">
        <v>112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B179" s="32" t="s">
        <v>1608</v>
      </c>
      <c r="C179" s="35" t="s">
        <v>28</v>
      </c>
      <c r="D179" s="32" t="s">
        <v>1293</v>
      </c>
      <c r="E179" s="11" t="s">
        <v>33</v>
      </c>
    </row>
    <row r="180">
      <c r="B180" s="32" t="s">
        <v>1609</v>
      </c>
      <c r="C180" s="35" t="s">
        <v>1045</v>
      </c>
      <c r="D180" s="32" t="s">
        <v>694</v>
      </c>
      <c r="E180" s="11" t="s">
        <v>37</v>
      </c>
    </row>
    <row r="181">
      <c r="B181" s="32" t="s">
        <v>1610</v>
      </c>
      <c r="C181" s="35" t="s">
        <v>197</v>
      </c>
      <c r="D181" s="32" t="s">
        <v>1608</v>
      </c>
      <c r="E181" s="11" t="s">
        <v>33</v>
      </c>
    </row>
    <row r="182">
      <c r="B182" s="32" t="s">
        <v>1609</v>
      </c>
      <c r="C182" s="35" t="s">
        <v>684</v>
      </c>
      <c r="D182" s="32" t="s">
        <v>1293</v>
      </c>
      <c r="E182" s="11" t="s">
        <v>37</v>
      </c>
    </row>
    <row r="183">
      <c r="B183" s="32" t="s">
        <v>1610</v>
      </c>
      <c r="C183" s="35" t="s">
        <v>1611</v>
      </c>
      <c r="D183" s="32" t="s">
        <v>694</v>
      </c>
      <c r="E183" s="11" t="s">
        <v>33</v>
      </c>
    </row>
    <row r="184">
      <c r="B184" s="32" t="s">
        <v>1609</v>
      </c>
      <c r="C184" s="35" t="s">
        <v>49</v>
      </c>
      <c r="D184" s="32" t="s">
        <v>1608</v>
      </c>
      <c r="E184" s="11" t="s">
        <v>37</v>
      </c>
    </row>
    <row r="185">
      <c r="B185" s="32" t="s">
        <v>1610</v>
      </c>
      <c r="C185" s="35" t="s">
        <v>201</v>
      </c>
      <c r="D185" s="32" t="s">
        <v>1293</v>
      </c>
      <c r="E185" s="11" t="s">
        <v>33</v>
      </c>
    </row>
    <row r="186">
      <c r="B186" s="32" t="s">
        <v>694</v>
      </c>
      <c r="C186" s="35" t="s">
        <v>282</v>
      </c>
      <c r="D186" s="32" t="s">
        <v>1608</v>
      </c>
      <c r="E186" s="11" t="s">
        <v>37</v>
      </c>
    </row>
    <row r="187">
      <c r="B187" s="32" t="s">
        <v>1610</v>
      </c>
      <c r="C187" s="35" t="s">
        <v>20</v>
      </c>
      <c r="D187" s="32" t="s">
        <v>1609</v>
      </c>
      <c r="E187" s="11" t="s">
        <v>33</v>
      </c>
    </row>
    <row r="188">
      <c r="B188" s="32" t="s">
        <v>694</v>
      </c>
      <c r="C188" s="35" t="s">
        <v>722</v>
      </c>
      <c r="D188" s="32" t="s">
        <v>1293</v>
      </c>
      <c r="E188" s="11" t="s">
        <v>37</v>
      </c>
    </row>
    <row r="189">
      <c r="B189" s="32" t="s">
        <v>1293</v>
      </c>
      <c r="C189" s="35" t="s">
        <v>319</v>
      </c>
      <c r="D189" s="32" t="s">
        <v>1608</v>
      </c>
      <c r="E189" s="11" t="s">
        <v>33</v>
      </c>
    </row>
    <row r="190">
      <c r="B190" s="32" t="s">
        <v>694</v>
      </c>
      <c r="C190" s="35" t="s">
        <v>243</v>
      </c>
      <c r="D190" s="32" t="s">
        <v>1609</v>
      </c>
      <c r="E190" s="11" t="s">
        <v>37</v>
      </c>
    </row>
    <row r="191">
      <c r="B191" s="32" t="s">
        <v>1608</v>
      </c>
      <c r="C191" s="35" t="s">
        <v>426</v>
      </c>
      <c r="D191" s="32" t="s">
        <v>1610</v>
      </c>
      <c r="E191" s="11" t="s">
        <v>33</v>
      </c>
    </row>
    <row r="192">
      <c r="B192" s="32" t="s">
        <v>1293</v>
      </c>
      <c r="C192" s="35" t="s">
        <v>194</v>
      </c>
      <c r="D192" s="32" t="s">
        <v>1609</v>
      </c>
      <c r="E192" s="11" t="s">
        <v>37</v>
      </c>
    </row>
    <row r="193">
      <c r="B193" s="32" t="s">
        <v>694</v>
      </c>
      <c r="C193" s="35" t="s">
        <v>479</v>
      </c>
      <c r="D193" s="32" t="s">
        <v>1610</v>
      </c>
      <c r="E193" s="11" t="s">
        <v>33</v>
      </c>
    </row>
    <row r="194">
      <c r="B194" s="32" t="s">
        <v>1608</v>
      </c>
      <c r="C194" s="35" t="s">
        <v>284</v>
      </c>
      <c r="D194" s="32" t="s">
        <v>1609</v>
      </c>
      <c r="E194" s="11" t="s">
        <v>37</v>
      </c>
    </row>
    <row r="195">
      <c r="B195" s="32" t="s">
        <v>1293</v>
      </c>
      <c r="C195" s="35" t="s">
        <v>16</v>
      </c>
      <c r="D195" s="32" t="s">
        <v>1610</v>
      </c>
      <c r="E195" s="11" t="s">
        <v>33</v>
      </c>
    </row>
    <row r="196">
      <c r="B196" s="32" t="s">
        <v>1608</v>
      </c>
      <c r="C196" s="35" t="s">
        <v>81</v>
      </c>
      <c r="D196" s="32" t="s">
        <v>694</v>
      </c>
      <c r="E196" s="11" t="s">
        <v>37</v>
      </c>
    </row>
    <row r="197">
      <c r="B197" s="32" t="s">
        <v>1609</v>
      </c>
      <c r="C197" s="35" t="s">
        <v>62</v>
      </c>
      <c r="D197" s="32" t="s">
        <v>1610</v>
      </c>
      <c r="E197" s="11" t="s">
        <v>33</v>
      </c>
    </row>
    <row r="198">
      <c r="B198" s="32" t="s">
        <v>1293</v>
      </c>
      <c r="C198" s="35" t="s">
        <v>18</v>
      </c>
      <c r="D198" s="32" t="s">
        <v>694</v>
      </c>
      <c r="E198" s="11" t="s">
        <v>37</v>
      </c>
    </row>
    <row r="199">
      <c r="B199" s="1" t="s">
        <v>1429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B201" s="32" t="s">
        <v>1612</v>
      </c>
      <c r="C201" s="35" t="s">
        <v>319</v>
      </c>
      <c r="D201" s="32" t="s">
        <v>1613</v>
      </c>
      <c r="E201" s="11" t="s">
        <v>33</v>
      </c>
    </row>
    <row r="202">
      <c r="B202" s="32" t="s">
        <v>1614</v>
      </c>
      <c r="C202" s="35" t="s">
        <v>1025</v>
      </c>
      <c r="D202" s="32" t="s">
        <v>1615</v>
      </c>
      <c r="E202" s="11" t="s">
        <v>37</v>
      </c>
    </row>
    <row r="203">
      <c r="B203" s="32" t="s">
        <v>1616</v>
      </c>
      <c r="C203" s="35" t="s">
        <v>19</v>
      </c>
      <c r="D203" s="32" t="s">
        <v>1612</v>
      </c>
      <c r="E203" s="11" t="s">
        <v>33</v>
      </c>
    </row>
    <row r="204">
      <c r="B204" s="32" t="s">
        <v>1614</v>
      </c>
      <c r="C204" s="35" t="s">
        <v>212</v>
      </c>
      <c r="D204" s="32" t="s">
        <v>1613</v>
      </c>
      <c r="E204" s="11" t="s">
        <v>37</v>
      </c>
    </row>
    <row r="205">
      <c r="B205" s="32" t="s">
        <v>1616</v>
      </c>
      <c r="C205" s="35" t="s">
        <v>404</v>
      </c>
      <c r="D205" s="32" t="s">
        <v>1615</v>
      </c>
      <c r="E205" s="11" t="s">
        <v>33</v>
      </c>
    </row>
    <row r="206">
      <c r="B206" s="32" t="s">
        <v>1614</v>
      </c>
      <c r="C206" s="35" t="s">
        <v>520</v>
      </c>
      <c r="D206" s="32" t="s">
        <v>1612</v>
      </c>
      <c r="E206" s="11" t="s">
        <v>37</v>
      </c>
    </row>
    <row r="207">
      <c r="B207" s="32" t="s">
        <v>1616</v>
      </c>
      <c r="C207" s="35" t="s">
        <v>494</v>
      </c>
      <c r="D207" s="32" t="s">
        <v>1613</v>
      </c>
      <c r="E207" s="11" t="s">
        <v>33</v>
      </c>
    </row>
    <row r="208">
      <c r="B208" s="32" t="s">
        <v>1615</v>
      </c>
      <c r="C208" s="35" t="s">
        <v>51</v>
      </c>
      <c r="D208" s="32" t="s">
        <v>1612</v>
      </c>
      <c r="E208" s="11" t="s">
        <v>37</v>
      </c>
    </row>
    <row r="209">
      <c r="B209" s="32" t="s">
        <v>1616</v>
      </c>
      <c r="C209" s="35" t="s">
        <v>81</v>
      </c>
      <c r="D209" s="32" t="s">
        <v>1614</v>
      </c>
      <c r="E209" s="11" t="s">
        <v>33</v>
      </c>
    </row>
    <row r="210">
      <c r="B210" s="32" t="s">
        <v>1615</v>
      </c>
      <c r="C210" s="35" t="s">
        <v>276</v>
      </c>
      <c r="D210" s="32" t="s">
        <v>1613</v>
      </c>
      <c r="E210" s="11" t="s">
        <v>37</v>
      </c>
    </row>
    <row r="211">
      <c r="B211" s="32" t="s">
        <v>1613</v>
      </c>
      <c r="C211" s="35" t="s">
        <v>28</v>
      </c>
      <c r="D211" s="32" t="s">
        <v>1612</v>
      </c>
      <c r="E211" s="11" t="s">
        <v>33</v>
      </c>
    </row>
    <row r="212">
      <c r="B212" s="32" t="s">
        <v>1615</v>
      </c>
      <c r="C212" s="35" t="s">
        <v>62</v>
      </c>
      <c r="D212" s="32" t="s">
        <v>1614</v>
      </c>
      <c r="E212" s="11" t="s">
        <v>37</v>
      </c>
    </row>
    <row r="213">
      <c r="B213" s="32" t="s">
        <v>1612</v>
      </c>
      <c r="C213" s="35" t="s">
        <v>17</v>
      </c>
      <c r="D213" s="32" t="s">
        <v>1616</v>
      </c>
      <c r="E213" s="11" t="s">
        <v>33</v>
      </c>
    </row>
    <row r="214">
      <c r="B214" s="32" t="s">
        <v>1613</v>
      </c>
      <c r="C214" s="35" t="s">
        <v>267</v>
      </c>
      <c r="D214" s="32" t="s">
        <v>1614</v>
      </c>
      <c r="E214" s="11" t="s">
        <v>37</v>
      </c>
    </row>
    <row r="215">
      <c r="B215" s="32" t="s">
        <v>1615</v>
      </c>
      <c r="C215" s="35" t="s">
        <v>1617</v>
      </c>
      <c r="D215" s="32" t="s">
        <v>1616</v>
      </c>
      <c r="E215" s="11" t="s">
        <v>33</v>
      </c>
    </row>
    <row r="216">
      <c r="B216" s="32" t="s">
        <v>1612</v>
      </c>
      <c r="C216" s="35" t="s">
        <v>306</v>
      </c>
      <c r="D216" s="32" t="s">
        <v>1614</v>
      </c>
      <c r="E216" s="11" t="s">
        <v>37</v>
      </c>
    </row>
    <row r="217">
      <c r="B217" s="32" t="s">
        <v>1613</v>
      </c>
      <c r="C217" s="35" t="s">
        <v>267</v>
      </c>
      <c r="D217" s="32" t="s">
        <v>1616</v>
      </c>
      <c r="E217" s="11" t="s">
        <v>33</v>
      </c>
    </row>
    <row r="218">
      <c r="B218" s="32" t="s">
        <v>1612</v>
      </c>
      <c r="C218" s="35" t="s">
        <v>261</v>
      </c>
      <c r="D218" s="32" t="s">
        <v>1615</v>
      </c>
      <c r="E218" s="11" t="s">
        <v>37</v>
      </c>
    </row>
    <row r="219">
      <c r="B219" s="32" t="s">
        <v>1614</v>
      </c>
      <c r="C219" s="35" t="s">
        <v>687</v>
      </c>
      <c r="D219" s="32" t="s">
        <v>1616</v>
      </c>
      <c r="E219" s="11" t="s">
        <v>33</v>
      </c>
    </row>
    <row r="220">
      <c r="B220" s="32" t="s">
        <v>1613</v>
      </c>
      <c r="C220" s="35" t="s">
        <v>1618</v>
      </c>
      <c r="D220" s="32" t="s">
        <v>1615</v>
      </c>
      <c r="E220" s="11" t="s">
        <v>37</v>
      </c>
    </row>
    <row r="221">
      <c r="B221" s="28" t="s">
        <v>1435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34" t="s">
        <v>591</v>
      </c>
      <c r="C223" s="33" t="s">
        <v>267</v>
      </c>
      <c r="D223" s="34" t="s">
        <v>1619</v>
      </c>
      <c r="E223" s="11" t="s">
        <v>9</v>
      </c>
    </row>
    <row r="224">
      <c r="B224" s="34" t="s">
        <v>1620</v>
      </c>
      <c r="C224" s="33" t="s">
        <v>17</v>
      </c>
      <c r="D224" s="34" t="s">
        <v>894</v>
      </c>
      <c r="E224" s="11" t="s">
        <v>13</v>
      </c>
    </row>
    <row r="225">
      <c r="B225" s="34" t="s">
        <v>1621</v>
      </c>
      <c r="C225" s="33" t="s">
        <v>500</v>
      </c>
      <c r="D225" s="34" t="s">
        <v>591</v>
      </c>
      <c r="E225" s="11" t="s">
        <v>9</v>
      </c>
    </row>
    <row r="226">
      <c r="B226" s="34" t="s">
        <v>1620</v>
      </c>
      <c r="C226" s="33" t="s">
        <v>193</v>
      </c>
      <c r="D226" s="34" t="s">
        <v>1619</v>
      </c>
      <c r="E226" s="11" t="s">
        <v>13</v>
      </c>
    </row>
    <row r="227">
      <c r="B227" s="34" t="s">
        <v>1621</v>
      </c>
      <c r="C227" s="33" t="s">
        <v>500</v>
      </c>
      <c r="D227" s="34" t="s">
        <v>894</v>
      </c>
      <c r="E227" s="11" t="s">
        <v>9</v>
      </c>
    </row>
    <row r="228">
      <c r="B228" s="34" t="s">
        <v>1620</v>
      </c>
      <c r="C228" s="33" t="s">
        <v>47</v>
      </c>
      <c r="D228" s="34" t="s">
        <v>591</v>
      </c>
      <c r="E228" s="11" t="s">
        <v>13</v>
      </c>
    </row>
    <row r="229">
      <c r="B229" s="34" t="s">
        <v>1621</v>
      </c>
      <c r="C229" s="33" t="s">
        <v>22</v>
      </c>
      <c r="D229" s="34" t="s">
        <v>1619</v>
      </c>
      <c r="E229" s="11" t="s">
        <v>9</v>
      </c>
    </row>
    <row r="230">
      <c r="B230" s="34" t="s">
        <v>894</v>
      </c>
      <c r="C230" s="33" t="s">
        <v>283</v>
      </c>
      <c r="D230" s="34" t="s">
        <v>591</v>
      </c>
      <c r="E230" s="11" t="s">
        <v>13</v>
      </c>
    </row>
    <row r="231">
      <c r="B231" s="34" t="s">
        <v>1621</v>
      </c>
      <c r="C231" s="33" t="s">
        <v>1622</v>
      </c>
      <c r="D231" s="34" t="s">
        <v>1620</v>
      </c>
      <c r="E231" s="11" t="s">
        <v>9</v>
      </c>
    </row>
    <row r="232">
      <c r="B232" s="34" t="s">
        <v>894</v>
      </c>
      <c r="C232" s="33" t="s">
        <v>193</v>
      </c>
      <c r="D232" s="34" t="s">
        <v>1619</v>
      </c>
      <c r="E232" s="11" t="s">
        <v>13</v>
      </c>
    </row>
    <row r="233">
      <c r="B233" s="34" t="s">
        <v>1619</v>
      </c>
      <c r="C233" s="33" t="s">
        <v>25</v>
      </c>
      <c r="D233" s="34" t="s">
        <v>591</v>
      </c>
      <c r="E233" s="11" t="s">
        <v>9</v>
      </c>
    </row>
    <row r="234">
      <c r="B234" s="34" t="s">
        <v>894</v>
      </c>
      <c r="C234" s="33" t="s">
        <v>22</v>
      </c>
      <c r="D234" s="34" t="s">
        <v>1620</v>
      </c>
      <c r="E234" s="11" t="s">
        <v>13</v>
      </c>
    </row>
    <row r="235">
      <c r="B235" s="34" t="s">
        <v>591</v>
      </c>
      <c r="C235" s="35" t="s">
        <v>17</v>
      </c>
      <c r="D235" s="34" t="s">
        <v>1621</v>
      </c>
      <c r="E235" s="11" t="s">
        <v>9</v>
      </c>
    </row>
    <row r="236">
      <c r="B236" s="34" t="s">
        <v>1619</v>
      </c>
      <c r="C236" s="35" t="s">
        <v>66</v>
      </c>
      <c r="D236" s="34" t="s">
        <v>1620</v>
      </c>
      <c r="E236" s="11" t="s">
        <v>13</v>
      </c>
    </row>
    <row r="237">
      <c r="B237" s="34" t="s">
        <v>894</v>
      </c>
      <c r="C237" s="35" t="s">
        <v>566</v>
      </c>
      <c r="D237" s="34" t="s">
        <v>1621</v>
      </c>
      <c r="E237" s="11" t="s">
        <v>9</v>
      </c>
    </row>
    <row r="238">
      <c r="B238" s="34" t="s">
        <v>591</v>
      </c>
      <c r="C238" s="35" t="s">
        <v>765</v>
      </c>
      <c r="D238" s="34" t="s">
        <v>1620</v>
      </c>
      <c r="E238" s="11" t="s">
        <v>13</v>
      </c>
    </row>
    <row r="239">
      <c r="B239" s="34" t="s">
        <v>1619</v>
      </c>
      <c r="C239" s="35" t="s">
        <v>81</v>
      </c>
      <c r="D239" s="34" t="s">
        <v>1621</v>
      </c>
      <c r="E239" s="11" t="s">
        <v>9</v>
      </c>
    </row>
    <row r="240">
      <c r="B240" s="34" t="s">
        <v>591</v>
      </c>
      <c r="C240" s="35" t="s">
        <v>41</v>
      </c>
      <c r="D240" s="34" t="s">
        <v>894</v>
      </c>
      <c r="E240" s="11" t="s">
        <v>13</v>
      </c>
    </row>
    <row r="241">
      <c r="B241" s="34" t="s">
        <v>1620</v>
      </c>
      <c r="C241" s="35" t="s">
        <v>72</v>
      </c>
      <c r="D241" s="34" t="s">
        <v>1621</v>
      </c>
      <c r="E241" s="11" t="s">
        <v>9</v>
      </c>
    </row>
    <row r="242">
      <c r="B242" s="34" t="s">
        <v>1619</v>
      </c>
      <c r="C242" s="35" t="s">
        <v>251</v>
      </c>
      <c r="D242" s="34" t="s">
        <v>894</v>
      </c>
      <c r="E242" s="11" t="s">
        <v>13</v>
      </c>
    </row>
    <row r="243">
      <c r="B243" s="28" t="s">
        <v>1441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34" t="s">
        <v>1623</v>
      </c>
      <c r="C245" s="35" t="s">
        <v>260</v>
      </c>
      <c r="D245" s="34" t="s">
        <v>439</v>
      </c>
      <c r="E245" s="11" t="s">
        <v>9</v>
      </c>
    </row>
    <row r="246">
      <c r="B246" s="34" t="s">
        <v>1624</v>
      </c>
      <c r="C246" s="35" t="s">
        <v>87</v>
      </c>
      <c r="D246" s="34" t="s">
        <v>1625</v>
      </c>
      <c r="E246" s="11" t="s">
        <v>13</v>
      </c>
    </row>
    <row r="247">
      <c r="B247" s="34" t="s">
        <v>1442</v>
      </c>
      <c r="C247" s="35" t="s">
        <v>488</v>
      </c>
      <c r="D247" s="34" t="s">
        <v>1623</v>
      </c>
      <c r="E247" s="11" t="s">
        <v>9</v>
      </c>
    </row>
    <row r="248">
      <c r="B248" s="34" t="s">
        <v>1624</v>
      </c>
      <c r="C248" s="35" t="s">
        <v>201</v>
      </c>
      <c r="D248" s="34" t="s">
        <v>439</v>
      </c>
      <c r="E248" s="11" t="s">
        <v>13</v>
      </c>
    </row>
    <row r="249">
      <c r="B249" s="34" t="s">
        <v>1442</v>
      </c>
      <c r="C249" s="35" t="s">
        <v>201</v>
      </c>
      <c r="D249" s="34" t="s">
        <v>1625</v>
      </c>
      <c r="E249" s="11" t="s">
        <v>9</v>
      </c>
    </row>
    <row r="250">
      <c r="B250" s="34" t="s">
        <v>1624</v>
      </c>
      <c r="C250" s="35" t="s">
        <v>16</v>
      </c>
      <c r="D250" s="34" t="s">
        <v>1623</v>
      </c>
      <c r="E250" s="11" t="s">
        <v>13</v>
      </c>
    </row>
    <row r="251">
      <c r="B251" s="34" t="s">
        <v>1442</v>
      </c>
      <c r="C251" s="35" t="s">
        <v>250</v>
      </c>
      <c r="D251" s="34" t="s">
        <v>439</v>
      </c>
      <c r="E251" s="11" t="s">
        <v>9</v>
      </c>
    </row>
    <row r="252">
      <c r="B252" s="34" t="s">
        <v>1625</v>
      </c>
      <c r="C252" s="35" t="s">
        <v>18</v>
      </c>
      <c r="D252" s="34" t="s">
        <v>1623</v>
      </c>
      <c r="E252" s="11" t="s">
        <v>13</v>
      </c>
    </row>
    <row r="253">
      <c r="B253" s="34" t="s">
        <v>1442</v>
      </c>
      <c r="C253" s="35" t="s">
        <v>26</v>
      </c>
      <c r="D253" s="34" t="s">
        <v>1624</v>
      </c>
      <c r="E253" s="11" t="s">
        <v>9</v>
      </c>
    </row>
    <row r="254">
      <c r="B254" s="34" t="s">
        <v>1625</v>
      </c>
      <c r="C254" s="35" t="s">
        <v>48</v>
      </c>
      <c r="D254" s="34" t="s">
        <v>439</v>
      </c>
      <c r="E254" s="11" t="s">
        <v>13</v>
      </c>
    </row>
    <row r="255">
      <c r="B255" s="34" t="s">
        <v>439</v>
      </c>
      <c r="C255" s="35" t="s">
        <v>25</v>
      </c>
      <c r="D255" s="34" t="s">
        <v>1623</v>
      </c>
      <c r="E255" s="11" t="s">
        <v>9</v>
      </c>
    </row>
    <row r="256">
      <c r="B256" s="34" t="s">
        <v>1625</v>
      </c>
      <c r="C256" s="35" t="s">
        <v>87</v>
      </c>
      <c r="D256" s="34" t="s">
        <v>1624</v>
      </c>
      <c r="E256" s="11" t="s">
        <v>13</v>
      </c>
    </row>
    <row r="257">
      <c r="B257" s="34" t="s">
        <v>1623</v>
      </c>
      <c r="C257" s="35" t="s">
        <v>42</v>
      </c>
      <c r="D257" s="34" t="s">
        <v>1442</v>
      </c>
      <c r="E257" s="11" t="s">
        <v>9</v>
      </c>
    </row>
    <row r="258">
      <c r="B258" s="34" t="s">
        <v>439</v>
      </c>
      <c r="C258" s="35" t="s">
        <v>217</v>
      </c>
      <c r="D258" s="34" t="s">
        <v>1624</v>
      </c>
      <c r="E258" s="11" t="s">
        <v>13</v>
      </c>
    </row>
    <row r="259">
      <c r="B259" s="34" t="s">
        <v>1625</v>
      </c>
      <c r="C259" s="35" t="s">
        <v>66</v>
      </c>
      <c r="D259" s="34" t="s">
        <v>1442</v>
      </c>
      <c r="E259" s="11" t="s">
        <v>9</v>
      </c>
    </row>
    <row r="260">
      <c r="B260" s="34" t="s">
        <v>1623</v>
      </c>
      <c r="C260" s="35" t="s">
        <v>403</v>
      </c>
      <c r="D260" s="34" t="s">
        <v>1624</v>
      </c>
      <c r="E260" s="11" t="s">
        <v>13</v>
      </c>
    </row>
    <row r="261">
      <c r="B261" s="34" t="s">
        <v>439</v>
      </c>
      <c r="C261" s="35" t="s">
        <v>872</v>
      </c>
      <c r="D261" s="34" t="s">
        <v>1442</v>
      </c>
      <c r="E261" s="11" t="s">
        <v>9</v>
      </c>
    </row>
    <row r="262">
      <c r="B262" s="34" t="s">
        <v>1623</v>
      </c>
      <c r="C262" s="35" t="s">
        <v>699</v>
      </c>
      <c r="D262" s="34" t="s">
        <v>1625</v>
      </c>
      <c r="E262" s="11" t="s">
        <v>13</v>
      </c>
    </row>
    <row r="263">
      <c r="B263" s="34" t="s">
        <v>1624</v>
      </c>
      <c r="C263" s="35" t="s">
        <v>352</v>
      </c>
      <c r="D263" s="34" t="s">
        <v>1442</v>
      </c>
      <c r="E263" s="11" t="s">
        <v>9</v>
      </c>
    </row>
    <row r="264">
      <c r="B264" s="34" t="s">
        <v>439</v>
      </c>
      <c r="C264" s="35" t="s">
        <v>193</v>
      </c>
      <c r="D264" s="34" t="s">
        <v>1625</v>
      </c>
      <c r="E264" s="11" t="s">
        <v>13</v>
      </c>
    </row>
    <row r="265">
      <c r="B265" s="28" t="s">
        <v>1448</v>
      </c>
      <c r="C265" s="2"/>
      <c r="D265" s="3"/>
      <c r="E265" s="2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34" t="s">
        <v>1560</v>
      </c>
      <c r="C267" s="35" t="s">
        <v>285</v>
      </c>
      <c r="D267" s="34" t="s">
        <v>795</v>
      </c>
      <c r="E267" s="11" t="s">
        <v>33</v>
      </c>
    </row>
    <row r="268">
      <c r="B268" s="34" t="s">
        <v>1626</v>
      </c>
      <c r="C268" s="35" t="s">
        <v>572</v>
      </c>
      <c r="D268" s="34" t="s">
        <v>1627</v>
      </c>
      <c r="E268" s="11" t="s">
        <v>37</v>
      </c>
    </row>
    <row r="269">
      <c r="B269" s="34" t="s">
        <v>959</v>
      </c>
      <c r="C269" s="35" t="s">
        <v>22</v>
      </c>
      <c r="D269" s="34" t="s">
        <v>1560</v>
      </c>
      <c r="E269" s="11" t="s">
        <v>33</v>
      </c>
    </row>
    <row r="270">
      <c r="B270" s="34" t="s">
        <v>1626</v>
      </c>
      <c r="C270" s="35" t="s">
        <v>38</v>
      </c>
      <c r="D270" s="34" t="s">
        <v>795</v>
      </c>
      <c r="E270" s="11" t="s">
        <v>37</v>
      </c>
    </row>
    <row r="271">
      <c r="B271" s="34" t="s">
        <v>959</v>
      </c>
      <c r="C271" s="35" t="s">
        <v>82</v>
      </c>
      <c r="D271" s="34" t="s">
        <v>1627</v>
      </c>
      <c r="E271" s="11" t="s">
        <v>33</v>
      </c>
    </row>
    <row r="272">
      <c r="B272" s="34" t="s">
        <v>1626</v>
      </c>
      <c r="C272" s="35" t="s">
        <v>11</v>
      </c>
      <c r="D272" s="34" t="s">
        <v>1560</v>
      </c>
      <c r="E272" s="11" t="s">
        <v>37</v>
      </c>
    </row>
    <row r="273">
      <c r="B273" s="34" t="s">
        <v>959</v>
      </c>
      <c r="C273" s="35" t="s">
        <v>197</v>
      </c>
      <c r="D273" s="34" t="s">
        <v>795</v>
      </c>
      <c r="E273" s="11" t="s">
        <v>33</v>
      </c>
    </row>
    <row r="274">
      <c r="B274" s="34" t="s">
        <v>1627</v>
      </c>
      <c r="C274" s="35" t="s">
        <v>16</v>
      </c>
      <c r="D274" s="34" t="s">
        <v>1560</v>
      </c>
      <c r="E274" s="11" t="s">
        <v>37</v>
      </c>
    </row>
    <row r="275">
      <c r="B275" s="34" t="s">
        <v>959</v>
      </c>
      <c r="C275" s="35" t="s">
        <v>220</v>
      </c>
      <c r="D275" s="34" t="s">
        <v>1626</v>
      </c>
      <c r="E275" s="11" t="s">
        <v>33</v>
      </c>
    </row>
    <row r="276">
      <c r="B276" s="34" t="s">
        <v>1627</v>
      </c>
      <c r="C276" s="35" t="s">
        <v>17</v>
      </c>
      <c r="D276" s="34" t="s">
        <v>795</v>
      </c>
      <c r="E276" s="11" t="s">
        <v>37</v>
      </c>
    </row>
    <row r="277">
      <c r="B277" s="34" t="s">
        <v>795</v>
      </c>
      <c r="C277" s="35" t="s">
        <v>87</v>
      </c>
      <c r="D277" s="34" t="s">
        <v>1560</v>
      </c>
      <c r="E277" s="11" t="s">
        <v>33</v>
      </c>
    </row>
    <row r="278">
      <c r="B278" s="34" t="s">
        <v>1627</v>
      </c>
      <c r="C278" s="35" t="s">
        <v>239</v>
      </c>
      <c r="D278" s="34" t="s">
        <v>1626</v>
      </c>
      <c r="E278" s="11" t="s">
        <v>37</v>
      </c>
    </row>
    <row r="279">
      <c r="B279" s="34" t="s">
        <v>1560</v>
      </c>
      <c r="C279" s="35" t="s">
        <v>25</v>
      </c>
      <c r="D279" s="34" t="s">
        <v>959</v>
      </c>
      <c r="E279" s="11" t="s">
        <v>33</v>
      </c>
    </row>
    <row r="280">
      <c r="B280" s="34" t="s">
        <v>795</v>
      </c>
      <c r="C280" s="35" t="s">
        <v>1310</v>
      </c>
      <c r="D280" s="34" t="s">
        <v>1626</v>
      </c>
      <c r="E280" s="11" t="s">
        <v>37</v>
      </c>
    </row>
    <row r="281">
      <c r="B281" s="34" t="s">
        <v>1627</v>
      </c>
      <c r="C281" s="35" t="s">
        <v>1628</v>
      </c>
      <c r="D281" s="34" t="s">
        <v>959</v>
      </c>
      <c r="E281" s="11" t="s">
        <v>33</v>
      </c>
    </row>
    <row r="282">
      <c r="B282" s="34" t="s">
        <v>1560</v>
      </c>
      <c r="C282" s="35" t="s">
        <v>1067</v>
      </c>
      <c r="D282" s="34" t="s">
        <v>1626</v>
      </c>
      <c r="E282" s="11" t="s">
        <v>37</v>
      </c>
    </row>
    <row r="283">
      <c r="B283" s="34" t="s">
        <v>795</v>
      </c>
      <c r="C283" s="35" t="s">
        <v>267</v>
      </c>
      <c r="D283" s="34" t="s">
        <v>959</v>
      </c>
      <c r="E283" s="11" t="s">
        <v>33</v>
      </c>
    </row>
    <row r="284">
      <c r="B284" s="34" t="s">
        <v>1560</v>
      </c>
      <c r="C284" s="35" t="s">
        <v>353</v>
      </c>
      <c r="D284" s="34" t="s">
        <v>1627</v>
      </c>
      <c r="E284" s="11" t="s">
        <v>37</v>
      </c>
    </row>
    <row r="285">
      <c r="B285" s="34" t="s">
        <v>1626</v>
      </c>
      <c r="C285" s="35" t="s">
        <v>45</v>
      </c>
      <c r="D285" s="34" t="s">
        <v>959</v>
      </c>
      <c r="E285" s="11" t="s">
        <v>33</v>
      </c>
    </row>
    <row r="286">
      <c r="B286" s="34" t="s">
        <v>795</v>
      </c>
      <c r="C286" s="35" t="s">
        <v>276</v>
      </c>
      <c r="D286" s="34" t="s">
        <v>1627</v>
      </c>
      <c r="E286" s="11" t="s">
        <v>37</v>
      </c>
    </row>
    <row r="287">
      <c r="B287" s="28" t="s">
        <v>145</v>
      </c>
      <c r="C287" s="2"/>
      <c r="D287" s="3"/>
      <c r="E287" s="2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34" t="s">
        <v>1629</v>
      </c>
      <c r="C289" s="35" t="s">
        <v>28</v>
      </c>
      <c r="D289" s="34" t="s">
        <v>1630</v>
      </c>
      <c r="E289" s="11" t="s">
        <v>33</v>
      </c>
    </row>
    <row r="290">
      <c r="B290" s="34" t="s">
        <v>146</v>
      </c>
      <c r="C290" s="35" t="s">
        <v>319</v>
      </c>
      <c r="D290" s="34" t="s">
        <v>1103</v>
      </c>
      <c r="E290" s="11" t="s">
        <v>37</v>
      </c>
    </row>
    <row r="291">
      <c r="B291" s="34" t="s">
        <v>1631</v>
      </c>
      <c r="C291" s="35" t="s">
        <v>1632</v>
      </c>
      <c r="D291" s="34" t="s">
        <v>1629</v>
      </c>
      <c r="E291" s="11" t="s">
        <v>33</v>
      </c>
    </row>
    <row r="292">
      <c r="B292" s="34" t="s">
        <v>146</v>
      </c>
      <c r="C292" s="35" t="s">
        <v>64</v>
      </c>
      <c r="D292" s="34" t="s">
        <v>1630</v>
      </c>
      <c r="E292" s="11" t="s">
        <v>37</v>
      </c>
    </row>
    <row r="293">
      <c r="B293" s="34" t="s">
        <v>1631</v>
      </c>
      <c r="C293" s="35" t="s">
        <v>14</v>
      </c>
      <c r="D293" s="34" t="s">
        <v>1103</v>
      </c>
      <c r="E293" s="11" t="s">
        <v>33</v>
      </c>
    </row>
    <row r="294">
      <c r="B294" s="34" t="s">
        <v>146</v>
      </c>
      <c r="C294" s="35" t="s">
        <v>212</v>
      </c>
      <c r="D294" s="34" t="s">
        <v>1629</v>
      </c>
      <c r="E294" s="11" t="s">
        <v>37</v>
      </c>
    </row>
    <row r="295">
      <c r="B295" s="34" t="s">
        <v>1631</v>
      </c>
      <c r="C295" s="35" t="s">
        <v>232</v>
      </c>
      <c r="D295" s="34" t="s">
        <v>1630</v>
      </c>
      <c r="E295" s="11" t="s">
        <v>33</v>
      </c>
    </row>
    <row r="296">
      <c r="B296" s="34" t="s">
        <v>1103</v>
      </c>
      <c r="C296" s="35" t="s">
        <v>1633</v>
      </c>
      <c r="D296" s="34" t="s">
        <v>1629</v>
      </c>
      <c r="E296" s="11" t="s">
        <v>37</v>
      </c>
    </row>
    <row r="297">
      <c r="B297" s="34" t="s">
        <v>1631</v>
      </c>
      <c r="C297" s="35" t="s">
        <v>68</v>
      </c>
      <c r="D297" s="34" t="s">
        <v>146</v>
      </c>
      <c r="E297" s="11" t="s">
        <v>33</v>
      </c>
    </row>
    <row r="298">
      <c r="B298" s="34" t="s">
        <v>1103</v>
      </c>
      <c r="C298" s="35" t="s">
        <v>196</v>
      </c>
      <c r="D298" s="34" t="s">
        <v>1630</v>
      </c>
      <c r="E298" s="11" t="s">
        <v>37</v>
      </c>
    </row>
    <row r="299">
      <c r="B299" s="34" t="s">
        <v>1630</v>
      </c>
      <c r="C299" s="35" t="s">
        <v>72</v>
      </c>
      <c r="D299" s="34" t="s">
        <v>1629</v>
      </c>
      <c r="E299" s="11" t="s">
        <v>33</v>
      </c>
    </row>
    <row r="300">
      <c r="B300" s="34" t="s">
        <v>1103</v>
      </c>
      <c r="C300" s="35" t="s">
        <v>912</v>
      </c>
      <c r="D300" s="34" t="s">
        <v>146</v>
      </c>
      <c r="E300" s="11" t="s">
        <v>37</v>
      </c>
    </row>
    <row r="301">
      <c r="B301" s="34" t="s">
        <v>1629</v>
      </c>
      <c r="C301" s="35" t="s">
        <v>250</v>
      </c>
      <c r="D301" s="34" t="s">
        <v>1631</v>
      </c>
      <c r="E301" s="11" t="s">
        <v>33</v>
      </c>
    </row>
    <row r="302">
      <c r="B302" s="34" t="s">
        <v>1630</v>
      </c>
      <c r="C302" s="35" t="s">
        <v>17</v>
      </c>
      <c r="D302" s="34" t="s">
        <v>146</v>
      </c>
      <c r="E302" s="11" t="s">
        <v>37</v>
      </c>
    </row>
    <row r="303">
      <c r="B303" s="34" t="s">
        <v>1103</v>
      </c>
      <c r="C303" s="35" t="s">
        <v>273</v>
      </c>
      <c r="D303" s="34" t="s">
        <v>1631</v>
      </c>
      <c r="E303" s="11" t="s">
        <v>33</v>
      </c>
    </row>
    <row r="304">
      <c r="B304" s="34" t="s">
        <v>1629</v>
      </c>
      <c r="C304" s="35" t="s">
        <v>205</v>
      </c>
      <c r="D304" s="34" t="s">
        <v>146</v>
      </c>
      <c r="E304" s="11" t="s">
        <v>37</v>
      </c>
    </row>
    <row r="305">
      <c r="B305" s="34" t="s">
        <v>1630</v>
      </c>
      <c r="C305" s="35" t="s">
        <v>426</v>
      </c>
      <c r="D305" s="34" t="s">
        <v>1631</v>
      </c>
      <c r="E305" s="11" t="s">
        <v>33</v>
      </c>
    </row>
    <row r="306">
      <c r="B306" s="34" t="s">
        <v>1629</v>
      </c>
      <c r="C306" s="35" t="s">
        <v>58</v>
      </c>
      <c r="D306" s="34" t="s">
        <v>1103</v>
      </c>
      <c r="E306" s="11" t="s">
        <v>37</v>
      </c>
    </row>
    <row r="307">
      <c r="B307" s="34" t="s">
        <v>146</v>
      </c>
      <c r="C307" s="35" t="s">
        <v>45</v>
      </c>
      <c r="D307" s="34" t="s">
        <v>1631</v>
      </c>
      <c r="E307" s="11" t="s">
        <v>33</v>
      </c>
    </row>
    <row r="308">
      <c r="B308" s="34" t="s">
        <v>1630</v>
      </c>
      <c r="C308" s="35" t="s">
        <v>43</v>
      </c>
      <c r="D308" s="34" t="s">
        <v>1103</v>
      </c>
      <c r="E308" s="11" t="s">
        <v>37</v>
      </c>
    </row>
    <row r="309">
      <c r="B309" s="28" t="s">
        <v>1456</v>
      </c>
      <c r="C309" s="2"/>
      <c r="D309" s="3"/>
      <c r="E309" s="2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34" t="s">
        <v>1634</v>
      </c>
      <c r="C311" s="33" t="s">
        <v>197</v>
      </c>
      <c r="D311" s="34" t="s">
        <v>1635</v>
      </c>
      <c r="E311" s="11" t="s">
        <v>9</v>
      </c>
    </row>
    <row r="312">
      <c r="B312" s="34" t="s">
        <v>1636</v>
      </c>
      <c r="C312" s="33" t="s">
        <v>251</v>
      </c>
      <c r="D312" s="34" t="s">
        <v>1637</v>
      </c>
      <c r="E312" s="11" t="s">
        <v>13</v>
      </c>
    </row>
    <row r="313">
      <c r="B313" s="34" t="s">
        <v>1523</v>
      </c>
      <c r="C313" s="33" t="s">
        <v>362</v>
      </c>
      <c r="D313" s="34" t="s">
        <v>1634</v>
      </c>
      <c r="E313" s="11" t="s">
        <v>9</v>
      </c>
    </row>
    <row r="314">
      <c r="B314" s="34" t="s">
        <v>1636</v>
      </c>
      <c r="C314" s="33" t="s">
        <v>52</v>
      </c>
      <c r="D314" s="34" t="s">
        <v>1635</v>
      </c>
      <c r="E314" s="11" t="s">
        <v>13</v>
      </c>
    </row>
    <row r="315">
      <c r="B315" s="34" t="s">
        <v>1523</v>
      </c>
      <c r="C315" s="33" t="s">
        <v>64</v>
      </c>
      <c r="D315" s="34" t="s">
        <v>1637</v>
      </c>
      <c r="E315" s="11" t="s">
        <v>9</v>
      </c>
    </row>
    <row r="316">
      <c r="B316" s="34" t="s">
        <v>1636</v>
      </c>
      <c r="C316" s="33" t="s">
        <v>190</v>
      </c>
      <c r="D316" s="34" t="s">
        <v>1634</v>
      </c>
      <c r="E316" s="11" t="s">
        <v>13</v>
      </c>
    </row>
    <row r="317">
      <c r="B317" s="34" t="s">
        <v>1523</v>
      </c>
      <c r="C317" s="33" t="s">
        <v>1638</v>
      </c>
      <c r="D317" s="34" t="s">
        <v>1635</v>
      </c>
      <c r="E317" s="11" t="s">
        <v>9</v>
      </c>
    </row>
    <row r="318">
      <c r="B318" s="34" t="s">
        <v>1637</v>
      </c>
      <c r="C318" s="33" t="s">
        <v>488</v>
      </c>
      <c r="D318" s="34" t="s">
        <v>1634</v>
      </c>
      <c r="E318" s="11" t="s">
        <v>13</v>
      </c>
    </row>
    <row r="319">
      <c r="B319" s="34" t="s">
        <v>1523</v>
      </c>
      <c r="C319" s="33" t="s">
        <v>195</v>
      </c>
      <c r="D319" s="34" t="s">
        <v>1636</v>
      </c>
      <c r="E319" s="11" t="s">
        <v>9</v>
      </c>
    </row>
    <row r="320">
      <c r="B320" s="34" t="s">
        <v>1637</v>
      </c>
      <c r="C320" s="33" t="s">
        <v>50</v>
      </c>
      <c r="D320" s="34" t="s">
        <v>1635</v>
      </c>
      <c r="E320" s="11" t="s">
        <v>13</v>
      </c>
    </row>
    <row r="321">
      <c r="B321" s="34" t="s">
        <v>1635</v>
      </c>
      <c r="C321" s="33" t="s">
        <v>886</v>
      </c>
      <c r="D321" s="34" t="s">
        <v>1634</v>
      </c>
      <c r="E321" s="11" t="s">
        <v>9</v>
      </c>
    </row>
    <row r="322">
      <c r="B322" s="34" t="s">
        <v>1637</v>
      </c>
      <c r="C322" s="33" t="s">
        <v>285</v>
      </c>
      <c r="D322" s="34" t="s">
        <v>1636</v>
      </c>
      <c r="E322" s="11" t="s">
        <v>13</v>
      </c>
    </row>
    <row r="323">
      <c r="B323" s="34" t="s">
        <v>1634</v>
      </c>
      <c r="C323" s="35" t="s">
        <v>47</v>
      </c>
      <c r="D323" s="34" t="s">
        <v>1523</v>
      </c>
      <c r="E323" s="11" t="s">
        <v>9</v>
      </c>
    </row>
    <row r="324">
      <c r="B324" s="34" t="s">
        <v>1635</v>
      </c>
      <c r="C324" s="35" t="s">
        <v>64</v>
      </c>
      <c r="D324" s="34" t="s">
        <v>1636</v>
      </c>
      <c r="E324" s="11" t="s">
        <v>13</v>
      </c>
    </row>
    <row r="325">
      <c r="B325" s="34" t="s">
        <v>1637</v>
      </c>
      <c r="C325" s="35" t="s">
        <v>534</v>
      </c>
      <c r="D325" s="34" t="s">
        <v>1523</v>
      </c>
      <c r="E325" s="11" t="s">
        <v>9</v>
      </c>
    </row>
    <row r="326">
      <c r="B326" s="34" t="s">
        <v>1634</v>
      </c>
      <c r="C326" s="35" t="s">
        <v>403</v>
      </c>
      <c r="D326" s="34" t="s">
        <v>1636</v>
      </c>
      <c r="E326" s="11" t="s">
        <v>13</v>
      </c>
    </row>
    <row r="327">
      <c r="B327" s="34" t="s">
        <v>1635</v>
      </c>
      <c r="C327" s="35" t="s">
        <v>41</v>
      </c>
      <c r="D327" s="34" t="s">
        <v>1523</v>
      </c>
      <c r="E327" s="11" t="s">
        <v>9</v>
      </c>
    </row>
    <row r="328">
      <c r="B328" s="34" t="s">
        <v>1634</v>
      </c>
      <c r="C328" s="35" t="s">
        <v>194</v>
      </c>
      <c r="D328" s="34" t="s">
        <v>1637</v>
      </c>
      <c r="E328" s="11" t="s">
        <v>13</v>
      </c>
    </row>
    <row r="329">
      <c r="B329" s="34" t="s">
        <v>1636</v>
      </c>
      <c r="C329" s="35" t="s">
        <v>190</v>
      </c>
      <c r="D329" s="34" t="s">
        <v>1523</v>
      </c>
      <c r="E329" s="11" t="s">
        <v>9</v>
      </c>
    </row>
    <row r="330">
      <c r="B330" s="34" t="s">
        <v>1635</v>
      </c>
      <c r="C330" s="35" t="s">
        <v>43</v>
      </c>
      <c r="D330" s="34" t="s">
        <v>1637</v>
      </c>
      <c r="E330" s="11" t="s">
        <v>13</v>
      </c>
    </row>
    <row r="331">
      <c r="B331" s="28" t="s">
        <v>1463</v>
      </c>
      <c r="C331" s="2"/>
      <c r="D331" s="3"/>
      <c r="E331" s="2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34" t="s">
        <v>371</v>
      </c>
      <c r="C333" s="35" t="s">
        <v>201</v>
      </c>
      <c r="D333" s="34" t="s">
        <v>503</v>
      </c>
      <c r="E333" s="11" t="s">
        <v>33</v>
      </c>
    </row>
    <row r="334">
      <c r="B334" s="34" t="s">
        <v>213</v>
      </c>
      <c r="C334" s="35" t="s">
        <v>48</v>
      </c>
      <c r="D334" s="34" t="s">
        <v>1639</v>
      </c>
      <c r="E334" s="11" t="s">
        <v>37</v>
      </c>
    </row>
    <row r="335">
      <c r="B335" s="34" t="s">
        <v>1192</v>
      </c>
      <c r="C335" s="35" t="s">
        <v>412</v>
      </c>
      <c r="D335" s="34" t="s">
        <v>371</v>
      </c>
      <c r="E335" s="11" t="s">
        <v>33</v>
      </c>
    </row>
    <row r="336">
      <c r="B336" s="34" t="s">
        <v>213</v>
      </c>
      <c r="C336" s="35" t="s">
        <v>35</v>
      </c>
      <c r="D336" s="34" t="s">
        <v>503</v>
      </c>
      <c r="E336" s="11" t="s">
        <v>37</v>
      </c>
    </row>
    <row r="337">
      <c r="B337" s="34" t="s">
        <v>1192</v>
      </c>
      <c r="C337" s="35" t="s">
        <v>572</v>
      </c>
      <c r="D337" s="34" t="s">
        <v>1639</v>
      </c>
      <c r="E337" s="11" t="s">
        <v>33</v>
      </c>
    </row>
    <row r="338">
      <c r="B338" s="34" t="s">
        <v>213</v>
      </c>
      <c r="C338" s="35" t="s">
        <v>22</v>
      </c>
      <c r="D338" s="34" t="s">
        <v>371</v>
      </c>
      <c r="E338" s="11" t="s">
        <v>37</v>
      </c>
    </row>
    <row r="339">
      <c r="B339" s="34" t="s">
        <v>1192</v>
      </c>
      <c r="C339" s="35" t="s">
        <v>78</v>
      </c>
      <c r="D339" s="34" t="s">
        <v>503</v>
      </c>
      <c r="E339" s="11" t="s">
        <v>33</v>
      </c>
    </row>
    <row r="340">
      <c r="B340" s="34" t="s">
        <v>1639</v>
      </c>
      <c r="C340" s="35" t="s">
        <v>217</v>
      </c>
      <c r="D340" s="34" t="s">
        <v>371</v>
      </c>
      <c r="E340" s="11" t="s">
        <v>37</v>
      </c>
    </row>
    <row r="341">
      <c r="B341" s="34" t="s">
        <v>1192</v>
      </c>
      <c r="C341" s="35" t="s">
        <v>11</v>
      </c>
      <c r="D341" s="34" t="s">
        <v>213</v>
      </c>
      <c r="E341" s="11" t="s">
        <v>33</v>
      </c>
    </row>
    <row r="342">
      <c r="B342" s="34" t="s">
        <v>1639</v>
      </c>
      <c r="C342" s="35" t="s">
        <v>81</v>
      </c>
      <c r="D342" s="34" t="s">
        <v>503</v>
      </c>
      <c r="E342" s="11" t="s">
        <v>37</v>
      </c>
    </row>
    <row r="343">
      <c r="B343" s="34" t="s">
        <v>503</v>
      </c>
      <c r="C343" s="35" t="s">
        <v>285</v>
      </c>
      <c r="D343" s="34" t="s">
        <v>371</v>
      </c>
      <c r="E343" s="11" t="s">
        <v>33</v>
      </c>
    </row>
    <row r="344">
      <c r="B344" s="34" t="s">
        <v>1639</v>
      </c>
      <c r="C344" s="35" t="s">
        <v>43</v>
      </c>
      <c r="D344" s="34" t="s">
        <v>213</v>
      </c>
      <c r="E344" s="11" t="s">
        <v>37</v>
      </c>
    </row>
    <row r="345">
      <c r="B345" s="34" t="s">
        <v>371</v>
      </c>
      <c r="C345" s="35" t="s">
        <v>190</v>
      </c>
      <c r="D345" s="34" t="s">
        <v>1192</v>
      </c>
      <c r="E345" s="11" t="s">
        <v>33</v>
      </c>
    </row>
    <row r="346">
      <c r="B346" s="34" t="s">
        <v>503</v>
      </c>
      <c r="C346" s="35" t="s">
        <v>196</v>
      </c>
      <c r="D346" s="34" t="s">
        <v>213</v>
      </c>
      <c r="E346" s="11" t="s">
        <v>37</v>
      </c>
    </row>
    <row r="347">
      <c r="B347" s="34" t="s">
        <v>1639</v>
      </c>
      <c r="C347" s="35" t="s">
        <v>44</v>
      </c>
      <c r="D347" s="34" t="s">
        <v>1192</v>
      </c>
      <c r="E347" s="11" t="s">
        <v>33</v>
      </c>
    </row>
    <row r="348">
      <c r="B348" s="34" t="s">
        <v>371</v>
      </c>
      <c r="C348" s="35" t="s">
        <v>62</v>
      </c>
      <c r="D348" s="34" t="s">
        <v>213</v>
      </c>
      <c r="E348" s="11" t="s">
        <v>37</v>
      </c>
    </row>
    <row r="349">
      <c r="B349" s="34" t="s">
        <v>503</v>
      </c>
      <c r="C349" s="35" t="s">
        <v>62</v>
      </c>
      <c r="D349" s="34" t="s">
        <v>1192</v>
      </c>
      <c r="E349" s="11" t="s">
        <v>33</v>
      </c>
    </row>
    <row r="350">
      <c r="B350" s="34" t="s">
        <v>371</v>
      </c>
      <c r="C350" s="35" t="s">
        <v>426</v>
      </c>
      <c r="D350" s="34" t="s">
        <v>1639</v>
      </c>
      <c r="E350" s="11" t="s">
        <v>37</v>
      </c>
    </row>
    <row r="351">
      <c r="B351" s="34" t="s">
        <v>213</v>
      </c>
      <c r="C351" s="35" t="s">
        <v>260</v>
      </c>
      <c r="D351" s="34" t="s">
        <v>1192</v>
      </c>
      <c r="E351" s="11" t="s">
        <v>33</v>
      </c>
    </row>
    <row r="352">
      <c r="B352" s="34" t="s">
        <v>503</v>
      </c>
      <c r="C352" s="35" t="s">
        <v>62</v>
      </c>
      <c r="D352" s="34" t="s">
        <v>1639</v>
      </c>
      <c r="E352" s="11" t="s">
        <v>37</v>
      </c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9"/>
    <hyperlink r:id="rId89" ref="E101"/>
    <hyperlink r:id="rId90" ref="E103"/>
    <hyperlink r:id="rId91" ref="E105"/>
    <hyperlink r:id="rId92" ref="E107"/>
    <hyperlink r:id="rId93" ref="E109"/>
    <hyperlink r:id="rId94" ref="E113"/>
    <hyperlink r:id="rId95" ref="E115"/>
    <hyperlink r:id="rId96" ref="E117"/>
    <hyperlink r:id="rId97" ref="E119"/>
    <hyperlink r:id="rId98" ref="E121"/>
    <hyperlink r:id="rId99" ref="E123"/>
    <hyperlink r:id="rId100" ref="E125"/>
    <hyperlink r:id="rId101" ref="E127"/>
    <hyperlink r:id="rId102" ref="E129"/>
    <hyperlink r:id="rId103" ref="E131"/>
    <hyperlink r:id="rId104" ref="E132"/>
    <hyperlink r:id="rId105" ref="E135"/>
    <hyperlink r:id="rId106" ref="E136"/>
    <hyperlink r:id="rId107" ref="E137"/>
    <hyperlink r:id="rId108" ref="E138"/>
    <hyperlink r:id="rId109" ref="E139"/>
    <hyperlink r:id="rId110" ref="E140"/>
    <hyperlink r:id="rId111" ref="E141"/>
    <hyperlink r:id="rId112" ref="E142"/>
    <hyperlink r:id="rId113" ref="E143"/>
    <hyperlink r:id="rId114" ref="E144"/>
    <hyperlink r:id="rId115" ref="E145"/>
    <hyperlink r:id="rId116" ref="E146"/>
    <hyperlink r:id="rId117" ref="E147"/>
    <hyperlink r:id="rId118" ref="E148"/>
    <hyperlink r:id="rId119" ref="E149"/>
    <hyperlink r:id="rId120" ref="E150"/>
    <hyperlink r:id="rId121" ref="E151"/>
    <hyperlink r:id="rId122" ref="E152"/>
    <hyperlink r:id="rId123" ref="E153"/>
    <hyperlink r:id="rId124" ref="E154"/>
    <hyperlink r:id="rId125" ref="E157"/>
    <hyperlink r:id="rId126" ref="E158"/>
    <hyperlink r:id="rId127" ref="E159"/>
    <hyperlink r:id="rId128" ref="E160"/>
    <hyperlink r:id="rId129" ref="E161"/>
    <hyperlink r:id="rId130" ref="E162"/>
    <hyperlink r:id="rId131" ref="E163"/>
    <hyperlink r:id="rId132" ref="E164"/>
    <hyperlink r:id="rId133" ref="E165"/>
    <hyperlink r:id="rId134" ref="E166"/>
    <hyperlink r:id="rId135" ref="E167"/>
    <hyperlink r:id="rId136" ref="E168"/>
    <hyperlink r:id="rId137" ref="E169"/>
    <hyperlink r:id="rId138" ref="E170"/>
    <hyperlink r:id="rId139" ref="E171"/>
    <hyperlink r:id="rId140" ref="E172"/>
    <hyperlink r:id="rId141" ref="E173"/>
    <hyperlink r:id="rId142" ref="E174"/>
    <hyperlink r:id="rId143" ref="E175"/>
    <hyperlink r:id="rId144" ref="E176"/>
    <hyperlink r:id="rId145" ref="E179"/>
    <hyperlink r:id="rId146" ref="E180"/>
    <hyperlink r:id="rId147" ref="E181"/>
    <hyperlink r:id="rId148" ref="E182"/>
    <hyperlink r:id="rId149" ref="E183"/>
    <hyperlink r:id="rId150" ref="E184"/>
    <hyperlink r:id="rId151" ref="E185"/>
    <hyperlink r:id="rId152" ref="E186"/>
    <hyperlink r:id="rId153" ref="E187"/>
    <hyperlink r:id="rId154" ref="E188"/>
    <hyperlink r:id="rId155" ref="E189"/>
    <hyperlink r:id="rId156" ref="E190"/>
    <hyperlink r:id="rId157" ref="E191"/>
    <hyperlink r:id="rId158" ref="E192"/>
    <hyperlink r:id="rId159" ref="E193"/>
    <hyperlink r:id="rId160" ref="E194"/>
    <hyperlink r:id="rId161" ref="E195"/>
    <hyperlink r:id="rId162" ref="E196"/>
    <hyperlink r:id="rId163" ref="E197"/>
    <hyperlink r:id="rId164" ref="E198"/>
    <hyperlink r:id="rId165" ref="E201"/>
    <hyperlink r:id="rId166" ref="E202"/>
    <hyperlink r:id="rId167" ref="E203"/>
    <hyperlink r:id="rId168" ref="E204"/>
    <hyperlink r:id="rId169" ref="E205"/>
    <hyperlink r:id="rId170" ref="E206"/>
    <hyperlink r:id="rId171" ref="E207"/>
    <hyperlink r:id="rId172" ref="E208"/>
    <hyperlink r:id="rId173" ref="E209"/>
    <hyperlink r:id="rId174" ref="E210"/>
    <hyperlink r:id="rId175" ref="E211"/>
    <hyperlink r:id="rId176" ref="E212"/>
    <hyperlink r:id="rId177" ref="E213"/>
    <hyperlink r:id="rId178" ref="E214"/>
    <hyperlink r:id="rId179" ref="E215"/>
    <hyperlink r:id="rId180" ref="E216"/>
    <hyperlink r:id="rId181" ref="E217"/>
    <hyperlink r:id="rId182" ref="E218"/>
    <hyperlink r:id="rId183" ref="E219"/>
    <hyperlink r:id="rId184" ref="E220"/>
    <hyperlink r:id="rId185" ref="E223"/>
    <hyperlink r:id="rId186" ref="E224"/>
    <hyperlink r:id="rId187" ref="E225"/>
    <hyperlink r:id="rId188" ref="E226"/>
    <hyperlink r:id="rId189" ref="E227"/>
    <hyperlink r:id="rId190" ref="E228"/>
    <hyperlink r:id="rId191" ref="E229"/>
    <hyperlink r:id="rId192" ref="E230"/>
    <hyperlink r:id="rId193" ref="E231"/>
    <hyperlink r:id="rId194" ref="E232"/>
    <hyperlink r:id="rId195" ref="E233"/>
    <hyperlink r:id="rId196" ref="E234"/>
    <hyperlink r:id="rId197" ref="E235"/>
    <hyperlink r:id="rId198" ref="E236"/>
    <hyperlink r:id="rId199" ref="E237"/>
    <hyperlink r:id="rId200" ref="E238"/>
    <hyperlink r:id="rId201" ref="E239"/>
    <hyperlink r:id="rId202" ref="E240"/>
    <hyperlink r:id="rId203" ref="E241"/>
    <hyperlink r:id="rId204" ref="E242"/>
    <hyperlink r:id="rId205" ref="E245"/>
    <hyperlink r:id="rId206" ref="E246"/>
    <hyperlink r:id="rId207" ref="E247"/>
    <hyperlink r:id="rId208" ref="E248"/>
    <hyperlink r:id="rId209" ref="E249"/>
    <hyperlink r:id="rId210" ref="E250"/>
    <hyperlink r:id="rId211" ref="E251"/>
    <hyperlink r:id="rId212" ref="E252"/>
    <hyperlink r:id="rId213" ref="E253"/>
    <hyperlink r:id="rId214" ref="E254"/>
    <hyperlink r:id="rId215" ref="E255"/>
    <hyperlink r:id="rId216" ref="E256"/>
    <hyperlink r:id="rId217" ref="E257"/>
    <hyperlink r:id="rId218" ref="E258"/>
    <hyperlink r:id="rId219" ref="E259"/>
    <hyperlink r:id="rId220" ref="E260"/>
    <hyperlink r:id="rId221" ref="E261"/>
    <hyperlink r:id="rId222" ref="E262"/>
    <hyperlink r:id="rId223" ref="E263"/>
    <hyperlink r:id="rId224" ref="E264"/>
    <hyperlink r:id="rId225" ref="E267"/>
    <hyperlink r:id="rId226" ref="E268"/>
    <hyperlink r:id="rId227" ref="E269"/>
    <hyperlink r:id="rId228" ref="E270"/>
    <hyperlink r:id="rId229" ref="E271"/>
    <hyperlink r:id="rId230" ref="E272"/>
    <hyperlink r:id="rId231" ref="E273"/>
    <hyperlink r:id="rId232" ref="E274"/>
    <hyperlink r:id="rId233" ref="E275"/>
    <hyperlink r:id="rId234" ref="E276"/>
    <hyperlink r:id="rId235" ref="E277"/>
    <hyperlink r:id="rId236" ref="E278"/>
    <hyperlink r:id="rId237" ref="E279"/>
    <hyperlink r:id="rId238" ref="E280"/>
    <hyperlink r:id="rId239" ref="E281"/>
    <hyperlink r:id="rId240" ref="E282"/>
    <hyperlink r:id="rId241" ref="E283"/>
    <hyperlink r:id="rId242" ref="E284"/>
    <hyperlink r:id="rId243" ref="E285"/>
    <hyperlink r:id="rId244" ref="E286"/>
    <hyperlink r:id="rId245" ref="E289"/>
    <hyperlink r:id="rId246" ref="E290"/>
    <hyperlink r:id="rId247" ref="E291"/>
    <hyperlink r:id="rId248" ref="E292"/>
    <hyperlink r:id="rId249" ref="E293"/>
    <hyperlink r:id="rId250" ref="E294"/>
    <hyperlink r:id="rId251" ref="E295"/>
    <hyperlink r:id="rId252" ref="E296"/>
    <hyperlink r:id="rId253" ref="E297"/>
    <hyperlink r:id="rId254" ref="E298"/>
    <hyperlink r:id="rId255" ref="E299"/>
    <hyperlink r:id="rId256" ref="E300"/>
    <hyperlink r:id="rId257" ref="E301"/>
    <hyperlink r:id="rId258" ref="E302"/>
    <hyperlink r:id="rId259" ref="E303"/>
    <hyperlink r:id="rId260" ref="E304"/>
    <hyperlink r:id="rId261" ref="E305"/>
    <hyperlink r:id="rId262" ref="E306"/>
    <hyperlink r:id="rId263" ref="E307"/>
    <hyperlink r:id="rId264" ref="E308"/>
    <hyperlink r:id="rId265" ref="E311"/>
    <hyperlink r:id="rId266" ref="E312"/>
    <hyperlink r:id="rId267" ref="E313"/>
    <hyperlink r:id="rId268" ref="E314"/>
    <hyperlink r:id="rId269" ref="E315"/>
    <hyperlink r:id="rId270" ref="E316"/>
    <hyperlink r:id="rId271" ref="E317"/>
    <hyperlink r:id="rId272" ref="E318"/>
    <hyperlink r:id="rId273" ref="E319"/>
    <hyperlink r:id="rId274" ref="E320"/>
    <hyperlink r:id="rId275" ref="E321"/>
    <hyperlink r:id="rId276" ref="E322"/>
    <hyperlink r:id="rId277" ref="E323"/>
    <hyperlink r:id="rId278" ref="E324"/>
    <hyperlink r:id="rId279" ref="E325"/>
    <hyperlink r:id="rId280" ref="E326"/>
    <hyperlink r:id="rId281" ref="E327"/>
    <hyperlink r:id="rId282" ref="E328"/>
    <hyperlink r:id="rId283" ref="E329"/>
    <hyperlink r:id="rId284" ref="E330"/>
    <hyperlink r:id="rId285" ref="E333"/>
    <hyperlink r:id="rId286" ref="E334"/>
    <hyperlink r:id="rId287" ref="E335"/>
    <hyperlink r:id="rId288" ref="E336"/>
    <hyperlink r:id="rId289" ref="E337"/>
    <hyperlink r:id="rId290" ref="E338"/>
    <hyperlink r:id="rId291" ref="E339"/>
    <hyperlink r:id="rId292" ref="E340"/>
    <hyperlink r:id="rId293" ref="E341"/>
    <hyperlink r:id="rId294" ref="E342"/>
    <hyperlink r:id="rId295" ref="E343"/>
    <hyperlink r:id="rId296" ref="E344"/>
    <hyperlink r:id="rId297" ref="E345"/>
    <hyperlink r:id="rId298" ref="E346"/>
    <hyperlink r:id="rId299" ref="E347"/>
    <hyperlink r:id="rId300" ref="E348"/>
    <hyperlink r:id="rId301" ref="E349"/>
    <hyperlink r:id="rId302" ref="E350"/>
    <hyperlink r:id="rId303" ref="E351"/>
    <hyperlink r:id="rId304" ref="E352"/>
  </hyperlinks>
  <drawing r:id="rId305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/>
      <c r="B1" s="1" t="s">
        <v>0</v>
      </c>
      <c r="C1" s="2"/>
      <c r="D1" s="3"/>
      <c r="E1" s="29"/>
    </row>
    <row r="2">
      <c r="A2" s="66"/>
      <c r="B2" s="6" t="s">
        <v>2</v>
      </c>
      <c r="C2" s="6" t="s">
        <v>3</v>
      </c>
      <c r="D2" s="6" t="s">
        <v>4</v>
      </c>
      <c r="E2" s="6" t="s">
        <v>5</v>
      </c>
    </row>
    <row r="3">
      <c r="A3" s="66"/>
      <c r="B3" s="32" t="s">
        <v>1640</v>
      </c>
      <c r="C3" s="33" t="s">
        <v>260</v>
      </c>
      <c r="D3" s="34" t="s">
        <v>1641</v>
      </c>
      <c r="E3" s="11" t="s">
        <v>33</v>
      </c>
    </row>
    <row r="4">
      <c r="A4" s="66"/>
      <c r="B4" s="32" t="s">
        <v>1642</v>
      </c>
      <c r="C4" s="33" t="s">
        <v>203</v>
      </c>
      <c r="D4" s="32" t="s">
        <v>1643</v>
      </c>
      <c r="E4" s="11" t="s">
        <v>37</v>
      </c>
    </row>
    <row r="5">
      <c r="A5" s="66"/>
      <c r="B5" s="34" t="s">
        <v>1644</v>
      </c>
      <c r="C5" s="33" t="s">
        <v>240</v>
      </c>
      <c r="D5" s="32" t="s">
        <v>1640</v>
      </c>
      <c r="E5" s="11" t="s">
        <v>33</v>
      </c>
    </row>
    <row r="6">
      <c r="A6" s="66"/>
      <c r="B6" s="32" t="s">
        <v>1642</v>
      </c>
      <c r="C6" s="33" t="s">
        <v>11</v>
      </c>
      <c r="D6" s="34" t="s">
        <v>1641</v>
      </c>
      <c r="E6" s="11" t="s">
        <v>37</v>
      </c>
    </row>
    <row r="7">
      <c r="A7" s="66"/>
      <c r="B7" s="34" t="s">
        <v>1644</v>
      </c>
      <c r="C7" s="33" t="s">
        <v>81</v>
      </c>
      <c r="D7" s="32" t="s">
        <v>1643</v>
      </c>
      <c r="E7" s="11" t="s">
        <v>33</v>
      </c>
    </row>
    <row r="8">
      <c r="A8" s="66"/>
      <c r="B8" s="32" t="s">
        <v>1642</v>
      </c>
      <c r="C8" s="33" t="s">
        <v>218</v>
      </c>
      <c r="D8" s="32" t="s">
        <v>1640</v>
      </c>
      <c r="E8" s="11" t="s">
        <v>37</v>
      </c>
    </row>
    <row r="9">
      <c r="A9" s="66"/>
      <c r="B9" s="34" t="s">
        <v>1644</v>
      </c>
      <c r="C9" s="33" t="s">
        <v>20</v>
      </c>
      <c r="D9" s="34" t="s">
        <v>1641</v>
      </c>
      <c r="E9" s="11" t="s">
        <v>33</v>
      </c>
    </row>
    <row r="10">
      <c r="A10" s="66"/>
      <c r="B10" s="32" t="s">
        <v>1643</v>
      </c>
      <c r="C10" s="33" t="s">
        <v>43</v>
      </c>
      <c r="D10" s="32" t="s">
        <v>1640</v>
      </c>
      <c r="E10" s="11" t="s">
        <v>37</v>
      </c>
    </row>
    <row r="11">
      <c r="A11" s="66"/>
      <c r="B11" s="34" t="s">
        <v>1644</v>
      </c>
      <c r="C11" s="33" t="s">
        <v>414</v>
      </c>
      <c r="D11" s="32" t="s">
        <v>1642</v>
      </c>
      <c r="E11" s="11" t="s">
        <v>33</v>
      </c>
    </row>
    <row r="12">
      <c r="A12" s="66"/>
      <c r="B12" s="32" t="s">
        <v>1643</v>
      </c>
      <c r="C12" s="33" t="s">
        <v>78</v>
      </c>
      <c r="D12" s="34" t="s">
        <v>1641</v>
      </c>
      <c r="E12" s="11" t="s">
        <v>37</v>
      </c>
    </row>
    <row r="13">
      <c r="A13" s="66"/>
      <c r="B13" s="34" t="s">
        <v>1641</v>
      </c>
      <c r="C13" s="33" t="s">
        <v>218</v>
      </c>
      <c r="D13" s="32" t="s">
        <v>1640</v>
      </c>
      <c r="E13" s="11" t="s">
        <v>33</v>
      </c>
    </row>
    <row r="14">
      <c r="A14" s="66"/>
      <c r="B14" s="32" t="s">
        <v>1643</v>
      </c>
      <c r="C14" s="33" t="s">
        <v>212</v>
      </c>
      <c r="D14" s="32" t="s">
        <v>1642</v>
      </c>
      <c r="E14" s="11" t="s">
        <v>37</v>
      </c>
    </row>
    <row r="15">
      <c r="A15" s="66"/>
      <c r="B15" s="32" t="s">
        <v>1640</v>
      </c>
      <c r="C15" s="35" t="s">
        <v>20</v>
      </c>
      <c r="D15" s="34" t="s">
        <v>1644</v>
      </c>
      <c r="E15" s="11" t="s">
        <v>33</v>
      </c>
    </row>
    <row r="16">
      <c r="A16" s="66"/>
      <c r="B16" s="34" t="s">
        <v>1641</v>
      </c>
      <c r="C16" s="35" t="s">
        <v>239</v>
      </c>
      <c r="D16" s="32" t="s">
        <v>1642</v>
      </c>
      <c r="E16" s="11" t="s">
        <v>37</v>
      </c>
    </row>
    <row r="17">
      <c r="A17" s="66"/>
      <c r="B17" s="32" t="s">
        <v>1643</v>
      </c>
      <c r="C17" s="35" t="s">
        <v>212</v>
      </c>
      <c r="D17" s="34" t="s">
        <v>1644</v>
      </c>
      <c r="E17" s="11" t="s">
        <v>33</v>
      </c>
    </row>
    <row r="18">
      <c r="A18" s="66"/>
      <c r="B18" s="32" t="s">
        <v>1640</v>
      </c>
      <c r="C18" s="35" t="s">
        <v>187</v>
      </c>
      <c r="D18" s="32" t="s">
        <v>1642</v>
      </c>
      <c r="E18" s="11" t="s">
        <v>37</v>
      </c>
    </row>
    <row r="19">
      <c r="A19" s="66"/>
      <c r="B19" s="34" t="s">
        <v>1641</v>
      </c>
      <c r="C19" s="35" t="s">
        <v>544</v>
      </c>
      <c r="D19" s="34" t="s">
        <v>1644</v>
      </c>
      <c r="E19" s="11" t="s">
        <v>33</v>
      </c>
    </row>
    <row r="20">
      <c r="A20" s="66"/>
      <c r="B20" s="32" t="s">
        <v>1640</v>
      </c>
      <c r="C20" s="35" t="s">
        <v>66</v>
      </c>
      <c r="D20" s="32" t="s">
        <v>1643</v>
      </c>
      <c r="E20" s="11" t="s">
        <v>37</v>
      </c>
      <c r="I20" s="36"/>
    </row>
    <row r="21">
      <c r="A21" s="66"/>
      <c r="B21" s="32" t="s">
        <v>1642</v>
      </c>
      <c r="C21" s="35" t="s">
        <v>536</v>
      </c>
      <c r="D21" s="34" t="s">
        <v>1644</v>
      </c>
      <c r="E21" s="49" t="s">
        <v>33</v>
      </c>
    </row>
    <row r="22">
      <c r="A22" s="66"/>
      <c r="B22" s="34" t="s">
        <v>1641</v>
      </c>
      <c r="C22" s="33" t="s">
        <v>22</v>
      </c>
      <c r="D22" s="32" t="s">
        <v>1643</v>
      </c>
      <c r="E22" s="11" t="s">
        <v>37</v>
      </c>
    </row>
    <row r="23">
      <c r="A23" s="66"/>
      <c r="B23" s="1" t="s">
        <v>1321</v>
      </c>
      <c r="C23" s="2"/>
      <c r="D23" s="3"/>
      <c r="E23" s="48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1254</v>
      </c>
      <c r="C25" s="33" t="s">
        <v>31</v>
      </c>
      <c r="D25" s="32" t="s">
        <v>1645</v>
      </c>
      <c r="E25" s="11" t="s">
        <v>9</v>
      </c>
    </row>
    <row r="26">
      <c r="A26" s="66"/>
      <c r="B26" s="32" t="s">
        <v>1646</v>
      </c>
      <c r="C26" s="33" t="s">
        <v>26</v>
      </c>
      <c r="D26" s="32" t="s">
        <v>1647</v>
      </c>
      <c r="E26" s="11" t="s">
        <v>13</v>
      </c>
    </row>
    <row r="27">
      <c r="A27" s="66"/>
      <c r="B27" s="34" t="s">
        <v>1648</v>
      </c>
      <c r="C27" s="33" t="s">
        <v>196</v>
      </c>
      <c r="D27" s="34" t="s">
        <v>1254</v>
      </c>
      <c r="E27" s="11" t="s">
        <v>9</v>
      </c>
    </row>
    <row r="28">
      <c r="A28" s="66"/>
      <c r="B28" s="32" t="s">
        <v>1646</v>
      </c>
      <c r="C28" s="33" t="s">
        <v>212</v>
      </c>
      <c r="D28" s="32" t="s">
        <v>1645</v>
      </c>
      <c r="E28" s="11" t="s">
        <v>13</v>
      </c>
    </row>
    <row r="29">
      <c r="A29" s="66"/>
      <c r="B29" s="34" t="s">
        <v>1648</v>
      </c>
      <c r="C29" s="33" t="s">
        <v>295</v>
      </c>
      <c r="D29" s="32" t="s">
        <v>1647</v>
      </c>
      <c r="E29" s="11" t="s">
        <v>9</v>
      </c>
    </row>
    <row r="30">
      <c r="A30" s="66"/>
      <c r="B30" s="32" t="s">
        <v>1646</v>
      </c>
      <c r="C30" s="33" t="s">
        <v>251</v>
      </c>
      <c r="D30" s="34" t="s">
        <v>1254</v>
      </c>
      <c r="E30" s="11" t="s">
        <v>13</v>
      </c>
    </row>
    <row r="31">
      <c r="A31" s="66"/>
      <c r="B31" s="34" t="s">
        <v>1648</v>
      </c>
      <c r="C31" s="33" t="s">
        <v>570</v>
      </c>
      <c r="D31" s="32" t="s">
        <v>1645</v>
      </c>
      <c r="E31" s="11" t="s">
        <v>9</v>
      </c>
    </row>
    <row r="32">
      <c r="A32" s="66"/>
      <c r="B32" s="32" t="s">
        <v>1647</v>
      </c>
      <c r="C32" s="33" t="s">
        <v>354</v>
      </c>
      <c r="D32" s="34" t="s">
        <v>1254</v>
      </c>
      <c r="E32" s="11" t="s">
        <v>13</v>
      </c>
    </row>
    <row r="33">
      <c r="A33" s="66"/>
      <c r="B33" s="34" t="s">
        <v>1648</v>
      </c>
      <c r="C33" s="33" t="s">
        <v>25</v>
      </c>
      <c r="D33" s="32" t="s">
        <v>1646</v>
      </c>
      <c r="E33" s="11" t="s">
        <v>9</v>
      </c>
    </row>
    <row r="34">
      <c r="A34" s="66"/>
      <c r="B34" s="32" t="s">
        <v>1647</v>
      </c>
      <c r="C34" s="33" t="s">
        <v>45</v>
      </c>
      <c r="D34" s="32" t="s">
        <v>1645</v>
      </c>
      <c r="E34" s="11" t="s">
        <v>13</v>
      </c>
    </row>
    <row r="35">
      <c r="A35" s="66"/>
      <c r="B35" s="32" t="s">
        <v>1645</v>
      </c>
      <c r="C35" s="33" t="s">
        <v>494</v>
      </c>
      <c r="D35" s="34" t="s">
        <v>1254</v>
      </c>
      <c r="E35" s="11" t="s">
        <v>9</v>
      </c>
    </row>
    <row r="36">
      <c r="A36" s="66"/>
      <c r="B36" s="32" t="s">
        <v>1647</v>
      </c>
      <c r="C36" s="33" t="s">
        <v>218</v>
      </c>
      <c r="D36" s="32" t="s">
        <v>1646</v>
      </c>
      <c r="E36" s="11" t="s">
        <v>13</v>
      </c>
    </row>
    <row r="37">
      <c r="A37" s="66"/>
      <c r="B37" s="34" t="s">
        <v>1254</v>
      </c>
      <c r="C37" s="35" t="s">
        <v>58</v>
      </c>
      <c r="D37" s="34" t="s">
        <v>1648</v>
      </c>
      <c r="E37" s="11" t="s">
        <v>9</v>
      </c>
    </row>
    <row r="38">
      <c r="A38" s="66"/>
      <c r="B38" s="32" t="s">
        <v>1645</v>
      </c>
      <c r="C38" s="35" t="s">
        <v>195</v>
      </c>
      <c r="D38" s="32" t="s">
        <v>1646</v>
      </c>
      <c r="E38" s="11" t="s">
        <v>13</v>
      </c>
    </row>
    <row r="39">
      <c r="A39" s="66"/>
      <c r="B39" s="32" t="s">
        <v>1647</v>
      </c>
      <c r="C39" s="35" t="s">
        <v>25</v>
      </c>
      <c r="D39" s="34" t="s">
        <v>1648</v>
      </c>
      <c r="E39" s="11" t="s">
        <v>9</v>
      </c>
    </row>
    <row r="40">
      <c r="A40" s="66"/>
      <c r="B40" s="34" t="s">
        <v>1254</v>
      </c>
      <c r="C40" s="35" t="s">
        <v>389</v>
      </c>
      <c r="D40" s="32" t="s">
        <v>1646</v>
      </c>
      <c r="E40" s="11" t="s">
        <v>13</v>
      </c>
    </row>
    <row r="41">
      <c r="A41" s="66"/>
      <c r="B41" s="32" t="s">
        <v>1645</v>
      </c>
      <c r="C41" s="35" t="s">
        <v>769</v>
      </c>
      <c r="D41" s="34" t="s">
        <v>1648</v>
      </c>
      <c r="E41" s="11" t="s">
        <v>9</v>
      </c>
    </row>
    <row r="42">
      <c r="A42" s="66"/>
      <c r="B42" s="34" t="s">
        <v>1254</v>
      </c>
      <c r="C42" s="35" t="s">
        <v>494</v>
      </c>
      <c r="D42" s="32" t="s">
        <v>1647</v>
      </c>
      <c r="E42" s="11" t="s">
        <v>13</v>
      </c>
    </row>
    <row r="43">
      <c r="A43" s="66"/>
      <c r="B43" s="32" t="s">
        <v>1646</v>
      </c>
      <c r="C43" s="35" t="s">
        <v>7</v>
      </c>
      <c r="D43" s="34" t="s">
        <v>1648</v>
      </c>
      <c r="E43" s="11" t="s">
        <v>9</v>
      </c>
    </row>
    <row r="44">
      <c r="A44" s="67"/>
      <c r="B44" s="32" t="s">
        <v>1645</v>
      </c>
      <c r="C44" s="35" t="s">
        <v>239</v>
      </c>
      <c r="D44" s="32" t="s">
        <v>1647</v>
      </c>
      <c r="E44" s="11" t="s">
        <v>13</v>
      </c>
    </row>
    <row r="45">
      <c r="B45" s="1" t="s">
        <v>1327</v>
      </c>
      <c r="C45" s="2"/>
      <c r="D45" s="3"/>
      <c r="E45" s="14"/>
    </row>
    <row r="46">
      <c r="B46" s="16" t="s">
        <v>2</v>
      </c>
      <c r="C46" s="16" t="s">
        <v>3</v>
      </c>
      <c r="D46" s="16" t="s">
        <v>4</v>
      </c>
      <c r="E46" s="16" t="s">
        <v>5</v>
      </c>
    </row>
    <row r="47">
      <c r="B47" s="32" t="s">
        <v>1649</v>
      </c>
      <c r="C47" s="33" t="s">
        <v>31</v>
      </c>
      <c r="D47" s="32" t="s">
        <v>1650</v>
      </c>
      <c r="E47" s="11" t="s">
        <v>33</v>
      </c>
    </row>
    <row r="48">
      <c r="B48" s="32" t="s">
        <v>1651</v>
      </c>
      <c r="C48" s="33" t="s">
        <v>25</v>
      </c>
      <c r="D48" s="32" t="s">
        <v>1652</v>
      </c>
      <c r="E48" s="11" t="s">
        <v>37</v>
      </c>
    </row>
    <row r="49">
      <c r="B49" s="32" t="s">
        <v>1653</v>
      </c>
      <c r="C49" s="33" t="s">
        <v>201</v>
      </c>
      <c r="D49" s="32" t="s">
        <v>1649</v>
      </c>
      <c r="E49" s="11" t="s">
        <v>33</v>
      </c>
    </row>
    <row r="50">
      <c r="B50" s="32" t="s">
        <v>1651</v>
      </c>
      <c r="C50" s="33" t="s">
        <v>62</v>
      </c>
      <c r="D50" s="32" t="s">
        <v>1650</v>
      </c>
      <c r="E50" s="11" t="s">
        <v>37</v>
      </c>
    </row>
    <row r="51">
      <c r="B51" s="32" t="s">
        <v>1653</v>
      </c>
      <c r="C51" s="33" t="s">
        <v>49</v>
      </c>
      <c r="D51" s="32" t="s">
        <v>1652</v>
      </c>
      <c r="E51" s="11" t="s">
        <v>33</v>
      </c>
      <c r="I51" s="36"/>
    </row>
    <row r="52">
      <c r="B52" s="32" t="s">
        <v>1651</v>
      </c>
      <c r="C52" s="33" t="s">
        <v>466</v>
      </c>
      <c r="D52" s="32" t="s">
        <v>1649</v>
      </c>
      <c r="E52" s="11" t="s">
        <v>37</v>
      </c>
    </row>
    <row r="53">
      <c r="B53" s="32" t="s">
        <v>1653</v>
      </c>
      <c r="C53" s="33" t="s">
        <v>218</v>
      </c>
      <c r="D53" s="32" t="s">
        <v>1650</v>
      </c>
      <c r="E53" s="11" t="s">
        <v>33</v>
      </c>
    </row>
    <row r="54">
      <c r="B54" s="32" t="s">
        <v>1652</v>
      </c>
      <c r="C54" s="33" t="s">
        <v>426</v>
      </c>
      <c r="D54" s="32" t="s">
        <v>1649</v>
      </c>
      <c r="E54" s="11" t="s">
        <v>37</v>
      </c>
    </row>
    <row r="55">
      <c r="B55" s="32" t="s">
        <v>1653</v>
      </c>
      <c r="C55" s="33" t="s">
        <v>17</v>
      </c>
      <c r="D55" s="32" t="s">
        <v>1651</v>
      </c>
      <c r="E55" s="11" t="s">
        <v>33</v>
      </c>
    </row>
    <row r="56">
      <c r="B56" s="32" t="s">
        <v>1652</v>
      </c>
      <c r="C56" s="33" t="s">
        <v>22</v>
      </c>
      <c r="D56" s="32" t="s">
        <v>1650</v>
      </c>
      <c r="E56" s="11" t="s">
        <v>37</v>
      </c>
    </row>
    <row r="57">
      <c r="B57" s="32" t="s">
        <v>1650</v>
      </c>
      <c r="C57" s="33" t="s">
        <v>68</v>
      </c>
      <c r="D57" s="32" t="s">
        <v>1649</v>
      </c>
      <c r="E57" s="11" t="s">
        <v>33</v>
      </c>
    </row>
    <row r="58">
      <c r="B58" s="32" t="s">
        <v>1652</v>
      </c>
      <c r="C58" s="33" t="s">
        <v>81</v>
      </c>
      <c r="D58" s="32" t="s">
        <v>1651</v>
      </c>
      <c r="E58" s="11" t="s">
        <v>37</v>
      </c>
    </row>
    <row r="59">
      <c r="B59" s="32" t="s">
        <v>1649</v>
      </c>
      <c r="C59" s="35" t="s">
        <v>45</v>
      </c>
      <c r="D59" s="32" t="s">
        <v>1653</v>
      </c>
      <c r="E59" s="11" t="s">
        <v>33</v>
      </c>
    </row>
    <row r="60">
      <c r="B60" s="32" t="s">
        <v>1650</v>
      </c>
      <c r="C60" s="35" t="s">
        <v>69</v>
      </c>
      <c r="D60" s="32" t="s">
        <v>1651</v>
      </c>
      <c r="E60" s="11" t="s">
        <v>37</v>
      </c>
    </row>
    <row r="61">
      <c r="B61" s="32" t="s">
        <v>1652</v>
      </c>
      <c r="C61" s="35" t="s">
        <v>83</v>
      </c>
      <c r="D61" s="32" t="s">
        <v>1653</v>
      </c>
      <c r="E61" s="11" t="s">
        <v>33</v>
      </c>
    </row>
    <row r="62">
      <c r="B62" s="32" t="s">
        <v>1649</v>
      </c>
      <c r="C62" s="35" t="s">
        <v>370</v>
      </c>
      <c r="D62" s="32" t="s">
        <v>1651</v>
      </c>
      <c r="E62" s="11" t="s">
        <v>37</v>
      </c>
    </row>
    <row r="63">
      <c r="B63" s="32" t="s">
        <v>1650</v>
      </c>
      <c r="C63" s="35" t="s">
        <v>68</v>
      </c>
      <c r="D63" s="32" t="s">
        <v>1653</v>
      </c>
      <c r="E63" s="11" t="s">
        <v>33</v>
      </c>
    </row>
    <row r="64">
      <c r="B64" s="32" t="s">
        <v>1649</v>
      </c>
      <c r="C64" s="35" t="s">
        <v>260</v>
      </c>
      <c r="D64" s="32" t="s">
        <v>1652</v>
      </c>
      <c r="E64" s="11" t="s">
        <v>37</v>
      </c>
    </row>
    <row r="65">
      <c r="B65" s="32" t="s">
        <v>1651</v>
      </c>
      <c r="C65" s="35" t="s">
        <v>195</v>
      </c>
      <c r="D65" s="32" t="s">
        <v>1653</v>
      </c>
      <c r="E65" s="11" t="s">
        <v>33</v>
      </c>
    </row>
    <row r="66">
      <c r="B66" s="32" t="s">
        <v>1650</v>
      </c>
      <c r="C66" s="35" t="s">
        <v>196</v>
      </c>
      <c r="D66" s="32" t="s">
        <v>1652</v>
      </c>
      <c r="E66" s="11" t="s">
        <v>37</v>
      </c>
    </row>
    <row r="67">
      <c r="B67" s="1" t="s">
        <v>1331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16" t="s">
        <v>5</v>
      </c>
    </row>
    <row r="69">
      <c r="B69" s="32" t="s">
        <v>1654</v>
      </c>
      <c r="C69" s="33" t="s">
        <v>251</v>
      </c>
      <c r="D69" s="32" t="s">
        <v>1655</v>
      </c>
      <c r="E69" s="11" t="s">
        <v>9</v>
      </c>
    </row>
    <row r="70">
      <c r="B70" s="32" t="s">
        <v>1656</v>
      </c>
      <c r="C70" s="33" t="s">
        <v>43</v>
      </c>
      <c r="D70" s="32" t="s">
        <v>1657</v>
      </c>
      <c r="E70" s="11" t="s">
        <v>13</v>
      </c>
    </row>
    <row r="71">
      <c r="B71" s="32" t="s">
        <v>1658</v>
      </c>
      <c r="C71" s="33" t="s">
        <v>579</v>
      </c>
      <c r="D71" s="32" t="s">
        <v>1654</v>
      </c>
      <c r="E71" s="11" t="s">
        <v>9</v>
      </c>
    </row>
    <row r="72">
      <c r="B72" s="32" t="s">
        <v>1656</v>
      </c>
      <c r="C72" s="33" t="s">
        <v>43</v>
      </c>
      <c r="D72" s="32" t="s">
        <v>1655</v>
      </c>
      <c r="E72" s="11" t="s">
        <v>13</v>
      </c>
    </row>
    <row r="73">
      <c r="B73" s="32" t="s">
        <v>1658</v>
      </c>
      <c r="C73" s="33" t="s">
        <v>24</v>
      </c>
      <c r="D73" s="32" t="s">
        <v>1657</v>
      </c>
      <c r="E73" s="11" t="s">
        <v>9</v>
      </c>
    </row>
    <row r="74">
      <c r="B74" s="32" t="s">
        <v>1656</v>
      </c>
      <c r="C74" s="33" t="s">
        <v>68</v>
      </c>
      <c r="D74" s="32" t="s">
        <v>1654</v>
      </c>
      <c r="E74" s="11" t="s">
        <v>13</v>
      </c>
    </row>
    <row r="75">
      <c r="B75" s="32" t="s">
        <v>1658</v>
      </c>
      <c r="C75" s="33" t="s">
        <v>405</v>
      </c>
      <c r="D75" s="32" t="s">
        <v>1655</v>
      </c>
      <c r="E75" s="11" t="s">
        <v>9</v>
      </c>
    </row>
    <row r="76">
      <c r="B76" s="32" t="s">
        <v>1657</v>
      </c>
      <c r="C76" s="33" t="s">
        <v>239</v>
      </c>
      <c r="D76" s="32" t="s">
        <v>1654</v>
      </c>
      <c r="E76" s="11" t="s">
        <v>13</v>
      </c>
    </row>
    <row r="77">
      <c r="B77" s="32" t="s">
        <v>1658</v>
      </c>
      <c r="C77" s="33" t="s">
        <v>291</v>
      </c>
      <c r="D77" s="32" t="s">
        <v>1656</v>
      </c>
      <c r="E77" s="11" t="s">
        <v>9</v>
      </c>
    </row>
    <row r="78">
      <c r="B78" s="32" t="s">
        <v>1657</v>
      </c>
      <c r="C78" s="33" t="s">
        <v>286</v>
      </c>
      <c r="D78" s="32" t="s">
        <v>1655</v>
      </c>
      <c r="E78" s="11" t="s">
        <v>13</v>
      </c>
    </row>
    <row r="79">
      <c r="B79" s="32" t="s">
        <v>1655</v>
      </c>
      <c r="C79" s="33" t="s">
        <v>201</v>
      </c>
      <c r="D79" s="32" t="s">
        <v>1654</v>
      </c>
      <c r="E79" s="11" t="s">
        <v>9</v>
      </c>
    </row>
    <row r="80">
      <c r="B80" s="32" t="s">
        <v>1657</v>
      </c>
      <c r="C80" s="33" t="s">
        <v>282</v>
      </c>
      <c r="D80" s="32" t="s">
        <v>1656</v>
      </c>
      <c r="E80" s="11" t="s">
        <v>13</v>
      </c>
    </row>
    <row r="81">
      <c r="B81" s="32" t="s">
        <v>1654</v>
      </c>
      <c r="C81" s="35" t="s">
        <v>481</v>
      </c>
      <c r="D81" s="32" t="s">
        <v>1658</v>
      </c>
      <c r="E81" s="11" t="s">
        <v>9</v>
      </c>
    </row>
    <row r="82">
      <c r="B82" s="32" t="s">
        <v>1655</v>
      </c>
      <c r="C82" s="35" t="s">
        <v>19</v>
      </c>
      <c r="D82" s="32" t="s">
        <v>1656</v>
      </c>
      <c r="E82" s="11" t="s">
        <v>13</v>
      </c>
    </row>
    <row r="83">
      <c r="B83" s="32" t="s">
        <v>1657</v>
      </c>
      <c r="C83" s="35" t="s">
        <v>17</v>
      </c>
      <c r="D83" s="32" t="s">
        <v>1658</v>
      </c>
      <c r="E83" s="11" t="s">
        <v>9</v>
      </c>
    </row>
    <row r="84">
      <c r="B84" s="32" t="s">
        <v>1654</v>
      </c>
      <c r="C84" s="35" t="s">
        <v>536</v>
      </c>
      <c r="D84" s="32" t="s">
        <v>1656</v>
      </c>
      <c r="E84" s="11" t="s">
        <v>13</v>
      </c>
    </row>
    <row r="85">
      <c r="B85" s="32" t="s">
        <v>1655</v>
      </c>
      <c r="C85" s="35" t="s">
        <v>71</v>
      </c>
      <c r="D85" s="32" t="s">
        <v>1658</v>
      </c>
      <c r="E85" s="11" t="s">
        <v>9</v>
      </c>
    </row>
    <row r="86">
      <c r="B86" s="32" t="s">
        <v>1654</v>
      </c>
      <c r="C86" s="35" t="s">
        <v>412</v>
      </c>
      <c r="D86" s="32" t="s">
        <v>1657</v>
      </c>
      <c r="E86" s="11" t="s">
        <v>13</v>
      </c>
    </row>
    <row r="87">
      <c r="B87" s="32" t="s">
        <v>1656</v>
      </c>
      <c r="C87" s="35" t="s">
        <v>220</v>
      </c>
      <c r="D87" s="32" t="s">
        <v>1658</v>
      </c>
      <c r="E87" s="11" t="s">
        <v>9</v>
      </c>
    </row>
    <row r="88">
      <c r="B88" s="32" t="s">
        <v>1655</v>
      </c>
      <c r="C88" s="35" t="s">
        <v>22</v>
      </c>
      <c r="D88" s="32" t="s">
        <v>1657</v>
      </c>
      <c r="E88" s="11" t="s">
        <v>13</v>
      </c>
    </row>
    <row r="89">
      <c r="B89" s="1" t="s">
        <v>1659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16" t="s">
        <v>5</v>
      </c>
    </row>
    <row r="91">
      <c r="B91" s="32" t="s">
        <v>1660</v>
      </c>
      <c r="C91" s="35" t="s">
        <v>289</v>
      </c>
      <c r="D91" s="32" t="s">
        <v>1661</v>
      </c>
      <c r="E91" s="11" t="s">
        <v>9</v>
      </c>
    </row>
    <row r="92">
      <c r="B92" s="32" t="s">
        <v>1662</v>
      </c>
      <c r="C92" s="35" t="s">
        <v>195</v>
      </c>
      <c r="D92" s="32" t="s">
        <v>1663</v>
      </c>
      <c r="E92" s="11" t="s">
        <v>13</v>
      </c>
    </row>
    <row r="93">
      <c r="B93" s="32" t="s">
        <v>591</v>
      </c>
      <c r="C93" s="35" t="s">
        <v>62</v>
      </c>
      <c r="D93" s="32" t="s">
        <v>1660</v>
      </c>
      <c r="E93" s="11" t="s">
        <v>9</v>
      </c>
    </row>
    <row r="94">
      <c r="B94" s="32" t="s">
        <v>1662</v>
      </c>
      <c r="C94" s="35" t="s">
        <v>68</v>
      </c>
      <c r="D94" s="32" t="s">
        <v>1661</v>
      </c>
      <c r="E94" s="11" t="s">
        <v>13</v>
      </c>
    </row>
    <row r="95">
      <c r="B95" s="32" t="s">
        <v>591</v>
      </c>
      <c r="C95" s="35" t="s">
        <v>78</v>
      </c>
      <c r="D95" s="32" t="s">
        <v>1663</v>
      </c>
      <c r="E95" s="11" t="s">
        <v>9</v>
      </c>
    </row>
    <row r="96">
      <c r="B96" s="32" t="s">
        <v>1662</v>
      </c>
      <c r="C96" s="35" t="s">
        <v>317</v>
      </c>
      <c r="D96" s="32" t="s">
        <v>1660</v>
      </c>
      <c r="E96" s="11" t="s">
        <v>13</v>
      </c>
    </row>
    <row r="97">
      <c r="B97" s="32" t="s">
        <v>591</v>
      </c>
      <c r="C97" s="35" t="s">
        <v>270</v>
      </c>
      <c r="D97" s="32" t="s">
        <v>1661</v>
      </c>
      <c r="E97" s="11" t="s">
        <v>9</v>
      </c>
    </row>
    <row r="98">
      <c r="B98" s="32" t="s">
        <v>1663</v>
      </c>
      <c r="C98" s="35" t="s">
        <v>190</v>
      </c>
      <c r="D98" s="32" t="s">
        <v>1660</v>
      </c>
      <c r="E98" s="11" t="s">
        <v>13</v>
      </c>
    </row>
    <row r="99">
      <c r="B99" s="32" t="s">
        <v>591</v>
      </c>
      <c r="C99" s="35" t="s">
        <v>11</v>
      </c>
      <c r="D99" s="32" t="s">
        <v>1662</v>
      </c>
      <c r="E99" s="11" t="s">
        <v>9</v>
      </c>
    </row>
    <row r="100">
      <c r="B100" s="32" t="s">
        <v>1663</v>
      </c>
      <c r="C100" s="35" t="s">
        <v>16</v>
      </c>
      <c r="D100" s="32" t="s">
        <v>1661</v>
      </c>
      <c r="E100" s="11" t="s">
        <v>13</v>
      </c>
    </row>
    <row r="101">
      <c r="B101" s="32" t="s">
        <v>1661</v>
      </c>
      <c r="C101" s="35" t="s">
        <v>45</v>
      </c>
      <c r="D101" s="32" t="s">
        <v>1660</v>
      </c>
      <c r="E101" s="11" t="s">
        <v>9</v>
      </c>
    </row>
    <row r="102">
      <c r="B102" s="32" t="s">
        <v>1663</v>
      </c>
      <c r="C102" s="35" t="s">
        <v>239</v>
      </c>
      <c r="D102" s="32" t="s">
        <v>1662</v>
      </c>
      <c r="E102" s="11" t="s">
        <v>13</v>
      </c>
    </row>
    <row r="103">
      <c r="B103" s="32" t="s">
        <v>1660</v>
      </c>
      <c r="C103" s="35" t="s">
        <v>337</v>
      </c>
      <c r="D103" s="32" t="s">
        <v>591</v>
      </c>
      <c r="E103" s="11" t="s">
        <v>9</v>
      </c>
    </row>
    <row r="104">
      <c r="B104" s="32" t="s">
        <v>1661</v>
      </c>
      <c r="C104" s="35" t="s">
        <v>22</v>
      </c>
      <c r="D104" s="32" t="s">
        <v>1662</v>
      </c>
      <c r="E104" s="11" t="s">
        <v>13</v>
      </c>
    </row>
    <row r="105">
      <c r="B105" s="32" t="s">
        <v>1663</v>
      </c>
      <c r="C105" s="35" t="s">
        <v>190</v>
      </c>
      <c r="D105" s="32" t="s">
        <v>591</v>
      </c>
      <c r="E105" s="11" t="s">
        <v>9</v>
      </c>
    </row>
    <row r="106">
      <c r="B106" s="32" t="s">
        <v>1660</v>
      </c>
      <c r="C106" s="35" t="s">
        <v>259</v>
      </c>
      <c r="D106" s="32" t="s">
        <v>1662</v>
      </c>
      <c r="E106" s="11" t="s">
        <v>13</v>
      </c>
    </row>
    <row r="107">
      <c r="B107" s="32" t="s">
        <v>1661</v>
      </c>
      <c r="C107" s="35" t="s">
        <v>68</v>
      </c>
      <c r="D107" s="32" t="s">
        <v>591</v>
      </c>
      <c r="E107" s="11" t="s">
        <v>9</v>
      </c>
    </row>
    <row r="108">
      <c r="B108" s="32" t="s">
        <v>1660</v>
      </c>
      <c r="C108" s="35" t="s">
        <v>215</v>
      </c>
      <c r="D108" s="32" t="s">
        <v>1663</v>
      </c>
      <c r="E108" s="11" t="s">
        <v>13</v>
      </c>
    </row>
    <row r="109">
      <c r="B109" s="32" t="s">
        <v>1662</v>
      </c>
      <c r="C109" s="35" t="s">
        <v>17</v>
      </c>
      <c r="D109" s="32" t="s">
        <v>591</v>
      </c>
      <c r="E109" s="11" t="s">
        <v>9</v>
      </c>
    </row>
    <row r="110">
      <c r="B110" s="32" t="s">
        <v>1661</v>
      </c>
      <c r="C110" s="35" t="s">
        <v>239</v>
      </c>
      <c r="D110" s="32" t="s">
        <v>1663</v>
      </c>
      <c r="E110" s="11" t="s">
        <v>13</v>
      </c>
    </row>
    <row r="111">
      <c r="B111" s="1" t="s">
        <v>1664</v>
      </c>
      <c r="C111" s="2"/>
      <c r="D111" s="3"/>
      <c r="E111" s="4"/>
    </row>
    <row r="112"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B113" s="32" t="s">
        <v>1665</v>
      </c>
      <c r="C113" s="33" t="s">
        <v>68</v>
      </c>
      <c r="D113" s="32" t="s">
        <v>1666</v>
      </c>
      <c r="E113" s="11" t="s">
        <v>9</v>
      </c>
    </row>
    <row r="114">
      <c r="B114" s="32" t="s">
        <v>1667</v>
      </c>
      <c r="C114" s="33" t="s">
        <v>31</v>
      </c>
      <c r="D114" s="32" t="s">
        <v>1668</v>
      </c>
      <c r="E114" s="11" t="s">
        <v>13</v>
      </c>
    </row>
    <row r="115">
      <c r="B115" s="32" t="s">
        <v>1669</v>
      </c>
      <c r="C115" s="33" t="s">
        <v>68</v>
      </c>
      <c r="D115" s="32" t="s">
        <v>1665</v>
      </c>
      <c r="E115" s="11" t="s">
        <v>9</v>
      </c>
    </row>
    <row r="116">
      <c r="B116" s="32" t="s">
        <v>1667</v>
      </c>
      <c r="C116" s="33" t="s">
        <v>64</v>
      </c>
      <c r="D116" s="32" t="s">
        <v>1666</v>
      </c>
      <c r="E116" s="11" t="s">
        <v>13</v>
      </c>
    </row>
    <row r="117">
      <c r="B117" s="32" t="s">
        <v>1669</v>
      </c>
      <c r="C117" s="33" t="s">
        <v>201</v>
      </c>
      <c r="D117" s="32" t="s">
        <v>1668</v>
      </c>
      <c r="E117" s="11" t="s">
        <v>9</v>
      </c>
    </row>
    <row r="118">
      <c r="B118" s="32" t="s">
        <v>1667</v>
      </c>
      <c r="C118" s="33" t="s">
        <v>52</v>
      </c>
      <c r="D118" s="32" t="s">
        <v>1665</v>
      </c>
      <c r="E118" s="11" t="s">
        <v>13</v>
      </c>
    </row>
    <row r="119">
      <c r="B119" s="32" t="s">
        <v>1669</v>
      </c>
      <c r="C119" s="33" t="s">
        <v>260</v>
      </c>
      <c r="D119" s="32" t="s">
        <v>1666</v>
      </c>
      <c r="E119" s="11" t="s">
        <v>9</v>
      </c>
    </row>
    <row r="120">
      <c r="B120" s="32" t="s">
        <v>1668</v>
      </c>
      <c r="C120" s="33" t="s">
        <v>31</v>
      </c>
      <c r="D120" s="32" t="s">
        <v>1665</v>
      </c>
      <c r="E120" s="11" t="s">
        <v>13</v>
      </c>
    </row>
    <row r="121">
      <c r="B121" s="32" t="s">
        <v>1669</v>
      </c>
      <c r="C121" s="33" t="s">
        <v>69</v>
      </c>
      <c r="D121" s="32" t="s">
        <v>1667</v>
      </c>
      <c r="E121" s="11" t="s">
        <v>9</v>
      </c>
    </row>
    <row r="122">
      <c r="B122" s="32" t="s">
        <v>1668</v>
      </c>
      <c r="C122" s="33" t="s">
        <v>19</v>
      </c>
      <c r="D122" s="32" t="s">
        <v>1666</v>
      </c>
      <c r="E122" s="11" t="s">
        <v>13</v>
      </c>
    </row>
    <row r="123">
      <c r="B123" s="32" t="s">
        <v>1666</v>
      </c>
      <c r="C123" s="33" t="s">
        <v>17</v>
      </c>
      <c r="D123" s="32" t="s">
        <v>1665</v>
      </c>
      <c r="E123" s="11" t="s">
        <v>9</v>
      </c>
    </row>
    <row r="124">
      <c r="B124" s="32" t="s">
        <v>1668</v>
      </c>
      <c r="C124" s="33" t="s">
        <v>88</v>
      </c>
      <c r="D124" s="32" t="s">
        <v>1667</v>
      </c>
      <c r="E124" s="11" t="s">
        <v>13</v>
      </c>
    </row>
    <row r="125">
      <c r="B125" s="32" t="s">
        <v>1665</v>
      </c>
      <c r="C125" s="33" t="s">
        <v>82</v>
      </c>
      <c r="D125" s="32" t="s">
        <v>1669</v>
      </c>
      <c r="E125" s="11" t="s">
        <v>9</v>
      </c>
    </row>
    <row r="126">
      <c r="B126" s="32" t="s">
        <v>1666</v>
      </c>
      <c r="C126" s="33" t="s">
        <v>303</v>
      </c>
      <c r="D126" s="32" t="s">
        <v>1667</v>
      </c>
      <c r="E126" s="11" t="s">
        <v>13</v>
      </c>
    </row>
    <row r="127">
      <c r="B127" s="32" t="s">
        <v>1668</v>
      </c>
      <c r="C127" s="33" t="s">
        <v>49</v>
      </c>
      <c r="D127" s="32" t="s">
        <v>1669</v>
      </c>
      <c r="E127" s="11" t="s">
        <v>9</v>
      </c>
    </row>
    <row r="128">
      <c r="B128" s="32" t="s">
        <v>1665</v>
      </c>
      <c r="C128" s="33" t="s">
        <v>194</v>
      </c>
      <c r="D128" s="32" t="s">
        <v>1667</v>
      </c>
      <c r="E128" s="11" t="s">
        <v>13</v>
      </c>
    </row>
    <row r="129">
      <c r="B129" s="32" t="s">
        <v>1666</v>
      </c>
      <c r="C129" s="33" t="s">
        <v>297</v>
      </c>
      <c r="D129" s="32" t="s">
        <v>1669</v>
      </c>
      <c r="E129" s="11" t="s">
        <v>9</v>
      </c>
    </row>
    <row r="130">
      <c r="B130" s="32" t="s">
        <v>1665</v>
      </c>
      <c r="C130" s="33" t="s">
        <v>194</v>
      </c>
      <c r="D130" s="32" t="s">
        <v>1668</v>
      </c>
      <c r="E130" s="11" t="s">
        <v>13</v>
      </c>
    </row>
    <row r="131">
      <c r="B131" s="32" t="s">
        <v>1667</v>
      </c>
      <c r="C131" s="33" t="s">
        <v>201</v>
      </c>
      <c r="D131" s="32" t="s">
        <v>1669</v>
      </c>
      <c r="E131" s="11" t="s">
        <v>9</v>
      </c>
    </row>
    <row r="132">
      <c r="B132" s="32" t="s">
        <v>1666</v>
      </c>
      <c r="C132" s="33" t="s">
        <v>47</v>
      </c>
      <c r="D132" s="32" t="s">
        <v>1668</v>
      </c>
      <c r="E132" s="11" t="s">
        <v>13</v>
      </c>
    </row>
    <row r="133">
      <c r="B133" s="1" t="s">
        <v>1413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32" t="s">
        <v>763</v>
      </c>
      <c r="C135" s="33" t="s">
        <v>87</v>
      </c>
      <c r="D135" s="32" t="s">
        <v>678</v>
      </c>
      <c r="E135" s="11" t="s">
        <v>33</v>
      </c>
    </row>
    <row r="136">
      <c r="B136" s="32" t="s">
        <v>764</v>
      </c>
      <c r="C136" s="33" t="s">
        <v>1670</v>
      </c>
      <c r="D136" s="32" t="s">
        <v>1357</v>
      </c>
      <c r="E136" s="11" t="s">
        <v>37</v>
      </c>
    </row>
    <row r="137">
      <c r="B137" s="32" t="s">
        <v>1671</v>
      </c>
      <c r="C137" s="33" t="s">
        <v>194</v>
      </c>
      <c r="D137" s="32" t="s">
        <v>763</v>
      </c>
      <c r="E137" s="11" t="s">
        <v>33</v>
      </c>
    </row>
    <row r="138">
      <c r="B138" s="32" t="s">
        <v>764</v>
      </c>
      <c r="C138" s="33" t="s">
        <v>302</v>
      </c>
      <c r="D138" s="32" t="s">
        <v>678</v>
      </c>
      <c r="E138" s="11" t="s">
        <v>37</v>
      </c>
    </row>
    <row r="139">
      <c r="B139" s="32" t="s">
        <v>1671</v>
      </c>
      <c r="C139" s="33" t="s">
        <v>22</v>
      </c>
      <c r="D139" s="32" t="s">
        <v>1357</v>
      </c>
      <c r="E139" s="11" t="s">
        <v>33</v>
      </c>
    </row>
    <row r="140">
      <c r="B140" s="32" t="s">
        <v>764</v>
      </c>
      <c r="C140" s="33" t="s">
        <v>325</v>
      </c>
      <c r="D140" s="32" t="s">
        <v>763</v>
      </c>
      <c r="E140" s="11" t="s">
        <v>37</v>
      </c>
    </row>
    <row r="141">
      <c r="B141" s="32" t="s">
        <v>1671</v>
      </c>
      <c r="C141" s="33" t="s">
        <v>11</v>
      </c>
      <c r="D141" s="32" t="s">
        <v>678</v>
      </c>
      <c r="E141" s="11" t="s">
        <v>33</v>
      </c>
    </row>
    <row r="142">
      <c r="B142" s="32" t="s">
        <v>1357</v>
      </c>
      <c r="C142" s="33" t="s">
        <v>87</v>
      </c>
      <c r="D142" s="32" t="s">
        <v>763</v>
      </c>
      <c r="E142" s="11" t="s">
        <v>37</v>
      </c>
    </row>
    <row r="143">
      <c r="B143" s="32" t="s">
        <v>1671</v>
      </c>
      <c r="C143" s="33" t="s">
        <v>76</v>
      </c>
      <c r="D143" s="32" t="s">
        <v>764</v>
      </c>
      <c r="E143" s="11" t="s">
        <v>33</v>
      </c>
    </row>
    <row r="144">
      <c r="B144" s="32" t="s">
        <v>1357</v>
      </c>
      <c r="C144" s="33" t="s">
        <v>72</v>
      </c>
      <c r="D144" s="32" t="s">
        <v>678</v>
      </c>
      <c r="E144" s="11" t="s">
        <v>37</v>
      </c>
    </row>
    <row r="145">
      <c r="B145" s="32" t="s">
        <v>678</v>
      </c>
      <c r="C145" s="33" t="s">
        <v>71</v>
      </c>
      <c r="D145" s="32" t="s">
        <v>763</v>
      </c>
      <c r="E145" s="11" t="s">
        <v>33</v>
      </c>
    </row>
    <row r="146">
      <c r="B146" s="32" t="s">
        <v>1357</v>
      </c>
      <c r="C146" s="33" t="s">
        <v>1672</v>
      </c>
      <c r="D146" s="32" t="s">
        <v>764</v>
      </c>
      <c r="E146" s="11" t="s">
        <v>37</v>
      </c>
    </row>
    <row r="147">
      <c r="B147" s="32" t="s">
        <v>763</v>
      </c>
      <c r="C147" s="35" t="s">
        <v>62</v>
      </c>
      <c r="D147" s="32" t="s">
        <v>1671</v>
      </c>
      <c r="E147" s="11" t="s">
        <v>33</v>
      </c>
    </row>
    <row r="148">
      <c r="B148" s="32" t="s">
        <v>678</v>
      </c>
      <c r="C148" s="35" t="s">
        <v>78</v>
      </c>
      <c r="D148" s="32" t="s">
        <v>764</v>
      </c>
      <c r="E148" s="11" t="s">
        <v>37</v>
      </c>
    </row>
    <row r="149">
      <c r="B149" s="32" t="s">
        <v>1357</v>
      </c>
      <c r="C149" s="35" t="s">
        <v>43</v>
      </c>
      <c r="D149" s="32" t="s">
        <v>1671</v>
      </c>
      <c r="E149" s="11" t="s">
        <v>33</v>
      </c>
    </row>
    <row r="150">
      <c r="B150" s="32" t="s">
        <v>763</v>
      </c>
      <c r="C150" s="35" t="s">
        <v>400</v>
      </c>
      <c r="D150" s="32" t="s">
        <v>764</v>
      </c>
      <c r="E150" s="11" t="s">
        <v>37</v>
      </c>
    </row>
    <row r="151">
      <c r="B151" s="32" t="s">
        <v>678</v>
      </c>
      <c r="C151" s="35" t="s">
        <v>190</v>
      </c>
      <c r="D151" s="32" t="s">
        <v>1671</v>
      </c>
      <c r="E151" s="11" t="s">
        <v>33</v>
      </c>
    </row>
    <row r="152">
      <c r="B152" s="32" t="s">
        <v>763</v>
      </c>
      <c r="C152" s="35" t="s">
        <v>196</v>
      </c>
      <c r="D152" s="32" t="s">
        <v>1357</v>
      </c>
      <c r="E152" s="11" t="s">
        <v>37</v>
      </c>
    </row>
    <row r="153">
      <c r="B153" s="32" t="s">
        <v>764</v>
      </c>
      <c r="C153" s="35" t="s">
        <v>68</v>
      </c>
      <c r="D153" s="32" t="s">
        <v>1671</v>
      </c>
      <c r="E153" s="11" t="s">
        <v>33</v>
      </c>
    </row>
    <row r="154">
      <c r="B154" s="32" t="s">
        <v>678</v>
      </c>
      <c r="C154" s="35" t="s">
        <v>282</v>
      </c>
      <c r="D154" s="32" t="s">
        <v>1357</v>
      </c>
      <c r="E154" s="11" t="s">
        <v>37</v>
      </c>
    </row>
    <row r="155">
      <c r="B155" s="1" t="s">
        <v>1419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B157" s="32" t="s">
        <v>1673</v>
      </c>
      <c r="C157" s="35" t="s">
        <v>64</v>
      </c>
      <c r="D157" s="32" t="s">
        <v>1674</v>
      </c>
      <c r="E157" s="11" t="s">
        <v>9</v>
      </c>
    </row>
    <row r="158">
      <c r="B158" s="32" t="s">
        <v>1675</v>
      </c>
      <c r="C158" s="35" t="s">
        <v>190</v>
      </c>
      <c r="D158" s="32" t="s">
        <v>1676</v>
      </c>
      <c r="E158" s="11" t="s">
        <v>13</v>
      </c>
    </row>
    <row r="159">
      <c r="B159" s="32" t="s">
        <v>1677</v>
      </c>
      <c r="C159" s="35" t="s">
        <v>21</v>
      </c>
      <c r="D159" s="32" t="s">
        <v>1673</v>
      </c>
      <c r="E159" s="11" t="s">
        <v>9</v>
      </c>
    </row>
    <row r="160">
      <c r="B160" s="32" t="s">
        <v>1675</v>
      </c>
      <c r="C160" s="35" t="s">
        <v>16</v>
      </c>
      <c r="D160" s="32" t="s">
        <v>1674</v>
      </c>
      <c r="E160" s="11" t="s">
        <v>13</v>
      </c>
    </row>
    <row r="161">
      <c r="B161" s="32" t="s">
        <v>1677</v>
      </c>
      <c r="C161" s="35" t="s">
        <v>249</v>
      </c>
      <c r="D161" s="32" t="s">
        <v>1676</v>
      </c>
      <c r="E161" s="11" t="s">
        <v>9</v>
      </c>
      <c r="G161" s="54"/>
    </row>
    <row r="162">
      <c r="B162" s="32" t="s">
        <v>1675</v>
      </c>
      <c r="C162" s="35" t="s">
        <v>25</v>
      </c>
      <c r="D162" s="32" t="s">
        <v>1673</v>
      </c>
      <c r="E162" s="11" t="s">
        <v>13</v>
      </c>
    </row>
    <row r="163">
      <c r="B163" s="32" t="s">
        <v>1677</v>
      </c>
      <c r="C163" s="35" t="s">
        <v>78</v>
      </c>
      <c r="D163" s="32" t="s">
        <v>1674</v>
      </c>
      <c r="E163" s="11" t="s">
        <v>9</v>
      </c>
    </row>
    <row r="164">
      <c r="B164" s="32" t="s">
        <v>1676</v>
      </c>
      <c r="C164" s="35" t="s">
        <v>195</v>
      </c>
      <c r="D164" s="32" t="s">
        <v>1673</v>
      </c>
      <c r="E164" s="11" t="s">
        <v>13</v>
      </c>
    </row>
    <row r="165">
      <c r="B165" s="32" t="s">
        <v>1677</v>
      </c>
      <c r="C165" s="35" t="s">
        <v>197</v>
      </c>
      <c r="D165" s="32" t="s">
        <v>1675</v>
      </c>
      <c r="E165" s="11" t="s">
        <v>9</v>
      </c>
    </row>
    <row r="166">
      <c r="B166" s="32" t="s">
        <v>1676</v>
      </c>
      <c r="C166" s="35" t="s">
        <v>82</v>
      </c>
      <c r="D166" s="32" t="s">
        <v>1674</v>
      </c>
      <c r="E166" s="11" t="s">
        <v>13</v>
      </c>
    </row>
    <row r="167">
      <c r="B167" s="32" t="s">
        <v>1674</v>
      </c>
      <c r="C167" s="35" t="s">
        <v>428</v>
      </c>
      <c r="D167" s="32" t="s">
        <v>1673</v>
      </c>
      <c r="E167" s="11" t="s">
        <v>9</v>
      </c>
    </row>
    <row r="168">
      <c r="B168" s="32" t="s">
        <v>1676</v>
      </c>
      <c r="C168" s="35" t="s">
        <v>363</v>
      </c>
      <c r="D168" s="32" t="s">
        <v>1675</v>
      </c>
      <c r="E168" s="11" t="s">
        <v>13</v>
      </c>
    </row>
    <row r="169">
      <c r="B169" s="32" t="s">
        <v>1673</v>
      </c>
      <c r="C169" s="35" t="s">
        <v>20</v>
      </c>
      <c r="D169" s="32" t="s">
        <v>1677</v>
      </c>
      <c r="E169" s="11" t="s">
        <v>9</v>
      </c>
    </row>
    <row r="170">
      <c r="B170" s="32" t="s">
        <v>1674</v>
      </c>
      <c r="C170" s="35" t="s">
        <v>14</v>
      </c>
      <c r="D170" s="32" t="s">
        <v>1675</v>
      </c>
      <c r="E170" s="11" t="s">
        <v>13</v>
      </c>
    </row>
    <row r="171">
      <c r="B171" s="32" t="s">
        <v>1676</v>
      </c>
      <c r="C171" s="35" t="s">
        <v>404</v>
      </c>
      <c r="D171" s="32" t="s">
        <v>1677</v>
      </c>
      <c r="E171" s="11" t="s">
        <v>9</v>
      </c>
    </row>
    <row r="172">
      <c r="B172" s="32" t="s">
        <v>1673</v>
      </c>
      <c r="C172" s="35" t="s">
        <v>78</v>
      </c>
      <c r="D172" s="32" t="s">
        <v>1675</v>
      </c>
      <c r="E172" s="11" t="s">
        <v>13</v>
      </c>
    </row>
    <row r="173">
      <c r="B173" s="32" t="s">
        <v>1674</v>
      </c>
      <c r="C173" s="35" t="s">
        <v>400</v>
      </c>
      <c r="D173" s="32" t="s">
        <v>1677</v>
      </c>
      <c r="E173" s="11" t="s">
        <v>9</v>
      </c>
    </row>
    <row r="174">
      <c r="B174" s="32" t="s">
        <v>1673</v>
      </c>
      <c r="C174" s="35" t="s">
        <v>286</v>
      </c>
      <c r="D174" s="32" t="s">
        <v>1676</v>
      </c>
      <c r="E174" s="11" t="s">
        <v>13</v>
      </c>
    </row>
    <row r="175">
      <c r="B175" s="32" t="s">
        <v>1675</v>
      </c>
      <c r="C175" s="35" t="s">
        <v>426</v>
      </c>
      <c r="D175" s="32" t="s">
        <v>1677</v>
      </c>
      <c r="E175" s="11" t="s">
        <v>9</v>
      </c>
    </row>
    <row r="176">
      <c r="B176" s="32" t="s">
        <v>1674</v>
      </c>
      <c r="C176" s="35" t="s">
        <v>68</v>
      </c>
      <c r="D176" s="32" t="s">
        <v>1676</v>
      </c>
      <c r="E176" s="11" t="s">
        <v>13</v>
      </c>
    </row>
    <row r="177">
      <c r="B177" s="1" t="s">
        <v>112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B179" s="32" t="s">
        <v>1678</v>
      </c>
      <c r="C179" s="33" t="s">
        <v>19</v>
      </c>
      <c r="D179" s="32" t="s">
        <v>1679</v>
      </c>
      <c r="E179" s="11" t="s">
        <v>33</v>
      </c>
    </row>
    <row r="180">
      <c r="B180" s="32" t="s">
        <v>1680</v>
      </c>
      <c r="C180" s="70" t="s">
        <v>836</v>
      </c>
      <c r="D180" s="32" t="s">
        <v>1681</v>
      </c>
      <c r="E180" s="11" t="s">
        <v>37</v>
      </c>
    </row>
    <row r="181">
      <c r="B181" s="32" t="s">
        <v>1682</v>
      </c>
      <c r="C181" s="33" t="s">
        <v>45</v>
      </c>
      <c r="D181" s="32" t="s">
        <v>1678</v>
      </c>
      <c r="E181" s="11" t="s">
        <v>33</v>
      </c>
    </row>
    <row r="182">
      <c r="B182" s="32" t="s">
        <v>1680</v>
      </c>
      <c r="C182" s="33" t="s">
        <v>47</v>
      </c>
      <c r="D182" s="32" t="s">
        <v>1679</v>
      </c>
      <c r="E182" s="11" t="s">
        <v>37</v>
      </c>
    </row>
    <row r="183">
      <c r="B183" s="32" t="s">
        <v>1682</v>
      </c>
      <c r="C183" s="33" t="s">
        <v>215</v>
      </c>
      <c r="D183" s="32" t="s">
        <v>1681</v>
      </c>
      <c r="E183" s="11" t="s">
        <v>33</v>
      </c>
    </row>
    <row r="184">
      <c r="B184" s="32" t="s">
        <v>1680</v>
      </c>
      <c r="C184" s="33" t="s">
        <v>362</v>
      </c>
      <c r="D184" s="32" t="s">
        <v>1678</v>
      </c>
      <c r="E184" s="11" t="s">
        <v>37</v>
      </c>
    </row>
    <row r="185">
      <c r="B185" s="32" t="s">
        <v>1682</v>
      </c>
      <c r="C185" s="33" t="s">
        <v>81</v>
      </c>
      <c r="D185" s="32" t="s">
        <v>1679</v>
      </c>
      <c r="E185" s="11" t="s">
        <v>33</v>
      </c>
    </row>
    <row r="186">
      <c r="B186" s="32" t="s">
        <v>1681</v>
      </c>
      <c r="C186" s="33" t="s">
        <v>72</v>
      </c>
      <c r="D186" s="32" t="s">
        <v>1678</v>
      </c>
      <c r="E186" s="11" t="s">
        <v>37</v>
      </c>
    </row>
    <row r="187">
      <c r="B187" s="32" t="s">
        <v>1682</v>
      </c>
      <c r="C187" s="33" t="s">
        <v>76</v>
      </c>
      <c r="D187" s="32" t="s">
        <v>1680</v>
      </c>
      <c r="E187" s="11" t="s">
        <v>33</v>
      </c>
    </row>
    <row r="188">
      <c r="B188" s="32" t="s">
        <v>1681</v>
      </c>
      <c r="C188" s="33" t="s">
        <v>244</v>
      </c>
      <c r="D188" s="32" t="s">
        <v>1679</v>
      </c>
      <c r="E188" s="11" t="s">
        <v>37</v>
      </c>
    </row>
    <row r="189">
      <c r="B189" s="32" t="s">
        <v>1679</v>
      </c>
      <c r="C189" s="33" t="s">
        <v>190</v>
      </c>
      <c r="D189" s="32" t="s">
        <v>1678</v>
      </c>
      <c r="E189" s="11" t="s">
        <v>33</v>
      </c>
    </row>
    <row r="190">
      <c r="B190" s="32" t="s">
        <v>1681</v>
      </c>
      <c r="C190" s="33" t="s">
        <v>416</v>
      </c>
      <c r="D190" s="32" t="s">
        <v>1680</v>
      </c>
      <c r="E190" s="11" t="s">
        <v>37</v>
      </c>
    </row>
    <row r="191">
      <c r="B191" s="32" t="s">
        <v>1678</v>
      </c>
      <c r="C191" s="35" t="s">
        <v>76</v>
      </c>
      <c r="D191" s="32" t="s">
        <v>1682</v>
      </c>
      <c r="E191" s="11" t="s">
        <v>33</v>
      </c>
    </row>
    <row r="192">
      <c r="B192" s="32" t="s">
        <v>1679</v>
      </c>
      <c r="C192" s="35" t="s">
        <v>11</v>
      </c>
      <c r="D192" s="32" t="s">
        <v>1680</v>
      </c>
      <c r="E192" s="11" t="s">
        <v>37</v>
      </c>
    </row>
    <row r="193">
      <c r="B193" s="32" t="s">
        <v>1681</v>
      </c>
      <c r="C193" s="35" t="s">
        <v>331</v>
      </c>
      <c r="D193" s="32" t="s">
        <v>1682</v>
      </c>
      <c r="E193" s="11" t="s">
        <v>33</v>
      </c>
    </row>
    <row r="194">
      <c r="B194" s="32" t="s">
        <v>1678</v>
      </c>
      <c r="C194" s="35" t="s">
        <v>64</v>
      </c>
      <c r="D194" s="32" t="s">
        <v>1680</v>
      </c>
      <c r="E194" s="11" t="s">
        <v>37</v>
      </c>
    </row>
    <row r="195">
      <c r="B195" s="32" t="s">
        <v>1679</v>
      </c>
      <c r="C195" s="35" t="s">
        <v>250</v>
      </c>
      <c r="D195" s="32" t="s">
        <v>1682</v>
      </c>
      <c r="E195" s="11" t="s">
        <v>33</v>
      </c>
    </row>
    <row r="196">
      <c r="B196" s="32" t="s">
        <v>1678</v>
      </c>
      <c r="C196" s="35" t="s">
        <v>472</v>
      </c>
      <c r="D196" s="32" t="s">
        <v>1681</v>
      </c>
      <c r="E196" s="11" t="s">
        <v>37</v>
      </c>
    </row>
    <row r="197">
      <c r="B197" s="32" t="s">
        <v>1680</v>
      </c>
      <c r="C197" s="35" t="s">
        <v>23</v>
      </c>
      <c r="D197" s="32" t="s">
        <v>1682</v>
      </c>
      <c r="E197" s="11" t="s">
        <v>33</v>
      </c>
    </row>
    <row r="198">
      <c r="B198" s="32" t="s">
        <v>1679</v>
      </c>
      <c r="C198" s="35" t="s">
        <v>190</v>
      </c>
      <c r="D198" s="32" t="s">
        <v>1681</v>
      </c>
      <c r="E198" s="11" t="s">
        <v>37</v>
      </c>
    </row>
    <row r="199">
      <c r="B199" s="1" t="s">
        <v>1429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B201" s="32" t="s">
        <v>661</v>
      </c>
      <c r="C201" s="33" t="s">
        <v>217</v>
      </c>
      <c r="D201" s="32" t="s">
        <v>1034</v>
      </c>
      <c r="E201" s="11" t="s">
        <v>33</v>
      </c>
    </row>
    <row r="202">
      <c r="B202" s="32" t="s">
        <v>730</v>
      </c>
      <c r="C202" s="33" t="s">
        <v>66</v>
      </c>
      <c r="D202" s="32" t="s">
        <v>1683</v>
      </c>
      <c r="E202" s="11" t="s">
        <v>37</v>
      </c>
    </row>
    <row r="203">
      <c r="B203" s="32" t="s">
        <v>1684</v>
      </c>
      <c r="C203" s="33" t="s">
        <v>251</v>
      </c>
      <c r="D203" s="32" t="s">
        <v>661</v>
      </c>
      <c r="E203" s="11" t="s">
        <v>33</v>
      </c>
    </row>
    <row r="204">
      <c r="B204" s="32" t="s">
        <v>730</v>
      </c>
      <c r="C204" s="33" t="s">
        <v>321</v>
      </c>
      <c r="D204" s="32" t="s">
        <v>1034</v>
      </c>
      <c r="E204" s="11" t="s">
        <v>37</v>
      </c>
    </row>
    <row r="205">
      <c r="B205" s="32" t="s">
        <v>1684</v>
      </c>
      <c r="C205" s="33" t="s">
        <v>50</v>
      </c>
      <c r="D205" s="32" t="s">
        <v>1683</v>
      </c>
      <c r="E205" s="11" t="s">
        <v>33</v>
      </c>
    </row>
    <row r="206">
      <c r="B206" s="32" t="s">
        <v>730</v>
      </c>
      <c r="C206" s="33" t="s">
        <v>11</v>
      </c>
      <c r="D206" s="32" t="s">
        <v>661</v>
      </c>
      <c r="E206" s="11" t="s">
        <v>37</v>
      </c>
    </row>
    <row r="207">
      <c r="B207" s="32" t="s">
        <v>1684</v>
      </c>
      <c r="C207" s="33" t="s">
        <v>285</v>
      </c>
      <c r="D207" s="32" t="s">
        <v>1034</v>
      </c>
      <c r="E207" s="11" t="s">
        <v>33</v>
      </c>
    </row>
    <row r="208">
      <c r="B208" s="32" t="s">
        <v>1683</v>
      </c>
      <c r="C208" s="33" t="s">
        <v>41</v>
      </c>
      <c r="D208" s="32" t="s">
        <v>661</v>
      </c>
      <c r="E208" s="11" t="s">
        <v>37</v>
      </c>
    </row>
    <row r="209">
      <c r="B209" s="32" t="s">
        <v>1684</v>
      </c>
      <c r="C209" s="33" t="s">
        <v>282</v>
      </c>
      <c r="D209" s="32" t="s">
        <v>730</v>
      </c>
      <c r="E209" s="11" t="s">
        <v>33</v>
      </c>
    </row>
    <row r="210">
      <c r="B210" s="32" t="s">
        <v>1683</v>
      </c>
      <c r="C210" s="33" t="s">
        <v>218</v>
      </c>
      <c r="D210" s="32" t="s">
        <v>1034</v>
      </c>
      <c r="E210" s="11" t="s">
        <v>37</v>
      </c>
    </row>
    <row r="211">
      <c r="B211" s="32" t="s">
        <v>1034</v>
      </c>
      <c r="C211" s="33" t="s">
        <v>68</v>
      </c>
      <c r="D211" s="32" t="s">
        <v>661</v>
      </c>
      <c r="E211" s="11" t="s">
        <v>33</v>
      </c>
    </row>
    <row r="212">
      <c r="B212" s="32" t="s">
        <v>1683</v>
      </c>
      <c r="C212" s="33" t="s">
        <v>16</v>
      </c>
      <c r="D212" s="32" t="s">
        <v>730</v>
      </c>
      <c r="E212" s="11" t="s">
        <v>37</v>
      </c>
    </row>
    <row r="213">
      <c r="B213" s="32" t="s">
        <v>661</v>
      </c>
      <c r="C213" s="35" t="s">
        <v>197</v>
      </c>
      <c r="D213" s="32" t="s">
        <v>1684</v>
      </c>
      <c r="E213" s="11" t="s">
        <v>33</v>
      </c>
    </row>
    <row r="214">
      <c r="B214" s="32" t="s">
        <v>1034</v>
      </c>
      <c r="C214" s="35" t="s">
        <v>793</v>
      </c>
      <c r="D214" s="32" t="s">
        <v>730</v>
      </c>
      <c r="E214" s="11" t="s">
        <v>37</v>
      </c>
    </row>
    <row r="215">
      <c r="B215" s="32" t="s">
        <v>1683</v>
      </c>
      <c r="C215" s="35" t="s">
        <v>83</v>
      </c>
      <c r="D215" s="32" t="s">
        <v>1684</v>
      </c>
      <c r="E215" s="11" t="s">
        <v>33</v>
      </c>
      <c r="L215" s="36">
        <v>2.0</v>
      </c>
    </row>
    <row r="216">
      <c r="B216" s="32" t="s">
        <v>661</v>
      </c>
      <c r="C216" s="35" t="s">
        <v>55</v>
      </c>
      <c r="D216" s="32" t="s">
        <v>730</v>
      </c>
      <c r="E216" s="11" t="s">
        <v>37</v>
      </c>
    </row>
    <row r="217">
      <c r="B217" s="32" t="s">
        <v>1034</v>
      </c>
      <c r="C217" s="35" t="s">
        <v>21</v>
      </c>
      <c r="D217" s="32" t="s">
        <v>1684</v>
      </c>
      <c r="E217" s="11" t="s">
        <v>33</v>
      </c>
    </row>
    <row r="218">
      <c r="B218" s="32" t="s">
        <v>661</v>
      </c>
      <c r="C218" s="35" t="s">
        <v>18</v>
      </c>
      <c r="D218" s="32" t="s">
        <v>1683</v>
      </c>
      <c r="E218" s="11" t="s">
        <v>37</v>
      </c>
    </row>
    <row r="219">
      <c r="B219" s="32" t="s">
        <v>730</v>
      </c>
      <c r="C219" s="35" t="s">
        <v>25</v>
      </c>
      <c r="D219" s="32" t="s">
        <v>1684</v>
      </c>
      <c r="E219" s="11" t="s">
        <v>33</v>
      </c>
    </row>
    <row r="220">
      <c r="B220" s="32" t="s">
        <v>1034</v>
      </c>
      <c r="C220" s="35" t="s">
        <v>21</v>
      </c>
      <c r="D220" s="32" t="s">
        <v>1683</v>
      </c>
      <c r="E220" s="11" t="s">
        <v>37</v>
      </c>
    </row>
    <row r="221">
      <c r="B221" s="28" t="s">
        <v>1685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34" t="s">
        <v>1686</v>
      </c>
      <c r="C223" s="33" t="s">
        <v>64</v>
      </c>
      <c r="D223" s="34" t="s">
        <v>1276</v>
      </c>
      <c r="E223" s="11" t="s">
        <v>9</v>
      </c>
    </row>
    <row r="224">
      <c r="B224" s="34" t="s">
        <v>1687</v>
      </c>
      <c r="C224" s="33" t="s">
        <v>64</v>
      </c>
      <c r="D224" s="34" t="s">
        <v>1688</v>
      </c>
      <c r="E224" s="11" t="s">
        <v>13</v>
      </c>
    </row>
    <row r="225">
      <c r="B225" s="34" t="s">
        <v>1689</v>
      </c>
      <c r="C225" s="33" t="s">
        <v>82</v>
      </c>
      <c r="D225" s="34" t="s">
        <v>1686</v>
      </c>
      <c r="E225" s="11" t="s">
        <v>9</v>
      </c>
    </row>
    <row r="226">
      <c r="B226" s="34" t="s">
        <v>1687</v>
      </c>
      <c r="C226" s="33" t="s">
        <v>21</v>
      </c>
      <c r="D226" s="34" t="s">
        <v>1276</v>
      </c>
      <c r="E226" s="11" t="s">
        <v>13</v>
      </c>
    </row>
    <row r="227">
      <c r="B227" s="34" t="s">
        <v>1689</v>
      </c>
      <c r="C227" s="33" t="s">
        <v>68</v>
      </c>
      <c r="D227" s="34" t="s">
        <v>1688</v>
      </c>
      <c r="E227" s="11" t="s">
        <v>9</v>
      </c>
    </row>
    <row r="228">
      <c r="B228" s="34" t="s">
        <v>1687</v>
      </c>
      <c r="C228" s="33" t="s">
        <v>378</v>
      </c>
      <c r="D228" s="34" t="s">
        <v>1686</v>
      </c>
      <c r="E228" s="11" t="s">
        <v>13</v>
      </c>
    </row>
    <row r="229">
      <c r="B229" s="34" t="s">
        <v>1689</v>
      </c>
      <c r="C229" s="33" t="s">
        <v>190</v>
      </c>
      <c r="D229" s="34" t="s">
        <v>1276</v>
      </c>
      <c r="E229" s="11" t="s">
        <v>9</v>
      </c>
    </row>
    <row r="230">
      <c r="B230" s="34" t="s">
        <v>1688</v>
      </c>
      <c r="C230" s="33" t="s">
        <v>218</v>
      </c>
      <c r="D230" s="34" t="s">
        <v>1686</v>
      </c>
      <c r="E230" s="11" t="s">
        <v>13</v>
      </c>
    </row>
    <row r="231">
      <c r="B231" s="34" t="s">
        <v>1689</v>
      </c>
      <c r="C231" s="33" t="s">
        <v>218</v>
      </c>
      <c r="D231" s="34" t="s">
        <v>1687</v>
      </c>
      <c r="E231" s="11" t="s">
        <v>9</v>
      </c>
    </row>
    <row r="232">
      <c r="B232" s="34" t="s">
        <v>1688</v>
      </c>
      <c r="C232" s="33" t="s">
        <v>197</v>
      </c>
      <c r="D232" s="34" t="s">
        <v>1276</v>
      </c>
      <c r="E232" s="11" t="s">
        <v>13</v>
      </c>
    </row>
    <row r="233">
      <c r="B233" s="34" t="s">
        <v>1276</v>
      </c>
      <c r="C233" s="33" t="s">
        <v>64</v>
      </c>
      <c r="D233" s="34" t="s">
        <v>1686</v>
      </c>
      <c r="E233" s="11" t="s">
        <v>9</v>
      </c>
    </row>
    <row r="234">
      <c r="B234" s="34" t="s">
        <v>1688</v>
      </c>
      <c r="C234" s="33" t="s">
        <v>49</v>
      </c>
      <c r="D234" s="34" t="s">
        <v>1687</v>
      </c>
      <c r="E234" s="11" t="s">
        <v>13</v>
      </c>
    </row>
    <row r="235">
      <c r="B235" s="34" t="s">
        <v>1686</v>
      </c>
      <c r="C235" s="35" t="s">
        <v>244</v>
      </c>
      <c r="D235" s="34" t="s">
        <v>1689</v>
      </c>
      <c r="E235" s="11" t="s">
        <v>9</v>
      </c>
    </row>
    <row r="236">
      <c r="B236" s="34" t="s">
        <v>1276</v>
      </c>
      <c r="C236" s="35" t="s">
        <v>215</v>
      </c>
      <c r="D236" s="34" t="s">
        <v>1687</v>
      </c>
      <c r="E236" s="11" t="s">
        <v>13</v>
      </c>
    </row>
    <row r="237">
      <c r="B237" s="34" t="s">
        <v>1688</v>
      </c>
      <c r="C237" s="35" t="s">
        <v>64</v>
      </c>
      <c r="D237" s="34" t="s">
        <v>1689</v>
      </c>
      <c r="E237" s="11" t="s">
        <v>9</v>
      </c>
    </row>
    <row r="238">
      <c r="B238" s="34" t="s">
        <v>1686</v>
      </c>
      <c r="C238" s="35" t="s">
        <v>239</v>
      </c>
      <c r="D238" s="34" t="s">
        <v>1687</v>
      </c>
      <c r="E238" s="11" t="s">
        <v>13</v>
      </c>
    </row>
    <row r="239">
      <c r="B239" s="34" t="s">
        <v>1276</v>
      </c>
      <c r="C239" s="35" t="s">
        <v>43</v>
      </c>
      <c r="D239" s="34" t="s">
        <v>1689</v>
      </c>
      <c r="E239" s="11" t="s">
        <v>9</v>
      </c>
    </row>
    <row r="240">
      <c r="B240" s="34" t="s">
        <v>1686</v>
      </c>
      <c r="C240" s="35" t="s">
        <v>24</v>
      </c>
      <c r="D240" s="34" t="s">
        <v>1688</v>
      </c>
      <c r="E240" s="11" t="s">
        <v>13</v>
      </c>
    </row>
    <row r="241">
      <c r="B241" s="34" t="s">
        <v>1687</v>
      </c>
      <c r="C241" s="35" t="s">
        <v>11</v>
      </c>
      <c r="D241" s="34" t="s">
        <v>1689</v>
      </c>
      <c r="E241" s="11" t="s">
        <v>9</v>
      </c>
    </row>
    <row r="242">
      <c r="B242" s="34" t="s">
        <v>1276</v>
      </c>
      <c r="C242" s="35" t="s">
        <v>62</v>
      </c>
      <c r="D242" s="34" t="s">
        <v>1688</v>
      </c>
      <c r="E242" s="11" t="s">
        <v>13</v>
      </c>
    </row>
    <row r="243">
      <c r="B243" s="28" t="s">
        <v>1441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34" t="s">
        <v>1690</v>
      </c>
      <c r="C245" s="35" t="s">
        <v>62</v>
      </c>
      <c r="D245" s="34" t="s">
        <v>1691</v>
      </c>
      <c r="E245" s="11" t="s">
        <v>9</v>
      </c>
    </row>
    <row r="246">
      <c r="B246" s="34" t="s">
        <v>1692</v>
      </c>
      <c r="C246" s="35" t="s">
        <v>370</v>
      </c>
      <c r="D246" s="34" t="s">
        <v>1693</v>
      </c>
      <c r="E246" s="11" t="s">
        <v>13</v>
      </c>
    </row>
    <row r="247">
      <c r="B247" s="34" t="s">
        <v>1694</v>
      </c>
      <c r="C247" s="35" t="s">
        <v>31</v>
      </c>
      <c r="D247" s="34" t="s">
        <v>1690</v>
      </c>
      <c r="E247" s="11" t="s">
        <v>9</v>
      </c>
    </row>
    <row r="248">
      <c r="B248" s="34" t="s">
        <v>1692</v>
      </c>
      <c r="C248" s="35" t="s">
        <v>400</v>
      </c>
      <c r="D248" s="34" t="s">
        <v>1691</v>
      </c>
      <c r="E248" s="11" t="s">
        <v>13</v>
      </c>
    </row>
    <row r="249">
      <c r="B249" s="34" t="s">
        <v>1694</v>
      </c>
      <c r="C249" s="35" t="s">
        <v>25</v>
      </c>
      <c r="D249" s="34" t="s">
        <v>1693</v>
      </c>
      <c r="E249" s="11" t="s">
        <v>9</v>
      </c>
    </row>
    <row r="250">
      <c r="B250" s="34" t="s">
        <v>1692</v>
      </c>
      <c r="C250" s="35" t="s">
        <v>251</v>
      </c>
      <c r="D250" s="34" t="s">
        <v>1690</v>
      </c>
      <c r="E250" s="11" t="s">
        <v>13</v>
      </c>
    </row>
    <row r="251">
      <c r="B251" s="34" t="s">
        <v>1694</v>
      </c>
      <c r="C251" s="35" t="s">
        <v>1695</v>
      </c>
      <c r="D251" s="34" t="s">
        <v>1691</v>
      </c>
      <c r="E251" s="11" t="s">
        <v>9</v>
      </c>
    </row>
    <row r="252">
      <c r="B252" s="34" t="s">
        <v>1693</v>
      </c>
      <c r="C252" s="35" t="s">
        <v>201</v>
      </c>
      <c r="D252" s="34" t="s">
        <v>1690</v>
      </c>
      <c r="E252" s="11" t="s">
        <v>13</v>
      </c>
    </row>
    <row r="253">
      <c r="B253" s="34" t="s">
        <v>1694</v>
      </c>
      <c r="C253" s="35" t="s">
        <v>1696</v>
      </c>
      <c r="D253" s="34" t="s">
        <v>1692</v>
      </c>
      <c r="E253" s="11" t="s">
        <v>9</v>
      </c>
    </row>
    <row r="254">
      <c r="B254" s="34" t="s">
        <v>1693</v>
      </c>
      <c r="C254" s="35" t="s">
        <v>190</v>
      </c>
      <c r="D254" s="34" t="s">
        <v>1691</v>
      </c>
      <c r="E254" s="11" t="s">
        <v>13</v>
      </c>
    </row>
    <row r="255">
      <c r="B255" s="34" t="s">
        <v>1691</v>
      </c>
      <c r="C255" s="35" t="s">
        <v>71</v>
      </c>
      <c r="D255" s="34" t="s">
        <v>1690</v>
      </c>
      <c r="E255" s="11" t="s">
        <v>9</v>
      </c>
    </row>
    <row r="256">
      <c r="B256" s="34" t="s">
        <v>1693</v>
      </c>
      <c r="C256" s="35" t="s">
        <v>389</v>
      </c>
      <c r="D256" s="34" t="s">
        <v>1692</v>
      </c>
      <c r="E256" s="11" t="s">
        <v>13</v>
      </c>
    </row>
    <row r="257">
      <c r="B257" s="34" t="s">
        <v>1690</v>
      </c>
      <c r="C257" s="35" t="s">
        <v>357</v>
      </c>
      <c r="D257" s="34" t="s">
        <v>1694</v>
      </c>
      <c r="E257" s="11" t="s">
        <v>9</v>
      </c>
    </row>
    <row r="258">
      <c r="B258" s="34" t="s">
        <v>1691</v>
      </c>
      <c r="C258" s="35" t="s">
        <v>614</v>
      </c>
      <c r="D258" s="34" t="s">
        <v>1692</v>
      </c>
      <c r="E258" s="11" t="s">
        <v>13</v>
      </c>
    </row>
    <row r="259">
      <c r="B259" s="34" t="s">
        <v>1693</v>
      </c>
      <c r="C259" s="35" t="s">
        <v>43</v>
      </c>
      <c r="D259" s="34" t="s">
        <v>1694</v>
      </c>
      <c r="E259" s="11" t="s">
        <v>9</v>
      </c>
    </row>
    <row r="260">
      <c r="B260" s="34" t="s">
        <v>1690</v>
      </c>
      <c r="C260" s="35" t="s">
        <v>354</v>
      </c>
      <c r="D260" s="34" t="s">
        <v>1692</v>
      </c>
      <c r="E260" s="11" t="s">
        <v>13</v>
      </c>
    </row>
    <row r="261">
      <c r="B261" s="34" t="s">
        <v>1691</v>
      </c>
      <c r="C261" s="35" t="s">
        <v>535</v>
      </c>
      <c r="D261" s="34" t="s">
        <v>1694</v>
      </c>
      <c r="E261" s="11" t="s">
        <v>9</v>
      </c>
    </row>
    <row r="262">
      <c r="B262" s="34" t="s">
        <v>1690</v>
      </c>
      <c r="C262" s="35" t="s">
        <v>71</v>
      </c>
      <c r="D262" s="34" t="s">
        <v>1693</v>
      </c>
      <c r="E262" s="11" t="s">
        <v>13</v>
      </c>
    </row>
    <row r="263">
      <c r="B263" s="34" t="s">
        <v>1692</v>
      </c>
      <c r="C263" s="35" t="s">
        <v>293</v>
      </c>
      <c r="D263" s="34" t="s">
        <v>1694</v>
      </c>
      <c r="E263" s="11" t="s">
        <v>9</v>
      </c>
    </row>
    <row r="264">
      <c r="B264" s="34" t="s">
        <v>1691</v>
      </c>
      <c r="C264" s="35" t="s">
        <v>81</v>
      </c>
      <c r="D264" s="34" t="s">
        <v>1693</v>
      </c>
      <c r="E264" s="11" t="s">
        <v>13</v>
      </c>
    </row>
    <row r="265">
      <c r="B265" s="28" t="s">
        <v>134</v>
      </c>
      <c r="C265" s="2"/>
      <c r="D265" s="3"/>
      <c r="E265" s="2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34" t="s">
        <v>1231</v>
      </c>
      <c r="C267" s="33" t="s">
        <v>289</v>
      </c>
      <c r="D267" s="34" t="s">
        <v>1302</v>
      </c>
      <c r="E267" s="11" t="s">
        <v>33</v>
      </c>
    </row>
    <row r="268">
      <c r="B268" s="34" t="s">
        <v>863</v>
      </c>
      <c r="C268" s="33" t="s">
        <v>71</v>
      </c>
      <c r="D268" s="34" t="s">
        <v>1697</v>
      </c>
      <c r="E268" s="11" t="s">
        <v>37</v>
      </c>
    </row>
    <row r="269">
      <c r="B269" s="34" t="s">
        <v>1698</v>
      </c>
      <c r="C269" s="33" t="s">
        <v>45</v>
      </c>
      <c r="D269" s="34" t="s">
        <v>1231</v>
      </c>
      <c r="E269" s="11" t="s">
        <v>33</v>
      </c>
    </row>
    <row r="270">
      <c r="B270" s="34" t="s">
        <v>863</v>
      </c>
      <c r="C270" s="33" t="s">
        <v>460</v>
      </c>
      <c r="D270" s="34" t="s">
        <v>1302</v>
      </c>
      <c r="E270" s="11" t="s">
        <v>37</v>
      </c>
    </row>
    <row r="271">
      <c r="B271" s="34" t="s">
        <v>1698</v>
      </c>
      <c r="C271" s="33" t="s">
        <v>285</v>
      </c>
      <c r="D271" s="34" t="s">
        <v>1697</v>
      </c>
      <c r="E271" s="11" t="s">
        <v>33</v>
      </c>
    </row>
    <row r="272">
      <c r="B272" s="34" t="s">
        <v>863</v>
      </c>
      <c r="C272" s="33" t="s">
        <v>566</v>
      </c>
      <c r="D272" s="34" t="s">
        <v>1231</v>
      </c>
      <c r="E272" s="11" t="s">
        <v>37</v>
      </c>
    </row>
    <row r="273">
      <c r="B273" s="34" t="s">
        <v>1698</v>
      </c>
      <c r="C273" s="33" t="s">
        <v>197</v>
      </c>
      <c r="D273" s="34" t="s">
        <v>1302</v>
      </c>
      <c r="E273" s="11" t="s">
        <v>33</v>
      </c>
    </row>
    <row r="274">
      <c r="B274" s="34" t="s">
        <v>1697</v>
      </c>
      <c r="C274" s="33" t="s">
        <v>196</v>
      </c>
      <c r="D274" s="34" t="s">
        <v>1231</v>
      </c>
      <c r="E274" s="11" t="s">
        <v>37</v>
      </c>
    </row>
    <row r="275">
      <c r="B275" s="34" t="s">
        <v>1698</v>
      </c>
      <c r="C275" s="33" t="s">
        <v>1496</v>
      </c>
      <c r="D275" s="34" t="s">
        <v>863</v>
      </c>
      <c r="E275" s="11" t="s">
        <v>33</v>
      </c>
    </row>
    <row r="276">
      <c r="B276" s="34" t="s">
        <v>1697</v>
      </c>
      <c r="C276" s="33" t="s">
        <v>286</v>
      </c>
      <c r="D276" s="34" t="s">
        <v>1302</v>
      </c>
      <c r="E276" s="11" t="s">
        <v>37</v>
      </c>
    </row>
    <row r="277">
      <c r="B277" s="34" t="s">
        <v>1302</v>
      </c>
      <c r="C277" s="33" t="s">
        <v>67</v>
      </c>
      <c r="D277" s="34" t="s">
        <v>1231</v>
      </c>
      <c r="E277" s="11" t="s">
        <v>33</v>
      </c>
    </row>
    <row r="278">
      <c r="B278" s="34" t="s">
        <v>1697</v>
      </c>
      <c r="C278" s="33" t="s">
        <v>45</v>
      </c>
      <c r="D278" s="34" t="s">
        <v>863</v>
      </c>
      <c r="E278" s="11" t="s">
        <v>37</v>
      </c>
    </row>
    <row r="279">
      <c r="B279" s="34" t="s">
        <v>1231</v>
      </c>
      <c r="C279" s="35" t="s">
        <v>20</v>
      </c>
      <c r="D279" s="34" t="s">
        <v>1698</v>
      </c>
      <c r="E279" s="11" t="s">
        <v>33</v>
      </c>
    </row>
    <row r="280">
      <c r="B280" s="34" t="s">
        <v>1302</v>
      </c>
      <c r="C280" s="35" t="s">
        <v>542</v>
      </c>
      <c r="D280" s="34" t="s">
        <v>863</v>
      </c>
      <c r="E280" s="11" t="s">
        <v>37</v>
      </c>
    </row>
    <row r="281">
      <c r="B281" s="34" t="s">
        <v>1697</v>
      </c>
      <c r="C281" s="35" t="s">
        <v>14</v>
      </c>
      <c r="D281" s="34" t="s">
        <v>1698</v>
      </c>
      <c r="E281" s="11" t="s">
        <v>33</v>
      </c>
    </row>
    <row r="282">
      <c r="B282" s="34" t="s">
        <v>1231</v>
      </c>
      <c r="C282" s="35" t="s">
        <v>481</v>
      </c>
      <c r="D282" s="34" t="s">
        <v>863</v>
      </c>
      <c r="E282" s="11" t="s">
        <v>37</v>
      </c>
    </row>
    <row r="283">
      <c r="B283" s="34" t="s">
        <v>1302</v>
      </c>
      <c r="C283" s="35" t="s">
        <v>195</v>
      </c>
      <c r="D283" s="34" t="s">
        <v>1698</v>
      </c>
      <c r="E283" s="11" t="s">
        <v>33</v>
      </c>
    </row>
    <row r="284">
      <c r="B284" s="34" t="s">
        <v>1231</v>
      </c>
      <c r="C284" s="35" t="s">
        <v>566</v>
      </c>
      <c r="D284" s="34" t="s">
        <v>1697</v>
      </c>
      <c r="E284" s="11" t="s">
        <v>37</v>
      </c>
    </row>
    <row r="285">
      <c r="B285" s="34" t="s">
        <v>863</v>
      </c>
      <c r="C285" s="35" t="s">
        <v>779</v>
      </c>
      <c r="D285" s="34" t="s">
        <v>1698</v>
      </c>
      <c r="E285" s="11" t="s">
        <v>33</v>
      </c>
    </row>
    <row r="286">
      <c r="B286" s="34" t="s">
        <v>1302</v>
      </c>
      <c r="C286" s="35" t="s">
        <v>80</v>
      </c>
      <c r="D286" s="34" t="s">
        <v>1697</v>
      </c>
      <c r="E286" s="11" t="s">
        <v>37</v>
      </c>
    </row>
    <row r="287">
      <c r="B287" s="28" t="s">
        <v>145</v>
      </c>
      <c r="C287" s="2"/>
      <c r="D287" s="3"/>
      <c r="E287" s="2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34" t="s">
        <v>1699</v>
      </c>
      <c r="C289" s="33" t="s">
        <v>215</v>
      </c>
      <c r="D289" s="34" t="s">
        <v>1700</v>
      </c>
      <c r="E289" s="11" t="s">
        <v>33</v>
      </c>
    </row>
    <row r="290">
      <c r="B290" s="34" t="s">
        <v>1701</v>
      </c>
      <c r="C290" s="33" t="s">
        <v>283</v>
      </c>
      <c r="D290" s="34" t="s">
        <v>1702</v>
      </c>
      <c r="E290" s="11" t="s">
        <v>37</v>
      </c>
    </row>
    <row r="291">
      <c r="B291" s="34" t="s">
        <v>1703</v>
      </c>
      <c r="C291" s="33" t="s">
        <v>23</v>
      </c>
      <c r="D291" s="34" t="s">
        <v>1699</v>
      </c>
      <c r="E291" s="11" t="s">
        <v>33</v>
      </c>
    </row>
    <row r="292">
      <c r="B292" s="34" t="s">
        <v>1701</v>
      </c>
      <c r="C292" s="33" t="s">
        <v>716</v>
      </c>
      <c r="D292" s="34" t="s">
        <v>1700</v>
      </c>
      <c r="E292" s="11" t="s">
        <v>37</v>
      </c>
    </row>
    <row r="293">
      <c r="B293" s="34" t="s">
        <v>1703</v>
      </c>
      <c r="C293" s="33" t="s">
        <v>201</v>
      </c>
      <c r="D293" s="34" t="s">
        <v>1702</v>
      </c>
      <c r="E293" s="11" t="s">
        <v>33</v>
      </c>
    </row>
    <row r="294">
      <c r="B294" s="34" t="s">
        <v>1701</v>
      </c>
      <c r="C294" s="33" t="s">
        <v>389</v>
      </c>
      <c r="D294" s="34" t="s">
        <v>1699</v>
      </c>
      <c r="E294" s="11" t="s">
        <v>37</v>
      </c>
    </row>
    <row r="295">
      <c r="B295" s="34" t="s">
        <v>1703</v>
      </c>
      <c r="C295" s="33" t="s">
        <v>232</v>
      </c>
      <c r="D295" s="34" t="s">
        <v>1700</v>
      </c>
      <c r="E295" s="11" t="s">
        <v>33</v>
      </c>
    </row>
    <row r="296">
      <c r="B296" s="34" t="s">
        <v>1702</v>
      </c>
      <c r="C296" s="33" t="s">
        <v>270</v>
      </c>
      <c r="D296" s="34" t="s">
        <v>1699</v>
      </c>
      <c r="E296" s="11" t="s">
        <v>37</v>
      </c>
    </row>
    <row r="297">
      <c r="B297" s="34" t="s">
        <v>1703</v>
      </c>
      <c r="C297" s="33" t="s">
        <v>17</v>
      </c>
      <c r="D297" s="34" t="s">
        <v>1701</v>
      </c>
      <c r="E297" s="11" t="s">
        <v>33</v>
      </c>
    </row>
    <row r="298">
      <c r="B298" s="34" t="s">
        <v>1702</v>
      </c>
      <c r="C298" s="33" t="s">
        <v>218</v>
      </c>
      <c r="D298" s="34" t="s">
        <v>1700</v>
      </c>
      <c r="E298" s="11" t="s">
        <v>37</v>
      </c>
    </row>
    <row r="299">
      <c r="B299" s="34" t="s">
        <v>1700</v>
      </c>
      <c r="C299" s="33" t="s">
        <v>1704</v>
      </c>
      <c r="D299" s="34" t="s">
        <v>1699</v>
      </c>
      <c r="E299" s="11" t="s">
        <v>33</v>
      </c>
    </row>
    <row r="300">
      <c r="B300" s="34" t="s">
        <v>1702</v>
      </c>
      <c r="C300" s="33" t="s">
        <v>64</v>
      </c>
      <c r="D300" s="34" t="s">
        <v>1701</v>
      </c>
      <c r="E300" s="11" t="s">
        <v>37</v>
      </c>
    </row>
    <row r="301">
      <c r="B301" s="34" t="s">
        <v>1699</v>
      </c>
      <c r="C301" s="35" t="s">
        <v>71</v>
      </c>
      <c r="D301" s="34" t="s">
        <v>1703</v>
      </c>
      <c r="E301" s="11" t="s">
        <v>33</v>
      </c>
    </row>
    <row r="302">
      <c r="B302" s="34" t="s">
        <v>1700</v>
      </c>
      <c r="C302" s="35" t="s">
        <v>76</v>
      </c>
      <c r="D302" s="34" t="s">
        <v>1701</v>
      </c>
      <c r="E302" s="11" t="s">
        <v>37</v>
      </c>
    </row>
    <row r="303">
      <c r="B303" s="34" t="s">
        <v>1702</v>
      </c>
      <c r="C303" s="35" t="s">
        <v>21</v>
      </c>
      <c r="D303" s="34" t="s">
        <v>1703</v>
      </c>
      <c r="E303" s="11" t="s">
        <v>33</v>
      </c>
    </row>
    <row r="304">
      <c r="B304" s="34" t="s">
        <v>1699</v>
      </c>
      <c r="C304" s="35" t="s">
        <v>80</v>
      </c>
      <c r="D304" s="34" t="s">
        <v>1701</v>
      </c>
      <c r="E304" s="11" t="s">
        <v>37</v>
      </c>
    </row>
    <row r="305">
      <c r="B305" s="34" t="s">
        <v>1700</v>
      </c>
      <c r="C305" s="35" t="s">
        <v>71</v>
      </c>
      <c r="D305" s="34" t="s">
        <v>1703</v>
      </c>
      <c r="E305" s="11" t="s">
        <v>33</v>
      </c>
    </row>
    <row r="306">
      <c r="B306" s="34" t="s">
        <v>1699</v>
      </c>
      <c r="C306" s="35" t="s">
        <v>197</v>
      </c>
      <c r="D306" s="34" t="s">
        <v>1702</v>
      </c>
      <c r="E306" s="11" t="s">
        <v>37</v>
      </c>
    </row>
    <row r="307">
      <c r="B307" s="34" t="s">
        <v>1701</v>
      </c>
      <c r="C307" s="35" t="s">
        <v>71</v>
      </c>
      <c r="D307" s="34" t="s">
        <v>1703</v>
      </c>
      <c r="E307" s="11" t="s">
        <v>33</v>
      </c>
    </row>
    <row r="308">
      <c r="B308" s="34" t="s">
        <v>1700</v>
      </c>
      <c r="C308" s="35" t="s">
        <v>509</v>
      </c>
      <c r="D308" s="34" t="s">
        <v>1702</v>
      </c>
      <c r="E308" s="11" t="s">
        <v>37</v>
      </c>
    </row>
    <row r="309">
      <c r="B309" s="28" t="s">
        <v>1456</v>
      </c>
      <c r="C309" s="2"/>
      <c r="D309" s="3"/>
      <c r="E309" s="2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34" t="s">
        <v>1391</v>
      </c>
      <c r="C311" s="33" t="s">
        <v>270</v>
      </c>
      <c r="D311" s="34" t="s">
        <v>1705</v>
      </c>
      <c r="E311" s="11" t="s">
        <v>9</v>
      </c>
    </row>
    <row r="312">
      <c r="B312" s="34" t="s">
        <v>1706</v>
      </c>
      <c r="C312" s="33" t="s">
        <v>545</v>
      </c>
      <c r="D312" s="34" t="s">
        <v>202</v>
      </c>
      <c r="E312" s="11" t="s">
        <v>13</v>
      </c>
    </row>
    <row r="313">
      <c r="B313" s="34" t="s">
        <v>1707</v>
      </c>
      <c r="C313" s="33" t="s">
        <v>251</v>
      </c>
      <c r="D313" s="34" t="s">
        <v>1391</v>
      </c>
      <c r="E313" s="11" t="s">
        <v>9</v>
      </c>
    </row>
    <row r="314">
      <c r="B314" s="34" t="s">
        <v>1706</v>
      </c>
      <c r="C314" s="33" t="s">
        <v>68</v>
      </c>
      <c r="D314" s="34" t="s">
        <v>1705</v>
      </c>
      <c r="E314" s="11" t="s">
        <v>13</v>
      </c>
    </row>
    <row r="315">
      <c r="B315" s="34" t="s">
        <v>1707</v>
      </c>
      <c r="C315" s="33" t="s">
        <v>50</v>
      </c>
      <c r="D315" s="34" t="s">
        <v>202</v>
      </c>
      <c r="E315" s="11" t="s">
        <v>9</v>
      </c>
    </row>
    <row r="316">
      <c r="B316" s="34" t="s">
        <v>1706</v>
      </c>
      <c r="C316" s="33" t="s">
        <v>81</v>
      </c>
      <c r="D316" s="34" t="s">
        <v>1391</v>
      </c>
      <c r="E316" s="11" t="s">
        <v>13</v>
      </c>
    </row>
    <row r="317">
      <c r="B317" s="34" t="s">
        <v>1707</v>
      </c>
      <c r="C317" s="33" t="s">
        <v>842</v>
      </c>
      <c r="D317" s="34" t="s">
        <v>1705</v>
      </c>
      <c r="E317" s="11" t="s">
        <v>9</v>
      </c>
    </row>
    <row r="318">
      <c r="B318" s="34" t="s">
        <v>202</v>
      </c>
      <c r="C318" s="33" t="s">
        <v>196</v>
      </c>
      <c r="D318" s="34" t="s">
        <v>1391</v>
      </c>
      <c r="E318" s="11" t="s">
        <v>13</v>
      </c>
    </row>
    <row r="319">
      <c r="B319" s="34" t="s">
        <v>1707</v>
      </c>
      <c r="C319" s="33" t="s">
        <v>41</v>
      </c>
      <c r="D319" s="34" t="s">
        <v>1706</v>
      </c>
      <c r="E319" s="11" t="s">
        <v>9</v>
      </c>
    </row>
    <row r="320">
      <c r="B320" s="34" t="s">
        <v>202</v>
      </c>
      <c r="C320" s="33" t="s">
        <v>68</v>
      </c>
      <c r="D320" s="34" t="s">
        <v>1705</v>
      </c>
      <c r="E320" s="11" t="s">
        <v>13</v>
      </c>
    </row>
    <row r="321">
      <c r="B321" s="34" t="s">
        <v>1705</v>
      </c>
      <c r="C321" s="33" t="s">
        <v>195</v>
      </c>
      <c r="D321" s="34" t="s">
        <v>1391</v>
      </c>
      <c r="E321" s="11" t="s">
        <v>9</v>
      </c>
    </row>
    <row r="322">
      <c r="B322" s="34" t="s">
        <v>202</v>
      </c>
      <c r="C322" s="33" t="s">
        <v>378</v>
      </c>
      <c r="D322" s="34" t="s">
        <v>1706</v>
      </c>
      <c r="E322" s="11" t="s">
        <v>13</v>
      </c>
    </row>
    <row r="323">
      <c r="B323" s="34" t="s">
        <v>1391</v>
      </c>
      <c r="C323" s="35" t="s">
        <v>291</v>
      </c>
      <c r="D323" s="34" t="s">
        <v>1707</v>
      </c>
      <c r="E323" s="11" t="s">
        <v>9</v>
      </c>
    </row>
    <row r="324">
      <c r="B324" s="34" t="s">
        <v>1705</v>
      </c>
      <c r="C324" s="35" t="s">
        <v>378</v>
      </c>
      <c r="D324" s="34" t="s">
        <v>1706</v>
      </c>
      <c r="E324" s="11" t="s">
        <v>13</v>
      </c>
    </row>
    <row r="325">
      <c r="B325" s="34" t="s">
        <v>202</v>
      </c>
      <c r="C325" s="35" t="s">
        <v>24</v>
      </c>
      <c r="D325" s="34" t="s">
        <v>1707</v>
      </c>
      <c r="E325" s="11" t="s">
        <v>9</v>
      </c>
    </row>
    <row r="326">
      <c r="B326" s="34" t="s">
        <v>1391</v>
      </c>
      <c r="C326" s="35" t="s">
        <v>232</v>
      </c>
      <c r="D326" s="34" t="s">
        <v>1706</v>
      </c>
      <c r="E326" s="11" t="s">
        <v>13</v>
      </c>
    </row>
    <row r="327">
      <c r="B327" s="34" t="s">
        <v>1705</v>
      </c>
      <c r="C327" s="35" t="s">
        <v>68</v>
      </c>
      <c r="D327" s="34" t="s">
        <v>1707</v>
      </c>
      <c r="E327" s="11" t="s">
        <v>9</v>
      </c>
    </row>
    <row r="328">
      <c r="B328" s="34" t="s">
        <v>1391</v>
      </c>
      <c r="C328" s="35" t="s">
        <v>81</v>
      </c>
      <c r="D328" s="34" t="s">
        <v>202</v>
      </c>
      <c r="E328" s="11" t="s">
        <v>13</v>
      </c>
    </row>
    <row r="329">
      <c r="B329" s="34" t="s">
        <v>1706</v>
      </c>
      <c r="C329" s="35" t="s">
        <v>65</v>
      </c>
      <c r="D329" s="34" t="s">
        <v>1707</v>
      </c>
      <c r="E329" s="11" t="s">
        <v>9</v>
      </c>
    </row>
    <row r="330">
      <c r="B330" s="34" t="s">
        <v>1705</v>
      </c>
      <c r="C330" s="35" t="s">
        <v>195</v>
      </c>
      <c r="D330" s="34" t="s">
        <v>202</v>
      </c>
      <c r="E330" s="11" t="s">
        <v>13</v>
      </c>
    </row>
    <row r="331">
      <c r="B331" s="28" t="s">
        <v>156</v>
      </c>
      <c r="C331" s="2"/>
      <c r="D331" s="3"/>
      <c r="E331" s="2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8" t="s">
        <v>343</v>
      </c>
      <c r="C333" s="35" t="s">
        <v>70</v>
      </c>
      <c r="D333" s="34" t="s">
        <v>1708</v>
      </c>
      <c r="E333" s="11" t="s">
        <v>33</v>
      </c>
    </row>
    <row r="334">
      <c r="B334" s="34" t="s">
        <v>1383</v>
      </c>
      <c r="C334" s="35" t="s">
        <v>81</v>
      </c>
      <c r="D334" s="34" t="s">
        <v>1117</v>
      </c>
      <c r="E334" s="11" t="s">
        <v>37</v>
      </c>
    </row>
    <row r="335">
      <c r="B335" s="34" t="s">
        <v>158</v>
      </c>
      <c r="C335" s="35" t="s">
        <v>190</v>
      </c>
      <c r="D335" s="8" t="s">
        <v>343</v>
      </c>
      <c r="E335" s="11" t="s">
        <v>33</v>
      </c>
    </row>
    <row r="336">
      <c r="B336" s="34" t="s">
        <v>1383</v>
      </c>
      <c r="C336" s="35" t="s">
        <v>261</v>
      </c>
      <c r="D336" s="34" t="s">
        <v>1708</v>
      </c>
      <c r="E336" s="11" t="s">
        <v>37</v>
      </c>
    </row>
    <row r="337">
      <c r="B337" s="34" t="s">
        <v>158</v>
      </c>
      <c r="C337" s="35" t="s">
        <v>72</v>
      </c>
      <c r="D337" s="34" t="s">
        <v>1117</v>
      </c>
      <c r="E337" s="11" t="s">
        <v>33</v>
      </c>
    </row>
    <row r="338">
      <c r="B338" s="34" t="s">
        <v>1383</v>
      </c>
      <c r="C338" s="35" t="s">
        <v>370</v>
      </c>
      <c r="D338" s="8" t="s">
        <v>343</v>
      </c>
      <c r="E338" s="11" t="s">
        <v>37</v>
      </c>
    </row>
    <row r="339">
      <c r="B339" s="34" t="s">
        <v>158</v>
      </c>
      <c r="C339" s="35" t="s">
        <v>68</v>
      </c>
      <c r="D339" s="34" t="s">
        <v>1708</v>
      </c>
      <c r="E339" s="11" t="s">
        <v>33</v>
      </c>
    </row>
    <row r="340">
      <c r="B340" s="34" t="s">
        <v>1117</v>
      </c>
      <c r="C340" s="35" t="s">
        <v>260</v>
      </c>
      <c r="D340" s="8" t="s">
        <v>343</v>
      </c>
      <c r="E340" s="11" t="s">
        <v>37</v>
      </c>
    </row>
    <row r="341">
      <c r="B341" s="34" t="s">
        <v>158</v>
      </c>
      <c r="C341" s="35" t="s">
        <v>11</v>
      </c>
      <c r="D341" s="34" t="s">
        <v>1383</v>
      </c>
      <c r="E341" s="11" t="s">
        <v>33</v>
      </c>
    </row>
    <row r="342">
      <c r="B342" s="34" t="s">
        <v>1117</v>
      </c>
      <c r="C342" s="35" t="s">
        <v>48</v>
      </c>
      <c r="D342" s="34" t="s">
        <v>1708</v>
      </c>
      <c r="E342" s="11" t="s">
        <v>37</v>
      </c>
    </row>
    <row r="343">
      <c r="B343" s="34" t="s">
        <v>1708</v>
      </c>
      <c r="C343" s="35" t="s">
        <v>195</v>
      </c>
      <c r="D343" s="8" t="s">
        <v>343</v>
      </c>
      <c r="E343" s="11" t="s">
        <v>33</v>
      </c>
    </row>
    <row r="344">
      <c r="B344" s="34" t="s">
        <v>1117</v>
      </c>
      <c r="C344" s="35" t="s">
        <v>195</v>
      </c>
      <c r="D344" s="34" t="s">
        <v>1383</v>
      </c>
      <c r="E344" s="11" t="s">
        <v>37</v>
      </c>
    </row>
    <row r="345">
      <c r="B345" s="8" t="s">
        <v>343</v>
      </c>
      <c r="C345" s="35" t="s">
        <v>412</v>
      </c>
      <c r="D345" s="34" t="s">
        <v>158</v>
      </c>
      <c r="E345" s="11" t="s">
        <v>33</v>
      </c>
    </row>
    <row r="346">
      <c r="B346" s="34" t="s">
        <v>1708</v>
      </c>
      <c r="C346" s="35" t="s">
        <v>207</v>
      </c>
      <c r="D346" s="34" t="s">
        <v>1383</v>
      </c>
      <c r="E346" s="11" t="s">
        <v>37</v>
      </c>
    </row>
    <row r="347">
      <c r="B347" s="34" t="s">
        <v>1117</v>
      </c>
      <c r="C347" s="35" t="s">
        <v>81</v>
      </c>
      <c r="D347" s="34" t="s">
        <v>158</v>
      </c>
      <c r="E347" s="11" t="s">
        <v>33</v>
      </c>
    </row>
    <row r="348">
      <c r="B348" s="8" t="s">
        <v>343</v>
      </c>
      <c r="C348" s="35" t="s">
        <v>197</v>
      </c>
      <c r="D348" s="34" t="s">
        <v>1383</v>
      </c>
      <c r="E348" s="11" t="s">
        <v>37</v>
      </c>
    </row>
    <row r="349">
      <c r="B349" s="34" t="s">
        <v>1708</v>
      </c>
      <c r="C349" s="35" t="s">
        <v>220</v>
      </c>
      <c r="D349" s="34" t="s">
        <v>158</v>
      </c>
      <c r="E349" s="11" t="s">
        <v>33</v>
      </c>
    </row>
    <row r="350">
      <c r="B350" s="8" t="s">
        <v>343</v>
      </c>
      <c r="C350" s="35" t="s">
        <v>17</v>
      </c>
      <c r="D350" s="34" t="s">
        <v>1117</v>
      </c>
      <c r="E350" s="11" t="s">
        <v>37</v>
      </c>
    </row>
    <row r="351">
      <c r="B351" s="34" t="s">
        <v>1383</v>
      </c>
      <c r="C351" s="35" t="s">
        <v>19</v>
      </c>
      <c r="D351" s="34" t="s">
        <v>158</v>
      </c>
      <c r="E351" s="11" t="s">
        <v>33</v>
      </c>
    </row>
    <row r="352">
      <c r="B352" s="34" t="s">
        <v>1708</v>
      </c>
      <c r="C352" s="35" t="s">
        <v>25</v>
      </c>
      <c r="D352" s="34" t="s">
        <v>1117</v>
      </c>
      <c r="E352" s="11" t="s">
        <v>37</v>
      </c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2"/>
    <hyperlink r:id="rId20" ref="E25"/>
    <hyperlink r:id="rId21" ref="E26"/>
    <hyperlink r:id="rId22" ref="E27"/>
    <hyperlink r:id="rId23" ref="E28"/>
    <hyperlink r:id="rId24" ref="E29"/>
    <hyperlink r:id="rId25" ref="E30"/>
    <hyperlink r:id="rId26" ref="E31"/>
    <hyperlink r:id="rId27" ref="E32"/>
    <hyperlink r:id="rId28" ref="E33"/>
    <hyperlink r:id="rId29" ref="E34"/>
    <hyperlink r:id="rId30" ref="E35"/>
    <hyperlink r:id="rId31" ref="E36"/>
    <hyperlink r:id="rId32" ref="E37"/>
    <hyperlink r:id="rId33" ref="E38"/>
    <hyperlink r:id="rId34" ref="E39"/>
    <hyperlink r:id="rId35" ref="E40"/>
    <hyperlink r:id="rId36" ref="E41"/>
    <hyperlink r:id="rId37" ref="E42"/>
    <hyperlink r:id="rId38" ref="E43"/>
    <hyperlink r:id="rId39" ref="E44"/>
    <hyperlink r:id="rId40" ref="E47"/>
    <hyperlink r:id="rId41" ref="E48"/>
    <hyperlink r:id="rId42" ref="E49"/>
    <hyperlink r:id="rId43" ref="E50"/>
    <hyperlink r:id="rId44" ref="E51"/>
    <hyperlink r:id="rId45" ref="E52"/>
    <hyperlink r:id="rId46" ref="E53"/>
    <hyperlink r:id="rId47" ref="E54"/>
    <hyperlink r:id="rId48" ref="E55"/>
    <hyperlink r:id="rId49" ref="E56"/>
    <hyperlink r:id="rId50" ref="E57"/>
    <hyperlink r:id="rId51" ref="E58"/>
    <hyperlink r:id="rId52" ref="E59"/>
    <hyperlink r:id="rId53" ref="E60"/>
    <hyperlink r:id="rId54" ref="E61"/>
    <hyperlink r:id="rId55" ref="E62"/>
    <hyperlink r:id="rId56" ref="E63"/>
    <hyperlink r:id="rId57" ref="E64"/>
    <hyperlink r:id="rId58" ref="E65"/>
    <hyperlink r:id="rId59" ref="E66"/>
    <hyperlink r:id="rId60" ref="E69"/>
    <hyperlink r:id="rId61" ref="E70"/>
    <hyperlink r:id="rId62" ref="E71"/>
    <hyperlink r:id="rId63" ref="E72"/>
    <hyperlink r:id="rId64" ref="E73"/>
    <hyperlink r:id="rId65" ref="E74"/>
    <hyperlink r:id="rId66" ref="E75"/>
    <hyperlink r:id="rId67" ref="E76"/>
    <hyperlink r:id="rId68" ref="E77"/>
    <hyperlink r:id="rId69" ref="E78"/>
    <hyperlink r:id="rId70" ref="E79"/>
    <hyperlink r:id="rId71" ref="E80"/>
    <hyperlink r:id="rId72" ref="E81"/>
    <hyperlink r:id="rId73" ref="E82"/>
    <hyperlink r:id="rId74" ref="E83"/>
    <hyperlink r:id="rId75" ref="E84"/>
    <hyperlink r:id="rId76" ref="E85"/>
    <hyperlink r:id="rId77" ref="E86"/>
    <hyperlink r:id="rId78" ref="E87"/>
    <hyperlink r:id="rId79" ref="E88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7"/>
    <hyperlink r:id="rId97" ref="E108"/>
    <hyperlink r:id="rId98" ref="E109"/>
    <hyperlink r:id="rId99" ref="E110"/>
    <hyperlink r:id="rId100" ref="E113"/>
    <hyperlink r:id="rId101" ref="E114"/>
    <hyperlink r:id="rId102" ref="E115"/>
    <hyperlink r:id="rId103" ref="E116"/>
    <hyperlink r:id="rId104" ref="E117"/>
    <hyperlink r:id="rId105" ref="E118"/>
    <hyperlink r:id="rId106" ref="E119"/>
    <hyperlink r:id="rId107" ref="E120"/>
    <hyperlink r:id="rId108" ref="E121"/>
    <hyperlink r:id="rId109" ref="E122"/>
    <hyperlink r:id="rId110" ref="E123"/>
    <hyperlink r:id="rId111" ref="E124"/>
    <hyperlink r:id="rId112" ref="E125"/>
    <hyperlink r:id="rId113" ref="E126"/>
    <hyperlink r:id="rId114" ref="E127"/>
    <hyperlink r:id="rId115" ref="E128"/>
    <hyperlink r:id="rId116" ref="E129"/>
    <hyperlink r:id="rId117" ref="E130"/>
    <hyperlink r:id="rId118" ref="E131"/>
    <hyperlink r:id="rId119" ref="E132"/>
    <hyperlink r:id="rId120" ref="E135"/>
    <hyperlink r:id="rId121" ref="E136"/>
    <hyperlink r:id="rId122" ref="E137"/>
    <hyperlink r:id="rId123" ref="E138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</hyperlinks>
  <drawing r:id="rId320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 t="s">
        <v>663</v>
      </c>
      <c r="B1" s="1" t="s">
        <v>0</v>
      </c>
      <c r="C1" s="2"/>
      <c r="D1" s="3"/>
      <c r="E1" s="29"/>
    </row>
    <row r="2">
      <c r="A2" s="66"/>
      <c r="B2" s="6" t="s">
        <v>2</v>
      </c>
      <c r="C2" s="6" t="s">
        <v>3</v>
      </c>
      <c r="D2" s="6" t="s">
        <v>4</v>
      </c>
      <c r="E2" s="6" t="s">
        <v>5</v>
      </c>
    </row>
    <row r="3">
      <c r="A3" s="66"/>
      <c r="B3" s="32" t="s">
        <v>1709</v>
      </c>
      <c r="C3" s="33" t="s">
        <v>11</v>
      </c>
      <c r="D3" s="34" t="s">
        <v>1644</v>
      </c>
      <c r="E3" s="11" t="s">
        <v>33</v>
      </c>
    </row>
    <row r="4">
      <c r="A4" s="66"/>
      <c r="B4" s="32" t="s">
        <v>1710</v>
      </c>
      <c r="C4" s="33" t="s">
        <v>31</v>
      </c>
      <c r="D4" s="32" t="s">
        <v>1640</v>
      </c>
      <c r="E4" s="11" t="s">
        <v>37</v>
      </c>
    </row>
    <row r="5">
      <c r="A5" s="66"/>
      <c r="B5" s="34" t="s">
        <v>1711</v>
      </c>
      <c r="C5" s="33" t="s">
        <v>338</v>
      </c>
      <c r="D5" s="32" t="s">
        <v>1709</v>
      </c>
      <c r="E5" s="11" t="s">
        <v>33</v>
      </c>
    </row>
    <row r="6">
      <c r="A6" s="66"/>
      <c r="B6" s="32" t="s">
        <v>1710</v>
      </c>
      <c r="C6" s="33" t="s">
        <v>17</v>
      </c>
      <c r="D6" s="34" t="s">
        <v>1644</v>
      </c>
      <c r="E6" s="11" t="s">
        <v>37</v>
      </c>
    </row>
    <row r="7">
      <c r="A7" s="66"/>
      <c r="B7" s="34" t="s">
        <v>1711</v>
      </c>
      <c r="C7" s="33" t="s">
        <v>21</v>
      </c>
      <c r="D7" s="32" t="s">
        <v>1640</v>
      </c>
      <c r="E7" s="11" t="s">
        <v>33</v>
      </c>
    </row>
    <row r="8">
      <c r="A8" s="66"/>
      <c r="B8" s="32" t="s">
        <v>1710</v>
      </c>
      <c r="C8" s="33" t="s">
        <v>1088</v>
      </c>
      <c r="D8" s="32" t="s">
        <v>1709</v>
      </c>
      <c r="E8" s="11" t="s">
        <v>37</v>
      </c>
    </row>
    <row r="9">
      <c r="A9" s="66"/>
      <c r="B9" s="34" t="s">
        <v>1711</v>
      </c>
      <c r="C9" s="33" t="s">
        <v>67</v>
      </c>
      <c r="D9" s="34" t="s">
        <v>1644</v>
      </c>
      <c r="E9" s="11" t="s">
        <v>33</v>
      </c>
    </row>
    <row r="10">
      <c r="A10" s="66"/>
      <c r="B10" s="32" t="s">
        <v>1640</v>
      </c>
      <c r="C10" s="33" t="s">
        <v>17</v>
      </c>
      <c r="D10" s="32" t="s">
        <v>1709</v>
      </c>
      <c r="E10" s="11" t="s">
        <v>37</v>
      </c>
    </row>
    <row r="11">
      <c r="A11" s="66"/>
      <c r="B11" s="34" t="s">
        <v>1711</v>
      </c>
      <c r="C11" s="33" t="s">
        <v>19</v>
      </c>
      <c r="D11" s="32" t="s">
        <v>1710</v>
      </c>
      <c r="E11" s="11" t="s">
        <v>33</v>
      </c>
    </row>
    <row r="12">
      <c r="A12" s="66"/>
      <c r="B12" s="32" t="s">
        <v>1640</v>
      </c>
      <c r="C12" s="33" t="s">
        <v>42</v>
      </c>
      <c r="D12" s="34" t="s">
        <v>1644</v>
      </c>
      <c r="E12" s="11" t="s">
        <v>37</v>
      </c>
    </row>
    <row r="13">
      <c r="A13" s="66"/>
      <c r="B13" s="34" t="s">
        <v>1644</v>
      </c>
      <c r="C13" s="33" t="s">
        <v>219</v>
      </c>
      <c r="D13" s="32" t="s">
        <v>1709</v>
      </c>
      <c r="E13" s="11" t="s">
        <v>33</v>
      </c>
      <c r="J13" s="36" t="s">
        <v>242</v>
      </c>
    </row>
    <row r="14">
      <c r="A14" s="66"/>
      <c r="B14" s="32" t="s">
        <v>1640</v>
      </c>
      <c r="C14" s="33" t="s">
        <v>201</v>
      </c>
      <c r="D14" s="32" t="s">
        <v>1710</v>
      </c>
      <c r="E14" s="11" t="s">
        <v>37</v>
      </c>
    </row>
    <row r="15">
      <c r="A15" s="66"/>
      <c r="B15" s="32" t="s">
        <v>1709</v>
      </c>
      <c r="C15" s="35" t="s">
        <v>1068</v>
      </c>
      <c r="D15" s="34" t="s">
        <v>1711</v>
      </c>
      <c r="E15" s="11" t="s">
        <v>33</v>
      </c>
    </row>
    <row r="16">
      <c r="A16" s="66"/>
      <c r="B16" s="34" t="s">
        <v>1644</v>
      </c>
      <c r="C16" s="35" t="s">
        <v>239</v>
      </c>
      <c r="D16" s="32" t="s">
        <v>1710</v>
      </c>
      <c r="E16" s="11" t="s">
        <v>37</v>
      </c>
    </row>
    <row r="17">
      <c r="A17" s="66"/>
      <c r="B17" s="32" t="s">
        <v>1640</v>
      </c>
      <c r="C17" s="35" t="s">
        <v>1091</v>
      </c>
      <c r="D17" s="34" t="s">
        <v>1711</v>
      </c>
      <c r="E17" s="11" t="s">
        <v>33</v>
      </c>
    </row>
    <row r="18">
      <c r="A18" s="66"/>
      <c r="B18" s="32" t="s">
        <v>1709</v>
      </c>
      <c r="C18" s="35" t="s">
        <v>1712</v>
      </c>
      <c r="D18" s="32" t="s">
        <v>1710</v>
      </c>
      <c r="E18" s="11" t="s">
        <v>37</v>
      </c>
    </row>
    <row r="19">
      <c r="A19" s="66"/>
      <c r="B19" s="34" t="s">
        <v>1644</v>
      </c>
      <c r="C19" s="35" t="s">
        <v>289</v>
      </c>
      <c r="D19" s="34" t="s">
        <v>1711</v>
      </c>
      <c r="E19" s="11" t="s">
        <v>33</v>
      </c>
    </row>
    <row r="20">
      <c r="A20" s="66"/>
      <c r="B20" s="32" t="s">
        <v>1709</v>
      </c>
      <c r="C20" s="35" t="s">
        <v>88</v>
      </c>
      <c r="D20" s="32" t="s">
        <v>1640</v>
      </c>
      <c r="E20" s="11" t="s">
        <v>37</v>
      </c>
    </row>
    <row r="21">
      <c r="A21" s="66"/>
      <c r="B21" s="32" t="s">
        <v>1710</v>
      </c>
      <c r="C21" s="35" t="s">
        <v>205</v>
      </c>
      <c r="D21" s="34" t="s">
        <v>1711</v>
      </c>
      <c r="E21" s="11" t="s">
        <v>33</v>
      </c>
    </row>
    <row r="22">
      <c r="A22" s="66"/>
      <c r="B22" s="34" t="s">
        <v>1644</v>
      </c>
      <c r="C22" s="35" t="s">
        <v>82</v>
      </c>
      <c r="D22" s="32" t="s">
        <v>1640</v>
      </c>
      <c r="E22" s="11" t="s">
        <v>37</v>
      </c>
    </row>
    <row r="23">
      <c r="A23" s="66"/>
      <c r="B23" s="1" t="s">
        <v>1321</v>
      </c>
      <c r="C23" s="2"/>
      <c r="D23" s="3"/>
      <c r="E23" s="48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1713</v>
      </c>
      <c r="C25" s="33" t="s">
        <v>201</v>
      </c>
      <c r="D25" s="32" t="s">
        <v>1714</v>
      </c>
      <c r="E25" s="11" t="s">
        <v>9</v>
      </c>
    </row>
    <row r="26">
      <c r="A26" s="66"/>
      <c r="B26" s="32" t="s">
        <v>256</v>
      </c>
      <c r="C26" s="33" t="s">
        <v>1428</v>
      </c>
      <c r="D26" s="32" t="s">
        <v>851</v>
      </c>
      <c r="E26" s="11" t="s">
        <v>13</v>
      </c>
    </row>
    <row r="27">
      <c r="A27" s="66"/>
      <c r="B27" s="34" t="s">
        <v>1715</v>
      </c>
      <c r="C27" s="33" t="s">
        <v>43</v>
      </c>
      <c r="D27" s="34" t="s">
        <v>1713</v>
      </c>
      <c r="E27" s="11" t="s">
        <v>9</v>
      </c>
    </row>
    <row r="28">
      <c r="A28" s="66"/>
      <c r="B28" s="32" t="s">
        <v>256</v>
      </c>
      <c r="C28" s="33" t="s">
        <v>195</v>
      </c>
      <c r="D28" s="32" t="s">
        <v>1714</v>
      </c>
      <c r="E28" s="11" t="s">
        <v>13</v>
      </c>
    </row>
    <row r="29">
      <c r="A29" s="66"/>
      <c r="B29" s="34" t="s">
        <v>1715</v>
      </c>
      <c r="C29" s="33" t="s">
        <v>1716</v>
      </c>
      <c r="D29" s="32" t="s">
        <v>851</v>
      </c>
      <c r="E29" s="11" t="s">
        <v>9</v>
      </c>
    </row>
    <row r="30">
      <c r="A30" s="66"/>
      <c r="B30" s="32" t="s">
        <v>256</v>
      </c>
      <c r="C30" s="33" t="s">
        <v>87</v>
      </c>
      <c r="D30" s="34" t="s">
        <v>1713</v>
      </c>
      <c r="E30" s="11" t="s">
        <v>13</v>
      </c>
    </row>
    <row r="31">
      <c r="A31" s="66"/>
      <c r="B31" s="34" t="s">
        <v>1715</v>
      </c>
      <c r="C31" s="33" t="s">
        <v>1717</v>
      </c>
      <c r="D31" s="32" t="s">
        <v>1714</v>
      </c>
      <c r="E31" s="11" t="s">
        <v>9</v>
      </c>
    </row>
    <row r="32">
      <c r="A32" s="66"/>
      <c r="B32" s="32" t="s">
        <v>851</v>
      </c>
      <c r="C32" s="33" t="s">
        <v>201</v>
      </c>
      <c r="D32" s="34" t="s">
        <v>1713</v>
      </c>
      <c r="E32" s="11" t="s">
        <v>13</v>
      </c>
    </row>
    <row r="33">
      <c r="A33" s="66"/>
      <c r="B33" s="34" t="s">
        <v>1715</v>
      </c>
      <c r="C33" s="33" t="s">
        <v>400</v>
      </c>
      <c r="D33" s="32" t="s">
        <v>256</v>
      </c>
      <c r="E33" s="11" t="s">
        <v>9</v>
      </c>
    </row>
    <row r="34">
      <c r="A34" s="66"/>
      <c r="B34" s="32" t="s">
        <v>851</v>
      </c>
      <c r="C34" s="33" t="s">
        <v>426</v>
      </c>
      <c r="D34" s="32" t="s">
        <v>1714</v>
      </c>
      <c r="E34" s="11" t="s">
        <v>13</v>
      </c>
    </row>
    <row r="35">
      <c r="A35" s="66"/>
      <c r="B35" s="32" t="s">
        <v>1714</v>
      </c>
      <c r="C35" s="33" t="s">
        <v>195</v>
      </c>
      <c r="D35" s="34" t="s">
        <v>1713</v>
      </c>
      <c r="E35" s="11" t="s">
        <v>9</v>
      </c>
    </row>
    <row r="36">
      <c r="A36" s="66"/>
      <c r="B36" s="32" t="s">
        <v>851</v>
      </c>
      <c r="C36" s="33" t="s">
        <v>302</v>
      </c>
      <c r="D36" s="32" t="s">
        <v>256</v>
      </c>
      <c r="E36" s="11" t="s">
        <v>13</v>
      </c>
    </row>
    <row r="37">
      <c r="A37" s="66"/>
      <c r="B37" s="34" t="s">
        <v>1713</v>
      </c>
      <c r="C37" s="35" t="s">
        <v>81</v>
      </c>
      <c r="D37" s="34" t="s">
        <v>1715</v>
      </c>
      <c r="E37" s="11" t="s">
        <v>9</v>
      </c>
    </row>
    <row r="38">
      <c r="A38" s="66"/>
      <c r="B38" s="32" t="s">
        <v>1714</v>
      </c>
      <c r="C38" s="35" t="s">
        <v>28</v>
      </c>
      <c r="D38" s="32" t="s">
        <v>256</v>
      </c>
      <c r="E38" s="11" t="s">
        <v>13</v>
      </c>
    </row>
    <row r="39">
      <c r="A39" s="66"/>
      <c r="B39" s="32" t="s">
        <v>851</v>
      </c>
      <c r="C39" s="35" t="s">
        <v>1718</v>
      </c>
      <c r="D39" s="34" t="s">
        <v>1715</v>
      </c>
      <c r="E39" s="11" t="s">
        <v>9</v>
      </c>
    </row>
    <row r="40">
      <c r="A40" s="66"/>
      <c r="B40" s="34" t="s">
        <v>1713</v>
      </c>
      <c r="C40" s="35" t="s">
        <v>87</v>
      </c>
      <c r="D40" s="32" t="s">
        <v>256</v>
      </c>
      <c r="E40" s="11" t="s">
        <v>13</v>
      </c>
    </row>
    <row r="41">
      <c r="A41" s="66"/>
      <c r="B41" s="32" t="s">
        <v>1714</v>
      </c>
      <c r="C41" s="35" t="s">
        <v>218</v>
      </c>
      <c r="D41" s="34" t="s">
        <v>1715</v>
      </c>
      <c r="E41" s="11" t="s">
        <v>9</v>
      </c>
    </row>
    <row r="42">
      <c r="A42" s="66"/>
      <c r="B42" s="34" t="s">
        <v>1713</v>
      </c>
      <c r="C42" s="35" t="s">
        <v>363</v>
      </c>
      <c r="D42" s="32" t="s">
        <v>851</v>
      </c>
      <c r="E42" s="11" t="s">
        <v>13</v>
      </c>
    </row>
    <row r="43">
      <c r="A43" s="66"/>
      <c r="B43" s="32" t="s">
        <v>256</v>
      </c>
      <c r="C43" s="35" t="s">
        <v>403</v>
      </c>
      <c r="D43" s="34" t="s">
        <v>1715</v>
      </c>
      <c r="E43" s="11" t="s">
        <v>9</v>
      </c>
    </row>
    <row r="44">
      <c r="A44" s="67"/>
      <c r="B44" s="32" t="s">
        <v>1714</v>
      </c>
      <c r="C44" s="35" t="s">
        <v>329</v>
      </c>
      <c r="D44" s="32" t="s">
        <v>851</v>
      </c>
      <c r="E44" s="11" t="s">
        <v>13</v>
      </c>
    </row>
    <row r="45">
      <c r="B45" s="1" t="s">
        <v>1327</v>
      </c>
      <c r="C45" s="2"/>
      <c r="D45" s="3"/>
      <c r="E45" s="14"/>
    </row>
    <row r="46">
      <c r="B46" s="16" t="s">
        <v>2</v>
      </c>
      <c r="C46" s="16" t="s">
        <v>3</v>
      </c>
      <c r="D46" s="16" t="s">
        <v>4</v>
      </c>
      <c r="E46" s="16" t="s">
        <v>5</v>
      </c>
    </row>
    <row r="47">
      <c r="B47" s="32" t="s">
        <v>1719</v>
      </c>
      <c r="C47" s="35" t="s">
        <v>194</v>
      </c>
      <c r="D47" s="32" t="s">
        <v>1720</v>
      </c>
      <c r="E47" s="11" t="s">
        <v>33</v>
      </c>
    </row>
    <row r="48">
      <c r="B48" s="32" t="s">
        <v>1721</v>
      </c>
      <c r="C48" s="35" t="s">
        <v>196</v>
      </c>
      <c r="D48" s="32" t="s">
        <v>1722</v>
      </c>
      <c r="E48" s="11" t="s">
        <v>37</v>
      </c>
    </row>
    <row r="49">
      <c r="B49" s="32" t="s">
        <v>1723</v>
      </c>
      <c r="C49" s="35" t="s">
        <v>28</v>
      </c>
      <c r="D49" s="32" t="s">
        <v>1719</v>
      </c>
      <c r="E49" s="11" t="s">
        <v>33</v>
      </c>
    </row>
    <row r="50">
      <c r="B50" s="32" t="s">
        <v>1721</v>
      </c>
      <c r="C50" s="35" t="s">
        <v>78</v>
      </c>
      <c r="D50" s="32" t="s">
        <v>1720</v>
      </c>
      <c r="E50" s="11" t="s">
        <v>37</v>
      </c>
    </row>
    <row r="51">
      <c r="B51" s="32" t="s">
        <v>1723</v>
      </c>
      <c r="C51" s="35" t="s">
        <v>19</v>
      </c>
      <c r="D51" s="32" t="s">
        <v>1722</v>
      </c>
      <c r="E51" s="11" t="s">
        <v>33</v>
      </c>
      <c r="I51" s="36" t="s">
        <v>242</v>
      </c>
    </row>
    <row r="52">
      <c r="B52" s="32" t="s">
        <v>1721</v>
      </c>
      <c r="C52" s="35" t="s">
        <v>352</v>
      </c>
      <c r="D52" s="32" t="s">
        <v>1719</v>
      </c>
      <c r="E52" s="11" t="s">
        <v>37</v>
      </c>
    </row>
    <row r="53">
      <c r="B53" s="32" t="s">
        <v>1723</v>
      </c>
      <c r="C53" s="35" t="s">
        <v>45</v>
      </c>
      <c r="D53" s="32" t="s">
        <v>1720</v>
      </c>
      <c r="E53" s="11" t="s">
        <v>33</v>
      </c>
    </row>
    <row r="54">
      <c r="B54" s="32" t="s">
        <v>1722</v>
      </c>
      <c r="C54" s="35" t="s">
        <v>38</v>
      </c>
      <c r="D54" s="32" t="s">
        <v>1719</v>
      </c>
      <c r="E54" s="11" t="s">
        <v>37</v>
      </c>
    </row>
    <row r="55">
      <c r="B55" s="32" t="s">
        <v>1723</v>
      </c>
      <c r="C55" s="35" t="s">
        <v>31</v>
      </c>
      <c r="D55" s="32" t="s">
        <v>1721</v>
      </c>
      <c r="E55" s="11" t="s">
        <v>33</v>
      </c>
    </row>
    <row r="56">
      <c r="B56" s="32" t="s">
        <v>1722</v>
      </c>
      <c r="C56" s="35" t="s">
        <v>273</v>
      </c>
      <c r="D56" s="32" t="s">
        <v>1720</v>
      </c>
      <c r="E56" s="11" t="s">
        <v>37</v>
      </c>
    </row>
    <row r="57">
      <c r="B57" s="32" t="s">
        <v>1720</v>
      </c>
      <c r="C57" s="35" t="s">
        <v>752</v>
      </c>
      <c r="D57" s="32" t="s">
        <v>1719</v>
      </c>
      <c r="E57" s="11" t="s">
        <v>33</v>
      </c>
    </row>
    <row r="58">
      <c r="B58" s="32" t="s">
        <v>1722</v>
      </c>
      <c r="C58" s="35" t="s">
        <v>43</v>
      </c>
      <c r="D58" s="32" t="s">
        <v>1721</v>
      </c>
      <c r="E58" s="11" t="s">
        <v>37</v>
      </c>
    </row>
    <row r="59">
      <c r="B59" s="32" t="s">
        <v>1719</v>
      </c>
      <c r="C59" s="35" t="s">
        <v>66</v>
      </c>
      <c r="D59" s="32" t="s">
        <v>1723</v>
      </c>
      <c r="E59" s="11" t="s">
        <v>33</v>
      </c>
    </row>
    <row r="60">
      <c r="B60" s="32" t="s">
        <v>1720</v>
      </c>
      <c r="C60" s="35" t="s">
        <v>258</v>
      </c>
      <c r="D60" s="32" t="s">
        <v>1721</v>
      </c>
      <c r="E60" s="11" t="s">
        <v>37</v>
      </c>
    </row>
    <row r="61">
      <c r="B61" s="32" t="s">
        <v>1722</v>
      </c>
      <c r="C61" s="35" t="s">
        <v>66</v>
      </c>
      <c r="D61" s="32" t="s">
        <v>1723</v>
      </c>
      <c r="E61" s="11" t="s">
        <v>33</v>
      </c>
    </row>
    <row r="62">
      <c r="B62" s="32" t="s">
        <v>1719</v>
      </c>
      <c r="C62" s="35" t="s">
        <v>65</v>
      </c>
      <c r="D62" s="32" t="s">
        <v>1721</v>
      </c>
      <c r="E62" s="11" t="s">
        <v>37</v>
      </c>
    </row>
    <row r="63">
      <c r="B63" s="32" t="s">
        <v>1720</v>
      </c>
      <c r="C63" s="35" t="s">
        <v>69</v>
      </c>
      <c r="D63" s="32" t="s">
        <v>1723</v>
      </c>
      <c r="E63" s="11" t="s">
        <v>33</v>
      </c>
    </row>
    <row r="64">
      <c r="B64" s="32" t="s">
        <v>1719</v>
      </c>
      <c r="C64" s="35" t="s">
        <v>751</v>
      </c>
      <c r="D64" s="32" t="s">
        <v>1722</v>
      </c>
      <c r="E64" s="11" t="s">
        <v>37</v>
      </c>
    </row>
    <row r="65">
      <c r="B65" s="32" t="s">
        <v>1721</v>
      </c>
      <c r="C65" s="35" t="s">
        <v>18</v>
      </c>
      <c r="D65" s="32" t="s">
        <v>1723</v>
      </c>
      <c r="E65" s="11" t="s">
        <v>33</v>
      </c>
    </row>
    <row r="66">
      <c r="B66" s="32" t="s">
        <v>1720</v>
      </c>
      <c r="C66" s="35" t="s">
        <v>55</v>
      </c>
      <c r="D66" s="32" t="s">
        <v>1722</v>
      </c>
      <c r="E66" s="11" t="s">
        <v>37</v>
      </c>
    </row>
    <row r="67">
      <c r="B67" s="1" t="s">
        <v>1331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16" t="s">
        <v>5</v>
      </c>
    </row>
    <row r="69">
      <c r="B69" s="32" t="s">
        <v>1724</v>
      </c>
      <c r="C69" s="33" t="s">
        <v>201</v>
      </c>
      <c r="D69" s="32" t="s">
        <v>1725</v>
      </c>
      <c r="E69" s="11" t="s">
        <v>9</v>
      </c>
    </row>
    <row r="70">
      <c r="B70" s="32" t="s">
        <v>107</v>
      </c>
      <c r="C70" s="33" t="s">
        <v>719</v>
      </c>
      <c r="D70" s="32" t="s">
        <v>1726</v>
      </c>
      <c r="E70" s="11" t="s">
        <v>13</v>
      </c>
    </row>
    <row r="71">
      <c r="B71" s="32" t="s">
        <v>1727</v>
      </c>
      <c r="C71" s="33" t="s">
        <v>21</v>
      </c>
      <c r="D71" s="32" t="s">
        <v>1724</v>
      </c>
      <c r="E71" s="11" t="s">
        <v>9</v>
      </c>
    </row>
    <row r="72">
      <c r="B72" s="32" t="s">
        <v>107</v>
      </c>
      <c r="C72" s="33" t="s">
        <v>55</v>
      </c>
      <c r="D72" s="32" t="s">
        <v>1725</v>
      </c>
      <c r="E72" s="11" t="s">
        <v>13</v>
      </c>
    </row>
    <row r="73">
      <c r="B73" s="32" t="s">
        <v>1727</v>
      </c>
      <c r="C73" s="33" t="s">
        <v>64</v>
      </c>
      <c r="D73" s="32" t="s">
        <v>1726</v>
      </c>
      <c r="E73" s="11" t="s">
        <v>9</v>
      </c>
    </row>
    <row r="74">
      <c r="B74" s="32" t="s">
        <v>107</v>
      </c>
      <c r="C74" s="33" t="s">
        <v>43</v>
      </c>
      <c r="D74" s="32" t="s">
        <v>1724</v>
      </c>
      <c r="E74" s="11" t="s">
        <v>13</v>
      </c>
    </row>
    <row r="75">
      <c r="B75" s="32" t="s">
        <v>1727</v>
      </c>
      <c r="C75" s="33" t="s">
        <v>239</v>
      </c>
      <c r="D75" s="32" t="s">
        <v>1725</v>
      </c>
      <c r="E75" s="11" t="s">
        <v>9</v>
      </c>
    </row>
    <row r="76">
      <c r="B76" s="32" t="s">
        <v>1726</v>
      </c>
      <c r="C76" s="33" t="s">
        <v>68</v>
      </c>
      <c r="D76" s="32" t="s">
        <v>1724</v>
      </c>
      <c r="E76" s="11" t="s">
        <v>13</v>
      </c>
    </row>
    <row r="77">
      <c r="B77" s="32" t="s">
        <v>1727</v>
      </c>
      <c r="C77" s="33" t="s">
        <v>67</v>
      </c>
      <c r="D77" s="32" t="s">
        <v>107</v>
      </c>
      <c r="E77" s="11" t="s">
        <v>9</v>
      </c>
    </row>
    <row r="78">
      <c r="B78" s="32" t="s">
        <v>1726</v>
      </c>
      <c r="C78" s="33" t="s">
        <v>68</v>
      </c>
      <c r="D78" s="32" t="s">
        <v>1725</v>
      </c>
      <c r="E78" s="11" t="s">
        <v>13</v>
      </c>
    </row>
    <row r="79">
      <c r="B79" s="32" t="s">
        <v>1725</v>
      </c>
      <c r="C79" s="33" t="s">
        <v>196</v>
      </c>
      <c r="D79" s="32" t="s">
        <v>1724</v>
      </c>
      <c r="E79" s="11" t="s">
        <v>9</v>
      </c>
    </row>
    <row r="80">
      <c r="B80" s="32" t="s">
        <v>1726</v>
      </c>
      <c r="C80" s="33" t="s">
        <v>338</v>
      </c>
      <c r="D80" s="32" t="s">
        <v>107</v>
      </c>
      <c r="E80" s="11" t="s">
        <v>13</v>
      </c>
    </row>
    <row r="81">
      <c r="B81" s="32" t="s">
        <v>1724</v>
      </c>
      <c r="C81" s="35" t="s">
        <v>48</v>
      </c>
      <c r="D81" s="32" t="s">
        <v>1727</v>
      </c>
      <c r="E81" s="11" t="s">
        <v>9</v>
      </c>
    </row>
    <row r="82">
      <c r="B82" s="32" t="s">
        <v>1725</v>
      </c>
      <c r="C82" s="35" t="s">
        <v>62</v>
      </c>
      <c r="D82" s="32" t="s">
        <v>107</v>
      </c>
      <c r="E82" s="11" t="s">
        <v>13</v>
      </c>
    </row>
    <row r="83">
      <c r="B83" s="32" t="s">
        <v>1726</v>
      </c>
      <c r="C83" s="35" t="s">
        <v>52</v>
      </c>
      <c r="D83" s="32" t="s">
        <v>1727</v>
      </c>
      <c r="E83" s="11" t="s">
        <v>9</v>
      </c>
    </row>
    <row r="84">
      <c r="B84" s="32" t="s">
        <v>1724</v>
      </c>
      <c r="C84" s="35" t="s">
        <v>11</v>
      </c>
      <c r="D84" s="32" t="s">
        <v>107</v>
      </c>
      <c r="E84" s="11" t="s">
        <v>13</v>
      </c>
    </row>
    <row r="85">
      <c r="B85" s="32" t="s">
        <v>1725</v>
      </c>
      <c r="C85" s="35" t="s">
        <v>45</v>
      </c>
      <c r="D85" s="32" t="s">
        <v>1727</v>
      </c>
      <c r="E85" s="11" t="s">
        <v>9</v>
      </c>
    </row>
    <row r="86">
      <c r="B86" s="32" t="s">
        <v>1724</v>
      </c>
      <c r="C86" s="35" t="s">
        <v>88</v>
      </c>
      <c r="D86" s="32" t="s">
        <v>1726</v>
      </c>
      <c r="E86" s="11" t="s">
        <v>13</v>
      </c>
    </row>
    <row r="87">
      <c r="B87" s="32" t="s">
        <v>107</v>
      </c>
      <c r="C87" s="35" t="s">
        <v>233</v>
      </c>
      <c r="D87" s="32" t="s">
        <v>1727</v>
      </c>
      <c r="E87" s="11" t="s">
        <v>9</v>
      </c>
    </row>
    <row r="88">
      <c r="B88" s="32" t="s">
        <v>1725</v>
      </c>
      <c r="C88" s="35" t="s">
        <v>196</v>
      </c>
      <c r="D88" s="32" t="s">
        <v>1726</v>
      </c>
      <c r="E88" s="11" t="s">
        <v>13</v>
      </c>
    </row>
    <row r="89">
      <c r="B89" s="1" t="s">
        <v>1659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16" t="s">
        <v>5</v>
      </c>
    </row>
    <row r="91">
      <c r="B91" s="32" t="s">
        <v>785</v>
      </c>
      <c r="C91" s="35" t="s">
        <v>1728</v>
      </c>
      <c r="D91" s="32" t="s">
        <v>989</v>
      </c>
      <c r="E91" s="11" t="s">
        <v>9</v>
      </c>
    </row>
    <row r="92">
      <c r="B92" s="32" t="s">
        <v>1729</v>
      </c>
      <c r="C92" s="35" t="s">
        <v>193</v>
      </c>
      <c r="D92" s="32" t="s">
        <v>1730</v>
      </c>
      <c r="E92" s="11" t="s">
        <v>13</v>
      </c>
    </row>
    <row r="93">
      <c r="B93" s="32" t="s">
        <v>1731</v>
      </c>
      <c r="C93" s="35" t="s">
        <v>21</v>
      </c>
      <c r="D93" s="32" t="s">
        <v>785</v>
      </c>
      <c r="E93" s="11" t="s">
        <v>9</v>
      </c>
    </row>
    <row r="94">
      <c r="B94" s="32" t="s">
        <v>1729</v>
      </c>
      <c r="C94" s="35" t="s">
        <v>354</v>
      </c>
      <c r="D94" s="32" t="s">
        <v>989</v>
      </c>
      <c r="E94" s="11" t="s">
        <v>13</v>
      </c>
    </row>
    <row r="95">
      <c r="B95" s="32" t="s">
        <v>1731</v>
      </c>
      <c r="C95" s="35" t="s">
        <v>201</v>
      </c>
      <c r="D95" s="32" t="s">
        <v>1730</v>
      </c>
      <c r="E95" s="11" t="s">
        <v>9</v>
      </c>
    </row>
    <row r="96">
      <c r="B96" s="32" t="s">
        <v>1729</v>
      </c>
      <c r="C96" s="35" t="s">
        <v>205</v>
      </c>
      <c r="D96" s="32" t="s">
        <v>785</v>
      </c>
      <c r="E96" s="11" t="s">
        <v>13</v>
      </c>
    </row>
    <row r="97">
      <c r="B97" s="32" t="s">
        <v>1731</v>
      </c>
      <c r="C97" s="35" t="s">
        <v>194</v>
      </c>
      <c r="D97" s="32" t="s">
        <v>989</v>
      </c>
      <c r="E97" s="11" t="s">
        <v>9</v>
      </c>
    </row>
    <row r="98">
      <c r="B98" s="32" t="s">
        <v>1730</v>
      </c>
      <c r="C98" s="35" t="s">
        <v>68</v>
      </c>
      <c r="D98" s="32" t="s">
        <v>785</v>
      </c>
      <c r="E98" s="11" t="s">
        <v>13</v>
      </c>
    </row>
    <row r="99">
      <c r="B99" s="32" t="s">
        <v>1731</v>
      </c>
      <c r="C99" s="35" t="s">
        <v>87</v>
      </c>
      <c r="D99" s="32" t="s">
        <v>1729</v>
      </c>
      <c r="E99" s="11" t="s">
        <v>9</v>
      </c>
    </row>
    <row r="100">
      <c r="B100" s="32" t="s">
        <v>1730</v>
      </c>
      <c r="C100" s="35" t="s">
        <v>719</v>
      </c>
      <c r="D100" s="32" t="s">
        <v>989</v>
      </c>
      <c r="E100" s="11" t="s">
        <v>13</v>
      </c>
    </row>
    <row r="101">
      <c r="B101" s="32" t="s">
        <v>989</v>
      </c>
      <c r="C101" s="35" t="s">
        <v>38</v>
      </c>
      <c r="D101" s="32" t="s">
        <v>785</v>
      </c>
      <c r="E101" s="11" t="s">
        <v>9</v>
      </c>
    </row>
    <row r="102">
      <c r="B102" s="32" t="s">
        <v>1730</v>
      </c>
      <c r="C102" s="35" t="s">
        <v>194</v>
      </c>
      <c r="D102" s="32" t="s">
        <v>1729</v>
      </c>
      <c r="E102" s="11" t="s">
        <v>13</v>
      </c>
      <c r="L102" s="54"/>
    </row>
    <row r="103">
      <c r="B103" s="32" t="s">
        <v>785</v>
      </c>
      <c r="C103" s="35" t="s">
        <v>55</v>
      </c>
      <c r="D103" s="32" t="s">
        <v>1731</v>
      </c>
      <c r="E103" s="11" t="s">
        <v>9</v>
      </c>
    </row>
    <row r="104">
      <c r="B104" s="32" t="s">
        <v>989</v>
      </c>
      <c r="C104" s="35" t="s">
        <v>201</v>
      </c>
      <c r="D104" s="32" t="s">
        <v>1729</v>
      </c>
      <c r="E104" s="11" t="s">
        <v>13</v>
      </c>
    </row>
    <row r="105">
      <c r="B105" s="32" t="s">
        <v>1730</v>
      </c>
      <c r="C105" s="35" t="s">
        <v>81</v>
      </c>
      <c r="D105" s="32" t="s">
        <v>1731</v>
      </c>
      <c r="E105" s="11" t="s">
        <v>9</v>
      </c>
    </row>
    <row r="106">
      <c r="B106" s="32" t="s">
        <v>785</v>
      </c>
      <c r="C106" s="35" t="s">
        <v>445</v>
      </c>
      <c r="D106" s="32" t="s">
        <v>1729</v>
      </c>
      <c r="E106" s="11" t="s">
        <v>13</v>
      </c>
    </row>
    <row r="107">
      <c r="B107" s="32" t="s">
        <v>989</v>
      </c>
      <c r="C107" s="35" t="s">
        <v>68</v>
      </c>
      <c r="D107" s="32" t="s">
        <v>1731</v>
      </c>
      <c r="E107" s="11" t="s">
        <v>9</v>
      </c>
    </row>
    <row r="108">
      <c r="B108" s="32" t="s">
        <v>785</v>
      </c>
      <c r="C108" s="35" t="s">
        <v>196</v>
      </c>
      <c r="D108" s="32" t="s">
        <v>1730</v>
      </c>
      <c r="E108" s="11" t="s">
        <v>13</v>
      </c>
    </row>
    <row r="109">
      <c r="B109" s="32" t="s">
        <v>1729</v>
      </c>
      <c r="C109" s="35" t="s">
        <v>201</v>
      </c>
      <c r="D109" s="32" t="s">
        <v>1731</v>
      </c>
      <c r="E109" s="11" t="s">
        <v>9</v>
      </c>
    </row>
    <row r="110">
      <c r="B110" s="32" t="s">
        <v>989</v>
      </c>
      <c r="C110" s="35" t="s">
        <v>62</v>
      </c>
      <c r="D110" s="32" t="s">
        <v>1730</v>
      </c>
      <c r="E110" s="11" t="s">
        <v>13</v>
      </c>
    </row>
    <row r="111">
      <c r="B111" s="1" t="s">
        <v>1664</v>
      </c>
      <c r="C111" s="2"/>
      <c r="D111" s="3"/>
      <c r="E111" s="4"/>
    </row>
    <row r="112"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B113" s="32" t="s">
        <v>1732</v>
      </c>
      <c r="C113" s="33" t="s">
        <v>25</v>
      </c>
      <c r="D113" s="32" t="s">
        <v>1733</v>
      </c>
      <c r="E113" s="11" t="s">
        <v>9</v>
      </c>
    </row>
    <row r="114">
      <c r="B114" s="32" t="s">
        <v>417</v>
      </c>
      <c r="C114" s="33" t="s">
        <v>16</v>
      </c>
      <c r="D114" s="32" t="s">
        <v>1734</v>
      </c>
      <c r="E114" s="11" t="s">
        <v>13</v>
      </c>
    </row>
    <row r="115">
      <c r="B115" s="32" t="s">
        <v>1735</v>
      </c>
      <c r="C115" s="33" t="s">
        <v>578</v>
      </c>
      <c r="D115" s="32" t="s">
        <v>1732</v>
      </c>
      <c r="E115" s="11" t="s">
        <v>9</v>
      </c>
    </row>
    <row r="116">
      <c r="B116" s="32" t="s">
        <v>417</v>
      </c>
      <c r="C116" s="33" t="s">
        <v>24</v>
      </c>
      <c r="D116" s="32" t="s">
        <v>1733</v>
      </c>
      <c r="E116" s="11" t="s">
        <v>13</v>
      </c>
    </row>
    <row r="117">
      <c r="B117" s="32" t="s">
        <v>1735</v>
      </c>
      <c r="C117" s="33" t="s">
        <v>18</v>
      </c>
      <c r="D117" s="32" t="s">
        <v>1734</v>
      </c>
      <c r="E117" s="11" t="s">
        <v>9</v>
      </c>
    </row>
    <row r="118">
      <c r="B118" s="32" t="s">
        <v>417</v>
      </c>
      <c r="C118" s="33" t="s">
        <v>726</v>
      </c>
      <c r="D118" s="32" t="s">
        <v>1732</v>
      </c>
      <c r="E118" s="11" t="s">
        <v>13</v>
      </c>
    </row>
    <row r="119">
      <c r="B119" s="32" t="s">
        <v>1735</v>
      </c>
      <c r="C119" s="33" t="s">
        <v>289</v>
      </c>
      <c r="D119" s="32" t="s">
        <v>1733</v>
      </c>
      <c r="E119" s="11" t="s">
        <v>9</v>
      </c>
    </row>
    <row r="120">
      <c r="B120" s="32" t="s">
        <v>1734</v>
      </c>
      <c r="C120" s="33" t="s">
        <v>239</v>
      </c>
      <c r="D120" s="32" t="s">
        <v>1732</v>
      </c>
      <c r="E120" s="11" t="s">
        <v>13</v>
      </c>
    </row>
    <row r="121">
      <c r="B121" s="32" t="s">
        <v>1735</v>
      </c>
      <c r="C121" s="33" t="s">
        <v>220</v>
      </c>
      <c r="D121" s="32" t="s">
        <v>417</v>
      </c>
      <c r="E121" s="11" t="s">
        <v>9</v>
      </c>
    </row>
    <row r="122">
      <c r="B122" s="32" t="s">
        <v>1734</v>
      </c>
      <c r="C122" s="33" t="s">
        <v>82</v>
      </c>
      <c r="D122" s="32" t="s">
        <v>1733</v>
      </c>
      <c r="E122" s="11" t="s">
        <v>13</v>
      </c>
    </row>
    <row r="123">
      <c r="B123" s="32" t="s">
        <v>1733</v>
      </c>
      <c r="C123" s="33" t="s">
        <v>72</v>
      </c>
      <c r="D123" s="32" t="s">
        <v>1732</v>
      </c>
      <c r="E123" s="11" t="s">
        <v>9</v>
      </c>
    </row>
    <row r="124">
      <c r="B124" s="32" t="s">
        <v>1734</v>
      </c>
      <c r="C124" s="33" t="s">
        <v>465</v>
      </c>
      <c r="D124" s="32" t="s">
        <v>417</v>
      </c>
      <c r="E124" s="11" t="s">
        <v>13</v>
      </c>
    </row>
    <row r="125">
      <c r="B125" s="32" t="s">
        <v>1732</v>
      </c>
      <c r="C125" s="35" t="s">
        <v>293</v>
      </c>
      <c r="D125" s="32" t="s">
        <v>1735</v>
      </c>
      <c r="E125" s="11" t="s">
        <v>9</v>
      </c>
    </row>
    <row r="126">
      <c r="B126" s="32" t="s">
        <v>1733</v>
      </c>
      <c r="C126" s="35" t="s">
        <v>16</v>
      </c>
      <c r="D126" s="32" t="s">
        <v>417</v>
      </c>
      <c r="E126" s="11" t="s">
        <v>13</v>
      </c>
    </row>
    <row r="127">
      <c r="B127" s="32" t="s">
        <v>1734</v>
      </c>
      <c r="C127" s="35" t="s">
        <v>190</v>
      </c>
      <c r="D127" s="32" t="s">
        <v>1735</v>
      </c>
      <c r="E127" s="11" t="s">
        <v>9</v>
      </c>
    </row>
    <row r="128">
      <c r="B128" s="32" t="s">
        <v>1732</v>
      </c>
      <c r="C128" s="35" t="s">
        <v>1736</v>
      </c>
      <c r="D128" s="32" t="s">
        <v>417</v>
      </c>
      <c r="E128" s="11" t="s">
        <v>13</v>
      </c>
    </row>
    <row r="129">
      <c r="B129" s="32" t="s">
        <v>1733</v>
      </c>
      <c r="C129" s="35" t="s">
        <v>16</v>
      </c>
      <c r="D129" s="32" t="s">
        <v>1735</v>
      </c>
      <c r="E129" s="11" t="s">
        <v>9</v>
      </c>
    </row>
    <row r="130">
      <c r="B130" s="32" t="s">
        <v>1732</v>
      </c>
      <c r="C130" s="35" t="s">
        <v>17</v>
      </c>
      <c r="D130" s="32" t="s">
        <v>1734</v>
      </c>
      <c r="E130" s="11" t="s">
        <v>13</v>
      </c>
    </row>
    <row r="131">
      <c r="B131" s="32" t="s">
        <v>417</v>
      </c>
      <c r="C131" s="35" t="s">
        <v>27</v>
      </c>
      <c r="D131" s="32" t="s">
        <v>1735</v>
      </c>
      <c r="E131" s="11" t="s">
        <v>9</v>
      </c>
    </row>
    <row r="132">
      <c r="B132" s="32" t="s">
        <v>1733</v>
      </c>
      <c r="C132" s="35" t="s">
        <v>68</v>
      </c>
      <c r="D132" s="32" t="s">
        <v>1734</v>
      </c>
      <c r="E132" s="11" t="s">
        <v>13</v>
      </c>
    </row>
    <row r="133">
      <c r="B133" s="1" t="s">
        <v>1413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32" t="s">
        <v>1737</v>
      </c>
      <c r="C135" s="33" t="s">
        <v>220</v>
      </c>
      <c r="D135" s="32" t="s">
        <v>124</v>
      </c>
      <c r="E135" s="11" t="s">
        <v>33</v>
      </c>
    </row>
    <row r="136">
      <c r="B136" s="32" t="s">
        <v>1738</v>
      </c>
      <c r="C136" s="33" t="s">
        <v>21</v>
      </c>
      <c r="D136" s="32" t="s">
        <v>1739</v>
      </c>
      <c r="E136" s="11" t="s">
        <v>37</v>
      </c>
    </row>
    <row r="137">
      <c r="B137" s="32" t="s">
        <v>1740</v>
      </c>
      <c r="C137" s="33" t="s">
        <v>193</v>
      </c>
      <c r="D137" s="32" t="s">
        <v>1737</v>
      </c>
      <c r="E137" s="11" t="s">
        <v>33</v>
      </c>
    </row>
    <row r="138">
      <c r="B138" s="32" t="s">
        <v>1738</v>
      </c>
      <c r="C138" s="33" t="s">
        <v>21</v>
      </c>
      <c r="D138" s="32" t="s">
        <v>124</v>
      </c>
      <c r="E138" s="11" t="s">
        <v>37</v>
      </c>
    </row>
    <row r="139">
      <c r="B139" s="32" t="s">
        <v>1740</v>
      </c>
      <c r="C139" s="33" t="s">
        <v>20</v>
      </c>
      <c r="D139" s="32" t="s">
        <v>1739</v>
      </c>
      <c r="E139" s="11" t="s">
        <v>33</v>
      </c>
    </row>
    <row r="140">
      <c r="B140" s="32" t="s">
        <v>1738</v>
      </c>
      <c r="C140" s="33" t="s">
        <v>68</v>
      </c>
      <c r="D140" s="32" t="s">
        <v>1737</v>
      </c>
      <c r="E140" s="11" t="s">
        <v>37</v>
      </c>
    </row>
    <row r="141">
      <c r="B141" s="32" t="s">
        <v>1740</v>
      </c>
      <c r="C141" s="33" t="s">
        <v>283</v>
      </c>
      <c r="D141" s="32" t="s">
        <v>124</v>
      </c>
      <c r="E141" s="11" t="s">
        <v>33</v>
      </c>
    </row>
    <row r="142">
      <c r="B142" s="32" t="s">
        <v>1739</v>
      </c>
      <c r="C142" s="33" t="s">
        <v>68</v>
      </c>
      <c r="D142" s="32" t="s">
        <v>1737</v>
      </c>
      <c r="E142" s="11" t="s">
        <v>37</v>
      </c>
    </row>
    <row r="143">
      <c r="B143" s="32" t="s">
        <v>1740</v>
      </c>
      <c r="C143" s="33" t="s">
        <v>446</v>
      </c>
      <c r="D143" s="32" t="s">
        <v>1738</v>
      </c>
      <c r="E143" s="11" t="s">
        <v>33</v>
      </c>
    </row>
    <row r="144">
      <c r="B144" s="32" t="s">
        <v>1739</v>
      </c>
      <c r="C144" s="33" t="s">
        <v>466</v>
      </c>
      <c r="D144" s="32" t="s">
        <v>124</v>
      </c>
      <c r="E144" s="11" t="s">
        <v>37</v>
      </c>
    </row>
    <row r="145">
      <c r="B145" s="32" t="s">
        <v>124</v>
      </c>
      <c r="C145" s="33" t="s">
        <v>267</v>
      </c>
      <c r="D145" s="32" t="s">
        <v>1737</v>
      </c>
      <c r="E145" s="11" t="s">
        <v>33</v>
      </c>
    </row>
    <row r="146">
      <c r="B146" s="32" t="s">
        <v>1739</v>
      </c>
      <c r="C146" s="33" t="s">
        <v>270</v>
      </c>
      <c r="D146" s="32" t="s">
        <v>1738</v>
      </c>
      <c r="E146" s="11" t="s">
        <v>37</v>
      </c>
    </row>
    <row r="147">
      <c r="B147" s="32" t="s">
        <v>1737</v>
      </c>
      <c r="C147" s="35" t="s">
        <v>43</v>
      </c>
      <c r="D147" s="32" t="s">
        <v>1740</v>
      </c>
      <c r="E147" s="11" t="s">
        <v>33</v>
      </c>
    </row>
    <row r="148">
      <c r="B148" s="32" t="s">
        <v>124</v>
      </c>
      <c r="C148" s="35" t="s">
        <v>695</v>
      </c>
      <c r="D148" s="32" t="s">
        <v>1738</v>
      </c>
      <c r="E148" s="11" t="s">
        <v>37</v>
      </c>
    </row>
    <row r="149">
      <c r="B149" s="32" t="s">
        <v>1739</v>
      </c>
      <c r="C149" s="35" t="s">
        <v>25</v>
      </c>
      <c r="D149" s="32" t="s">
        <v>1740</v>
      </c>
      <c r="E149" s="11" t="s">
        <v>33</v>
      </c>
    </row>
    <row r="150">
      <c r="B150" s="32" t="s">
        <v>1737</v>
      </c>
      <c r="C150" s="35" t="s">
        <v>22</v>
      </c>
      <c r="D150" s="32" t="s">
        <v>1738</v>
      </c>
      <c r="E150" s="11" t="s">
        <v>37</v>
      </c>
    </row>
    <row r="151">
      <c r="B151" s="32" t="s">
        <v>124</v>
      </c>
      <c r="C151" s="35" t="s">
        <v>857</v>
      </c>
      <c r="D151" s="32" t="s">
        <v>1740</v>
      </c>
      <c r="E151" s="11" t="s">
        <v>33</v>
      </c>
    </row>
    <row r="152">
      <c r="B152" s="32" t="s">
        <v>1737</v>
      </c>
      <c r="C152" s="35" t="s">
        <v>197</v>
      </c>
      <c r="D152" s="32" t="s">
        <v>1739</v>
      </c>
      <c r="E152" s="11" t="s">
        <v>37</v>
      </c>
    </row>
    <row r="153">
      <c r="B153" s="32" t="s">
        <v>1738</v>
      </c>
      <c r="C153" s="35" t="s">
        <v>19</v>
      </c>
      <c r="D153" s="32" t="s">
        <v>1740</v>
      </c>
      <c r="E153" s="11" t="s">
        <v>33</v>
      </c>
    </row>
    <row r="154">
      <c r="B154" s="32" t="s">
        <v>124</v>
      </c>
      <c r="C154" s="35" t="s">
        <v>78</v>
      </c>
      <c r="D154" s="32" t="s">
        <v>1739</v>
      </c>
      <c r="E154" s="11" t="s">
        <v>37</v>
      </c>
    </row>
    <row r="155">
      <c r="B155" s="1" t="s">
        <v>1419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B157" s="32" t="s">
        <v>1741</v>
      </c>
      <c r="C157" s="35" t="s">
        <v>951</v>
      </c>
      <c r="D157" s="32" t="s">
        <v>1742</v>
      </c>
      <c r="E157" s="11" t="s">
        <v>9</v>
      </c>
    </row>
    <row r="158">
      <c r="B158" s="32" t="s">
        <v>1743</v>
      </c>
      <c r="C158" s="35" t="s">
        <v>190</v>
      </c>
      <c r="D158" s="32" t="s">
        <v>773</v>
      </c>
      <c r="E158" s="11" t="s">
        <v>13</v>
      </c>
    </row>
    <row r="159">
      <c r="B159" s="32" t="s">
        <v>1744</v>
      </c>
      <c r="C159" s="35" t="s">
        <v>27</v>
      </c>
      <c r="D159" s="32" t="s">
        <v>1741</v>
      </c>
      <c r="E159" s="11" t="s">
        <v>9</v>
      </c>
    </row>
    <row r="160">
      <c r="B160" s="32" t="s">
        <v>1743</v>
      </c>
      <c r="C160" s="35" t="s">
        <v>297</v>
      </c>
      <c r="D160" s="32" t="s">
        <v>1742</v>
      </c>
      <c r="E160" s="11" t="s">
        <v>13</v>
      </c>
    </row>
    <row r="161">
      <c r="B161" s="32" t="s">
        <v>1744</v>
      </c>
      <c r="C161" s="35" t="s">
        <v>52</v>
      </c>
      <c r="D161" s="32" t="s">
        <v>773</v>
      </c>
      <c r="E161" s="11" t="s">
        <v>9</v>
      </c>
    </row>
    <row r="162">
      <c r="B162" s="32" t="s">
        <v>1743</v>
      </c>
      <c r="C162" s="35" t="s">
        <v>243</v>
      </c>
      <c r="D162" s="32" t="s">
        <v>1741</v>
      </c>
      <c r="E162" s="11" t="s">
        <v>13</v>
      </c>
    </row>
    <row r="163">
      <c r="B163" s="32" t="s">
        <v>1744</v>
      </c>
      <c r="C163" s="35" t="s">
        <v>270</v>
      </c>
      <c r="D163" s="32" t="s">
        <v>1742</v>
      </c>
      <c r="E163" s="11" t="s">
        <v>9</v>
      </c>
    </row>
    <row r="164">
      <c r="B164" s="32" t="s">
        <v>773</v>
      </c>
      <c r="C164" s="35" t="s">
        <v>190</v>
      </c>
      <c r="D164" s="32" t="s">
        <v>1741</v>
      </c>
      <c r="E164" s="11" t="s">
        <v>13</v>
      </c>
    </row>
    <row r="165">
      <c r="B165" s="32" t="s">
        <v>1744</v>
      </c>
      <c r="C165" s="35" t="s">
        <v>81</v>
      </c>
      <c r="D165" s="32" t="s">
        <v>1743</v>
      </c>
      <c r="E165" s="11" t="s">
        <v>9</v>
      </c>
    </row>
    <row r="166">
      <c r="B166" s="32" t="s">
        <v>773</v>
      </c>
      <c r="C166" s="35" t="s">
        <v>488</v>
      </c>
      <c r="D166" s="32" t="s">
        <v>1742</v>
      </c>
      <c r="E166" s="11" t="s">
        <v>13</v>
      </c>
    </row>
    <row r="167">
      <c r="B167" s="32" t="s">
        <v>1742</v>
      </c>
      <c r="C167" s="35" t="s">
        <v>190</v>
      </c>
      <c r="D167" s="32" t="s">
        <v>1741</v>
      </c>
      <c r="E167" s="11" t="s">
        <v>9</v>
      </c>
    </row>
    <row r="168">
      <c r="B168" s="32" t="s">
        <v>773</v>
      </c>
      <c r="C168" s="35" t="s">
        <v>370</v>
      </c>
      <c r="D168" s="32" t="s">
        <v>1743</v>
      </c>
      <c r="E168" s="11" t="s">
        <v>13</v>
      </c>
    </row>
    <row r="169">
      <c r="B169" s="32" t="s">
        <v>1741</v>
      </c>
      <c r="C169" s="35" t="s">
        <v>87</v>
      </c>
      <c r="D169" s="32" t="s">
        <v>1744</v>
      </c>
      <c r="E169" s="11" t="s">
        <v>9</v>
      </c>
    </row>
    <row r="170">
      <c r="B170" s="32" t="s">
        <v>1742</v>
      </c>
      <c r="C170" s="35" t="s">
        <v>239</v>
      </c>
      <c r="D170" s="32" t="s">
        <v>1743</v>
      </c>
      <c r="E170" s="11" t="s">
        <v>13</v>
      </c>
    </row>
    <row r="171">
      <c r="B171" s="32" t="s">
        <v>773</v>
      </c>
      <c r="C171" s="35" t="s">
        <v>295</v>
      </c>
      <c r="D171" s="32" t="s">
        <v>1744</v>
      </c>
      <c r="E171" s="11" t="s">
        <v>9</v>
      </c>
    </row>
    <row r="172">
      <c r="B172" s="32" t="s">
        <v>1741</v>
      </c>
      <c r="C172" s="35" t="s">
        <v>25</v>
      </c>
      <c r="D172" s="32" t="s">
        <v>1743</v>
      </c>
      <c r="E172" s="11" t="s">
        <v>13</v>
      </c>
    </row>
    <row r="173">
      <c r="B173" s="32" t="s">
        <v>1742</v>
      </c>
      <c r="C173" s="35" t="s">
        <v>435</v>
      </c>
      <c r="D173" s="32" t="s">
        <v>1744</v>
      </c>
      <c r="E173" s="11" t="s">
        <v>9</v>
      </c>
    </row>
    <row r="174">
      <c r="B174" s="32" t="s">
        <v>1741</v>
      </c>
      <c r="C174" s="35" t="s">
        <v>64</v>
      </c>
      <c r="D174" s="32" t="s">
        <v>773</v>
      </c>
      <c r="E174" s="11" t="s">
        <v>13</v>
      </c>
    </row>
    <row r="175">
      <c r="B175" s="32" t="s">
        <v>1743</v>
      </c>
      <c r="C175" s="35" t="s">
        <v>195</v>
      </c>
      <c r="D175" s="32" t="s">
        <v>1744</v>
      </c>
      <c r="E175" s="11" t="s">
        <v>9</v>
      </c>
    </row>
    <row r="176">
      <c r="B176" s="32" t="s">
        <v>1742</v>
      </c>
      <c r="C176" s="35" t="s">
        <v>62</v>
      </c>
      <c r="D176" s="32" t="s">
        <v>773</v>
      </c>
      <c r="E176" s="11" t="s">
        <v>13</v>
      </c>
    </row>
    <row r="177">
      <c r="B177" s="1" t="s">
        <v>112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B179" s="32" t="s">
        <v>1745</v>
      </c>
      <c r="C179" s="35" t="s">
        <v>187</v>
      </c>
      <c r="D179" s="32" t="s">
        <v>1407</v>
      </c>
      <c r="E179" s="11" t="s">
        <v>33</v>
      </c>
    </row>
    <row r="180">
      <c r="B180" s="32" t="s">
        <v>1149</v>
      </c>
      <c r="C180" s="35" t="s">
        <v>55</v>
      </c>
      <c r="D180" s="32" t="s">
        <v>1746</v>
      </c>
      <c r="E180" s="11" t="s">
        <v>37</v>
      </c>
    </row>
    <row r="181">
      <c r="B181" s="32" t="s">
        <v>1747</v>
      </c>
      <c r="C181" s="35" t="s">
        <v>7</v>
      </c>
      <c r="D181" s="32" t="s">
        <v>1745</v>
      </c>
      <c r="E181" s="11" t="s">
        <v>33</v>
      </c>
    </row>
    <row r="182">
      <c r="B182" s="32" t="s">
        <v>1149</v>
      </c>
      <c r="C182" s="35" t="s">
        <v>1748</v>
      </c>
      <c r="D182" s="32" t="s">
        <v>1407</v>
      </c>
      <c r="E182" s="11" t="s">
        <v>37</v>
      </c>
    </row>
    <row r="183">
      <c r="B183" s="32" t="s">
        <v>1747</v>
      </c>
      <c r="C183" s="35" t="s">
        <v>1622</v>
      </c>
      <c r="D183" s="32" t="s">
        <v>1746</v>
      </c>
      <c r="E183" s="11" t="s">
        <v>33</v>
      </c>
    </row>
    <row r="184">
      <c r="B184" s="32" t="s">
        <v>1149</v>
      </c>
      <c r="C184" s="35" t="s">
        <v>68</v>
      </c>
      <c r="D184" s="32" t="s">
        <v>1745</v>
      </c>
      <c r="E184" s="11" t="s">
        <v>37</v>
      </c>
    </row>
    <row r="185">
      <c r="B185" s="32" t="s">
        <v>1747</v>
      </c>
      <c r="C185" s="35" t="s">
        <v>684</v>
      </c>
      <c r="D185" s="32" t="s">
        <v>1407</v>
      </c>
      <c r="E185" s="11" t="s">
        <v>33</v>
      </c>
    </row>
    <row r="186">
      <c r="B186" s="32" t="s">
        <v>1746</v>
      </c>
      <c r="C186" s="35" t="s">
        <v>190</v>
      </c>
      <c r="D186" s="32" t="s">
        <v>1745</v>
      </c>
      <c r="E186" s="11" t="s">
        <v>37</v>
      </c>
    </row>
    <row r="187">
      <c r="B187" s="32" t="s">
        <v>1747</v>
      </c>
      <c r="C187" s="35" t="s">
        <v>7</v>
      </c>
      <c r="D187" s="32" t="s">
        <v>1149</v>
      </c>
      <c r="E187" s="11" t="s">
        <v>33</v>
      </c>
    </row>
    <row r="188">
      <c r="B188" s="32" t="s">
        <v>1746</v>
      </c>
      <c r="C188" s="35" t="s">
        <v>21</v>
      </c>
      <c r="D188" s="32" t="s">
        <v>1407</v>
      </c>
      <c r="E188" s="11" t="s">
        <v>37</v>
      </c>
    </row>
    <row r="189">
      <c r="B189" s="32" t="s">
        <v>1407</v>
      </c>
      <c r="C189" s="35" t="s">
        <v>24</v>
      </c>
      <c r="D189" s="32" t="s">
        <v>1745</v>
      </c>
      <c r="E189" s="11" t="s">
        <v>33</v>
      </c>
    </row>
    <row r="190">
      <c r="B190" s="32" t="s">
        <v>1746</v>
      </c>
      <c r="C190" s="35" t="s">
        <v>196</v>
      </c>
      <c r="D190" s="32" t="s">
        <v>1149</v>
      </c>
      <c r="E190" s="11" t="s">
        <v>37</v>
      </c>
    </row>
    <row r="191">
      <c r="B191" s="32" t="s">
        <v>1745</v>
      </c>
      <c r="C191" s="35" t="s">
        <v>446</v>
      </c>
      <c r="D191" s="32" t="s">
        <v>1747</v>
      </c>
      <c r="E191" s="11" t="s">
        <v>33</v>
      </c>
    </row>
    <row r="192">
      <c r="B192" s="32" t="s">
        <v>1407</v>
      </c>
      <c r="C192" s="35" t="s">
        <v>88</v>
      </c>
      <c r="D192" s="32" t="s">
        <v>1149</v>
      </c>
      <c r="E192" s="11" t="s">
        <v>37</v>
      </c>
    </row>
    <row r="193">
      <c r="B193" s="32" t="s">
        <v>1746</v>
      </c>
      <c r="C193" s="35" t="s">
        <v>52</v>
      </c>
      <c r="D193" s="32" t="s">
        <v>1747</v>
      </c>
      <c r="E193" s="11" t="s">
        <v>33</v>
      </c>
    </row>
    <row r="194">
      <c r="B194" s="32" t="s">
        <v>1745</v>
      </c>
      <c r="C194" s="35" t="s">
        <v>64</v>
      </c>
      <c r="D194" s="32" t="s">
        <v>1149</v>
      </c>
      <c r="E194" s="11" t="s">
        <v>37</v>
      </c>
    </row>
    <row r="195">
      <c r="B195" s="32" t="s">
        <v>1407</v>
      </c>
      <c r="C195" s="35" t="s">
        <v>83</v>
      </c>
      <c r="D195" s="32" t="s">
        <v>1747</v>
      </c>
      <c r="E195" s="11" t="s">
        <v>33</v>
      </c>
    </row>
    <row r="196">
      <c r="B196" s="32" t="s">
        <v>1745</v>
      </c>
      <c r="C196" s="35" t="s">
        <v>289</v>
      </c>
      <c r="D196" s="32" t="s">
        <v>1746</v>
      </c>
      <c r="E196" s="11" t="s">
        <v>37</v>
      </c>
    </row>
    <row r="197">
      <c r="B197" s="32" t="s">
        <v>1149</v>
      </c>
      <c r="C197" s="35" t="s">
        <v>286</v>
      </c>
      <c r="D197" s="32" t="s">
        <v>1747</v>
      </c>
      <c r="E197" s="11" t="s">
        <v>33</v>
      </c>
    </row>
    <row r="198">
      <c r="B198" s="32" t="s">
        <v>1407</v>
      </c>
      <c r="C198" s="35" t="s">
        <v>47</v>
      </c>
      <c r="D198" s="32" t="s">
        <v>1746</v>
      </c>
      <c r="E198" s="11" t="s">
        <v>37</v>
      </c>
    </row>
    <row r="199">
      <c r="B199" s="1" t="s">
        <v>1429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B201" s="32" t="s">
        <v>1034</v>
      </c>
      <c r="C201" s="35" t="s">
        <v>249</v>
      </c>
      <c r="D201" s="32" t="s">
        <v>1749</v>
      </c>
      <c r="E201" s="11" t="s">
        <v>33</v>
      </c>
    </row>
    <row r="202">
      <c r="B202" s="32" t="s">
        <v>169</v>
      </c>
      <c r="C202" s="35" t="s">
        <v>43</v>
      </c>
      <c r="D202" s="32" t="s">
        <v>896</v>
      </c>
      <c r="E202" s="11" t="s">
        <v>37</v>
      </c>
    </row>
    <row r="203">
      <c r="B203" s="32" t="s">
        <v>192</v>
      </c>
      <c r="C203" s="35" t="s">
        <v>16</v>
      </c>
      <c r="D203" s="32" t="s">
        <v>1034</v>
      </c>
      <c r="E203" s="11" t="s">
        <v>33</v>
      </c>
    </row>
    <row r="204">
      <c r="B204" s="32" t="s">
        <v>169</v>
      </c>
      <c r="C204" s="35" t="s">
        <v>21</v>
      </c>
      <c r="D204" s="32" t="s">
        <v>1749</v>
      </c>
      <c r="E204" s="11" t="s">
        <v>37</v>
      </c>
    </row>
    <row r="205">
      <c r="B205" s="32" t="s">
        <v>192</v>
      </c>
      <c r="C205" s="35" t="s">
        <v>187</v>
      </c>
      <c r="D205" s="32" t="s">
        <v>896</v>
      </c>
      <c r="E205" s="11" t="s">
        <v>33</v>
      </c>
    </row>
    <row r="206">
      <c r="B206" s="32" t="s">
        <v>169</v>
      </c>
      <c r="C206" s="35" t="s">
        <v>43</v>
      </c>
      <c r="D206" s="32" t="s">
        <v>1034</v>
      </c>
      <c r="E206" s="11" t="s">
        <v>37</v>
      </c>
    </row>
    <row r="207">
      <c r="B207" s="32" t="s">
        <v>192</v>
      </c>
      <c r="C207" s="35" t="s">
        <v>45</v>
      </c>
      <c r="D207" s="32" t="s">
        <v>1749</v>
      </c>
      <c r="E207" s="11" t="s">
        <v>33</v>
      </c>
    </row>
    <row r="208">
      <c r="B208" s="32" t="s">
        <v>896</v>
      </c>
      <c r="C208" s="35" t="s">
        <v>260</v>
      </c>
      <c r="D208" s="32" t="s">
        <v>1034</v>
      </c>
      <c r="E208" s="11" t="s">
        <v>37</v>
      </c>
    </row>
    <row r="209">
      <c r="B209" s="32" t="s">
        <v>192</v>
      </c>
      <c r="C209" s="35" t="s">
        <v>47</v>
      </c>
      <c r="D209" s="32" t="s">
        <v>169</v>
      </c>
      <c r="E209" s="11" t="s">
        <v>33</v>
      </c>
    </row>
    <row r="210">
      <c r="B210" s="32" t="s">
        <v>896</v>
      </c>
      <c r="C210" s="35" t="s">
        <v>16</v>
      </c>
      <c r="D210" s="32" t="s">
        <v>1749</v>
      </c>
      <c r="E210" s="11" t="s">
        <v>37</v>
      </c>
    </row>
    <row r="211">
      <c r="B211" s="32" t="s">
        <v>1749</v>
      </c>
      <c r="C211" s="35" t="s">
        <v>378</v>
      </c>
      <c r="D211" s="32" t="s">
        <v>1034</v>
      </c>
      <c r="E211" s="11" t="s">
        <v>33</v>
      </c>
    </row>
    <row r="212">
      <c r="B212" s="32" t="s">
        <v>896</v>
      </c>
      <c r="C212" s="35" t="s">
        <v>64</v>
      </c>
      <c r="D212" s="32" t="s">
        <v>169</v>
      </c>
      <c r="E212" s="11" t="s">
        <v>37</v>
      </c>
    </row>
    <row r="213">
      <c r="B213" s="32" t="s">
        <v>1034</v>
      </c>
      <c r="C213" s="35" t="s">
        <v>43</v>
      </c>
      <c r="D213" s="32" t="s">
        <v>192</v>
      </c>
      <c r="E213" s="11" t="s">
        <v>33</v>
      </c>
    </row>
    <row r="214">
      <c r="B214" s="32" t="s">
        <v>1749</v>
      </c>
      <c r="C214" s="35" t="s">
        <v>18</v>
      </c>
      <c r="D214" s="32" t="s">
        <v>169</v>
      </c>
      <c r="E214" s="11" t="s">
        <v>37</v>
      </c>
    </row>
    <row r="215">
      <c r="B215" s="32" t="s">
        <v>896</v>
      </c>
      <c r="C215" s="35" t="s">
        <v>31</v>
      </c>
      <c r="D215" s="32" t="s">
        <v>192</v>
      </c>
      <c r="E215" s="11" t="s">
        <v>33</v>
      </c>
    </row>
    <row r="216">
      <c r="B216" s="32" t="s">
        <v>1034</v>
      </c>
      <c r="C216" s="35" t="s">
        <v>11</v>
      </c>
      <c r="D216" s="32" t="s">
        <v>169</v>
      </c>
      <c r="E216" s="11" t="s">
        <v>37</v>
      </c>
    </row>
    <row r="217">
      <c r="B217" s="32" t="s">
        <v>1749</v>
      </c>
      <c r="C217" s="35" t="s">
        <v>240</v>
      </c>
      <c r="D217" s="32" t="s">
        <v>192</v>
      </c>
      <c r="E217" s="11" t="s">
        <v>33</v>
      </c>
    </row>
    <row r="218">
      <c r="B218" s="32" t="s">
        <v>1034</v>
      </c>
      <c r="C218" s="35" t="s">
        <v>261</v>
      </c>
      <c r="D218" s="32" t="s">
        <v>896</v>
      </c>
      <c r="E218" s="11" t="s">
        <v>37</v>
      </c>
    </row>
    <row r="219">
      <c r="B219" s="32" t="s">
        <v>169</v>
      </c>
      <c r="C219" s="35" t="s">
        <v>68</v>
      </c>
      <c r="D219" s="32" t="s">
        <v>192</v>
      </c>
      <c r="E219" s="11" t="s">
        <v>33</v>
      </c>
    </row>
    <row r="220">
      <c r="B220" s="32" t="s">
        <v>1749</v>
      </c>
      <c r="C220" s="35" t="s">
        <v>716</v>
      </c>
      <c r="D220" s="32" t="s">
        <v>896</v>
      </c>
      <c r="E220" s="11" t="s">
        <v>37</v>
      </c>
    </row>
    <row r="221">
      <c r="B221" s="28" t="s">
        <v>1685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34" t="s">
        <v>1750</v>
      </c>
      <c r="C223" s="33" t="s">
        <v>197</v>
      </c>
      <c r="D223" s="34" t="s">
        <v>1751</v>
      </c>
      <c r="E223" s="11" t="s">
        <v>9</v>
      </c>
    </row>
    <row r="224">
      <c r="B224" s="34" t="s">
        <v>1752</v>
      </c>
      <c r="C224" s="33" t="s">
        <v>7</v>
      </c>
      <c r="D224" s="34" t="s">
        <v>1753</v>
      </c>
      <c r="E224" s="11" t="s">
        <v>13</v>
      </c>
    </row>
    <row r="225">
      <c r="B225" s="34" t="s">
        <v>1754</v>
      </c>
      <c r="C225" s="33" t="s">
        <v>193</v>
      </c>
      <c r="D225" s="34" t="s">
        <v>1750</v>
      </c>
      <c r="E225" s="11" t="s">
        <v>9</v>
      </c>
    </row>
    <row r="226">
      <c r="B226" s="34" t="s">
        <v>1752</v>
      </c>
      <c r="C226" s="33" t="s">
        <v>190</v>
      </c>
      <c r="D226" s="34" t="s">
        <v>1751</v>
      </c>
      <c r="E226" s="11" t="s">
        <v>13</v>
      </c>
    </row>
    <row r="227">
      <c r="B227" s="34" t="s">
        <v>1754</v>
      </c>
      <c r="C227" s="33" t="s">
        <v>66</v>
      </c>
      <c r="D227" s="34" t="s">
        <v>1753</v>
      </c>
      <c r="E227" s="11" t="s">
        <v>9</v>
      </c>
    </row>
    <row r="228">
      <c r="B228" s="34" t="s">
        <v>1752</v>
      </c>
      <c r="C228" s="33" t="s">
        <v>886</v>
      </c>
      <c r="D228" s="34" t="s">
        <v>1750</v>
      </c>
      <c r="E228" s="11" t="s">
        <v>13</v>
      </c>
    </row>
    <row r="229">
      <c r="B229" s="34" t="s">
        <v>1754</v>
      </c>
      <c r="C229" s="33" t="s">
        <v>276</v>
      </c>
      <c r="D229" s="34" t="s">
        <v>1751</v>
      </c>
      <c r="E229" s="11" t="s">
        <v>9</v>
      </c>
    </row>
    <row r="230">
      <c r="B230" s="34" t="s">
        <v>1753</v>
      </c>
      <c r="C230" s="33" t="s">
        <v>58</v>
      </c>
      <c r="D230" s="34" t="s">
        <v>1750</v>
      </c>
      <c r="E230" s="11" t="s">
        <v>13</v>
      </c>
    </row>
    <row r="231">
      <c r="B231" s="34" t="s">
        <v>1754</v>
      </c>
      <c r="C231" s="33" t="s">
        <v>482</v>
      </c>
      <c r="D231" s="34" t="s">
        <v>1752</v>
      </c>
      <c r="E231" s="11" t="s">
        <v>9</v>
      </c>
    </row>
    <row r="232">
      <c r="B232" s="34" t="s">
        <v>1753</v>
      </c>
      <c r="C232" s="33" t="s">
        <v>220</v>
      </c>
      <c r="D232" s="34" t="s">
        <v>1751</v>
      </c>
      <c r="E232" s="11" t="s">
        <v>13</v>
      </c>
    </row>
    <row r="233">
      <c r="B233" s="34" t="s">
        <v>1751</v>
      </c>
      <c r="C233" s="33" t="s">
        <v>270</v>
      </c>
      <c r="D233" s="34" t="s">
        <v>1750</v>
      </c>
      <c r="E233" s="11" t="s">
        <v>9</v>
      </c>
    </row>
    <row r="234">
      <c r="B234" s="34" t="s">
        <v>1753</v>
      </c>
      <c r="C234" s="33" t="s">
        <v>369</v>
      </c>
      <c r="D234" s="34" t="s">
        <v>1752</v>
      </c>
      <c r="E234" s="11" t="s">
        <v>13</v>
      </c>
    </row>
    <row r="235">
      <c r="B235" s="34" t="s">
        <v>1750</v>
      </c>
      <c r="C235" s="35" t="s">
        <v>276</v>
      </c>
      <c r="D235" s="34" t="s">
        <v>1754</v>
      </c>
      <c r="E235" s="11" t="s">
        <v>9</v>
      </c>
    </row>
    <row r="236">
      <c r="B236" s="34" t="s">
        <v>1751</v>
      </c>
      <c r="C236" s="35" t="s">
        <v>16</v>
      </c>
      <c r="D236" s="34" t="s">
        <v>1752</v>
      </c>
      <c r="E236" s="11" t="s">
        <v>13</v>
      </c>
    </row>
    <row r="237">
      <c r="B237" s="34" t="s">
        <v>1753</v>
      </c>
      <c r="C237" s="35" t="s">
        <v>41</v>
      </c>
      <c r="D237" s="34" t="s">
        <v>1754</v>
      </c>
      <c r="E237" s="11" t="s">
        <v>9</v>
      </c>
    </row>
    <row r="238">
      <c r="B238" s="34" t="s">
        <v>1750</v>
      </c>
      <c r="C238" s="35" t="s">
        <v>289</v>
      </c>
      <c r="D238" s="34" t="s">
        <v>1752</v>
      </c>
      <c r="E238" s="11" t="s">
        <v>13</v>
      </c>
    </row>
    <row r="239">
      <c r="B239" s="34" t="s">
        <v>1751</v>
      </c>
      <c r="C239" s="35" t="s">
        <v>43</v>
      </c>
      <c r="D239" s="34" t="s">
        <v>1754</v>
      </c>
      <c r="E239" s="11" t="s">
        <v>9</v>
      </c>
    </row>
    <row r="240">
      <c r="B240" s="34" t="s">
        <v>1750</v>
      </c>
      <c r="C240" s="35" t="s">
        <v>220</v>
      </c>
      <c r="D240" s="34" t="s">
        <v>1753</v>
      </c>
      <c r="E240" s="11" t="s">
        <v>13</v>
      </c>
    </row>
    <row r="241">
      <c r="B241" s="34" t="s">
        <v>1752</v>
      </c>
      <c r="C241" s="35" t="s">
        <v>317</v>
      </c>
      <c r="D241" s="34" t="s">
        <v>1754</v>
      </c>
      <c r="E241" s="11" t="s">
        <v>9</v>
      </c>
    </row>
    <row r="242">
      <c r="B242" s="34" t="s">
        <v>1751</v>
      </c>
      <c r="C242" s="35" t="s">
        <v>286</v>
      </c>
      <c r="D242" s="34" t="s">
        <v>1753</v>
      </c>
      <c r="E242" s="11" t="s">
        <v>13</v>
      </c>
    </row>
    <row r="243">
      <c r="B243" s="28" t="s">
        <v>1441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34" t="s">
        <v>1755</v>
      </c>
      <c r="C245" s="35" t="s">
        <v>49</v>
      </c>
      <c r="D245" s="34" t="s">
        <v>1756</v>
      </c>
      <c r="E245" s="11" t="s">
        <v>9</v>
      </c>
    </row>
    <row r="246">
      <c r="B246" s="34" t="s">
        <v>1588</v>
      </c>
      <c r="C246" s="35" t="s">
        <v>66</v>
      </c>
      <c r="D246" s="34" t="s">
        <v>1757</v>
      </c>
      <c r="E246" s="11" t="s">
        <v>13</v>
      </c>
    </row>
    <row r="247">
      <c r="B247" s="34" t="s">
        <v>36</v>
      </c>
      <c r="C247" s="35" t="s">
        <v>68</v>
      </c>
      <c r="D247" s="34" t="s">
        <v>1755</v>
      </c>
      <c r="E247" s="11" t="s">
        <v>9</v>
      </c>
    </row>
    <row r="248">
      <c r="B248" s="34" t="s">
        <v>1588</v>
      </c>
      <c r="C248" s="35" t="s">
        <v>58</v>
      </c>
      <c r="D248" s="34" t="s">
        <v>1756</v>
      </c>
      <c r="E248" s="11" t="s">
        <v>13</v>
      </c>
    </row>
    <row r="249">
      <c r="B249" s="34" t="s">
        <v>36</v>
      </c>
      <c r="C249" s="35" t="s">
        <v>190</v>
      </c>
      <c r="D249" s="34" t="s">
        <v>1757</v>
      </c>
      <c r="E249" s="11" t="s">
        <v>9</v>
      </c>
    </row>
    <row r="250">
      <c r="B250" s="34" t="s">
        <v>1588</v>
      </c>
      <c r="C250" s="35" t="s">
        <v>66</v>
      </c>
      <c r="D250" s="34" t="s">
        <v>1755</v>
      </c>
      <c r="E250" s="11" t="s">
        <v>13</v>
      </c>
    </row>
    <row r="251">
      <c r="B251" s="34" t="s">
        <v>36</v>
      </c>
      <c r="C251" s="35" t="s">
        <v>16</v>
      </c>
      <c r="D251" s="34" t="s">
        <v>1756</v>
      </c>
      <c r="E251" s="11" t="s">
        <v>9</v>
      </c>
    </row>
    <row r="252">
      <c r="B252" s="34" t="s">
        <v>1757</v>
      </c>
      <c r="C252" s="35" t="s">
        <v>64</v>
      </c>
      <c r="D252" s="34" t="s">
        <v>1755</v>
      </c>
      <c r="E252" s="11" t="s">
        <v>13</v>
      </c>
    </row>
    <row r="253">
      <c r="B253" s="34" t="s">
        <v>36</v>
      </c>
      <c r="C253" s="35" t="s">
        <v>83</v>
      </c>
      <c r="D253" s="34" t="s">
        <v>1588</v>
      </c>
      <c r="E253" s="11" t="s">
        <v>9</v>
      </c>
    </row>
    <row r="254">
      <c r="B254" s="34" t="s">
        <v>1757</v>
      </c>
      <c r="C254" s="35" t="s">
        <v>16</v>
      </c>
      <c r="D254" s="34" t="s">
        <v>1756</v>
      </c>
      <c r="E254" s="11" t="s">
        <v>13</v>
      </c>
    </row>
    <row r="255">
      <c r="B255" s="34" t="s">
        <v>1756</v>
      </c>
      <c r="C255" s="35" t="s">
        <v>190</v>
      </c>
      <c r="D255" s="34" t="s">
        <v>1755</v>
      </c>
      <c r="E255" s="11" t="s">
        <v>9</v>
      </c>
    </row>
    <row r="256">
      <c r="B256" s="34" t="s">
        <v>1757</v>
      </c>
      <c r="C256" s="35" t="s">
        <v>218</v>
      </c>
      <c r="D256" s="34" t="s">
        <v>1588</v>
      </c>
      <c r="E256" s="11" t="s">
        <v>13</v>
      </c>
    </row>
    <row r="257">
      <c r="B257" s="34" t="s">
        <v>1755</v>
      </c>
      <c r="C257" s="35" t="s">
        <v>25</v>
      </c>
      <c r="D257" s="34" t="s">
        <v>36</v>
      </c>
      <c r="E257" s="11" t="s">
        <v>9</v>
      </c>
    </row>
    <row r="258">
      <c r="B258" s="34" t="s">
        <v>1756</v>
      </c>
      <c r="C258" s="35" t="s">
        <v>699</v>
      </c>
      <c r="D258" s="34" t="s">
        <v>1588</v>
      </c>
      <c r="E258" s="11" t="s">
        <v>13</v>
      </c>
    </row>
    <row r="259">
      <c r="B259" s="34" t="s">
        <v>1757</v>
      </c>
      <c r="C259" s="35" t="s">
        <v>251</v>
      </c>
      <c r="D259" s="34" t="s">
        <v>36</v>
      </c>
      <c r="E259" s="11" t="s">
        <v>9</v>
      </c>
    </row>
    <row r="260">
      <c r="B260" s="34" t="s">
        <v>1755</v>
      </c>
      <c r="C260" s="35" t="s">
        <v>19</v>
      </c>
      <c r="D260" s="34" t="s">
        <v>1588</v>
      </c>
      <c r="E260" s="11" t="s">
        <v>13</v>
      </c>
    </row>
    <row r="261">
      <c r="B261" s="34" t="s">
        <v>1756</v>
      </c>
      <c r="C261" s="35" t="s">
        <v>22</v>
      </c>
      <c r="D261" s="34" t="s">
        <v>36</v>
      </c>
      <c r="E261" s="11" t="s">
        <v>9</v>
      </c>
    </row>
    <row r="262">
      <c r="B262" s="34" t="s">
        <v>1755</v>
      </c>
      <c r="C262" s="35" t="s">
        <v>446</v>
      </c>
      <c r="D262" s="34" t="s">
        <v>1757</v>
      </c>
      <c r="E262" s="11" t="s">
        <v>13</v>
      </c>
    </row>
    <row r="263">
      <c r="B263" s="34" t="s">
        <v>1588</v>
      </c>
      <c r="C263" s="35" t="s">
        <v>289</v>
      </c>
      <c r="D263" s="34" t="s">
        <v>36</v>
      </c>
      <c r="E263" s="11" t="s">
        <v>9</v>
      </c>
    </row>
    <row r="264">
      <c r="B264" s="34" t="s">
        <v>1756</v>
      </c>
      <c r="C264" s="35" t="s">
        <v>87</v>
      </c>
      <c r="D264" s="34" t="s">
        <v>1757</v>
      </c>
      <c r="E264" s="11" t="s">
        <v>13</v>
      </c>
    </row>
    <row r="265">
      <c r="B265" s="28" t="s">
        <v>134</v>
      </c>
      <c r="C265" s="2"/>
      <c r="D265" s="3"/>
      <c r="E265" s="2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34" t="s">
        <v>1302</v>
      </c>
      <c r="C267" s="35" t="s">
        <v>218</v>
      </c>
      <c r="D267" s="34" t="s">
        <v>1758</v>
      </c>
      <c r="E267" s="11" t="s">
        <v>33</v>
      </c>
    </row>
    <row r="268">
      <c r="B268" s="34" t="s">
        <v>1300</v>
      </c>
      <c r="C268" s="35" t="s">
        <v>81</v>
      </c>
      <c r="D268" s="34" t="s">
        <v>1697</v>
      </c>
      <c r="E268" s="11" t="s">
        <v>37</v>
      </c>
    </row>
    <row r="269">
      <c r="B269" s="34" t="s">
        <v>1759</v>
      </c>
      <c r="C269" s="35" t="s">
        <v>716</v>
      </c>
      <c r="D269" s="34" t="s">
        <v>1302</v>
      </c>
      <c r="E269" s="11" t="s">
        <v>33</v>
      </c>
    </row>
    <row r="270">
      <c r="B270" s="34" t="s">
        <v>1300</v>
      </c>
      <c r="C270" s="35" t="s">
        <v>285</v>
      </c>
      <c r="D270" s="34" t="s">
        <v>1758</v>
      </c>
      <c r="E270" s="11" t="s">
        <v>37</v>
      </c>
    </row>
    <row r="271">
      <c r="B271" s="34" t="s">
        <v>1759</v>
      </c>
      <c r="C271" s="35" t="s">
        <v>203</v>
      </c>
      <c r="D271" s="34" t="s">
        <v>1697</v>
      </c>
      <c r="E271" s="11" t="s">
        <v>33</v>
      </c>
    </row>
    <row r="272">
      <c r="B272" s="34" t="s">
        <v>1300</v>
      </c>
      <c r="C272" s="35" t="s">
        <v>44</v>
      </c>
      <c r="D272" s="34" t="s">
        <v>1302</v>
      </c>
      <c r="E272" s="11" t="s">
        <v>37</v>
      </c>
    </row>
    <row r="273">
      <c r="B273" s="34" t="s">
        <v>1759</v>
      </c>
      <c r="C273" s="35" t="s">
        <v>212</v>
      </c>
      <c r="D273" s="34" t="s">
        <v>1758</v>
      </c>
      <c r="E273" s="11" t="s">
        <v>33</v>
      </c>
    </row>
    <row r="274">
      <c r="B274" s="34" t="s">
        <v>1697</v>
      </c>
      <c r="C274" s="35" t="s">
        <v>446</v>
      </c>
      <c r="D274" s="34" t="s">
        <v>1302</v>
      </c>
      <c r="E274" s="11" t="s">
        <v>37</v>
      </c>
    </row>
    <row r="275">
      <c r="B275" s="34" t="s">
        <v>1759</v>
      </c>
      <c r="C275" s="35" t="s">
        <v>22</v>
      </c>
      <c r="D275" s="34" t="s">
        <v>1300</v>
      </c>
      <c r="E275" s="11" t="s">
        <v>33</v>
      </c>
    </row>
    <row r="276">
      <c r="B276" s="34" t="s">
        <v>1697</v>
      </c>
      <c r="C276" s="35" t="s">
        <v>824</v>
      </c>
      <c r="D276" s="34" t="s">
        <v>1758</v>
      </c>
      <c r="E276" s="11" t="s">
        <v>37</v>
      </c>
    </row>
    <row r="277">
      <c r="B277" s="34" t="s">
        <v>1758</v>
      </c>
      <c r="C277" s="35" t="s">
        <v>319</v>
      </c>
      <c r="D277" s="34" t="s">
        <v>1302</v>
      </c>
      <c r="E277" s="11" t="s">
        <v>33</v>
      </c>
    </row>
    <row r="278">
      <c r="B278" s="34" t="s">
        <v>1697</v>
      </c>
      <c r="C278" s="35" t="s">
        <v>25</v>
      </c>
      <c r="D278" s="34" t="s">
        <v>1300</v>
      </c>
      <c r="E278" s="11" t="s">
        <v>37</v>
      </c>
    </row>
    <row r="279">
      <c r="B279" s="34" t="s">
        <v>1302</v>
      </c>
      <c r="C279" s="35" t="s">
        <v>1266</v>
      </c>
      <c r="D279" s="34" t="s">
        <v>1759</v>
      </c>
      <c r="E279" s="11" t="s">
        <v>33</v>
      </c>
    </row>
    <row r="280">
      <c r="B280" s="34" t="s">
        <v>1758</v>
      </c>
      <c r="C280" s="35" t="s">
        <v>1760</v>
      </c>
      <c r="D280" s="34" t="s">
        <v>1300</v>
      </c>
      <c r="E280" s="11" t="s">
        <v>37</v>
      </c>
    </row>
    <row r="281">
      <c r="B281" s="34" t="s">
        <v>1697</v>
      </c>
      <c r="C281" s="35" t="s">
        <v>67</v>
      </c>
      <c r="D281" s="34" t="s">
        <v>1759</v>
      </c>
      <c r="E281" s="11" t="s">
        <v>33</v>
      </c>
    </row>
    <row r="282">
      <c r="B282" s="34" t="s">
        <v>1302</v>
      </c>
      <c r="C282" s="35" t="s">
        <v>426</v>
      </c>
      <c r="D282" s="34" t="s">
        <v>1300</v>
      </c>
      <c r="E282" s="11" t="s">
        <v>37</v>
      </c>
    </row>
    <row r="283">
      <c r="B283" s="34" t="s">
        <v>1758</v>
      </c>
      <c r="C283" s="35" t="s">
        <v>232</v>
      </c>
      <c r="D283" s="34" t="s">
        <v>1759</v>
      </c>
      <c r="E283" s="11" t="s">
        <v>33</v>
      </c>
    </row>
    <row r="284">
      <c r="B284" s="34" t="s">
        <v>1302</v>
      </c>
      <c r="C284" s="35" t="s">
        <v>243</v>
      </c>
      <c r="D284" s="34" t="s">
        <v>1697</v>
      </c>
      <c r="E284" s="11" t="s">
        <v>37</v>
      </c>
    </row>
    <row r="285">
      <c r="B285" s="34" t="s">
        <v>1300</v>
      </c>
      <c r="C285" s="35" t="s">
        <v>544</v>
      </c>
      <c r="D285" s="34" t="s">
        <v>1759</v>
      </c>
      <c r="E285" s="11" t="s">
        <v>33</v>
      </c>
    </row>
    <row r="286">
      <c r="B286" s="34" t="s">
        <v>1758</v>
      </c>
      <c r="C286" s="35" t="s">
        <v>1342</v>
      </c>
      <c r="D286" s="34" t="s">
        <v>1697</v>
      </c>
      <c r="E286" s="11" t="s">
        <v>37</v>
      </c>
    </row>
    <row r="287">
      <c r="B287" s="28" t="s">
        <v>145</v>
      </c>
      <c r="C287" s="2"/>
      <c r="D287" s="3"/>
      <c r="E287" s="2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34" t="s">
        <v>1761</v>
      </c>
      <c r="C289" s="35" t="s">
        <v>41</v>
      </c>
      <c r="D289" s="34" t="s">
        <v>1762</v>
      </c>
      <c r="E289" s="11" t="s">
        <v>33</v>
      </c>
    </row>
    <row r="290">
      <c r="B290" s="34" t="s">
        <v>1763</v>
      </c>
      <c r="C290" s="35" t="s">
        <v>41</v>
      </c>
      <c r="D290" s="34" t="s">
        <v>1764</v>
      </c>
      <c r="E290" s="11" t="s">
        <v>37</v>
      </c>
    </row>
    <row r="291">
      <c r="B291" s="34" t="s">
        <v>1104</v>
      </c>
      <c r="C291" s="35" t="s">
        <v>260</v>
      </c>
      <c r="D291" s="34" t="s">
        <v>1761</v>
      </c>
      <c r="E291" s="11" t="s">
        <v>33</v>
      </c>
    </row>
    <row r="292">
      <c r="B292" s="34" t="s">
        <v>1763</v>
      </c>
      <c r="C292" s="35" t="s">
        <v>1465</v>
      </c>
      <c r="D292" s="34" t="s">
        <v>1762</v>
      </c>
      <c r="E292" s="11" t="s">
        <v>37</v>
      </c>
    </row>
    <row r="293">
      <c r="B293" s="34" t="s">
        <v>1104</v>
      </c>
      <c r="C293" s="35" t="s">
        <v>87</v>
      </c>
      <c r="D293" s="34" t="s">
        <v>1764</v>
      </c>
      <c r="E293" s="11" t="s">
        <v>33</v>
      </c>
    </row>
    <row r="294">
      <c r="B294" s="34" t="s">
        <v>1763</v>
      </c>
      <c r="C294" s="35" t="s">
        <v>196</v>
      </c>
      <c r="D294" s="34" t="s">
        <v>1761</v>
      </c>
      <c r="E294" s="11" t="s">
        <v>37</v>
      </c>
    </row>
    <row r="295">
      <c r="B295" s="34" t="s">
        <v>1104</v>
      </c>
      <c r="C295" s="35" t="s">
        <v>201</v>
      </c>
      <c r="D295" s="34" t="s">
        <v>1762</v>
      </c>
      <c r="E295" s="11" t="s">
        <v>33</v>
      </c>
    </row>
    <row r="296">
      <c r="B296" s="34" t="s">
        <v>1764</v>
      </c>
      <c r="C296" s="35" t="s">
        <v>16</v>
      </c>
      <c r="D296" s="34" t="s">
        <v>1761</v>
      </c>
      <c r="E296" s="11" t="s">
        <v>37</v>
      </c>
    </row>
    <row r="297">
      <c r="B297" s="34" t="s">
        <v>1104</v>
      </c>
      <c r="C297" s="35" t="s">
        <v>25</v>
      </c>
      <c r="D297" s="34" t="s">
        <v>1763</v>
      </c>
      <c r="E297" s="11" t="s">
        <v>33</v>
      </c>
    </row>
    <row r="298">
      <c r="B298" s="34" t="s">
        <v>1764</v>
      </c>
      <c r="C298" s="35" t="s">
        <v>250</v>
      </c>
      <c r="D298" s="34" t="s">
        <v>1762</v>
      </c>
      <c r="E298" s="11" t="s">
        <v>37</v>
      </c>
    </row>
    <row r="299">
      <c r="B299" s="34" t="s">
        <v>1762</v>
      </c>
      <c r="C299" s="35" t="s">
        <v>370</v>
      </c>
      <c r="D299" s="34" t="s">
        <v>1761</v>
      </c>
      <c r="E299" s="11" t="s">
        <v>33</v>
      </c>
    </row>
    <row r="300">
      <c r="B300" s="34" t="s">
        <v>1764</v>
      </c>
      <c r="C300" s="35" t="s">
        <v>86</v>
      </c>
      <c r="D300" s="34" t="s">
        <v>1763</v>
      </c>
      <c r="E300" s="11" t="s">
        <v>37</v>
      </c>
    </row>
    <row r="301">
      <c r="B301" s="34" t="s">
        <v>1761</v>
      </c>
      <c r="C301" s="35" t="s">
        <v>250</v>
      </c>
      <c r="D301" s="34" t="s">
        <v>1104</v>
      </c>
      <c r="E301" s="11" t="s">
        <v>33</v>
      </c>
    </row>
    <row r="302">
      <c r="B302" s="34" t="s">
        <v>1762</v>
      </c>
      <c r="C302" s="35" t="s">
        <v>329</v>
      </c>
      <c r="D302" s="34" t="s">
        <v>1763</v>
      </c>
      <c r="E302" s="11" t="s">
        <v>37</v>
      </c>
    </row>
    <row r="303">
      <c r="B303" s="34" t="s">
        <v>1764</v>
      </c>
      <c r="C303" s="35" t="s">
        <v>456</v>
      </c>
      <c r="D303" s="34" t="s">
        <v>1104</v>
      </c>
      <c r="E303" s="11" t="s">
        <v>33</v>
      </c>
    </row>
    <row r="304">
      <c r="B304" s="34" t="s">
        <v>1761</v>
      </c>
      <c r="C304" s="35" t="s">
        <v>218</v>
      </c>
      <c r="D304" s="34" t="s">
        <v>1763</v>
      </c>
      <c r="E304" s="11" t="s">
        <v>37</v>
      </c>
    </row>
    <row r="305">
      <c r="B305" s="34" t="s">
        <v>1762</v>
      </c>
      <c r="C305" s="35" t="s">
        <v>43</v>
      </c>
      <c r="D305" s="34" t="s">
        <v>1104</v>
      </c>
      <c r="E305" s="11" t="s">
        <v>33</v>
      </c>
    </row>
    <row r="306">
      <c r="B306" s="34" t="s">
        <v>1761</v>
      </c>
      <c r="C306" s="35" t="s">
        <v>190</v>
      </c>
      <c r="D306" s="34" t="s">
        <v>1764</v>
      </c>
      <c r="E306" s="11" t="s">
        <v>37</v>
      </c>
    </row>
    <row r="307">
      <c r="B307" s="34" t="s">
        <v>1763</v>
      </c>
      <c r="C307" s="35" t="s">
        <v>58</v>
      </c>
      <c r="D307" s="34" t="s">
        <v>1104</v>
      </c>
      <c r="E307" s="11" t="s">
        <v>33</v>
      </c>
    </row>
    <row r="308">
      <c r="B308" s="34" t="s">
        <v>1762</v>
      </c>
      <c r="C308" s="35" t="s">
        <v>11</v>
      </c>
      <c r="D308" s="34" t="s">
        <v>1764</v>
      </c>
      <c r="E308" s="11" t="s">
        <v>37</v>
      </c>
    </row>
    <row r="309">
      <c r="B309" s="28" t="s">
        <v>1456</v>
      </c>
      <c r="C309" s="2"/>
      <c r="D309" s="3"/>
      <c r="E309" s="2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34" t="s">
        <v>1765</v>
      </c>
      <c r="C311" s="33" t="s">
        <v>87</v>
      </c>
      <c r="D311" s="34" t="s">
        <v>1389</v>
      </c>
      <c r="E311" s="11" t="s">
        <v>9</v>
      </c>
    </row>
    <row r="312">
      <c r="B312" s="34" t="s">
        <v>1766</v>
      </c>
      <c r="C312" s="33" t="s">
        <v>412</v>
      </c>
      <c r="D312" s="34" t="s">
        <v>1767</v>
      </c>
      <c r="E312" s="11" t="s">
        <v>13</v>
      </c>
    </row>
    <row r="313">
      <c r="B313" s="34" t="s">
        <v>1768</v>
      </c>
      <c r="C313" s="33" t="s">
        <v>16</v>
      </c>
      <c r="D313" s="34" t="s">
        <v>1765</v>
      </c>
      <c r="E313" s="11" t="s">
        <v>9</v>
      </c>
    </row>
    <row r="314">
      <c r="B314" s="34" t="s">
        <v>1766</v>
      </c>
      <c r="C314" s="33" t="s">
        <v>286</v>
      </c>
      <c r="D314" s="34" t="s">
        <v>1389</v>
      </c>
      <c r="E314" s="11" t="s">
        <v>13</v>
      </c>
    </row>
    <row r="315">
      <c r="B315" s="34" t="s">
        <v>1768</v>
      </c>
      <c r="C315" s="33" t="s">
        <v>62</v>
      </c>
      <c r="D315" s="34" t="s">
        <v>1767</v>
      </c>
      <c r="E315" s="11" t="s">
        <v>9</v>
      </c>
    </row>
    <row r="316">
      <c r="B316" s="34" t="s">
        <v>1766</v>
      </c>
      <c r="C316" s="33" t="s">
        <v>197</v>
      </c>
      <c r="D316" s="34" t="s">
        <v>1765</v>
      </c>
      <c r="E316" s="11" t="s">
        <v>13</v>
      </c>
    </row>
    <row r="317">
      <c r="B317" s="34" t="s">
        <v>1768</v>
      </c>
      <c r="C317" s="33" t="s">
        <v>589</v>
      </c>
      <c r="D317" s="34" t="s">
        <v>1389</v>
      </c>
      <c r="E317" s="11" t="s">
        <v>9</v>
      </c>
    </row>
    <row r="318">
      <c r="B318" s="34" t="s">
        <v>1767</v>
      </c>
      <c r="C318" s="33" t="s">
        <v>11</v>
      </c>
      <c r="D318" s="34" t="s">
        <v>1765</v>
      </c>
      <c r="E318" s="11" t="s">
        <v>13</v>
      </c>
    </row>
    <row r="319">
      <c r="B319" s="34" t="s">
        <v>1768</v>
      </c>
      <c r="C319" s="33" t="s">
        <v>196</v>
      </c>
      <c r="D319" s="34" t="s">
        <v>1766</v>
      </c>
      <c r="E319" s="11" t="s">
        <v>9</v>
      </c>
    </row>
    <row r="320">
      <c r="B320" s="34" t="s">
        <v>1767</v>
      </c>
      <c r="C320" s="33" t="s">
        <v>197</v>
      </c>
      <c r="D320" s="34" t="s">
        <v>1389</v>
      </c>
      <c r="E320" s="11" t="s">
        <v>13</v>
      </c>
    </row>
    <row r="321">
      <c r="B321" s="34" t="s">
        <v>1389</v>
      </c>
      <c r="C321" s="33" t="s">
        <v>201</v>
      </c>
      <c r="D321" s="34" t="s">
        <v>1765</v>
      </c>
      <c r="E321" s="11" t="s">
        <v>9</v>
      </c>
    </row>
    <row r="322">
      <c r="B322" s="34" t="s">
        <v>1767</v>
      </c>
      <c r="C322" s="33" t="s">
        <v>82</v>
      </c>
      <c r="D322" s="34" t="s">
        <v>1766</v>
      </c>
      <c r="E322" s="11" t="s">
        <v>13</v>
      </c>
    </row>
    <row r="323">
      <c r="B323" s="34" t="s">
        <v>1765</v>
      </c>
      <c r="C323" s="35" t="s">
        <v>251</v>
      </c>
      <c r="D323" s="34" t="s">
        <v>1768</v>
      </c>
      <c r="E323" s="11" t="s">
        <v>9</v>
      </c>
    </row>
    <row r="324">
      <c r="B324" s="34" t="s">
        <v>1389</v>
      </c>
      <c r="C324" s="35" t="s">
        <v>201</v>
      </c>
      <c r="D324" s="34" t="s">
        <v>1766</v>
      </c>
      <c r="E324" s="11" t="s">
        <v>13</v>
      </c>
    </row>
    <row r="325">
      <c r="B325" s="34" t="s">
        <v>1767</v>
      </c>
      <c r="C325" s="35" t="s">
        <v>81</v>
      </c>
      <c r="D325" s="34" t="s">
        <v>1768</v>
      </c>
      <c r="E325" s="11" t="s">
        <v>9</v>
      </c>
    </row>
    <row r="326">
      <c r="B326" s="34" t="s">
        <v>1765</v>
      </c>
      <c r="C326" s="35" t="s">
        <v>7</v>
      </c>
      <c r="D326" s="34" t="s">
        <v>1766</v>
      </c>
      <c r="E326" s="11" t="s">
        <v>13</v>
      </c>
    </row>
    <row r="327">
      <c r="B327" s="34" t="s">
        <v>1389</v>
      </c>
      <c r="C327" s="35" t="s">
        <v>41</v>
      </c>
      <c r="D327" s="34" t="s">
        <v>1768</v>
      </c>
      <c r="E327" s="11" t="s">
        <v>9</v>
      </c>
    </row>
    <row r="328">
      <c r="B328" s="34" t="s">
        <v>1765</v>
      </c>
      <c r="C328" s="35" t="s">
        <v>218</v>
      </c>
      <c r="D328" s="34" t="s">
        <v>1767</v>
      </c>
      <c r="E328" s="11" t="s">
        <v>13</v>
      </c>
    </row>
    <row r="329">
      <c r="B329" s="34" t="s">
        <v>1766</v>
      </c>
      <c r="C329" s="35" t="s">
        <v>25</v>
      </c>
      <c r="D329" s="34" t="s">
        <v>1768</v>
      </c>
      <c r="E329" s="11" t="s">
        <v>9</v>
      </c>
    </row>
    <row r="330">
      <c r="B330" s="34" t="s">
        <v>1389</v>
      </c>
      <c r="C330" s="35" t="s">
        <v>218</v>
      </c>
      <c r="D330" s="34" t="s">
        <v>1767</v>
      </c>
      <c r="E330" s="11" t="s">
        <v>13</v>
      </c>
    </row>
    <row r="331">
      <c r="B331" s="28" t="s">
        <v>156</v>
      </c>
      <c r="C331" s="2"/>
      <c r="D331" s="3"/>
      <c r="E331" s="2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34" t="s">
        <v>1769</v>
      </c>
      <c r="C333" s="35" t="s">
        <v>55</v>
      </c>
      <c r="D333" s="34" t="s">
        <v>1770</v>
      </c>
      <c r="E333" s="11" t="s">
        <v>33</v>
      </c>
    </row>
    <row r="334">
      <c r="B334" s="34" t="s">
        <v>1771</v>
      </c>
      <c r="C334" s="35" t="s">
        <v>22</v>
      </c>
      <c r="D334" s="34" t="s">
        <v>1772</v>
      </c>
      <c r="E334" s="11" t="s">
        <v>37</v>
      </c>
    </row>
    <row r="335">
      <c r="B335" s="34" t="s">
        <v>1773</v>
      </c>
      <c r="C335" s="35" t="s">
        <v>190</v>
      </c>
      <c r="D335" s="34" t="s">
        <v>1769</v>
      </c>
      <c r="E335" s="11" t="s">
        <v>33</v>
      </c>
    </row>
    <row r="336">
      <c r="B336" s="34" t="s">
        <v>1771</v>
      </c>
      <c r="C336" s="35" t="s">
        <v>20</v>
      </c>
      <c r="D336" s="34" t="s">
        <v>1770</v>
      </c>
      <c r="E336" s="11" t="s">
        <v>37</v>
      </c>
    </row>
    <row r="337">
      <c r="B337" s="34" t="s">
        <v>1773</v>
      </c>
      <c r="C337" s="35" t="s">
        <v>66</v>
      </c>
      <c r="D337" s="34" t="s">
        <v>1772</v>
      </c>
      <c r="E337" s="11" t="s">
        <v>33</v>
      </c>
    </row>
    <row r="338">
      <c r="B338" s="34" t="s">
        <v>1771</v>
      </c>
      <c r="C338" s="35" t="s">
        <v>282</v>
      </c>
      <c r="D338" s="34" t="s">
        <v>1769</v>
      </c>
      <c r="E338" s="11" t="s">
        <v>37</v>
      </c>
    </row>
    <row r="339">
      <c r="B339" s="34" t="s">
        <v>1773</v>
      </c>
      <c r="C339" s="35" t="s">
        <v>413</v>
      </c>
      <c r="D339" s="34" t="s">
        <v>1770</v>
      </c>
      <c r="E339" s="11" t="s">
        <v>33</v>
      </c>
    </row>
    <row r="340">
      <c r="B340" s="34" t="s">
        <v>1772</v>
      </c>
      <c r="C340" s="35" t="s">
        <v>1774</v>
      </c>
      <c r="D340" s="34" t="s">
        <v>1769</v>
      </c>
      <c r="E340" s="11" t="s">
        <v>37</v>
      </c>
    </row>
    <row r="341">
      <c r="B341" s="34" t="s">
        <v>1773</v>
      </c>
      <c r="C341" s="35" t="s">
        <v>500</v>
      </c>
      <c r="D341" s="34" t="s">
        <v>1771</v>
      </c>
      <c r="E341" s="11" t="s">
        <v>33</v>
      </c>
    </row>
    <row r="342">
      <c r="B342" s="34" t="s">
        <v>1772</v>
      </c>
      <c r="C342" s="35" t="s">
        <v>413</v>
      </c>
      <c r="D342" s="34" t="s">
        <v>1770</v>
      </c>
      <c r="E342" s="11" t="s">
        <v>37</v>
      </c>
    </row>
    <row r="343">
      <c r="B343" s="34" t="s">
        <v>1770</v>
      </c>
      <c r="C343" s="35" t="s">
        <v>43</v>
      </c>
      <c r="D343" s="34" t="s">
        <v>1769</v>
      </c>
      <c r="E343" s="11" t="s">
        <v>33</v>
      </c>
    </row>
    <row r="344">
      <c r="B344" s="34" t="s">
        <v>1772</v>
      </c>
      <c r="C344" s="35" t="s">
        <v>212</v>
      </c>
      <c r="D344" s="34" t="s">
        <v>1771</v>
      </c>
      <c r="E344" s="11" t="s">
        <v>37</v>
      </c>
    </row>
    <row r="345">
      <c r="B345" s="34" t="s">
        <v>1769</v>
      </c>
      <c r="C345" s="35" t="s">
        <v>196</v>
      </c>
      <c r="D345" s="34" t="s">
        <v>1773</v>
      </c>
      <c r="E345" s="11" t="s">
        <v>33</v>
      </c>
    </row>
    <row r="346">
      <c r="B346" s="34" t="s">
        <v>1770</v>
      </c>
      <c r="C346" s="35" t="s">
        <v>270</v>
      </c>
      <c r="D346" s="34" t="s">
        <v>1771</v>
      </c>
      <c r="E346" s="11" t="s">
        <v>37</v>
      </c>
    </row>
    <row r="347">
      <c r="B347" s="34" t="s">
        <v>1772</v>
      </c>
      <c r="C347" s="35" t="s">
        <v>527</v>
      </c>
      <c r="D347" s="34" t="s">
        <v>1773</v>
      </c>
      <c r="E347" s="11" t="s">
        <v>33</v>
      </c>
    </row>
    <row r="348">
      <c r="B348" s="34" t="s">
        <v>1769</v>
      </c>
      <c r="C348" s="35" t="s">
        <v>22</v>
      </c>
      <c r="D348" s="34" t="s">
        <v>1771</v>
      </c>
      <c r="E348" s="11" t="s">
        <v>37</v>
      </c>
    </row>
    <row r="349">
      <c r="B349" s="34" t="s">
        <v>1770</v>
      </c>
      <c r="C349" s="35" t="s">
        <v>72</v>
      </c>
      <c r="D349" s="34" t="s">
        <v>1773</v>
      </c>
      <c r="E349" s="11" t="s">
        <v>33</v>
      </c>
    </row>
    <row r="350">
      <c r="B350" s="34" t="s">
        <v>1769</v>
      </c>
      <c r="C350" s="35" t="s">
        <v>197</v>
      </c>
      <c r="D350" s="34" t="s">
        <v>1772</v>
      </c>
      <c r="E350" s="11" t="s">
        <v>37</v>
      </c>
    </row>
    <row r="351">
      <c r="B351" s="34" t="s">
        <v>1771</v>
      </c>
      <c r="C351" s="35" t="s">
        <v>58</v>
      </c>
      <c r="D351" s="34" t="s">
        <v>1773</v>
      </c>
      <c r="E351" s="11" t="s">
        <v>33</v>
      </c>
    </row>
    <row r="352">
      <c r="B352" s="34" t="s">
        <v>1770</v>
      </c>
      <c r="C352" s="35" t="s">
        <v>218</v>
      </c>
      <c r="D352" s="34" t="s">
        <v>1772</v>
      </c>
      <c r="E352" s="11" t="s">
        <v>37</v>
      </c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/>
      <c r="B1" s="1" t="s">
        <v>0</v>
      </c>
      <c r="C1" s="2"/>
      <c r="D1" s="3"/>
      <c r="E1" s="29"/>
    </row>
    <row r="2">
      <c r="A2" s="66"/>
      <c r="B2" s="6" t="s">
        <v>2</v>
      </c>
      <c r="C2" s="6" t="s">
        <v>3</v>
      </c>
      <c r="D2" s="6" t="s">
        <v>4</v>
      </c>
      <c r="E2" s="6" t="s">
        <v>5</v>
      </c>
    </row>
    <row r="3">
      <c r="A3" s="66"/>
      <c r="B3" s="32" t="s">
        <v>1775</v>
      </c>
      <c r="C3" s="35" t="s">
        <v>400</v>
      </c>
      <c r="D3" s="34" t="s">
        <v>1709</v>
      </c>
      <c r="E3" s="11" t="s">
        <v>33</v>
      </c>
    </row>
    <row r="4">
      <c r="A4" s="66"/>
      <c r="B4" s="32" t="s">
        <v>1710</v>
      </c>
      <c r="C4" s="35" t="s">
        <v>22</v>
      </c>
      <c r="D4" s="32" t="s">
        <v>1776</v>
      </c>
      <c r="E4" s="11" t="s">
        <v>37</v>
      </c>
    </row>
    <row r="5">
      <c r="A5" s="66"/>
      <c r="B5" s="34" t="s">
        <v>1777</v>
      </c>
      <c r="C5" s="35" t="s">
        <v>190</v>
      </c>
      <c r="D5" s="32" t="s">
        <v>1775</v>
      </c>
      <c r="E5" s="11" t="s">
        <v>33</v>
      </c>
    </row>
    <row r="6">
      <c r="A6" s="66"/>
      <c r="B6" s="32" t="s">
        <v>1710</v>
      </c>
      <c r="C6" s="35" t="s">
        <v>357</v>
      </c>
      <c r="D6" s="34" t="s">
        <v>1709</v>
      </c>
      <c r="E6" s="11" t="s">
        <v>37</v>
      </c>
    </row>
    <row r="7">
      <c r="A7" s="66"/>
      <c r="B7" s="34" t="s">
        <v>1777</v>
      </c>
      <c r="C7" s="35" t="s">
        <v>62</v>
      </c>
      <c r="D7" s="32" t="s">
        <v>1776</v>
      </c>
      <c r="E7" s="11" t="s">
        <v>33</v>
      </c>
    </row>
    <row r="8">
      <c r="A8" s="66"/>
      <c r="B8" s="32" t="s">
        <v>1710</v>
      </c>
      <c r="C8" s="35" t="s">
        <v>41</v>
      </c>
      <c r="D8" s="32" t="s">
        <v>1775</v>
      </c>
      <c r="E8" s="11" t="s">
        <v>37</v>
      </c>
    </row>
    <row r="9">
      <c r="A9" s="66"/>
      <c r="B9" s="34" t="s">
        <v>1777</v>
      </c>
      <c r="C9" s="35" t="s">
        <v>72</v>
      </c>
      <c r="D9" s="34" t="s">
        <v>1709</v>
      </c>
      <c r="E9" s="11" t="s">
        <v>33</v>
      </c>
    </row>
    <row r="10">
      <c r="A10" s="66"/>
      <c r="B10" s="32" t="s">
        <v>1776</v>
      </c>
      <c r="C10" s="35" t="s">
        <v>566</v>
      </c>
      <c r="D10" s="32" t="s">
        <v>1775</v>
      </c>
      <c r="E10" s="11" t="s">
        <v>37</v>
      </c>
    </row>
    <row r="11">
      <c r="A11" s="66"/>
      <c r="B11" s="34" t="s">
        <v>1777</v>
      </c>
      <c r="C11" s="35" t="s">
        <v>31</v>
      </c>
      <c r="D11" s="32" t="s">
        <v>1710</v>
      </c>
      <c r="E11" s="11" t="s">
        <v>33</v>
      </c>
    </row>
    <row r="12">
      <c r="A12" s="66"/>
      <c r="B12" s="32" t="s">
        <v>1776</v>
      </c>
      <c r="C12" s="35" t="s">
        <v>27</v>
      </c>
      <c r="D12" s="34" t="s">
        <v>1709</v>
      </c>
      <c r="E12" s="11" t="s">
        <v>37</v>
      </c>
    </row>
    <row r="13">
      <c r="A13" s="66"/>
      <c r="B13" s="34" t="s">
        <v>1709</v>
      </c>
      <c r="C13" s="35" t="s">
        <v>291</v>
      </c>
      <c r="D13" s="32" t="s">
        <v>1775</v>
      </c>
      <c r="E13" s="11" t="s">
        <v>33</v>
      </c>
    </row>
    <row r="14">
      <c r="A14" s="66"/>
      <c r="B14" s="32" t="s">
        <v>1776</v>
      </c>
      <c r="C14" s="35" t="s">
        <v>193</v>
      </c>
      <c r="D14" s="32" t="s">
        <v>1710</v>
      </c>
      <c r="E14" s="11" t="s">
        <v>37</v>
      </c>
    </row>
    <row r="15">
      <c r="A15" s="66"/>
      <c r="B15" s="32" t="s">
        <v>1775</v>
      </c>
      <c r="C15" s="35" t="s">
        <v>1778</v>
      </c>
      <c r="D15" s="34" t="s">
        <v>1777</v>
      </c>
      <c r="E15" s="11" t="s">
        <v>33</v>
      </c>
    </row>
    <row r="16">
      <c r="A16" s="66"/>
      <c r="B16" s="34" t="s">
        <v>1709</v>
      </c>
      <c r="C16" s="35" t="s">
        <v>770</v>
      </c>
      <c r="D16" s="32" t="s">
        <v>1710</v>
      </c>
      <c r="E16" s="11" t="s">
        <v>37</v>
      </c>
    </row>
    <row r="17">
      <c r="A17" s="66"/>
      <c r="B17" s="32" t="s">
        <v>1776</v>
      </c>
      <c r="C17" s="35" t="s">
        <v>260</v>
      </c>
      <c r="D17" s="34" t="s">
        <v>1777</v>
      </c>
      <c r="E17" s="11" t="s">
        <v>33</v>
      </c>
    </row>
    <row r="18">
      <c r="A18" s="66"/>
      <c r="B18" s="32" t="s">
        <v>1775</v>
      </c>
      <c r="C18" s="35" t="s">
        <v>291</v>
      </c>
      <c r="D18" s="32" t="s">
        <v>1710</v>
      </c>
      <c r="E18" s="11" t="s">
        <v>37</v>
      </c>
    </row>
    <row r="19">
      <c r="A19" s="66"/>
      <c r="B19" s="34" t="s">
        <v>1709</v>
      </c>
      <c r="C19" s="35" t="s">
        <v>472</v>
      </c>
      <c r="D19" s="34" t="s">
        <v>1777</v>
      </c>
      <c r="E19" s="11" t="s">
        <v>33</v>
      </c>
    </row>
    <row r="20">
      <c r="A20" s="66"/>
      <c r="B20" s="32" t="s">
        <v>1775</v>
      </c>
      <c r="C20" s="35" t="s">
        <v>28</v>
      </c>
      <c r="D20" s="32" t="s">
        <v>1776</v>
      </c>
      <c r="E20" s="11" t="s">
        <v>37</v>
      </c>
    </row>
    <row r="21">
      <c r="A21" s="66"/>
      <c r="B21" s="32" t="s">
        <v>1710</v>
      </c>
      <c r="C21" s="35" t="s">
        <v>217</v>
      </c>
      <c r="D21" s="34" t="s">
        <v>1777</v>
      </c>
      <c r="E21" s="11" t="s">
        <v>33</v>
      </c>
    </row>
    <row r="22">
      <c r="A22" s="66"/>
      <c r="B22" s="34" t="s">
        <v>1709</v>
      </c>
      <c r="C22" s="35" t="s">
        <v>50</v>
      </c>
      <c r="D22" s="32" t="s">
        <v>1776</v>
      </c>
      <c r="E22" s="11" t="s">
        <v>37</v>
      </c>
    </row>
    <row r="23">
      <c r="A23" s="66"/>
      <c r="B23" s="1" t="s">
        <v>1321</v>
      </c>
      <c r="C23" s="2"/>
      <c r="D23" s="3"/>
      <c r="E23" s="48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1779</v>
      </c>
      <c r="C25" s="33" t="s">
        <v>260</v>
      </c>
      <c r="D25" s="32" t="s">
        <v>186</v>
      </c>
      <c r="E25" s="11" t="s">
        <v>9</v>
      </c>
    </row>
    <row r="26">
      <c r="A26" s="66"/>
      <c r="B26" s="32" t="s">
        <v>1119</v>
      </c>
      <c r="C26" s="33" t="s">
        <v>18</v>
      </c>
      <c r="D26" s="32" t="s">
        <v>1780</v>
      </c>
      <c r="E26" s="11" t="s">
        <v>13</v>
      </c>
    </row>
    <row r="27">
      <c r="A27" s="66"/>
      <c r="B27" s="34" t="s">
        <v>1715</v>
      </c>
      <c r="C27" s="33" t="s">
        <v>520</v>
      </c>
      <c r="D27" s="34" t="s">
        <v>1779</v>
      </c>
      <c r="E27" s="11" t="s">
        <v>9</v>
      </c>
    </row>
    <row r="28">
      <c r="A28" s="66"/>
      <c r="B28" s="32" t="s">
        <v>1119</v>
      </c>
      <c r="C28" s="33" t="s">
        <v>319</v>
      </c>
      <c r="D28" s="32" t="s">
        <v>186</v>
      </c>
      <c r="E28" s="11" t="s">
        <v>13</v>
      </c>
    </row>
    <row r="29">
      <c r="A29" s="66"/>
      <c r="B29" s="34" t="s">
        <v>1715</v>
      </c>
      <c r="C29" s="33" t="s">
        <v>370</v>
      </c>
      <c r="D29" s="32" t="s">
        <v>1780</v>
      </c>
      <c r="E29" s="11" t="s">
        <v>9</v>
      </c>
    </row>
    <row r="30">
      <c r="A30" s="66"/>
      <c r="B30" s="32" t="s">
        <v>1119</v>
      </c>
      <c r="C30" s="33" t="s">
        <v>11</v>
      </c>
      <c r="D30" s="34" t="s">
        <v>1779</v>
      </c>
      <c r="E30" s="11" t="s">
        <v>13</v>
      </c>
    </row>
    <row r="31">
      <c r="A31" s="66"/>
      <c r="B31" s="34" t="s">
        <v>1715</v>
      </c>
      <c r="C31" s="33" t="s">
        <v>289</v>
      </c>
      <c r="D31" s="32" t="s">
        <v>186</v>
      </c>
      <c r="E31" s="11" t="s">
        <v>9</v>
      </c>
    </row>
    <row r="32">
      <c r="A32" s="66"/>
      <c r="B32" s="32" t="s">
        <v>1780</v>
      </c>
      <c r="C32" s="33" t="s">
        <v>19</v>
      </c>
      <c r="D32" s="34" t="s">
        <v>1779</v>
      </c>
      <c r="E32" s="11" t="s">
        <v>13</v>
      </c>
    </row>
    <row r="33">
      <c r="A33" s="66"/>
      <c r="B33" s="34" t="s">
        <v>1715</v>
      </c>
      <c r="C33" s="33" t="s">
        <v>64</v>
      </c>
      <c r="D33" s="32" t="s">
        <v>1119</v>
      </c>
      <c r="E33" s="11" t="s">
        <v>9</v>
      </c>
    </row>
    <row r="34">
      <c r="A34" s="66"/>
      <c r="B34" s="32" t="s">
        <v>1780</v>
      </c>
      <c r="C34" s="33" t="s">
        <v>319</v>
      </c>
      <c r="D34" s="32" t="s">
        <v>186</v>
      </c>
      <c r="E34" s="11" t="s">
        <v>13</v>
      </c>
    </row>
    <row r="35">
      <c r="A35" s="66"/>
      <c r="B35" s="32" t="s">
        <v>186</v>
      </c>
      <c r="C35" s="33" t="s">
        <v>193</v>
      </c>
      <c r="D35" s="34" t="s">
        <v>1779</v>
      </c>
      <c r="E35" s="11" t="s">
        <v>9</v>
      </c>
    </row>
    <row r="36">
      <c r="A36" s="66"/>
      <c r="B36" s="32" t="s">
        <v>1780</v>
      </c>
      <c r="C36" s="33" t="s">
        <v>190</v>
      </c>
      <c r="D36" s="32" t="s">
        <v>1119</v>
      </c>
      <c r="E36" s="11" t="s">
        <v>13</v>
      </c>
    </row>
    <row r="37">
      <c r="A37" s="66"/>
      <c r="B37" s="34" t="s">
        <v>1779</v>
      </c>
      <c r="C37" s="35" t="s">
        <v>196</v>
      </c>
      <c r="D37" s="34" t="s">
        <v>1715</v>
      </c>
      <c r="E37" s="11" t="s">
        <v>9</v>
      </c>
    </row>
    <row r="38">
      <c r="A38" s="66"/>
      <c r="B38" s="32" t="s">
        <v>186</v>
      </c>
      <c r="C38" s="35" t="s">
        <v>814</v>
      </c>
      <c r="D38" s="32" t="s">
        <v>1119</v>
      </c>
      <c r="E38" s="11" t="s">
        <v>13</v>
      </c>
    </row>
    <row r="39">
      <c r="A39" s="66"/>
      <c r="B39" s="32" t="s">
        <v>1780</v>
      </c>
      <c r="C39" s="35" t="s">
        <v>28</v>
      </c>
      <c r="D39" s="34" t="s">
        <v>1715</v>
      </c>
      <c r="E39" s="11" t="s">
        <v>9</v>
      </c>
    </row>
    <row r="40">
      <c r="A40" s="66"/>
      <c r="B40" s="34" t="s">
        <v>1779</v>
      </c>
      <c r="C40" s="35" t="s">
        <v>273</v>
      </c>
      <c r="D40" s="32" t="s">
        <v>1119</v>
      </c>
      <c r="E40" s="11" t="s">
        <v>13</v>
      </c>
    </row>
    <row r="41">
      <c r="A41" s="66"/>
      <c r="B41" s="32" t="s">
        <v>186</v>
      </c>
      <c r="C41" s="35" t="s">
        <v>936</v>
      </c>
      <c r="D41" s="34" t="s">
        <v>1715</v>
      </c>
      <c r="E41" s="11" t="s">
        <v>9</v>
      </c>
    </row>
    <row r="42">
      <c r="A42" s="66"/>
      <c r="B42" s="34" t="s">
        <v>1779</v>
      </c>
      <c r="C42" s="35" t="s">
        <v>18</v>
      </c>
      <c r="D42" s="32" t="s">
        <v>1780</v>
      </c>
      <c r="E42" s="11" t="s">
        <v>13</v>
      </c>
    </row>
    <row r="43">
      <c r="A43" s="66"/>
      <c r="B43" s="32" t="s">
        <v>1119</v>
      </c>
      <c r="C43" s="35" t="s">
        <v>286</v>
      </c>
      <c r="D43" s="34" t="s">
        <v>1715</v>
      </c>
      <c r="E43" s="11" t="s">
        <v>9</v>
      </c>
    </row>
    <row r="44">
      <c r="A44" s="67"/>
      <c r="B44" s="32" t="s">
        <v>186</v>
      </c>
      <c r="C44" s="35" t="s">
        <v>238</v>
      </c>
      <c r="D44" s="32" t="s">
        <v>1780</v>
      </c>
      <c r="E44" s="11" t="s">
        <v>13</v>
      </c>
    </row>
    <row r="45">
      <c r="B45" s="1" t="s">
        <v>1327</v>
      </c>
      <c r="C45" s="2"/>
      <c r="D45" s="3"/>
      <c r="E45" s="14"/>
    </row>
    <row r="46">
      <c r="B46" s="16" t="s">
        <v>2</v>
      </c>
      <c r="C46" s="16" t="s">
        <v>3</v>
      </c>
      <c r="D46" s="16" t="s">
        <v>4</v>
      </c>
      <c r="E46" s="16" t="s">
        <v>5</v>
      </c>
    </row>
    <row r="47">
      <c r="B47" s="32" t="s">
        <v>1781</v>
      </c>
      <c r="C47" s="33" t="s">
        <v>64</v>
      </c>
      <c r="D47" s="32" t="s">
        <v>1782</v>
      </c>
      <c r="E47" s="11" t="s">
        <v>33</v>
      </c>
    </row>
    <row r="48">
      <c r="B48" s="32" t="s">
        <v>1783</v>
      </c>
      <c r="C48" s="33" t="s">
        <v>87</v>
      </c>
      <c r="D48" s="32" t="s">
        <v>1784</v>
      </c>
      <c r="E48" s="11" t="s">
        <v>37</v>
      </c>
    </row>
    <row r="49">
      <c r="B49" s="32" t="s">
        <v>1652</v>
      </c>
      <c r="C49" s="33" t="s">
        <v>726</v>
      </c>
      <c r="D49" s="32" t="s">
        <v>1781</v>
      </c>
      <c r="E49" s="11" t="s">
        <v>33</v>
      </c>
    </row>
    <row r="50">
      <c r="B50" s="32" t="s">
        <v>1783</v>
      </c>
      <c r="C50" s="33" t="s">
        <v>47</v>
      </c>
      <c r="D50" s="32" t="s">
        <v>1782</v>
      </c>
      <c r="E50" s="11" t="s">
        <v>37</v>
      </c>
    </row>
    <row r="51">
      <c r="B51" s="32" t="s">
        <v>1652</v>
      </c>
      <c r="C51" s="33" t="s">
        <v>195</v>
      </c>
      <c r="D51" s="32" t="s">
        <v>1784</v>
      </c>
      <c r="E51" s="11" t="s">
        <v>33</v>
      </c>
    </row>
    <row r="52">
      <c r="B52" s="32" t="s">
        <v>1783</v>
      </c>
      <c r="C52" s="33" t="s">
        <v>243</v>
      </c>
      <c r="D52" s="32" t="s">
        <v>1781</v>
      </c>
      <c r="E52" s="11" t="s">
        <v>37</v>
      </c>
    </row>
    <row r="53">
      <c r="B53" s="32" t="s">
        <v>1652</v>
      </c>
      <c r="C53" s="33" t="s">
        <v>534</v>
      </c>
      <c r="D53" s="32" t="s">
        <v>1782</v>
      </c>
      <c r="E53" s="11" t="s">
        <v>33</v>
      </c>
    </row>
    <row r="54">
      <c r="B54" s="32" t="s">
        <v>1784</v>
      </c>
      <c r="C54" s="33" t="s">
        <v>43</v>
      </c>
      <c r="D54" s="32" t="s">
        <v>1781</v>
      </c>
      <c r="E54" s="11" t="s">
        <v>37</v>
      </c>
    </row>
    <row r="55">
      <c r="B55" s="32" t="s">
        <v>1652</v>
      </c>
      <c r="C55" s="33" t="s">
        <v>45</v>
      </c>
      <c r="D55" s="32" t="s">
        <v>1783</v>
      </c>
      <c r="E55" s="11" t="s">
        <v>33</v>
      </c>
    </row>
    <row r="56">
      <c r="B56" s="32" t="s">
        <v>1784</v>
      </c>
      <c r="C56" s="33" t="s">
        <v>28</v>
      </c>
      <c r="D56" s="32" t="s">
        <v>1782</v>
      </c>
      <c r="E56" s="11" t="s">
        <v>37</v>
      </c>
    </row>
    <row r="57">
      <c r="B57" s="32" t="s">
        <v>1782</v>
      </c>
      <c r="C57" s="33" t="s">
        <v>81</v>
      </c>
      <c r="D57" s="32" t="s">
        <v>1781</v>
      </c>
      <c r="E57" s="11" t="s">
        <v>33</v>
      </c>
    </row>
    <row r="58">
      <c r="B58" s="32" t="s">
        <v>1784</v>
      </c>
      <c r="C58" s="33" t="s">
        <v>64</v>
      </c>
      <c r="D58" s="32" t="s">
        <v>1783</v>
      </c>
      <c r="E58" s="11" t="s">
        <v>37</v>
      </c>
    </row>
    <row r="59">
      <c r="B59" s="32" t="s">
        <v>1781</v>
      </c>
      <c r="C59" s="33" t="s">
        <v>413</v>
      </c>
      <c r="D59" s="32" t="s">
        <v>1652</v>
      </c>
      <c r="E59" s="11" t="s">
        <v>33</v>
      </c>
    </row>
    <row r="60">
      <c r="B60" s="32" t="s">
        <v>1782</v>
      </c>
      <c r="C60" s="33" t="s">
        <v>195</v>
      </c>
      <c r="D60" s="32" t="s">
        <v>1783</v>
      </c>
      <c r="E60" s="11" t="s">
        <v>37</v>
      </c>
    </row>
    <row r="61">
      <c r="B61" s="32" t="s">
        <v>1784</v>
      </c>
      <c r="C61" s="33" t="s">
        <v>267</v>
      </c>
      <c r="D61" s="32" t="s">
        <v>1652</v>
      </c>
      <c r="E61" s="11" t="s">
        <v>33</v>
      </c>
    </row>
    <row r="62">
      <c r="B62" s="32" t="s">
        <v>1781</v>
      </c>
      <c r="C62" s="33" t="s">
        <v>19</v>
      </c>
      <c r="D62" s="32" t="s">
        <v>1783</v>
      </c>
      <c r="E62" s="11" t="s">
        <v>37</v>
      </c>
    </row>
    <row r="63">
      <c r="B63" s="32" t="s">
        <v>1782</v>
      </c>
      <c r="C63" s="33" t="s">
        <v>18</v>
      </c>
      <c r="D63" s="32" t="s">
        <v>1652</v>
      </c>
      <c r="E63" s="11" t="s">
        <v>33</v>
      </c>
    </row>
    <row r="64">
      <c r="B64" s="32" t="s">
        <v>1781</v>
      </c>
      <c r="C64" s="33" t="s">
        <v>43</v>
      </c>
      <c r="D64" s="32" t="s">
        <v>1784</v>
      </c>
      <c r="E64" s="11" t="s">
        <v>37</v>
      </c>
    </row>
    <row r="65">
      <c r="B65" s="32" t="s">
        <v>1783</v>
      </c>
      <c r="C65" s="33" t="s">
        <v>217</v>
      </c>
      <c r="D65" s="32" t="s">
        <v>1652</v>
      </c>
      <c r="E65" s="11" t="s">
        <v>33</v>
      </c>
    </row>
    <row r="66">
      <c r="B66" s="32" t="s">
        <v>1782</v>
      </c>
      <c r="C66" s="33" t="s">
        <v>282</v>
      </c>
      <c r="D66" s="32" t="s">
        <v>1784</v>
      </c>
      <c r="E66" s="11" t="s">
        <v>37</v>
      </c>
    </row>
    <row r="67">
      <c r="B67" s="1" t="s">
        <v>1331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16" t="s">
        <v>5</v>
      </c>
      <c r="K68" s="36"/>
    </row>
    <row r="69">
      <c r="B69" s="32" t="s">
        <v>1785</v>
      </c>
      <c r="C69" s="33" t="s">
        <v>197</v>
      </c>
      <c r="D69" s="32" t="s">
        <v>956</v>
      </c>
      <c r="E69" s="11" t="s">
        <v>9</v>
      </c>
    </row>
    <row r="70">
      <c r="B70" s="32" t="s">
        <v>1655</v>
      </c>
      <c r="C70" s="33" t="s">
        <v>370</v>
      </c>
      <c r="D70" s="32" t="s">
        <v>1390</v>
      </c>
      <c r="E70" s="11" t="s">
        <v>13</v>
      </c>
    </row>
    <row r="71">
      <c r="B71" s="32" t="s">
        <v>1786</v>
      </c>
      <c r="C71" s="33" t="s">
        <v>195</v>
      </c>
      <c r="D71" s="32" t="s">
        <v>1785</v>
      </c>
      <c r="E71" s="11" t="s">
        <v>9</v>
      </c>
    </row>
    <row r="72">
      <c r="B72" s="32" t="s">
        <v>1655</v>
      </c>
      <c r="C72" s="33" t="s">
        <v>482</v>
      </c>
      <c r="D72" s="32" t="s">
        <v>956</v>
      </c>
      <c r="E72" s="11" t="s">
        <v>13</v>
      </c>
    </row>
    <row r="73">
      <c r="B73" s="32" t="s">
        <v>1786</v>
      </c>
      <c r="C73" s="33" t="s">
        <v>413</v>
      </c>
      <c r="D73" s="32" t="s">
        <v>1390</v>
      </c>
      <c r="E73" s="11" t="s">
        <v>9</v>
      </c>
    </row>
    <row r="74">
      <c r="B74" s="32" t="s">
        <v>1655</v>
      </c>
      <c r="C74" s="33" t="s">
        <v>319</v>
      </c>
      <c r="D74" s="32" t="s">
        <v>1785</v>
      </c>
      <c r="E74" s="11" t="s">
        <v>13</v>
      </c>
    </row>
    <row r="75">
      <c r="B75" s="32" t="s">
        <v>1786</v>
      </c>
      <c r="C75" s="33" t="s">
        <v>413</v>
      </c>
      <c r="D75" s="32" t="s">
        <v>956</v>
      </c>
      <c r="E75" s="11" t="s">
        <v>9</v>
      </c>
    </row>
    <row r="76">
      <c r="B76" s="32" t="s">
        <v>1390</v>
      </c>
      <c r="C76" s="33" t="s">
        <v>87</v>
      </c>
      <c r="D76" s="32" t="s">
        <v>1785</v>
      </c>
      <c r="E76" s="11" t="s">
        <v>13</v>
      </c>
    </row>
    <row r="77">
      <c r="B77" s="32" t="s">
        <v>1786</v>
      </c>
      <c r="C77" s="33" t="s">
        <v>218</v>
      </c>
      <c r="D77" s="32" t="s">
        <v>1655</v>
      </c>
      <c r="E77" s="11" t="s">
        <v>9</v>
      </c>
    </row>
    <row r="78">
      <c r="B78" s="32" t="s">
        <v>1390</v>
      </c>
      <c r="C78" s="33" t="s">
        <v>285</v>
      </c>
      <c r="D78" s="32" t="s">
        <v>956</v>
      </c>
      <c r="E78" s="11" t="s">
        <v>13</v>
      </c>
    </row>
    <row r="79">
      <c r="B79" s="32" t="s">
        <v>956</v>
      </c>
      <c r="C79" s="33" t="s">
        <v>196</v>
      </c>
      <c r="D79" s="32" t="s">
        <v>1785</v>
      </c>
      <c r="E79" s="11" t="s">
        <v>9</v>
      </c>
    </row>
    <row r="80">
      <c r="B80" s="32" t="s">
        <v>1390</v>
      </c>
      <c r="C80" s="33" t="s">
        <v>43</v>
      </c>
      <c r="D80" s="32" t="s">
        <v>1655</v>
      </c>
      <c r="E80" s="11" t="s">
        <v>13</v>
      </c>
    </row>
    <row r="81">
      <c r="B81" s="32" t="s">
        <v>1785</v>
      </c>
      <c r="C81" s="35" t="s">
        <v>71</v>
      </c>
      <c r="D81" s="32" t="s">
        <v>1786</v>
      </c>
      <c r="E81" s="11" t="s">
        <v>9</v>
      </c>
    </row>
    <row r="82">
      <c r="B82" s="32" t="s">
        <v>956</v>
      </c>
      <c r="C82" s="35" t="s">
        <v>17</v>
      </c>
      <c r="D82" s="32" t="s">
        <v>1655</v>
      </c>
      <c r="E82" s="11" t="s">
        <v>13</v>
      </c>
    </row>
    <row r="83">
      <c r="B83" s="32" t="s">
        <v>1390</v>
      </c>
      <c r="C83" s="35" t="s">
        <v>16</v>
      </c>
      <c r="D83" s="32" t="s">
        <v>1786</v>
      </c>
      <c r="E83" s="11" t="s">
        <v>9</v>
      </c>
    </row>
    <row r="84">
      <c r="B84" s="32" t="s">
        <v>1785</v>
      </c>
      <c r="C84" s="35" t="s">
        <v>28</v>
      </c>
      <c r="D84" s="32" t="s">
        <v>1655</v>
      </c>
      <c r="E84" s="11" t="s">
        <v>13</v>
      </c>
    </row>
    <row r="85">
      <c r="B85" s="32" t="s">
        <v>956</v>
      </c>
      <c r="C85" s="35" t="s">
        <v>1787</v>
      </c>
      <c r="D85" s="32" t="s">
        <v>1786</v>
      </c>
      <c r="E85" s="11" t="s">
        <v>9</v>
      </c>
    </row>
    <row r="86">
      <c r="B86" s="32" t="s">
        <v>1785</v>
      </c>
      <c r="C86" s="35" t="s">
        <v>64</v>
      </c>
      <c r="D86" s="32" t="s">
        <v>1390</v>
      </c>
      <c r="E86" s="11" t="s">
        <v>13</v>
      </c>
    </row>
    <row r="87">
      <c r="B87" s="32" t="s">
        <v>1655</v>
      </c>
      <c r="C87" s="35" t="s">
        <v>197</v>
      </c>
      <c r="D87" s="32" t="s">
        <v>1786</v>
      </c>
      <c r="E87" s="11" t="s">
        <v>9</v>
      </c>
    </row>
    <row r="88">
      <c r="B88" s="32" t="s">
        <v>956</v>
      </c>
      <c r="C88" s="35" t="s">
        <v>440</v>
      </c>
      <c r="D88" s="32" t="s">
        <v>1390</v>
      </c>
      <c r="E88" s="11" t="s">
        <v>13</v>
      </c>
    </row>
    <row r="89">
      <c r="B89" s="1" t="s">
        <v>1659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16" t="s">
        <v>5</v>
      </c>
    </row>
    <row r="91">
      <c r="B91" s="32" t="s">
        <v>940</v>
      </c>
      <c r="C91" s="35" t="s">
        <v>194</v>
      </c>
      <c r="D91" s="32" t="s">
        <v>418</v>
      </c>
      <c r="E91" s="11" t="s">
        <v>9</v>
      </c>
    </row>
    <row r="92">
      <c r="B92" s="32" t="s">
        <v>1788</v>
      </c>
      <c r="C92" s="35" t="s">
        <v>22</v>
      </c>
      <c r="D92" s="32" t="s">
        <v>1789</v>
      </c>
      <c r="E92" s="11" t="s">
        <v>13</v>
      </c>
    </row>
    <row r="93">
      <c r="B93" s="32" t="s">
        <v>750</v>
      </c>
      <c r="C93" s="35" t="s">
        <v>20</v>
      </c>
      <c r="D93" s="32" t="s">
        <v>940</v>
      </c>
      <c r="E93" s="11" t="s">
        <v>9</v>
      </c>
    </row>
    <row r="94">
      <c r="B94" s="32" t="s">
        <v>1788</v>
      </c>
      <c r="C94" s="35" t="s">
        <v>218</v>
      </c>
      <c r="D94" s="32" t="s">
        <v>418</v>
      </c>
      <c r="E94" s="11" t="s">
        <v>13</v>
      </c>
    </row>
    <row r="95">
      <c r="B95" s="32" t="s">
        <v>750</v>
      </c>
      <c r="C95" s="35" t="s">
        <v>238</v>
      </c>
      <c r="D95" s="32" t="s">
        <v>1789</v>
      </c>
      <c r="E95" s="11" t="s">
        <v>9</v>
      </c>
    </row>
    <row r="96">
      <c r="B96" s="32" t="s">
        <v>1788</v>
      </c>
      <c r="C96" s="35" t="s">
        <v>195</v>
      </c>
      <c r="D96" s="32" t="s">
        <v>940</v>
      </c>
      <c r="E96" s="11" t="s">
        <v>13</v>
      </c>
    </row>
    <row r="97">
      <c r="B97" s="32" t="s">
        <v>750</v>
      </c>
      <c r="C97" s="35" t="s">
        <v>66</v>
      </c>
      <c r="D97" s="32" t="s">
        <v>418</v>
      </c>
      <c r="E97" s="11" t="s">
        <v>9</v>
      </c>
    </row>
    <row r="98">
      <c r="B98" s="32" t="s">
        <v>1789</v>
      </c>
      <c r="C98" s="35" t="s">
        <v>218</v>
      </c>
      <c r="D98" s="32" t="s">
        <v>940</v>
      </c>
      <c r="E98" s="11" t="s">
        <v>13</v>
      </c>
    </row>
    <row r="99">
      <c r="B99" s="32" t="s">
        <v>750</v>
      </c>
      <c r="C99" s="35" t="s">
        <v>25</v>
      </c>
      <c r="D99" s="32" t="s">
        <v>1788</v>
      </c>
      <c r="E99" s="11" t="s">
        <v>9</v>
      </c>
    </row>
    <row r="100">
      <c r="B100" s="32" t="s">
        <v>1789</v>
      </c>
      <c r="C100" s="35" t="s">
        <v>64</v>
      </c>
      <c r="D100" s="32" t="s">
        <v>418</v>
      </c>
      <c r="E100" s="11" t="s">
        <v>13</v>
      </c>
    </row>
    <row r="101">
      <c r="B101" s="32" t="s">
        <v>418</v>
      </c>
      <c r="C101" s="35" t="s">
        <v>251</v>
      </c>
      <c r="D101" s="32" t="s">
        <v>940</v>
      </c>
      <c r="E101" s="11" t="s">
        <v>9</v>
      </c>
    </row>
    <row r="102">
      <c r="B102" s="32" t="s">
        <v>1789</v>
      </c>
      <c r="C102" s="35" t="s">
        <v>416</v>
      </c>
      <c r="D102" s="32" t="s">
        <v>1788</v>
      </c>
      <c r="E102" s="11" t="s">
        <v>13</v>
      </c>
    </row>
    <row r="103">
      <c r="B103" s="32" t="s">
        <v>940</v>
      </c>
      <c r="C103" s="35" t="s">
        <v>43</v>
      </c>
      <c r="D103" s="32" t="s">
        <v>750</v>
      </c>
      <c r="E103" s="11" t="s">
        <v>9</v>
      </c>
    </row>
    <row r="104">
      <c r="B104" s="32" t="s">
        <v>418</v>
      </c>
      <c r="C104" s="35" t="s">
        <v>21</v>
      </c>
      <c r="D104" s="32" t="s">
        <v>1788</v>
      </c>
      <c r="E104" s="11" t="s">
        <v>13</v>
      </c>
    </row>
    <row r="105">
      <c r="B105" s="32" t="s">
        <v>1789</v>
      </c>
      <c r="C105" s="35" t="s">
        <v>81</v>
      </c>
      <c r="D105" s="32" t="s">
        <v>750</v>
      </c>
      <c r="E105" s="11" t="s">
        <v>9</v>
      </c>
    </row>
    <row r="106">
      <c r="B106" s="32" t="s">
        <v>940</v>
      </c>
      <c r="C106" s="35" t="s">
        <v>218</v>
      </c>
      <c r="D106" s="32" t="s">
        <v>1788</v>
      </c>
      <c r="E106" s="11" t="s">
        <v>13</v>
      </c>
    </row>
    <row r="107">
      <c r="B107" s="32" t="s">
        <v>418</v>
      </c>
      <c r="C107" s="35" t="s">
        <v>193</v>
      </c>
      <c r="D107" s="32" t="s">
        <v>750</v>
      </c>
      <c r="E107" s="11" t="s">
        <v>9</v>
      </c>
    </row>
    <row r="108">
      <c r="B108" s="32" t="s">
        <v>940</v>
      </c>
      <c r="C108" s="35" t="s">
        <v>14</v>
      </c>
      <c r="D108" s="32" t="s">
        <v>1789</v>
      </c>
      <c r="E108" s="11" t="s">
        <v>13</v>
      </c>
    </row>
    <row r="109">
      <c r="B109" s="32" t="s">
        <v>1788</v>
      </c>
      <c r="C109" s="35" t="s">
        <v>11</v>
      </c>
      <c r="D109" s="32" t="s">
        <v>750</v>
      </c>
      <c r="E109" s="11" t="s">
        <v>9</v>
      </c>
    </row>
    <row r="110">
      <c r="B110" s="32" t="s">
        <v>418</v>
      </c>
      <c r="C110" s="35" t="s">
        <v>72</v>
      </c>
      <c r="D110" s="32" t="s">
        <v>1789</v>
      </c>
      <c r="E110" s="11" t="s">
        <v>13</v>
      </c>
    </row>
    <row r="111">
      <c r="B111" s="1" t="s">
        <v>1664</v>
      </c>
      <c r="C111" s="2"/>
      <c r="D111" s="3"/>
      <c r="E111" s="4"/>
    </row>
    <row r="112">
      <c r="B112" s="16" t="s">
        <v>2</v>
      </c>
      <c r="C112" s="16" t="s">
        <v>3</v>
      </c>
      <c r="D112" s="16" t="s">
        <v>4</v>
      </c>
      <c r="E112" s="16" t="s">
        <v>5</v>
      </c>
      <c r="G112" s="54"/>
    </row>
    <row r="113">
      <c r="B113" s="32" t="s">
        <v>1790</v>
      </c>
      <c r="C113" s="33" t="s">
        <v>488</v>
      </c>
      <c r="D113" s="32" t="s">
        <v>1669</v>
      </c>
      <c r="E113" s="11" t="s">
        <v>9</v>
      </c>
    </row>
    <row r="114">
      <c r="B114" s="32" t="s">
        <v>1791</v>
      </c>
      <c r="C114" s="33" t="s">
        <v>78</v>
      </c>
      <c r="D114" s="32" t="s">
        <v>1792</v>
      </c>
      <c r="E114" s="11" t="s">
        <v>13</v>
      </c>
    </row>
    <row r="115">
      <c r="B115" s="32" t="s">
        <v>1793</v>
      </c>
      <c r="C115" s="33" t="s">
        <v>239</v>
      </c>
      <c r="D115" s="32" t="s">
        <v>1790</v>
      </c>
      <c r="E115" s="11" t="s">
        <v>9</v>
      </c>
    </row>
    <row r="116">
      <c r="B116" s="32" t="s">
        <v>1791</v>
      </c>
      <c r="C116" s="33" t="s">
        <v>196</v>
      </c>
      <c r="D116" s="32" t="s">
        <v>1669</v>
      </c>
      <c r="E116" s="11" t="s">
        <v>13</v>
      </c>
    </row>
    <row r="117">
      <c r="B117" s="32" t="s">
        <v>1793</v>
      </c>
      <c r="C117" s="33" t="s">
        <v>370</v>
      </c>
      <c r="D117" s="32" t="s">
        <v>1792</v>
      </c>
      <c r="E117" s="11" t="s">
        <v>9</v>
      </c>
    </row>
    <row r="118">
      <c r="B118" s="32" t="s">
        <v>1791</v>
      </c>
      <c r="C118" s="33" t="s">
        <v>69</v>
      </c>
      <c r="D118" s="32" t="s">
        <v>1790</v>
      </c>
      <c r="E118" s="11" t="s">
        <v>13</v>
      </c>
    </row>
    <row r="119">
      <c r="B119" s="32" t="s">
        <v>1793</v>
      </c>
      <c r="C119" s="33" t="s">
        <v>218</v>
      </c>
      <c r="D119" s="32" t="s">
        <v>1669</v>
      </c>
      <c r="E119" s="11" t="s">
        <v>9</v>
      </c>
    </row>
    <row r="120">
      <c r="B120" s="32" t="s">
        <v>1792</v>
      </c>
      <c r="C120" s="33" t="s">
        <v>19</v>
      </c>
      <c r="D120" s="32" t="s">
        <v>1790</v>
      </c>
      <c r="E120" s="11" t="s">
        <v>13</v>
      </c>
    </row>
    <row r="121">
      <c r="B121" s="32" t="s">
        <v>1793</v>
      </c>
      <c r="C121" s="33" t="s">
        <v>16</v>
      </c>
      <c r="D121" s="32" t="s">
        <v>1791</v>
      </c>
      <c r="E121" s="11" t="s">
        <v>9</v>
      </c>
    </row>
    <row r="122">
      <c r="B122" s="32" t="s">
        <v>1792</v>
      </c>
      <c r="C122" s="33" t="s">
        <v>306</v>
      </c>
      <c r="D122" s="32" t="s">
        <v>1669</v>
      </c>
      <c r="E122" s="11" t="s">
        <v>13</v>
      </c>
    </row>
    <row r="123">
      <c r="B123" s="32" t="s">
        <v>1669</v>
      </c>
      <c r="C123" s="33" t="s">
        <v>201</v>
      </c>
      <c r="D123" s="32" t="s">
        <v>1790</v>
      </c>
      <c r="E123" s="11" t="s">
        <v>9</v>
      </c>
    </row>
    <row r="124">
      <c r="B124" s="32" t="s">
        <v>1792</v>
      </c>
      <c r="C124" s="33" t="s">
        <v>1794</v>
      </c>
      <c r="D124" s="32" t="s">
        <v>1791</v>
      </c>
      <c r="E124" s="11" t="s">
        <v>13</v>
      </c>
    </row>
    <row r="125">
      <c r="B125" s="32" t="s">
        <v>1790</v>
      </c>
      <c r="C125" s="35" t="s">
        <v>251</v>
      </c>
      <c r="D125" s="32" t="s">
        <v>1793</v>
      </c>
      <c r="E125" s="11" t="s">
        <v>9</v>
      </c>
    </row>
    <row r="126">
      <c r="B126" s="32" t="s">
        <v>1669</v>
      </c>
      <c r="C126" s="35" t="s">
        <v>19</v>
      </c>
      <c r="D126" s="32" t="s">
        <v>1791</v>
      </c>
      <c r="E126" s="11" t="s">
        <v>13</v>
      </c>
    </row>
    <row r="127">
      <c r="B127" s="32" t="s">
        <v>1792</v>
      </c>
      <c r="C127" s="35" t="s">
        <v>260</v>
      </c>
      <c r="D127" s="32" t="s">
        <v>1793</v>
      </c>
      <c r="E127" s="11" t="s">
        <v>9</v>
      </c>
    </row>
    <row r="128">
      <c r="B128" s="32" t="s">
        <v>1790</v>
      </c>
      <c r="C128" s="35" t="s">
        <v>21</v>
      </c>
      <c r="D128" s="32" t="s">
        <v>1791</v>
      </c>
      <c r="E128" s="11" t="s">
        <v>13</v>
      </c>
    </row>
    <row r="129">
      <c r="B129" s="32" t="s">
        <v>1669</v>
      </c>
      <c r="C129" s="35" t="s">
        <v>81</v>
      </c>
      <c r="D129" s="32" t="s">
        <v>1793</v>
      </c>
      <c r="E129" s="11" t="s">
        <v>9</v>
      </c>
    </row>
    <row r="130">
      <c r="B130" s="32" t="s">
        <v>1790</v>
      </c>
      <c r="C130" s="35" t="s">
        <v>87</v>
      </c>
      <c r="D130" s="32" t="s">
        <v>1792</v>
      </c>
      <c r="E130" s="11" t="s">
        <v>13</v>
      </c>
    </row>
    <row r="131">
      <c r="B131" s="32" t="s">
        <v>1791</v>
      </c>
      <c r="C131" s="35" t="s">
        <v>260</v>
      </c>
      <c r="D131" s="32" t="s">
        <v>1793</v>
      </c>
      <c r="E131" s="11" t="s">
        <v>9</v>
      </c>
    </row>
    <row r="132">
      <c r="B132" s="32" t="s">
        <v>1669</v>
      </c>
      <c r="C132" s="35" t="s">
        <v>197</v>
      </c>
      <c r="D132" s="32" t="s">
        <v>1792</v>
      </c>
      <c r="E132" s="11" t="s">
        <v>13</v>
      </c>
    </row>
    <row r="133">
      <c r="B133" s="1" t="s">
        <v>1413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32" t="s">
        <v>1737</v>
      </c>
      <c r="C135" s="33" t="s">
        <v>217</v>
      </c>
      <c r="D135" s="32" t="s">
        <v>1795</v>
      </c>
      <c r="E135" s="11" t="s">
        <v>33</v>
      </c>
    </row>
    <row r="136">
      <c r="B136" s="8" t="s">
        <v>436</v>
      </c>
      <c r="C136" s="33" t="s">
        <v>197</v>
      </c>
      <c r="D136" s="32" t="s">
        <v>1796</v>
      </c>
      <c r="E136" s="11" t="s">
        <v>37</v>
      </c>
    </row>
    <row r="137">
      <c r="B137" s="32" t="s">
        <v>1797</v>
      </c>
      <c r="C137" s="33" t="s">
        <v>17</v>
      </c>
      <c r="D137" s="32" t="s">
        <v>1737</v>
      </c>
      <c r="E137" s="11" t="s">
        <v>33</v>
      </c>
    </row>
    <row r="138">
      <c r="B138" s="8" t="s">
        <v>436</v>
      </c>
      <c r="C138" s="33" t="s">
        <v>83</v>
      </c>
      <c r="D138" s="32" t="s">
        <v>1795</v>
      </c>
      <c r="E138" s="11" t="s">
        <v>37</v>
      </c>
    </row>
    <row r="139">
      <c r="B139" s="32" t="s">
        <v>1797</v>
      </c>
      <c r="C139" s="33" t="s">
        <v>65</v>
      </c>
      <c r="D139" s="32" t="s">
        <v>1796</v>
      </c>
      <c r="E139" s="11" t="s">
        <v>33</v>
      </c>
    </row>
    <row r="140">
      <c r="B140" s="8" t="s">
        <v>436</v>
      </c>
      <c r="C140" s="33" t="s">
        <v>286</v>
      </c>
      <c r="D140" s="32" t="s">
        <v>1737</v>
      </c>
      <c r="E140" s="11" t="s">
        <v>37</v>
      </c>
    </row>
    <row r="141">
      <c r="B141" s="32" t="s">
        <v>1797</v>
      </c>
      <c r="C141" s="33" t="s">
        <v>87</v>
      </c>
      <c r="D141" s="32" t="s">
        <v>1795</v>
      </c>
      <c r="E141" s="11" t="s">
        <v>33</v>
      </c>
    </row>
    <row r="142">
      <c r="B142" s="32" t="s">
        <v>1796</v>
      </c>
      <c r="C142" s="33" t="s">
        <v>45</v>
      </c>
      <c r="D142" s="32" t="s">
        <v>1737</v>
      </c>
      <c r="E142" s="11" t="s">
        <v>37</v>
      </c>
    </row>
    <row r="143">
      <c r="B143" s="32" t="s">
        <v>1797</v>
      </c>
      <c r="C143" s="33" t="s">
        <v>201</v>
      </c>
      <c r="D143" s="8" t="s">
        <v>436</v>
      </c>
      <c r="E143" s="11" t="s">
        <v>33</v>
      </c>
    </row>
    <row r="144">
      <c r="B144" s="32" t="s">
        <v>1796</v>
      </c>
      <c r="C144" s="33" t="s">
        <v>68</v>
      </c>
      <c r="D144" s="32" t="s">
        <v>1795</v>
      </c>
      <c r="E144" s="11" t="s">
        <v>37</v>
      </c>
    </row>
    <row r="145">
      <c r="B145" s="32" t="s">
        <v>1795</v>
      </c>
      <c r="C145" s="33" t="s">
        <v>17</v>
      </c>
      <c r="D145" s="32" t="s">
        <v>1737</v>
      </c>
      <c r="E145" s="11" t="s">
        <v>33</v>
      </c>
    </row>
    <row r="146">
      <c r="B146" s="32" t="s">
        <v>1796</v>
      </c>
      <c r="C146" s="33" t="s">
        <v>35</v>
      </c>
      <c r="D146" s="8" t="s">
        <v>436</v>
      </c>
      <c r="E146" s="11" t="s">
        <v>37</v>
      </c>
    </row>
    <row r="147">
      <c r="B147" s="32" t="s">
        <v>1737</v>
      </c>
      <c r="C147" s="35" t="s">
        <v>25</v>
      </c>
      <c r="D147" s="32" t="s">
        <v>1797</v>
      </c>
      <c r="E147" s="11" t="s">
        <v>33</v>
      </c>
    </row>
    <row r="148">
      <c r="B148" s="32" t="s">
        <v>1795</v>
      </c>
      <c r="C148" s="35" t="s">
        <v>190</v>
      </c>
      <c r="D148" s="8" t="s">
        <v>436</v>
      </c>
      <c r="E148" s="11" t="s">
        <v>37</v>
      </c>
    </row>
    <row r="149">
      <c r="B149" s="32" t="s">
        <v>1796</v>
      </c>
      <c r="C149" s="35" t="s">
        <v>21</v>
      </c>
      <c r="D149" s="32" t="s">
        <v>1797</v>
      </c>
      <c r="E149" s="11" t="s">
        <v>33</v>
      </c>
    </row>
    <row r="150">
      <c r="B150" s="32" t="s">
        <v>1737</v>
      </c>
      <c r="C150" s="35" t="s">
        <v>239</v>
      </c>
      <c r="D150" s="8" t="s">
        <v>436</v>
      </c>
      <c r="E150" s="11" t="s">
        <v>37</v>
      </c>
    </row>
    <row r="151">
      <c r="B151" s="32" t="s">
        <v>1795</v>
      </c>
      <c r="C151" s="35" t="s">
        <v>87</v>
      </c>
      <c r="D151" s="32" t="s">
        <v>1797</v>
      </c>
      <c r="E151" s="11" t="s">
        <v>33</v>
      </c>
    </row>
    <row r="152">
      <c r="B152" s="32" t="s">
        <v>1737</v>
      </c>
      <c r="C152" s="35" t="s">
        <v>363</v>
      </c>
      <c r="D152" s="32" t="s">
        <v>1796</v>
      </c>
      <c r="E152" s="11" t="s">
        <v>37</v>
      </c>
    </row>
    <row r="153">
      <c r="B153" s="8" t="s">
        <v>436</v>
      </c>
      <c r="C153" s="35" t="s">
        <v>64</v>
      </c>
      <c r="D153" s="32" t="s">
        <v>1797</v>
      </c>
      <c r="E153" s="11" t="s">
        <v>33</v>
      </c>
    </row>
    <row r="154">
      <c r="B154" s="32" t="s">
        <v>1795</v>
      </c>
      <c r="C154" s="35" t="s">
        <v>190</v>
      </c>
      <c r="D154" s="32" t="s">
        <v>1796</v>
      </c>
      <c r="E154" s="11" t="s">
        <v>37</v>
      </c>
    </row>
    <row r="155">
      <c r="B155" s="1" t="s">
        <v>1419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  <c r="I156" s="54"/>
    </row>
    <row r="157">
      <c r="B157" s="32" t="s">
        <v>1798</v>
      </c>
      <c r="C157" s="35" t="s">
        <v>389</v>
      </c>
      <c r="D157" s="32" t="s">
        <v>1098</v>
      </c>
      <c r="E157" s="11" t="s">
        <v>9</v>
      </c>
    </row>
    <row r="158">
      <c r="B158" s="32" t="s">
        <v>1799</v>
      </c>
      <c r="C158" s="35" t="s">
        <v>83</v>
      </c>
      <c r="D158" s="32" t="s">
        <v>452</v>
      </c>
      <c r="E158" s="11" t="s">
        <v>13</v>
      </c>
    </row>
    <row r="159">
      <c r="B159" s="32" t="s">
        <v>1800</v>
      </c>
      <c r="C159" s="35" t="s">
        <v>66</v>
      </c>
      <c r="D159" s="32" t="s">
        <v>1798</v>
      </c>
      <c r="E159" s="11" t="s">
        <v>9</v>
      </c>
    </row>
    <row r="160">
      <c r="B160" s="32" t="s">
        <v>1799</v>
      </c>
      <c r="C160" s="35" t="s">
        <v>260</v>
      </c>
      <c r="D160" s="32" t="s">
        <v>1098</v>
      </c>
      <c r="E160" s="11" t="s">
        <v>13</v>
      </c>
    </row>
    <row r="161">
      <c r="B161" s="32" t="s">
        <v>1800</v>
      </c>
      <c r="C161" s="35" t="s">
        <v>64</v>
      </c>
      <c r="D161" s="32" t="s">
        <v>452</v>
      </c>
      <c r="E161" s="11" t="s">
        <v>9</v>
      </c>
    </row>
    <row r="162">
      <c r="B162" s="32" t="s">
        <v>1799</v>
      </c>
      <c r="C162" s="35" t="s">
        <v>81</v>
      </c>
      <c r="D162" s="32" t="s">
        <v>1798</v>
      </c>
      <c r="E162" s="11" t="s">
        <v>13</v>
      </c>
    </row>
    <row r="163">
      <c r="B163" s="32" t="s">
        <v>1800</v>
      </c>
      <c r="C163" s="35" t="s">
        <v>197</v>
      </c>
      <c r="D163" s="32" t="s">
        <v>1098</v>
      </c>
      <c r="E163" s="11" t="s">
        <v>9</v>
      </c>
    </row>
    <row r="164">
      <c r="B164" s="32" t="s">
        <v>452</v>
      </c>
      <c r="C164" s="35" t="s">
        <v>286</v>
      </c>
      <c r="D164" s="32" t="s">
        <v>1798</v>
      </c>
      <c r="E164" s="11" t="s">
        <v>13</v>
      </c>
    </row>
    <row r="165">
      <c r="B165" s="32" t="s">
        <v>1800</v>
      </c>
      <c r="C165" s="35" t="s">
        <v>14</v>
      </c>
      <c r="D165" s="32" t="s">
        <v>1799</v>
      </c>
      <c r="E165" s="11" t="s">
        <v>9</v>
      </c>
    </row>
    <row r="166">
      <c r="B166" s="32" t="s">
        <v>452</v>
      </c>
      <c r="C166" s="35" t="s">
        <v>87</v>
      </c>
      <c r="D166" s="32" t="s">
        <v>1098</v>
      </c>
      <c r="E166" s="11" t="s">
        <v>13</v>
      </c>
    </row>
    <row r="167">
      <c r="B167" s="32" t="s">
        <v>1098</v>
      </c>
      <c r="C167" s="35" t="s">
        <v>328</v>
      </c>
      <c r="D167" s="32" t="s">
        <v>1798</v>
      </c>
      <c r="E167" s="11" t="s">
        <v>9</v>
      </c>
    </row>
    <row r="168">
      <c r="B168" s="32" t="s">
        <v>452</v>
      </c>
      <c r="C168" s="35" t="s">
        <v>27</v>
      </c>
      <c r="D168" s="32" t="s">
        <v>1799</v>
      </c>
      <c r="E168" s="11" t="s">
        <v>13</v>
      </c>
    </row>
    <row r="169">
      <c r="B169" s="32" t="s">
        <v>1798</v>
      </c>
      <c r="C169" s="35" t="s">
        <v>212</v>
      </c>
      <c r="D169" s="32" t="s">
        <v>1800</v>
      </c>
      <c r="E169" s="11" t="s">
        <v>9</v>
      </c>
    </row>
    <row r="170">
      <c r="B170" s="32" t="s">
        <v>1098</v>
      </c>
      <c r="C170" s="35" t="s">
        <v>201</v>
      </c>
      <c r="D170" s="32" t="s">
        <v>1799</v>
      </c>
      <c r="E170" s="11" t="s">
        <v>13</v>
      </c>
    </row>
    <row r="171">
      <c r="B171" s="32" t="s">
        <v>452</v>
      </c>
      <c r="C171" s="35" t="s">
        <v>239</v>
      </c>
      <c r="D171" s="32" t="s">
        <v>1800</v>
      </c>
      <c r="E171" s="11" t="s">
        <v>9</v>
      </c>
    </row>
    <row r="172">
      <c r="B172" s="32" t="s">
        <v>1798</v>
      </c>
      <c r="C172" s="35" t="s">
        <v>64</v>
      </c>
      <c r="D172" s="32" t="s">
        <v>1799</v>
      </c>
      <c r="E172" s="11" t="s">
        <v>13</v>
      </c>
    </row>
    <row r="173">
      <c r="B173" s="32" t="s">
        <v>1098</v>
      </c>
      <c r="C173" s="35" t="s">
        <v>41</v>
      </c>
      <c r="D173" s="32" t="s">
        <v>1800</v>
      </c>
      <c r="E173" s="11" t="s">
        <v>9</v>
      </c>
    </row>
    <row r="174">
      <c r="B174" s="32" t="s">
        <v>1798</v>
      </c>
      <c r="C174" s="35" t="s">
        <v>197</v>
      </c>
      <c r="D174" s="32" t="s">
        <v>452</v>
      </c>
      <c r="E174" s="11" t="s">
        <v>13</v>
      </c>
    </row>
    <row r="175">
      <c r="B175" s="32" t="s">
        <v>1799</v>
      </c>
      <c r="C175" s="35" t="s">
        <v>201</v>
      </c>
      <c r="D175" s="32" t="s">
        <v>1800</v>
      </c>
      <c r="E175" s="11" t="s">
        <v>9</v>
      </c>
    </row>
    <row r="176">
      <c r="B176" s="32" t="s">
        <v>1098</v>
      </c>
      <c r="C176" s="35" t="s">
        <v>83</v>
      </c>
      <c r="D176" s="32" t="s">
        <v>452</v>
      </c>
      <c r="E176" s="11" t="s">
        <v>13</v>
      </c>
    </row>
    <row r="177">
      <c r="B177" s="1" t="s">
        <v>112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B179" s="32" t="s">
        <v>1801</v>
      </c>
      <c r="C179" s="33" t="s">
        <v>55</v>
      </c>
      <c r="D179" s="32" t="s">
        <v>265</v>
      </c>
      <c r="E179" s="11" t="s">
        <v>33</v>
      </c>
    </row>
    <row r="180">
      <c r="B180" s="8" t="s">
        <v>996</v>
      </c>
      <c r="C180" s="33" t="s">
        <v>197</v>
      </c>
      <c r="D180" s="32" t="s">
        <v>1802</v>
      </c>
      <c r="E180" s="11" t="s">
        <v>37</v>
      </c>
    </row>
    <row r="181">
      <c r="B181" s="32" t="s">
        <v>1803</v>
      </c>
      <c r="C181" s="33" t="s">
        <v>41</v>
      </c>
      <c r="D181" s="32" t="s">
        <v>1801</v>
      </c>
      <c r="E181" s="11" t="s">
        <v>33</v>
      </c>
    </row>
    <row r="182">
      <c r="B182" s="8" t="s">
        <v>996</v>
      </c>
      <c r="C182" s="33" t="s">
        <v>195</v>
      </c>
      <c r="D182" s="32" t="s">
        <v>265</v>
      </c>
      <c r="E182" s="11" t="s">
        <v>37</v>
      </c>
    </row>
    <row r="183">
      <c r="B183" s="32" t="s">
        <v>1803</v>
      </c>
      <c r="C183" s="33" t="s">
        <v>187</v>
      </c>
      <c r="D183" s="32" t="s">
        <v>1802</v>
      </c>
      <c r="E183" s="11" t="s">
        <v>33</v>
      </c>
    </row>
    <row r="184">
      <c r="B184" s="8" t="s">
        <v>996</v>
      </c>
      <c r="C184" s="33" t="s">
        <v>509</v>
      </c>
      <c r="D184" s="32" t="s">
        <v>1801</v>
      </c>
      <c r="E184" s="11" t="s">
        <v>37</v>
      </c>
    </row>
    <row r="185">
      <c r="B185" s="32" t="s">
        <v>1803</v>
      </c>
      <c r="C185" s="33" t="s">
        <v>87</v>
      </c>
      <c r="D185" s="32" t="s">
        <v>265</v>
      </c>
      <c r="E185" s="11" t="s">
        <v>33</v>
      </c>
    </row>
    <row r="186">
      <c r="B186" s="32" t="s">
        <v>1802</v>
      </c>
      <c r="C186" s="33" t="s">
        <v>331</v>
      </c>
      <c r="D186" s="32" t="s">
        <v>1801</v>
      </c>
      <c r="E186" s="11" t="s">
        <v>37</v>
      </c>
    </row>
    <row r="187">
      <c r="B187" s="32" t="s">
        <v>1803</v>
      </c>
      <c r="C187" s="33" t="s">
        <v>329</v>
      </c>
      <c r="D187" s="8" t="s">
        <v>996</v>
      </c>
      <c r="E187" s="11" t="s">
        <v>33</v>
      </c>
    </row>
    <row r="188">
      <c r="B188" s="32" t="s">
        <v>1802</v>
      </c>
      <c r="C188" s="33" t="s">
        <v>11</v>
      </c>
      <c r="D188" s="32" t="s">
        <v>265</v>
      </c>
      <c r="E188" s="11" t="s">
        <v>37</v>
      </c>
    </row>
    <row r="189">
      <c r="B189" s="32" t="s">
        <v>265</v>
      </c>
      <c r="C189" s="33" t="s">
        <v>509</v>
      </c>
      <c r="D189" s="32" t="s">
        <v>1801</v>
      </c>
      <c r="E189" s="11" t="s">
        <v>33</v>
      </c>
    </row>
    <row r="190">
      <c r="B190" s="32" t="s">
        <v>1802</v>
      </c>
      <c r="C190" s="33" t="s">
        <v>1804</v>
      </c>
      <c r="D190" s="8" t="s">
        <v>996</v>
      </c>
      <c r="E190" s="11" t="s">
        <v>37</v>
      </c>
    </row>
    <row r="191">
      <c r="B191" s="32" t="s">
        <v>1801</v>
      </c>
      <c r="C191" s="35" t="s">
        <v>494</v>
      </c>
      <c r="D191" s="32" t="s">
        <v>1803</v>
      </c>
      <c r="E191" s="11" t="s">
        <v>33</v>
      </c>
    </row>
    <row r="192">
      <c r="B192" s="32" t="s">
        <v>265</v>
      </c>
      <c r="C192" s="35" t="s">
        <v>190</v>
      </c>
      <c r="D192" s="8" t="s">
        <v>996</v>
      </c>
      <c r="E192" s="11" t="s">
        <v>37</v>
      </c>
    </row>
    <row r="193">
      <c r="B193" s="32" t="s">
        <v>1802</v>
      </c>
      <c r="C193" s="35" t="s">
        <v>21</v>
      </c>
      <c r="D193" s="32" t="s">
        <v>1803</v>
      </c>
      <c r="E193" s="11" t="s">
        <v>33</v>
      </c>
    </row>
    <row r="194">
      <c r="B194" s="32" t="s">
        <v>1801</v>
      </c>
      <c r="C194" s="35" t="s">
        <v>1805</v>
      </c>
      <c r="D194" s="8" t="s">
        <v>996</v>
      </c>
      <c r="E194" s="11" t="s">
        <v>37</v>
      </c>
    </row>
    <row r="195">
      <c r="B195" s="32" t="s">
        <v>265</v>
      </c>
      <c r="C195" s="35" t="s">
        <v>17</v>
      </c>
      <c r="D195" s="32" t="s">
        <v>1803</v>
      </c>
      <c r="E195" s="11" t="s">
        <v>33</v>
      </c>
    </row>
    <row r="196">
      <c r="B196" s="32" t="s">
        <v>1801</v>
      </c>
      <c r="C196" s="35" t="s">
        <v>197</v>
      </c>
      <c r="D196" s="32" t="s">
        <v>1802</v>
      </c>
      <c r="E196" s="11" t="s">
        <v>37</v>
      </c>
    </row>
    <row r="197">
      <c r="B197" s="8" t="s">
        <v>996</v>
      </c>
      <c r="C197" s="35" t="s">
        <v>35</v>
      </c>
      <c r="D197" s="32" t="s">
        <v>1803</v>
      </c>
      <c r="E197" s="11" t="s">
        <v>33</v>
      </c>
    </row>
    <row r="198">
      <c r="B198" s="32" t="s">
        <v>265</v>
      </c>
      <c r="C198" s="35" t="s">
        <v>17</v>
      </c>
      <c r="D198" s="32" t="s">
        <v>1802</v>
      </c>
      <c r="E198" s="11" t="s">
        <v>37</v>
      </c>
    </row>
    <row r="199">
      <c r="B199" s="1" t="s">
        <v>1429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B201" s="32" t="s">
        <v>1269</v>
      </c>
      <c r="C201" s="35" t="s">
        <v>195</v>
      </c>
      <c r="D201" s="32" t="s">
        <v>1806</v>
      </c>
      <c r="E201" s="11" t="s">
        <v>33</v>
      </c>
    </row>
    <row r="202">
      <c r="B202" s="8" t="s">
        <v>1559</v>
      </c>
      <c r="C202" s="35" t="s">
        <v>488</v>
      </c>
      <c r="D202" s="32" t="s">
        <v>388</v>
      </c>
      <c r="E202" s="11" t="s">
        <v>37</v>
      </c>
    </row>
    <row r="203">
      <c r="B203" s="32" t="s">
        <v>1807</v>
      </c>
      <c r="C203" s="35" t="s">
        <v>62</v>
      </c>
      <c r="D203" s="32" t="s">
        <v>1269</v>
      </c>
      <c r="E203" s="11" t="s">
        <v>33</v>
      </c>
    </row>
    <row r="204">
      <c r="B204" s="8" t="s">
        <v>1559</v>
      </c>
      <c r="C204" s="35" t="s">
        <v>533</v>
      </c>
      <c r="D204" s="32" t="s">
        <v>1806</v>
      </c>
      <c r="E204" s="11" t="s">
        <v>37</v>
      </c>
    </row>
    <row r="205">
      <c r="B205" s="32" t="s">
        <v>1807</v>
      </c>
      <c r="C205" s="35" t="s">
        <v>16</v>
      </c>
      <c r="D205" s="32" t="s">
        <v>388</v>
      </c>
      <c r="E205" s="11" t="s">
        <v>33</v>
      </c>
    </row>
    <row r="206">
      <c r="B206" s="8" t="s">
        <v>1559</v>
      </c>
      <c r="C206" s="35" t="s">
        <v>190</v>
      </c>
      <c r="D206" s="32" t="s">
        <v>1269</v>
      </c>
      <c r="E206" s="11" t="s">
        <v>37</v>
      </c>
    </row>
    <row r="207">
      <c r="B207" s="32" t="s">
        <v>1807</v>
      </c>
      <c r="C207" s="35" t="s">
        <v>273</v>
      </c>
      <c r="D207" s="32" t="s">
        <v>1806</v>
      </c>
      <c r="E207" s="11" t="s">
        <v>33</v>
      </c>
    </row>
    <row r="208">
      <c r="B208" s="32" t="s">
        <v>388</v>
      </c>
      <c r="C208" s="35" t="s">
        <v>28</v>
      </c>
      <c r="D208" s="32" t="s">
        <v>1269</v>
      </c>
      <c r="E208" s="11" t="s">
        <v>37</v>
      </c>
    </row>
    <row r="209">
      <c r="B209" s="32" t="s">
        <v>1807</v>
      </c>
      <c r="C209" s="35" t="s">
        <v>286</v>
      </c>
      <c r="D209" s="8" t="s">
        <v>1559</v>
      </c>
      <c r="E209" s="11" t="s">
        <v>33</v>
      </c>
    </row>
    <row r="210">
      <c r="B210" s="32" t="s">
        <v>388</v>
      </c>
      <c r="C210" s="35" t="s">
        <v>369</v>
      </c>
      <c r="D210" s="32" t="s">
        <v>1806</v>
      </c>
      <c r="E210" s="11" t="s">
        <v>37</v>
      </c>
    </row>
    <row r="211">
      <c r="B211" s="32" t="s">
        <v>1806</v>
      </c>
      <c r="C211" s="35" t="s">
        <v>824</v>
      </c>
      <c r="D211" s="32" t="s">
        <v>1269</v>
      </c>
      <c r="E211" s="11" t="s">
        <v>33</v>
      </c>
    </row>
    <row r="212">
      <c r="B212" s="32" t="s">
        <v>388</v>
      </c>
      <c r="C212" s="35" t="s">
        <v>684</v>
      </c>
      <c r="D212" s="8" t="s">
        <v>1559</v>
      </c>
      <c r="E212" s="11" t="s">
        <v>37</v>
      </c>
    </row>
    <row r="213">
      <c r="B213" s="32" t="s">
        <v>1269</v>
      </c>
      <c r="C213" s="35" t="s">
        <v>196</v>
      </c>
      <c r="D213" s="32" t="s">
        <v>1807</v>
      </c>
      <c r="E213" s="11" t="s">
        <v>33</v>
      </c>
    </row>
    <row r="214">
      <c r="B214" s="32" t="s">
        <v>1806</v>
      </c>
      <c r="C214" s="35" t="s">
        <v>16</v>
      </c>
      <c r="D214" s="8" t="s">
        <v>1559</v>
      </c>
      <c r="E214" s="11" t="s">
        <v>37</v>
      </c>
    </row>
    <row r="215">
      <c r="B215" s="32" t="s">
        <v>388</v>
      </c>
      <c r="C215" s="35" t="s">
        <v>25</v>
      </c>
      <c r="D215" s="32" t="s">
        <v>1807</v>
      </c>
      <c r="E215" s="11" t="s">
        <v>33</v>
      </c>
    </row>
    <row r="216">
      <c r="B216" s="32" t="s">
        <v>1269</v>
      </c>
      <c r="C216" s="35" t="s">
        <v>18</v>
      </c>
      <c r="D216" s="8" t="s">
        <v>1559</v>
      </c>
      <c r="E216" s="11" t="s">
        <v>37</v>
      </c>
    </row>
    <row r="217">
      <c r="B217" s="32" t="s">
        <v>1806</v>
      </c>
      <c r="C217" s="35" t="s">
        <v>64</v>
      </c>
      <c r="D217" s="32" t="s">
        <v>1807</v>
      </c>
      <c r="E217" s="11" t="s">
        <v>33</v>
      </c>
    </row>
    <row r="218">
      <c r="B218" s="32" t="s">
        <v>1269</v>
      </c>
      <c r="C218" s="35" t="s">
        <v>11</v>
      </c>
      <c r="D218" s="32" t="s">
        <v>388</v>
      </c>
      <c r="E218" s="11" t="s">
        <v>37</v>
      </c>
    </row>
    <row r="219">
      <c r="B219" s="8" t="s">
        <v>1559</v>
      </c>
      <c r="C219" s="35" t="s">
        <v>28</v>
      </c>
      <c r="D219" s="32" t="s">
        <v>1807</v>
      </c>
      <c r="E219" s="11" t="s">
        <v>33</v>
      </c>
    </row>
    <row r="220">
      <c r="B220" s="32" t="s">
        <v>1806</v>
      </c>
      <c r="C220" s="35" t="s">
        <v>88</v>
      </c>
      <c r="D220" s="32" t="s">
        <v>388</v>
      </c>
      <c r="E220" s="11" t="s">
        <v>37</v>
      </c>
    </row>
    <row r="221">
      <c r="B221" s="28" t="s">
        <v>1685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34" t="s">
        <v>1808</v>
      </c>
      <c r="C223" s="33" t="s">
        <v>196</v>
      </c>
      <c r="D223" s="34" t="s">
        <v>1809</v>
      </c>
      <c r="E223" s="11" t="s">
        <v>9</v>
      </c>
    </row>
    <row r="224">
      <c r="B224" s="34" t="s">
        <v>1225</v>
      </c>
      <c r="C224" s="33" t="s">
        <v>1031</v>
      </c>
      <c r="D224" s="34" t="s">
        <v>1753</v>
      </c>
      <c r="E224" s="11" t="s">
        <v>13</v>
      </c>
    </row>
    <row r="225">
      <c r="B225" s="34" t="s">
        <v>1810</v>
      </c>
      <c r="C225" s="33" t="s">
        <v>289</v>
      </c>
      <c r="D225" s="34" t="s">
        <v>1808</v>
      </c>
      <c r="E225" s="11" t="s">
        <v>9</v>
      </c>
    </row>
    <row r="226">
      <c r="B226" s="34" t="s">
        <v>1225</v>
      </c>
      <c r="C226" s="33" t="s">
        <v>87</v>
      </c>
      <c r="D226" s="34" t="s">
        <v>1809</v>
      </c>
      <c r="E226" s="11" t="s">
        <v>13</v>
      </c>
    </row>
    <row r="227">
      <c r="B227" s="34" t="s">
        <v>1810</v>
      </c>
      <c r="C227" s="33" t="s">
        <v>22</v>
      </c>
      <c r="D227" s="34" t="s">
        <v>1753</v>
      </c>
      <c r="E227" s="11" t="s">
        <v>9</v>
      </c>
    </row>
    <row r="228">
      <c r="B228" s="34" t="s">
        <v>1225</v>
      </c>
      <c r="C228" s="33" t="s">
        <v>64</v>
      </c>
      <c r="D228" s="34" t="s">
        <v>1808</v>
      </c>
      <c r="E228" s="11" t="s">
        <v>13</v>
      </c>
    </row>
    <row r="229">
      <c r="B229" s="34" t="s">
        <v>1810</v>
      </c>
      <c r="C229" s="33" t="s">
        <v>404</v>
      </c>
      <c r="D229" s="34" t="s">
        <v>1809</v>
      </c>
      <c r="E229" s="11" t="s">
        <v>9</v>
      </c>
    </row>
    <row r="230">
      <c r="B230" s="34" t="s">
        <v>1753</v>
      </c>
      <c r="C230" s="33" t="s">
        <v>38</v>
      </c>
      <c r="D230" s="34" t="s">
        <v>1808</v>
      </c>
      <c r="E230" s="11" t="s">
        <v>13</v>
      </c>
    </row>
    <row r="231">
      <c r="B231" s="34" t="s">
        <v>1810</v>
      </c>
      <c r="C231" s="33" t="s">
        <v>220</v>
      </c>
      <c r="D231" s="34" t="s">
        <v>1225</v>
      </c>
      <c r="E231" s="11" t="s">
        <v>9</v>
      </c>
    </row>
    <row r="232">
      <c r="B232" s="34" t="s">
        <v>1753</v>
      </c>
      <c r="C232" s="33" t="s">
        <v>17</v>
      </c>
      <c r="D232" s="34" t="s">
        <v>1809</v>
      </c>
      <c r="E232" s="11" t="s">
        <v>13</v>
      </c>
    </row>
    <row r="233">
      <c r="B233" s="34" t="s">
        <v>1809</v>
      </c>
      <c r="C233" s="33" t="s">
        <v>21</v>
      </c>
      <c r="D233" s="34" t="s">
        <v>1808</v>
      </c>
      <c r="E233" s="11" t="s">
        <v>9</v>
      </c>
    </row>
    <row r="234">
      <c r="B234" s="34" t="s">
        <v>1753</v>
      </c>
      <c r="C234" s="33" t="s">
        <v>20</v>
      </c>
      <c r="D234" s="34" t="s">
        <v>1225</v>
      </c>
      <c r="E234" s="11" t="s">
        <v>13</v>
      </c>
    </row>
    <row r="235">
      <c r="B235" s="34" t="s">
        <v>1808</v>
      </c>
      <c r="C235" s="35" t="s">
        <v>426</v>
      </c>
      <c r="D235" s="34" t="s">
        <v>1810</v>
      </c>
      <c r="E235" s="11" t="s">
        <v>9</v>
      </c>
    </row>
    <row r="236">
      <c r="B236" s="34" t="s">
        <v>1809</v>
      </c>
      <c r="C236" s="35" t="s">
        <v>193</v>
      </c>
      <c r="D236" s="34" t="s">
        <v>1225</v>
      </c>
      <c r="E236" s="11" t="s">
        <v>13</v>
      </c>
    </row>
    <row r="237">
      <c r="B237" s="34" t="s">
        <v>1753</v>
      </c>
      <c r="C237" s="35" t="s">
        <v>68</v>
      </c>
      <c r="D237" s="34" t="s">
        <v>1810</v>
      </c>
      <c r="E237" s="11" t="s">
        <v>9</v>
      </c>
    </row>
    <row r="238">
      <c r="B238" s="34" t="s">
        <v>1808</v>
      </c>
      <c r="C238" s="35" t="s">
        <v>1811</v>
      </c>
      <c r="D238" s="34" t="s">
        <v>1225</v>
      </c>
      <c r="E238" s="11" t="s">
        <v>13</v>
      </c>
    </row>
    <row r="239">
      <c r="B239" s="34" t="s">
        <v>1809</v>
      </c>
      <c r="C239" s="35" t="s">
        <v>193</v>
      </c>
      <c r="D239" s="34" t="s">
        <v>1810</v>
      </c>
      <c r="E239" s="11" t="s">
        <v>9</v>
      </c>
    </row>
    <row r="240">
      <c r="B240" s="34" t="s">
        <v>1808</v>
      </c>
      <c r="C240" s="35" t="s">
        <v>950</v>
      </c>
      <c r="D240" s="34" t="s">
        <v>1753</v>
      </c>
      <c r="E240" s="11" t="s">
        <v>13</v>
      </c>
    </row>
    <row r="241">
      <c r="B241" s="34" t="s">
        <v>1225</v>
      </c>
      <c r="C241" s="35" t="s">
        <v>45</v>
      </c>
      <c r="D241" s="34" t="s">
        <v>1810</v>
      </c>
      <c r="E241" s="11" t="s">
        <v>9</v>
      </c>
    </row>
    <row r="242">
      <c r="B242" s="34" t="s">
        <v>1809</v>
      </c>
      <c r="C242" s="35" t="s">
        <v>218</v>
      </c>
      <c r="D242" s="34" t="s">
        <v>1753</v>
      </c>
      <c r="E242" s="11" t="s">
        <v>13</v>
      </c>
    </row>
    <row r="243">
      <c r="B243" s="28" t="s">
        <v>1441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34" t="s">
        <v>1755</v>
      </c>
      <c r="C245" s="35" t="s">
        <v>71</v>
      </c>
      <c r="D245" s="34" t="s">
        <v>1812</v>
      </c>
      <c r="E245" s="11" t="s">
        <v>9</v>
      </c>
    </row>
    <row r="246">
      <c r="B246" s="34" t="s">
        <v>1813</v>
      </c>
      <c r="C246" s="35" t="s">
        <v>232</v>
      </c>
      <c r="D246" s="34" t="s">
        <v>1814</v>
      </c>
      <c r="E246" s="11" t="s">
        <v>13</v>
      </c>
    </row>
    <row r="247">
      <c r="B247" s="34" t="s">
        <v>1815</v>
      </c>
      <c r="C247" s="35" t="s">
        <v>544</v>
      </c>
      <c r="D247" s="34" t="s">
        <v>1755</v>
      </c>
      <c r="E247" s="11" t="s">
        <v>9</v>
      </c>
    </row>
    <row r="248">
      <c r="B248" s="34" t="s">
        <v>1813</v>
      </c>
      <c r="C248" s="35" t="s">
        <v>197</v>
      </c>
      <c r="D248" s="34" t="s">
        <v>1812</v>
      </c>
      <c r="E248" s="11" t="s">
        <v>13</v>
      </c>
    </row>
    <row r="249">
      <c r="B249" s="34" t="s">
        <v>1815</v>
      </c>
      <c r="C249" s="35" t="s">
        <v>217</v>
      </c>
      <c r="D249" s="34" t="s">
        <v>1814</v>
      </c>
      <c r="E249" s="11" t="s">
        <v>9</v>
      </c>
    </row>
    <row r="250">
      <c r="B250" s="34" t="s">
        <v>1813</v>
      </c>
      <c r="C250" s="35" t="s">
        <v>195</v>
      </c>
      <c r="D250" s="34" t="s">
        <v>1755</v>
      </c>
      <c r="E250" s="11" t="s">
        <v>13</v>
      </c>
    </row>
    <row r="251">
      <c r="B251" s="34" t="s">
        <v>1815</v>
      </c>
      <c r="C251" s="35" t="s">
        <v>362</v>
      </c>
      <c r="D251" s="34" t="s">
        <v>1812</v>
      </c>
      <c r="E251" s="11" t="s">
        <v>9</v>
      </c>
    </row>
    <row r="252">
      <c r="B252" s="34" t="s">
        <v>1814</v>
      </c>
      <c r="C252" s="35" t="s">
        <v>542</v>
      </c>
      <c r="D252" s="34" t="s">
        <v>1755</v>
      </c>
      <c r="E252" s="11" t="s">
        <v>13</v>
      </c>
    </row>
    <row r="253">
      <c r="B253" s="34" t="s">
        <v>1815</v>
      </c>
      <c r="C253" s="35" t="s">
        <v>190</v>
      </c>
      <c r="D253" s="34" t="s">
        <v>1813</v>
      </c>
      <c r="E253" s="11" t="s">
        <v>9</v>
      </c>
    </row>
    <row r="254">
      <c r="B254" s="34" t="s">
        <v>1814</v>
      </c>
      <c r="C254" s="35" t="s">
        <v>68</v>
      </c>
      <c r="D254" s="34" t="s">
        <v>1812</v>
      </c>
      <c r="E254" s="11" t="s">
        <v>13</v>
      </c>
    </row>
    <row r="255">
      <c r="B255" s="34" t="s">
        <v>1812</v>
      </c>
      <c r="C255" s="35" t="s">
        <v>239</v>
      </c>
      <c r="D255" s="34" t="s">
        <v>1755</v>
      </c>
      <c r="E255" s="11" t="s">
        <v>9</v>
      </c>
    </row>
    <row r="256">
      <c r="B256" s="34" t="s">
        <v>1814</v>
      </c>
      <c r="C256" s="35" t="s">
        <v>544</v>
      </c>
      <c r="D256" s="34" t="s">
        <v>1813</v>
      </c>
      <c r="E256" s="11" t="s">
        <v>13</v>
      </c>
    </row>
    <row r="257">
      <c r="B257" s="34" t="s">
        <v>1755</v>
      </c>
      <c r="C257" s="35" t="s">
        <v>64</v>
      </c>
      <c r="D257" s="34" t="s">
        <v>1815</v>
      </c>
      <c r="E257" s="11" t="s">
        <v>9</v>
      </c>
    </row>
    <row r="258">
      <c r="B258" s="34" t="s">
        <v>1812</v>
      </c>
      <c r="C258" s="35" t="s">
        <v>190</v>
      </c>
      <c r="D258" s="34" t="s">
        <v>1813</v>
      </c>
      <c r="E258" s="11" t="s">
        <v>13</v>
      </c>
    </row>
    <row r="259">
      <c r="B259" s="34" t="s">
        <v>1814</v>
      </c>
      <c r="C259" s="35" t="s">
        <v>17</v>
      </c>
      <c r="D259" s="34" t="s">
        <v>1815</v>
      </c>
      <c r="E259" s="11" t="s">
        <v>9</v>
      </c>
    </row>
    <row r="260">
      <c r="B260" s="34" t="s">
        <v>1755</v>
      </c>
      <c r="C260" s="35" t="s">
        <v>285</v>
      </c>
      <c r="D260" s="34" t="s">
        <v>1813</v>
      </c>
      <c r="E260" s="11" t="s">
        <v>13</v>
      </c>
    </row>
    <row r="261">
      <c r="B261" s="34" t="s">
        <v>1812</v>
      </c>
      <c r="C261" s="35" t="s">
        <v>14</v>
      </c>
      <c r="D261" s="34" t="s">
        <v>1815</v>
      </c>
      <c r="E261" s="11" t="s">
        <v>9</v>
      </c>
    </row>
    <row r="262">
      <c r="B262" s="34" t="s">
        <v>1755</v>
      </c>
      <c r="C262" s="35" t="s">
        <v>535</v>
      </c>
      <c r="D262" s="34" t="s">
        <v>1814</v>
      </c>
      <c r="E262" s="11" t="s">
        <v>13</v>
      </c>
    </row>
    <row r="263">
      <c r="B263" s="34" t="s">
        <v>1813</v>
      </c>
      <c r="C263" s="35" t="s">
        <v>413</v>
      </c>
      <c r="D263" s="34" t="s">
        <v>1815</v>
      </c>
      <c r="E263" s="11" t="s">
        <v>9</v>
      </c>
    </row>
    <row r="264">
      <c r="B264" s="34" t="s">
        <v>1812</v>
      </c>
      <c r="C264" s="35" t="s">
        <v>55</v>
      </c>
      <c r="D264" s="34" t="s">
        <v>1814</v>
      </c>
      <c r="E264" s="11" t="s">
        <v>13</v>
      </c>
    </row>
    <row r="265">
      <c r="B265" s="28" t="s">
        <v>134</v>
      </c>
      <c r="C265" s="2"/>
      <c r="D265" s="3"/>
      <c r="E265" s="2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34" t="s">
        <v>1816</v>
      </c>
      <c r="C267" s="33" t="s">
        <v>1067</v>
      </c>
      <c r="D267" s="34" t="s">
        <v>776</v>
      </c>
      <c r="E267" s="11" t="s">
        <v>33</v>
      </c>
    </row>
    <row r="268">
      <c r="B268" s="8" t="s">
        <v>865</v>
      </c>
      <c r="C268" s="33" t="s">
        <v>337</v>
      </c>
      <c r="D268" s="34" t="s">
        <v>1817</v>
      </c>
      <c r="E268" s="11" t="s">
        <v>37</v>
      </c>
    </row>
    <row r="269">
      <c r="B269" s="34" t="s">
        <v>1818</v>
      </c>
      <c r="C269" s="33" t="s">
        <v>21</v>
      </c>
      <c r="D269" s="34" t="s">
        <v>1816</v>
      </c>
      <c r="E269" s="11" t="s">
        <v>33</v>
      </c>
    </row>
    <row r="270">
      <c r="B270" s="8" t="s">
        <v>865</v>
      </c>
      <c r="C270" s="33" t="s">
        <v>389</v>
      </c>
      <c r="D270" s="34" t="s">
        <v>776</v>
      </c>
      <c r="E270" s="11" t="s">
        <v>37</v>
      </c>
    </row>
    <row r="271">
      <c r="B271" s="34" t="s">
        <v>1818</v>
      </c>
      <c r="C271" s="33" t="s">
        <v>65</v>
      </c>
      <c r="D271" s="34" t="s">
        <v>1817</v>
      </c>
      <c r="E271" s="11" t="s">
        <v>33</v>
      </c>
    </row>
    <row r="272">
      <c r="B272" s="8" t="s">
        <v>865</v>
      </c>
      <c r="C272" s="33" t="s">
        <v>62</v>
      </c>
      <c r="D272" s="34" t="s">
        <v>1816</v>
      </c>
      <c r="E272" s="11" t="s">
        <v>37</v>
      </c>
    </row>
    <row r="273">
      <c r="B273" s="34" t="s">
        <v>1818</v>
      </c>
      <c r="C273" s="33" t="s">
        <v>11</v>
      </c>
      <c r="D273" s="34" t="s">
        <v>776</v>
      </c>
      <c r="E273" s="11" t="s">
        <v>33</v>
      </c>
    </row>
    <row r="274">
      <c r="B274" s="34" t="s">
        <v>1817</v>
      </c>
      <c r="C274" s="33" t="s">
        <v>273</v>
      </c>
      <c r="D274" s="34" t="s">
        <v>1816</v>
      </c>
      <c r="E274" s="11" t="s">
        <v>37</v>
      </c>
    </row>
    <row r="275">
      <c r="B275" s="34" t="s">
        <v>1818</v>
      </c>
      <c r="C275" s="33" t="s">
        <v>87</v>
      </c>
      <c r="D275" s="8" t="s">
        <v>865</v>
      </c>
      <c r="E275" s="11" t="s">
        <v>33</v>
      </c>
    </row>
    <row r="276">
      <c r="B276" s="34" t="s">
        <v>1817</v>
      </c>
      <c r="C276" s="33" t="s">
        <v>42</v>
      </c>
      <c r="D276" s="34" t="s">
        <v>776</v>
      </c>
      <c r="E276" s="11" t="s">
        <v>37</v>
      </c>
    </row>
    <row r="277">
      <c r="B277" s="34" t="s">
        <v>776</v>
      </c>
      <c r="C277" s="33" t="s">
        <v>193</v>
      </c>
      <c r="D277" s="34" t="s">
        <v>1816</v>
      </c>
      <c r="E277" s="11" t="s">
        <v>33</v>
      </c>
    </row>
    <row r="278">
      <c r="B278" s="34" t="s">
        <v>1817</v>
      </c>
      <c r="C278" s="33" t="s">
        <v>72</v>
      </c>
      <c r="D278" s="8" t="s">
        <v>865</v>
      </c>
      <c r="E278" s="11" t="s">
        <v>37</v>
      </c>
    </row>
    <row r="279">
      <c r="B279" s="34" t="s">
        <v>1816</v>
      </c>
      <c r="C279" s="35" t="s">
        <v>22</v>
      </c>
      <c r="D279" s="34" t="s">
        <v>1818</v>
      </c>
      <c r="E279" s="11" t="s">
        <v>33</v>
      </c>
    </row>
    <row r="280">
      <c r="B280" s="34" t="s">
        <v>776</v>
      </c>
      <c r="C280" s="35" t="s">
        <v>797</v>
      </c>
      <c r="D280" s="8" t="s">
        <v>865</v>
      </c>
      <c r="E280" s="11" t="s">
        <v>37</v>
      </c>
    </row>
    <row r="281">
      <c r="B281" s="34" t="s">
        <v>1817</v>
      </c>
      <c r="C281" s="35" t="s">
        <v>260</v>
      </c>
      <c r="D281" s="34" t="s">
        <v>1818</v>
      </c>
      <c r="E281" s="11" t="s">
        <v>33</v>
      </c>
    </row>
    <row r="282">
      <c r="B282" s="34" t="s">
        <v>1816</v>
      </c>
      <c r="C282" s="35" t="s">
        <v>195</v>
      </c>
      <c r="D282" s="8" t="s">
        <v>865</v>
      </c>
      <c r="E282" s="11" t="s">
        <v>37</v>
      </c>
    </row>
    <row r="283">
      <c r="B283" s="34" t="s">
        <v>776</v>
      </c>
      <c r="C283" s="35" t="s">
        <v>20</v>
      </c>
      <c r="D283" s="34" t="s">
        <v>1818</v>
      </c>
      <c r="E283" s="11" t="s">
        <v>33</v>
      </c>
    </row>
    <row r="284">
      <c r="B284" s="34" t="s">
        <v>1816</v>
      </c>
      <c r="C284" s="35" t="s">
        <v>55</v>
      </c>
      <c r="D284" s="34" t="s">
        <v>1817</v>
      </c>
      <c r="E284" s="11" t="s">
        <v>37</v>
      </c>
    </row>
    <row r="285">
      <c r="B285" s="8" t="s">
        <v>865</v>
      </c>
      <c r="C285" s="35" t="s">
        <v>251</v>
      </c>
      <c r="D285" s="34" t="s">
        <v>1818</v>
      </c>
      <c r="E285" s="11" t="s">
        <v>33</v>
      </c>
      <c r="G285" s="36"/>
    </row>
    <row r="286">
      <c r="B286" s="34" t="s">
        <v>776</v>
      </c>
      <c r="C286" s="35" t="s">
        <v>403</v>
      </c>
      <c r="D286" s="34" t="s">
        <v>1817</v>
      </c>
      <c r="E286" s="11" t="s">
        <v>37</v>
      </c>
    </row>
    <row r="287">
      <c r="B287" s="28" t="s">
        <v>145</v>
      </c>
      <c r="C287" s="2"/>
      <c r="D287" s="3"/>
      <c r="E287" s="2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34" t="s">
        <v>1819</v>
      </c>
      <c r="C289" s="33" t="s">
        <v>187</v>
      </c>
      <c r="D289" s="34" t="s">
        <v>1820</v>
      </c>
      <c r="E289" s="11" t="s">
        <v>33</v>
      </c>
    </row>
    <row r="290">
      <c r="B290" s="8" t="s">
        <v>474</v>
      </c>
      <c r="C290" s="33" t="s">
        <v>58</v>
      </c>
      <c r="D290" s="34" t="s">
        <v>1821</v>
      </c>
      <c r="E290" s="11" t="s">
        <v>37</v>
      </c>
    </row>
    <row r="291">
      <c r="B291" s="34" t="s">
        <v>1822</v>
      </c>
      <c r="C291" s="33" t="s">
        <v>250</v>
      </c>
      <c r="D291" s="34" t="s">
        <v>1819</v>
      </c>
      <c r="E291" s="11" t="s">
        <v>33</v>
      </c>
    </row>
    <row r="292">
      <c r="B292" s="8" t="s">
        <v>474</v>
      </c>
      <c r="C292" s="33" t="s">
        <v>82</v>
      </c>
      <c r="D292" s="34" t="s">
        <v>1820</v>
      </c>
      <c r="E292" s="11" t="s">
        <v>37</v>
      </c>
    </row>
    <row r="293">
      <c r="B293" s="34" t="s">
        <v>1822</v>
      </c>
      <c r="C293" s="33" t="s">
        <v>400</v>
      </c>
      <c r="D293" s="34" t="s">
        <v>1821</v>
      </c>
      <c r="E293" s="11" t="s">
        <v>33</v>
      </c>
    </row>
    <row r="294">
      <c r="B294" s="8" t="s">
        <v>474</v>
      </c>
      <c r="C294" s="33" t="s">
        <v>52</v>
      </c>
      <c r="D294" s="34" t="s">
        <v>1819</v>
      </c>
      <c r="E294" s="11" t="s">
        <v>37</v>
      </c>
    </row>
    <row r="295">
      <c r="B295" s="34" t="s">
        <v>1822</v>
      </c>
      <c r="C295" s="33" t="s">
        <v>261</v>
      </c>
      <c r="D295" s="34" t="s">
        <v>1820</v>
      </c>
      <c r="E295" s="11" t="s">
        <v>33</v>
      </c>
    </row>
    <row r="296">
      <c r="B296" s="34" t="s">
        <v>1821</v>
      </c>
      <c r="C296" s="33" t="s">
        <v>1102</v>
      </c>
      <c r="D296" s="34" t="s">
        <v>1819</v>
      </c>
      <c r="E296" s="11" t="s">
        <v>37</v>
      </c>
    </row>
    <row r="297">
      <c r="B297" s="34" t="s">
        <v>1822</v>
      </c>
      <c r="C297" s="33" t="s">
        <v>28</v>
      </c>
      <c r="D297" s="8" t="s">
        <v>474</v>
      </c>
      <c r="E297" s="11" t="s">
        <v>33</v>
      </c>
    </row>
    <row r="298">
      <c r="B298" s="34" t="s">
        <v>1821</v>
      </c>
      <c r="C298" s="33" t="s">
        <v>72</v>
      </c>
      <c r="D298" s="34" t="s">
        <v>1820</v>
      </c>
      <c r="E298" s="11" t="s">
        <v>37</v>
      </c>
    </row>
    <row r="299">
      <c r="B299" s="34" t="s">
        <v>1820</v>
      </c>
      <c r="C299" s="33" t="s">
        <v>1102</v>
      </c>
      <c r="D299" s="34" t="s">
        <v>1819</v>
      </c>
      <c r="E299" s="11" t="s">
        <v>33</v>
      </c>
    </row>
    <row r="300">
      <c r="B300" s="34" t="s">
        <v>1821</v>
      </c>
      <c r="C300" s="33" t="s">
        <v>43</v>
      </c>
      <c r="D300" s="8" t="s">
        <v>474</v>
      </c>
      <c r="E300" s="11" t="s">
        <v>37</v>
      </c>
    </row>
    <row r="301">
      <c r="B301" s="34" t="s">
        <v>1819</v>
      </c>
      <c r="C301" s="35" t="s">
        <v>446</v>
      </c>
      <c r="D301" s="34" t="s">
        <v>1822</v>
      </c>
      <c r="E301" s="11" t="s">
        <v>33</v>
      </c>
    </row>
    <row r="302">
      <c r="B302" s="34" t="s">
        <v>1820</v>
      </c>
      <c r="C302" s="35" t="s">
        <v>1823</v>
      </c>
      <c r="D302" s="8" t="s">
        <v>474</v>
      </c>
      <c r="E302" s="11" t="s">
        <v>37</v>
      </c>
    </row>
    <row r="303">
      <c r="B303" s="34" t="s">
        <v>1821</v>
      </c>
      <c r="C303" s="35" t="s">
        <v>42</v>
      </c>
      <c r="D303" s="34" t="s">
        <v>1822</v>
      </c>
      <c r="E303" s="11" t="s">
        <v>33</v>
      </c>
    </row>
    <row r="304">
      <c r="B304" s="34" t="s">
        <v>1819</v>
      </c>
      <c r="C304" s="35" t="s">
        <v>64</v>
      </c>
      <c r="D304" s="8" t="s">
        <v>474</v>
      </c>
      <c r="E304" s="11" t="s">
        <v>37</v>
      </c>
    </row>
    <row r="305">
      <c r="B305" s="34" t="s">
        <v>1820</v>
      </c>
      <c r="C305" s="35" t="s">
        <v>55</v>
      </c>
      <c r="D305" s="34" t="s">
        <v>1822</v>
      </c>
      <c r="E305" s="11" t="s">
        <v>33</v>
      </c>
      <c r="J305" s="50"/>
    </row>
    <row r="306">
      <c r="B306" s="34" t="s">
        <v>1819</v>
      </c>
      <c r="C306" s="35" t="s">
        <v>217</v>
      </c>
      <c r="D306" s="34" t="s">
        <v>1821</v>
      </c>
      <c r="E306" s="11" t="s">
        <v>37</v>
      </c>
      <c r="H306" s="36"/>
    </row>
    <row r="307">
      <c r="B307" s="8" t="s">
        <v>474</v>
      </c>
      <c r="C307" s="35" t="s">
        <v>45</v>
      </c>
      <c r="D307" s="34" t="s">
        <v>1822</v>
      </c>
      <c r="E307" s="11" t="s">
        <v>33</v>
      </c>
    </row>
    <row r="308">
      <c r="B308" s="34" t="s">
        <v>1820</v>
      </c>
      <c r="C308" s="35" t="s">
        <v>25</v>
      </c>
      <c r="D308" s="34" t="s">
        <v>1821</v>
      </c>
      <c r="E308" s="11" t="s">
        <v>37</v>
      </c>
    </row>
    <row r="309">
      <c r="B309" s="28" t="s">
        <v>1456</v>
      </c>
      <c r="C309" s="2"/>
      <c r="D309" s="3"/>
      <c r="E309" s="2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34" t="s">
        <v>1824</v>
      </c>
      <c r="C311" s="33" t="s">
        <v>658</v>
      </c>
      <c r="D311" s="34" t="s">
        <v>1324</v>
      </c>
      <c r="E311" s="11" t="s">
        <v>9</v>
      </c>
    </row>
    <row r="312">
      <c r="B312" s="34" t="s">
        <v>1326</v>
      </c>
      <c r="C312" s="33" t="s">
        <v>35</v>
      </c>
      <c r="D312" s="34" t="s">
        <v>1825</v>
      </c>
      <c r="E312" s="11" t="s">
        <v>13</v>
      </c>
    </row>
    <row r="313">
      <c r="B313" s="34" t="s">
        <v>1826</v>
      </c>
      <c r="C313" s="33" t="s">
        <v>21</v>
      </c>
      <c r="D313" s="34" t="s">
        <v>1824</v>
      </c>
      <c r="E313" s="11" t="s">
        <v>9</v>
      </c>
    </row>
    <row r="314">
      <c r="B314" s="34" t="s">
        <v>1326</v>
      </c>
      <c r="C314" s="33" t="s">
        <v>232</v>
      </c>
      <c r="D314" s="34" t="s">
        <v>1324</v>
      </c>
      <c r="E314" s="11" t="s">
        <v>13</v>
      </c>
    </row>
    <row r="315">
      <c r="B315" s="34" t="s">
        <v>1826</v>
      </c>
      <c r="C315" s="33" t="s">
        <v>286</v>
      </c>
      <c r="D315" s="34" t="s">
        <v>1825</v>
      </c>
      <c r="E315" s="11" t="s">
        <v>9</v>
      </c>
    </row>
    <row r="316">
      <c r="B316" s="34" t="s">
        <v>1326</v>
      </c>
      <c r="C316" s="33" t="s">
        <v>302</v>
      </c>
      <c r="D316" s="34" t="s">
        <v>1824</v>
      </c>
      <c r="E316" s="11" t="s">
        <v>13</v>
      </c>
    </row>
    <row r="317">
      <c r="B317" s="34" t="s">
        <v>1826</v>
      </c>
      <c r="C317" s="33" t="s">
        <v>58</v>
      </c>
      <c r="D317" s="34" t="s">
        <v>1324</v>
      </c>
      <c r="E317" s="11" t="s">
        <v>9</v>
      </c>
    </row>
    <row r="318">
      <c r="B318" s="34" t="s">
        <v>1825</v>
      </c>
      <c r="C318" s="33" t="s">
        <v>331</v>
      </c>
      <c r="D318" s="34" t="s">
        <v>1824</v>
      </c>
      <c r="E318" s="11" t="s">
        <v>13</v>
      </c>
    </row>
    <row r="319">
      <c r="B319" s="34" t="s">
        <v>1826</v>
      </c>
      <c r="C319" s="33" t="s">
        <v>68</v>
      </c>
      <c r="D319" s="34" t="s">
        <v>1326</v>
      </c>
      <c r="E319" s="11" t="s">
        <v>9</v>
      </c>
    </row>
    <row r="320">
      <c r="B320" s="34" t="s">
        <v>1825</v>
      </c>
      <c r="C320" s="33" t="s">
        <v>87</v>
      </c>
      <c r="D320" s="34" t="s">
        <v>1324</v>
      </c>
      <c r="E320" s="11" t="s">
        <v>13</v>
      </c>
    </row>
    <row r="321">
      <c r="B321" s="34" t="s">
        <v>1324</v>
      </c>
      <c r="C321" s="33" t="s">
        <v>28</v>
      </c>
      <c r="D321" s="34" t="s">
        <v>1824</v>
      </c>
      <c r="E321" s="11" t="s">
        <v>9</v>
      </c>
    </row>
    <row r="322">
      <c r="B322" s="34" t="s">
        <v>1825</v>
      </c>
      <c r="C322" s="33" t="s">
        <v>261</v>
      </c>
      <c r="D322" s="34" t="s">
        <v>1326</v>
      </c>
      <c r="E322" s="11" t="s">
        <v>13</v>
      </c>
    </row>
    <row r="323">
      <c r="B323" s="34" t="s">
        <v>1824</v>
      </c>
      <c r="C323" s="35" t="s">
        <v>82</v>
      </c>
      <c r="D323" s="34" t="s">
        <v>1826</v>
      </c>
      <c r="E323" s="11" t="s">
        <v>9</v>
      </c>
    </row>
    <row r="324">
      <c r="B324" s="34" t="s">
        <v>1324</v>
      </c>
      <c r="C324" s="35" t="s">
        <v>42</v>
      </c>
      <c r="D324" s="34" t="s">
        <v>1326</v>
      </c>
      <c r="E324" s="11" t="s">
        <v>13</v>
      </c>
    </row>
    <row r="325">
      <c r="B325" s="34" t="s">
        <v>1825</v>
      </c>
      <c r="C325" s="35" t="s">
        <v>285</v>
      </c>
      <c r="D325" s="34" t="s">
        <v>1826</v>
      </c>
      <c r="E325" s="11" t="s">
        <v>9</v>
      </c>
    </row>
    <row r="326">
      <c r="B326" s="34" t="s">
        <v>1824</v>
      </c>
      <c r="C326" s="35" t="s">
        <v>193</v>
      </c>
      <c r="D326" s="34" t="s">
        <v>1326</v>
      </c>
      <c r="E326" s="11" t="s">
        <v>13</v>
      </c>
    </row>
    <row r="327">
      <c r="B327" s="34" t="s">
        <v>1324</v>
      </c>
      <c r="C327" s="35" t="s">
        <v>195</v>
      </c>
      <c r="D327" s="34" t="s">
        <v>1826</v>
      </c>
      <c r="E327" s="11" t="s">
        <v>9</v>
      </c>
    </row>
    <row r="328">
      <c r="B328" s="34" t="s">
        <v>1824</v>
      </c>
      <c r="C328" s="35" t="s">
        <v>194</v>
      </c>
      <c r="D328" s="34" t="s">
        <v>1825</v>
      </c>
      <c r="E328" s="11" t="s">
        <v>13</v>
      </c>
    </row>
    <row r="329">
      <c r="B329" s="34" t="s">
        <v>1326</v>
      </c>
      <c r="C329" s="35" t="s">
        <v>11</v>
      </c>
      <c r="D329" s="34" t="s">
        <v>1826</v>
      </c>
      <c r="E329" s="11" t="s">
        <v>9</v>
      </c>
    </row>
    <row r="330">
      <c r="B330" s="34" t="s">
        <v>1324</v>
      </c>
      <c r="C330" s="35" t="s">
        <v>187</v>
      </c>
      <c r="D330" s="34" t="s">
        <v>1825</v>
      </c>
      <c r="E330" s="11" t="s">
        <v>13</v>
      </c>
    </row>
    <row r="331">
      <c r="B331" s="28" t="s">
        <v>156</v>
      </c>
      <c r="C331" s="2"/>
      <c r="D331" s="3"/>
      <c r="E331" s="2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34" t="s">
        <v>1827</v>
      </c>
      <c r="C333" s="71" t="s">
        <v>260</v>
      </c>
      <c r="D333" s="34" t="s">
        <v>1828</v>
      </c>
      <c r="E333" s="11" t="s">
        <v>33</v>
      </c>
    </row>
    <row r="334">
      <c r="B334" s="34" t="s">
        <v>1829</v>
      </c>
      <c r="C334" s="71" t="s">
        <v>42</v>
      </c>
      <c r="D334" s="34" t="s">
        <v>1830</v>
      </c>
      <c r="E334" s="11" t="s">
        <v>37</v>
      </c>
    </row>
    <row r="335">
      <c r="B335" s="34" t="s">
        <v>158</v>
      </c>
      <c r="C335" s="71" t="s">
        <v>722</v>
      </c>
      <c r="D335" s="34" t="s">
        <v>1827</v>
      </c>
      <c r="E335" s="11" t="s">
        <v>33</v>
      </c>
    </row>
    <row r="336">
      <c r="B336" s="34" t="s">
        <v>1829</v>
      </c>
      <c r="C336" s="71" t="s">
        <v>1831</v>
      </c>
      <c r="D336" s="34" t="s">
        <v>1828</v>
      </c>
      <c r="E336" s="11" t="s">
        <v>37</v>
      </c>
    </row>
    <row r="337">
      <c r="B337" s="34" t="s">
        <v>158</v>
      </c>
      <c r="C337" s="71" t="s">
        <v>62</v>
      </c>
      <c r="D337" s="34" t="s">
        <v>1830</v>
      </c>
      <c r="E337" s="11" t="s">
        <v>33</v>
      </c>
    </row>
    <row r="338">
      <c r="B338" s="34" t="s">
        <v>1829</v>
      </c>
      <c r="C338" s="71" t="s">
        <v>440</v>
      </c>
      <c r="D338" s="34" t="s">
        <v>1827</v>
      </c>
      <c r="E338" s="11" t="s">
        <v>37</v>
      </c>
    </row>
    <row r="339">
      <c r="B339" s="34" t="s">
        <v>158</v>
      </c>
      <c r="C339" s="71" t="s">
        <v>64</v>
      </c>
      <c r="D339" s="34" t="s">
        <v>1828</v>
      </c>
      <c r="E339" s="11" t="s">
        <v>33</v>
      </c>
    </row>
    <row r="340">
      <c r="B340" s="34" t="s">
        <v>1830</v>
      </c>
      <c r="C340" s="71" t="s">
        <v>25</v>
      </c>
      <c r="D340" s="34" t="s">
        <v>1827</v>
      </c>
      <c r="E340" s="11" t="s">
        <v>37</v>
      </c>
    </row>
    <row r="341">
      <c r="B341" s="34" t="s">
        <v>158</v>
      </c>
      <c r="C341" s="71" t="s">
        <v>16</v>
      </c>
      <c r="D341" s="34" t="s">
        <v>1829</v>
      </c>
      <c r="E341" s="11" t="s">
        <v>33</v>
      </c>
    </row>
    <row r="342">
      <c r="B342" s="34" t="s">
        <v>1830</v>
      </c>
      <c r="C342" s="71" t="s">
        <v>22</v>
      </c>
      <c r="D342" s="34" t="s">
        <v>1828</v>
      </c>
      <c r="E342" s="11" t="s">
        <v>37</v>
      </c>
    </row>
    <row r="343">
      <c r="B343" s="34" t="s">
        <v>1828</v>
      </c>
      <c r="C343" s="71" t="s">
        <v>201</v>
      </c>
      <c r="D343" s="34" t="s">
        <v>1827</v>
      </c>
      <c r="E343" s="11" t="s">
        <v>33</v>
      </c>
    </row>
    <row r="344">
      <c r="B344" s="34" t="s">
        <v>1830</v>
      </c>
      <c r="C344" s="71" t="s">
        <v>76</v>
      </c>
      <c r="D344" s="34" t="s">
        <v>1829</v>
      </c>
      <c r="E344" s="11" t="s">
        <v>37</v>
      </c>
    </row>
    <row r="345">
      <c r="B345" s="34" t="s">
        <v>1827</v>
      </c>
      <c r="C345" s="71" t="s">
        <v>18</v>
      </c>
      <c r="D345" s="34" t="s">
        <v>158</v>
      </c>
      <c r="E345" s="11" t="s">
        <v>33</v>
      </c>
    </row>
    <row r="346">
      <c r="B346" s="34" t="s">
        <v>1828</v>
      </c>
      <c r="C346" s="71" t="s">
        <v>41</v>
      </c>
      <c r="D346" s="34" t="s">
        <v>1829</v>
      </c>
      <c r="E346" s="11" t="s">
        <v>37</v>
      </c>
    </row>
    <row r="347">
      <c r="B347" s="34" t="s">
        <v>1830</v>
      </c>
      <c r="C347" s="71" t="s">
        <v>55</v>
      </c>
      <c r="D347" s="34" t="s">
        <v>158</v>
      </c>
      <c r="E347" s="11" t="s">
        <v>33</v>
      </c>
    </row>
    <row r="348">
      <c r="B348" s="34" t="s">
        <v>1827</v>
      </c>
      <c r="C348" s="71" t="s">
        <v>1832</v>
      </c>
      <c r="D348" s="34" t="s">
        <v>1829</v>
      </c>
      <c r="E348" s="11" t="s">
        <v>37</v>
      </c>
    </row>
    <row r="349">
      <c r="B349" s="34" t="s">
        <v>1828</v>
      </c>
      <c r="C349" s="71" t="s">
        <v>197</v>
      </c>
      <c r="D349" s="34" t="s">
        <v>158</v>
      </c>
      <c r="E349" s="11" t="s">
        <v>33</v>
      </c>
    </row>
    <row r="350">
      <c r="B350" s="34" t="s">
        <v>1827</v>
      </c>
      <c r="C350" s="71" t="s">
        <v>494</v>
      </c>
      <c r="D350" s="34" t="s">
        <v>1830</v>
      </c>
      <c r="E350" s="11" t="s">
        <v>37</v>
      </c>
    </row>
    <row r="351">
      <c r="B351" s="34" t="s">
        <v>1829</v>
      </c>
      <c r="C351" s="71" t="s">
        <v>55</v>
      </c>
      <c r="D351" s="34" t="s">
        <v>158</v>
      </c>
      <c r="E351" s="11" t="s">
        <v>33</v>
      </c>
    </row>
    <row r="352">
      <c r="B352" s="34" t="s">
        <v>1828</v>
      </c>
      <c r="C352" s="71" t="s">
        <v>66</v>
      </c>
      <c r="D352" s="34" t="s">
        <v>1830</v>
      </c>
      <c r="E352" s="11" t="s">
        <v>37</v>
      </c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/>
      <c r="B1" s="1" t="s">
        <v>0</v>
      </c>
      <c r="C1" s="2"/>
      <c r="D1" s="3"/>
      <c r="E1" s="29"/>
    </row>
    <row r="2">
      <c r="A2" s="66"/>
      <c r="B2" s="6" t="s">
        <v>2</v>
      </c>
      <c r="C2" s="6" t="s">
        <v>3</v>
      </c>
      <c r="D2" s="6" t="s">
        <v>4</v>
      </c>
      <c r="E2" s="6" t="s">
        <v>5</v>
      </c>
    </row>
    <row r="3">
      <c r="A3" s="66"/>
      <c r="B3" s="32" t="s">
        <v>1833</v>
      </c>
      <c r="C3" s="35" t="s">
        <v>22</v>
      </c>
      <c r="D3" s="34" t="s">
        <v>1834</v>
      </c>
      <c r="E3" s="11" t="s">
        <v>33</v>
      </c>
    </row>
    <row r="4">
      <c r="A4" s="66"/>
      <c r="B4" s="32" t="s">
        <v>1835</v>
      </c>
      <c r="C4" s="35" t="s">
        <v>21</v>
      </c>
      <c r="D4" s="32" t="s">
        <v>1777</v>
      </c>
      <c r="E4" s="11" t="s">
        <v>37</v>
      </c>
    </row>
    <row r="5">
      <c r="A5" s="66"/>
      <c r="B5" s="34" t="s">
        <v>1836</v>
      </c>
      <c r="C5" s="35" t="s">
        <v>16</v>
      </c>
      <c r="D5" s="32" t="s">
        <v>1833</v>
      </c>
      <c r="E5" s="11" t="s">
        <v>33</v>
      </c>
    </row>
    <row r="6">
      <c r="A6" s="66"/>
      <c r="B6" s="32" t="s">
        <v>1835</v>
      </c>
      <c r="C6" s="35" t="s">
        <v>193</v>
      </c>
      <c r="D6" s="34" t="s">
        <v>1834</v>
      </c>
      <c r="E6" s="11" t="s">
        <v>37</v>
      </c>
    </row>
    <row r="7">
      <c r="A7" s="66"/>
      <c r="B7" s="34" t="s">
        <v>1836</v>
      </c>
      <c r="C7" s="35" t="s">
        <v>215</v>
      </c>
      <c r="D7" s="32" t="s">
        <v>1777</v>
      </c>
      <c r="E7" s="11" t="s">
        <v>33</v>
      </c>
    </row>
    <row r="8">
      <c r="A8" s="66"/>
      <c r="B8" s="32" t="s">
        <v>1835</v>
      </c>
      <c r="C8" s="35" t="s">
        <v>218</v>
      </c>
      <c r="D8" s="32" t="s">
        <v>1833</v>
      </c>
      <c r="E8" s="11" t="s">
        <v>37</v>
      </c>
    </row>
    <row r="9">
      <c r="A9" s="66"/>
      <c r="B9" s="34" t="s">
        <v>1836</v>
      </c>
      <c r="C9" s="35" t="s">
        <v>82</v>
      </c>
      <c r="D9" s="34" t="s">
        <v>1834</v>
      </c>
      <c r="E9" s="11" t="s">
        <v>33</v>
      </c>
    </row>
    <row r="10">
      <c r="A10" s="66"/>
      <c r="B10" s="32" t="s">
        <v>1777</v>
      </c>
      <c r="C10" s="35" t="s">
        <v>87</v>
      </c>
      <c r="D10" s="32" t="s">
        <v>1833</v>
      </c>
      <c r="E10" s="11" t="s">
        <v>37</v>
      </c>
    </row>
    <row r="11">
      <c r="A11" s="66"/>
      <c r="B11" s="34" t="s">
        <v>1836</v>
      </c>
      <c r="C11" s="35" t="s">
        <v>52</v>
      </c>
      <c r="D11" s="32" t="s">
        <v>1835</v>
      </c>
      <c r="E11" s="11" t="s">
        <v>33</v>
      </c>
    </row>
    <row r="12">
      <c r="A12" s="66"/>
      <c r="B12" s="32" t="s">
        <v>1777</v>
      </c>
      <c r="C12" s="35" t="s">
        <v>190</v>
      </c>
      <c r="D12" s="34" t="s">
        <v>1834</v>
      </c>
      <c r="E12" s="11" t="s">
        <v>37</v>
      </c>
    </row>
    <row r="13">
      <c r="A13" s="66"/>
      <c r="B13" s="34" t="s">
        <v>1834</v>
      </c>
      <c r="C13" s="35" t="s">
        <v>87</v>
      </c>
      <c r="D13" s="32" t="s">
        <v>1833</v>
      </c>
      <c r="E13" s="11" t="s">
        <v>33</v>
      </c>
    </row>
    <row r="14">
      <c r="A14" s="66"/>
      <c r="B14" s="32" t="s">
        <v>1777</v>
      </c>
      <c r="C14" s="35" t="s">
        <v>273</v>
      </c>
      <c r="D14" s="32" t="s">
        <v>1835</v>
      </c>
      <c r="E14" s="11" t="s">
        <v>37</v>
      </c>
    </row>
    <row r="15">
      <c r="A15" s="66"/>
      <c r="B15" s="32" t="s">
        <v>1833</v>
      </c>
      <c r="C15" s="35" t="s">
        <v>22</v>
      </c>
      <c r="D15" s="34" t="s">
        <v>1836</v>
      </c>
      <c r="E15" s="11" t="s">
        <v>33</v>
      </c>
    </row>
    <row r="16">
      <c r="A16" s="66"/>
      <c r="B16" s="34" t="s">
        <v>1834</v>
      </c>
      <c r="C16" s="35" t="s">
        <v>218</v>
      </c>
      <c r="D16" s="32" t="s">
        <v>1835</v>
      </c>
      <c r="E16" s="11" t="s">
        <v>37</v>
      </c>
    </row>
    <row r="17">
      <c r="A17" s="66"/>
      <c r="B17" s="32" t="s">
        <v>1777</v>
      </c>
      <c r="C17" s="35" t="s">
        <v>62</v>
      </c>
      <c r="D17" s="34" t="s">
        <v>1836</v>
      </c>
      <c r="E17" s="11" t="s">
        <v>33</v>
      </c>
    </row>
    <row r="18">
      <c r="A18" s="66"/>
      <c r="B18" s="32" t="s">
        <v>1833</v>
      </c>
      <c r="C18" s="35" t="s">
        <v>62</v>
      </c>
      <c r="D18" s="32" t="s">
        <v>1835</v>
      </c>
      <c r="E18" s="11" t="s">
        <v>37</v>
      </c>
    </row>
    <row r="19">
      <c r="A19" s="66"/>
      <c r="B19" s="34" t="s">
        <v>1834</v>
      </c>
      <c r="C19" s="35" t="s">
        <v>251</v>
      </c>
      <c r="D19" s="34" t="s">
        <v>1836</v>
      </c>
      <c r="E19" s="11" t="s">
        <v>33</v>
      </c>
    </row>
    <row r="20">
      <c r="A20" s="66"/>
      <c r="B20" s="32" t="s">
        <v>1833</v>
      </c>
      <c r="C20" s="35" t="s">
        <v>378</v>
      </c>
      <c r="D20" s="32" t="s">
        <v>1777</v>
      </c>
      <c r="E20" s="11" t="s">
        <v>37</v>
      </c>
    </row>
    <row r="21">
      <c r="A21" s="66"/>
      <c r="B21" s="32" t="s">
        <v>1835</v>
      </c>
      <c r="C21" s="35" t="s">
        <v>58</v>
      </c>
      <c r="D21" s="34" t="s">
        <v>1836</v>
      </c>
      <c r="E21" s="11" t="s">
        <v>33</v>
      </c>
    </row>
    <row r="22">
      <c r="A22" s="66"/>
      <c r="B22" s="34" t="s">
        <v>1834</v>
      </c>
      <c r="C22" s="35" t="s">
        <v>64</v>
      </c>
      <c r="D22" s="32" t="s">
        <v>1777</v>
      </c>
      <c r="E22" s="11" t="s">
        <v>37</v>
      </c>
    </row>
    <row r="23">
      <c r="A23" s="66"/>
      <c r="B23" s="1" t="s">
        <v>1321</v>
      </c>
      <c r="C23" s="2"/>
      <c r="D23" s="3"/>
      <c r="E23" s="48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711</v>
      </c>
      <c r="C25" s="33" t="s">
        <v>193</v>
      </c>
      <c r="D25" s="32" t="s">
        <v>1713</v>
      </c>
      <c r="E25" s="11" t="s">
        <v>9</v>
      </c>
    </row>
    <row r="26">
      <c r="A26" s="66"/>
      <c r="B26" s="32" t="s">
        <v>1837</v>
      </c>
      <c r="C26" s="33" t="s">
        <v>190</v>
      </c>
      <c r="D26" s="32" t="s">
        <v>1838</v>
      </c>
      <c r="E26" s="11" t="s">
        <v>13</v>
      </c>
    </row>
    <row r="27">
      <c r="A27" s="66"/>
      <c r="B27" s="34" t="s">
        <v>1714</v>
      </c>
      <c r="C27" s="33" t="s">
        <v>11</v>
      </c>
      <c r="D27" s="34" t="s">
        <v>711</v>
      </c>
      <c r="E27" s="11" t="s">
        <v>9</v>
      </c>
    </row>
    <row r="28">
      <c r="A28" s="66"/>
      <c r="B28" s="32" t="s">
        <v>1837</v>
      </c>
      <c r="C28" s="33" t="s">
        <v>481</v>
      </c>
      <c r="D28" s="32" t="s">
        <v>1713</v>
      </c>
      <c r="E28" s="11" t="s">
        <v>13</v>
      </c>
    </row>
    <row r="29">
      <c r="A29" s="66"/>
      <c r="B29" s="34" t="s">
        <v>1714</v>
      </c>
      <c r="C29" s="33" t="s">
        <v>195</v>
      </c>
      <c r="D29" s="32" t="s">
        <v>1838</v>
      </c>
      <c r="E29" s="11" t="s">
        <v>9</v>
      </c>
    </row>
    <row r="30">
      <c r="A30" s="66"/>
      <c r="B30" s="32" t="s">
        <v>1837</v>
      </c>
      <c r="C30" s="33" t="s">
        <v>412</v>
      </c>
      <c r="D30" s="34" t="s">
        <v>711</v>
      </c>
      <c r="E30" s="11" t="s">
        <v>13</v>
      </c>
    </row>
    <row r="31">
      <c r="A31" s="66"/>
      <c r="B31" s="34" t="s">
        <v>1714</v>
      </c>
      <c r="C31" s="33" t="s">
        <v>43</v>
      </c>
      <c r="D31" s="32" t="s">
        <v>1713</v>
      </c>
      <c r="E31" s="11" t="s">
        <v>9</v>
      </c>
    </row>
    <row r="32">
      <c r="A32" s="66"/>
      <c r="B32" s="32" t="s">
        <v>1838</v>
      </c>
      <c r="C32" s="33" t="s">
        <v>197</v>
      </c>
      <c r="D32" s="34" t="s">
        <v>711</v>
      </c>
      <c r="E32" s="11" t="s">
        <v>13</v>
      </c>
    </row>
    <row r="33">
      <c r="A33" s="66"/>
      <c r="B33" s="34" t="s">
        <v>1714</v>
      </c>
      <c r="C33" s="33" t="s">
        <v>201</v>
      </c>
      <c r="D33" s="32" t="s">
        <v>1837</v>
      </c>
      <c r="E33" s="11" t="s">
        <v>9</v>
      </c>
    </row>
    <row r="34">
      <c r="A34" s="66"/>
      <c r="B34" s="32" t="s">
        <v>1838</v>
      </c>
      <c r="C34" s="33" t="s">
        <v>72</v>
      </c>
      <c r="D34" s="32" t="s">
        <v>1713</v>
      </c>
      <c r="E34" s="11" t="s">
        <v>13</v>
      </c>
    </row>
    <row r="35">
      <c r="A35" s="66"/>
      <c r="B35" s="32" t="s">
        <v>1713</v>
      </c>
      <c r="C35" s="33" t="s">
        <v>699</v>
      </c>
      <c r="D35" s="34" t="s">
        <v>711</v>
      </c>
      <c r="E35" s="11" t="s">
        <v>9</v>
      </c>
    </row>
    <row r="36">
      <c r="A36" s="66"/>
      <c r="B36" s="32" t="s">
        <v>1838</v>
      </c>
      <c r="C36" s="33" t="s">
        <v>11</v>
      </c>
      <c r="D36" s="32" t="s">
        <v>1837</v>
      </c>
      <c r="E36" s="11" t="s">
        <v>13</v>
      </c>
    </row>
    <row r="37">
      <c r="A37" s="66"/>
      <c r="B37" s="34" t="s">
        <v>711</v>
      </c>
      <c r="C37" s="35" t="s">
        <v>201</v>
      </c>
      <c r="D37" s="34" t="s">
        <v>1714</v>
      </c>
      <c r="E37" s="11" t="s">
        <v>9</v>
      </c>
    </row>
    <row r="38">
      <c r="A38" s="66"/>
      <c r="B38" s="32" t="s">
        <v>1713</v>
      </c>
      <c r="C38" s="35" t="s">
        <v>319</v>
      </c>
      <c r="D38" s="32" t="s">
        <v>1837</v>
      </c>
      <c r="E38" s="11" t="s">
        <v>13</v>
      </c>
    </row>
    <row r="39">
      <c r="A39" s="66"/>
      <c r="B39" s="32" t="s">
        <v>1838</v>
      </c>
      <c r="C39" s="35" t="s">
        <v>22</v>
      </c>
      <c r="D39" s="34" t="s">
        <v>1714</v>
      </c>
      <c r="E39" s="11" t="s">
        <v>9</v>
      </c>
    </row>
    <row r="40">
      <c r="A40" s="66"/>
      <c r="B40" s="34" t="s">
        <v>711</v>
      </c>
      <c r="C40" s="35" t="s">
        <v>261</v>
      </c>
      <c r="D40" s="32" t="s">
        <v>1837</v>
      </c>
      <c r="E40" s="11" t="s">
        <v>13</v>
      </c>
    </row>
    <row r="41">
      <c r="A41" s="66"/>
      <c r="B41" s="32" t="s">
        <v>1713</v>
      </c>
      <c r="C41" s="35" t="s">
        <v>19</v>
      </c>
      <c r="D41" s="34" t="s">
        <v>1714</v>
      </c>
      <c r="E41" s="11" t="s">
        <v>9</v>
      </c>
    </row>
    <row r="42">
      <c r="A42" s="66"/>
      <c r="B42" s="34" t="s">
        <v>711</v>
      </c>
      <c r="C42" s="35" t="s">
        <v>239</v>
      </c>
      <c r="D42" s="32" t="s">
        <v>1838</v>
      </c>
      <c r="E42" s="11" t="s">
        <v>13</v>
      </c>
    </row>
    <row r="43">
      <c r="A43" s="66"/>
      <c r="B43" s="32" t="s">
        <v>1837</v>
      </c>
      <c r="C43" s="35" t="s">
        <v>81</v>
      </c>
      <c r="D43" s="34" t="s">
        <v>1714</v>
      </c>
      <c r="E43" s="11" t="s">
        <v>9</v>
      </c>
    </row>
    <row r="44">
      <c r="A44" s="67"/>
      <c r="B44" s="32" t="s">
        <v>1713</v>
      </c>
      <c r="C44" s="35" t="s">
        <v>68</v>
      </c>
      <c r="D44" s="32" t="s">
        <v>1838</v>
      </c>
      <c r="E44" s="11" t="s">
        <v>13</v>
      </c>
    </row>
    <row r="45">
      <c r="B45" s="1" t="s">
        <v>1327</v>
      </c>
      <c r="C45" s="2"/>
      <c r="D45" s="3"/>
      <c r="E45" s="14"/>
    </row>
    <row r="46">
      <c r="B46" s="16" t="s">
        <v>2</v>
      </c>
      <c r="C46" s="16" t="s">
        <v>3</v>
      </c>
      <c r="D46" s="16" t="s">
        <v>4</v>
      </c>
      <c r="E46" s="16" t="s">
        <v>5</v>
      </c>
    </row>
    <row r="47">
      <c r="B47" s="32" t="s">
        <v>1839</v>
      </c>
      <c r="C47" s="35" t="s">
        <v>196</v>
      </c>
      <c r="D47" s="32" t="s">
        <v>1840</v>
      </c>
      <c r="E47" s="11" t="s">
        <v>33</v>
      </c>
    </row>
    <row r="48">
      <c r="B48" s="32" t="s">
        <v>1420</v>
      </c>
      <c r="C48" s="35" t="s">
        <v>389</v>
      </c>
      <c r="D48" s="32" t="s">
        <v>1841</v>
      </c>
      <c r="E48" s="11" t="s">
        <v>37</v>
      </c>
    </row>
    <row r="49">
      <c r="B49" s="32" t="s">
        <v>1842</v>
      </c>
      <c r="C49" s="35" t="s">
        <v>218</v>
      </c>
      <c r="D49" s="32" t="s">
        <v>1839</v>
      </c>
      <c r="E49" s="11" t="s">
        <v>33</v>
      </c>
    </row>
    <row r="50">
      <c r="B50" s="32" t="s">
        <v>1420</v>
      </c>
      <c r="C50" s="35" t="s">
        <v>83</v>
      </c>
      <c r="D50" s="32" t="s">
        <v>1840</v>
      </c>
      <c r="E50" s="11" t="s">
        <v>37</v>
      </c>
    </row>
    <row r="51">
      <c r="B51" s="32" t="s">
        <v>1842</v>
      </c>
      <c r="C51" s="35" t="s">
        <v>260</v>
      </c>
      <c r="D51" s="32" t="s">
        <v>1841</v>
      </c>
      <c r="E51" s="11" t="s">
        <v>33</v>
      </c>
    </row>
    <row r="52">
      <c r="B52" s="32" t="s">
        <v>1420</v>
      </c>
      <c r="C52" s="35" t="s">
        <v>25</v>
      </c>
      <c r="D52" s="32" t="s">
        <v>1839</v>
      </c>
      <c r="E52" s="11" t="s">
        <v>37</v>
      </c>
    </row>
    <row r="53">
      <c r="B53" s="32" t="s">
        <v>1842</v>
      </c>
      <c r="C53" s="35" t="s">
        <v>201</v>
      </c>
      <c r="D53" s="32" t="s">
        <v>1840</v>
      </c>
      <c r="E53" s="11" t="s">
        <v>33</v>
      </c>
    </row>
    <row r="54">
      <c r="B54" s="32" t="s">
        <v>1841</v>
      </c>
      <c r="C54" s="35" t="s">
        <v>362</v>
      </c>
      <c r="D54" s="32" t="s">
        <v>1839</v>
      </c>
      <c r="E54" s="11" t="s">
        <v>37</v>
      </c>
    </row>
    <row r="55">
      <c r="B55" s="32" t="s">
        <v>1842</v>
      </c>
      <c r="C55" s="35" t="s">
        <v>19</v>
      </c>
      <c r="D55" s="32" t="s">
        <v>1420</v>
      </c>
      <c r="E55" s="11" t="s">
        <v>33</v>
      </c>
    </row>
    <row r="56">
      <c r="B56" s="32" t="s">
        <v>1841</v>
      </c>
      <c r="C56" s="35" t="s">
        <v>544</v>
      </c>
      <c r="D56" s="32" t="s">
        <v>1840</v>
      </c>
      <c r="E56" s="11" t="s">
        <v>37</v>
      </c>
    </row>
    <row r="57">
      <c r="B57" s="32" t="s">
        <v>1840</v>
      </c>
      <c r="C57" s="35" t="s">
        <v>58</v>
      </c>
      <c r="D57" s="32" t="s">
        <v>1839</v>
      </c>
      <c r="E57" s="11" t="s">
        <v>33</v>
      </c>
    </row>
    <row r="58">
      <c r="B58" s="32" t="s">
        <v>1841</v>
      </c>
      <c r="C58" s="35" t="s">
        <v>48</v>
      </c>
      <c r="D58" s="32" t="s">
        <v>1420</v>
      </c>
      <c r="E58" s="11" t="s">
        <v>37</v>
      </c>
    </row>
    <row r="59">
      <c r="B59" s="32" t="s">
        <v>1839</v>
      </c>
      <c r="C59" s="35" t="s">
        <v>190</v>
      </c>
      <c r="D59" s="32" t="s">
        <v>1842</v>
      </c>
      <c r="E59" s="11" t="s">
        <v>33</v>
      </c>
    </row>
    <row r="60">
      <c r="B60" s="32" t="s">
        <v>1840</v>
      </c>
      <c r="C60" s="35" t="s">
        <v>411</v>
      </c>
      <c r="D60" s="32" t="s">
        <v>1420</v>
      </c>
      <c r="E60" s="11" t="s">
        <v>37</v>
      </c>
    </row>
    <row r="61">
      <c r="B61" s="32" t="s">
        <v>1841</v>
      </c>
      <c r="C61" s="35" t="s">
        <v>43</v>
      </c>
      <c r="D61" s="32" t="s">
        <v>1842</v>
      </c>
      <c r="E61" s="11" t="s">
        <v>33</v>
      </c>
    </row>
    <row r="62">
      <c r="B62" s="32" t="s">
        <v>1839</v>
      </c>
      <c r="C62" s="35" t="s">
        <v>201</v>
      </c>
      <c r="D62" s="32" t="s">
        <v>1420</v>
      </c>
      <c r="E62" s="11" t="s">
        <v>37</v>
      </c>
    </row>
    <row r="63">
      <c r="B63" s="32" t="s">
        <v>1840</v>
      </c>
      <c r="C63" s="35" t="s">
        <v>218</v>
      </c>
      <c r="D63" s="32" t="s">
        <v>1842</v>
      </c>
      <c r="E63" s="11" t="s">
        <v>33</v>
      </c>
    </row>
    <row r="64">
      <c r="B64" s="32" t="s">
        <v>1839</v>
      </c>
      <c r="C64" s="35" t="s">
        <v>218</v>
      </c>
      <c r="D64" s="32" t="s">
        <v>1841</v>
      </c>
      <c r="E64" s="11" t="s">
        <v>37</v>
      </c>
    </row>
    <row r="65">
      <c r="B65" s="32" t="s">
        <v>1420</v>
      </c>
      <c r="C65" s="35" t="s">
        <v>11</v>
      </c>
      <c r="D65" s="32" t="s">
        <v>1842</v>
      </c>
      <c r="E65" s="11" t="s">
        <v>33</v>
      </c>
    </row>
    <row r="66">
      <c r="B66" s="32" t="s">
        <v>1840</v>
      </c>
      <c r="C66" s="35" t="s">
        <v>71</v>
      </c>
      <c r="D66" s="32" t="s">
        <v>1841</v>
      </c>
      <c r="E66" s="11" t="s">
        <v>37</v>
      </c>
    </row>
    <row r="67">
      <c r="B67" s="1" t="s">
        <v>1331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16" t="s">
        <v>5</v>
      </c>
    </row>
    <row r="69">
      <c r="B69" s="32" t="s">
        <v>1843</v>
      </c>
      <c r="C69" s="33" t="s">
        <v>218</v>
      </c>
      <c r="D69" s="32" t="s">
        <v>1785</v>
      </c>
      <c r="E69" s="11" t="s">
        <v>9</v>
      </c>
    </row>
    <row r="70">
      <c r="B70" s="32" t="s">
        <v>1844</v>
      </c>
      <c r="C70" s="33" t="s">
        <v>190</v>
      </c>
      <c r="D70" s="32" t="s">
        <v>1845</v>
      </c>
      <c r="E70" s="11" t="s">
        <v>13</v>
      </c>
    </row>
    <row r="71">
      <c r="B71" s="32" t="s">
        <v>1846</v>
      </c>
      <c r="C71" s="33" t="s">
        <v>217</v>
      </c>
      <c r="D71" s="32" t="s">
        <v>1843</v>
      </c>
      <c r="E71" s="11" t="s">
        <v>9</v>
      </c>
    </row>
    <row r="72">
      <c r="B72" s="32" t="s">
        <v>1844</v>
      </c>
      <c r="C72" s="33" t="s">
        <v>220</v>
      </c>
      <c r="D72" s="32" t="s">
        <v>1785</v>
      </c>
      <c r="E72" s="11" t="s">
        <v>13</v>
      </c>
    </row>
    <row r="73">
      <c r="B73" s="32" t="s">
        <v>1846</v>
      </c>
      <c r="C73" s="33" t="s">
        <v>412</v>
      </c>
      <c r="D73" s="32" t="s">
        <v>1845</v>
      </c>
      <c r="E73" s="11" t="s">
        <v>9</v>
      </c>
    </row>
    <row r="74">
      <c r="B74" s="32" t="s">
        <v>1844</v>
      </c>
      <c r="C74" s="33" t="s">
        <v>1068</v>
      </c>
      <c r="D74" s="32" t="s">
        <v>1843</v>
      </c>
      <c r="E74" s="11" t="s">
        <v>13</v>
      </c>
    </row>
    <row r="75">
      <c r="B75" s="32" t="s">
        <v>1846</v>
      </c>
      <c r="C75" s="33" t="s">
        <v>43</v>
      </c>
      <c r="D75" s="32" t="s">
        <v>1785</v>
      </c>
      <c r="E75" s="11" t="s">
        <v>9</v>
      </c>
    </row>
    <row r="76">
      <c r="B76" s="32" t="s">
        <v>1845</v>
      </c>
      <c r="C76" s="33" t="s">
        <v>289</v>
      </c>
      <c r="D76" s="32" t="s">
        <v>1843</v>
      </c>
      <c r="E76" s="11" t="s">
        <v>13</v>
      </c>
    </row>
    <row r="77">
      <c r="B77" s="32" t="s">
        <v>1846</v>
      </c>
      <c r="C77" s="33" t="s">
        <v>87</v>
      </c>
      <c r="D77" s="32" t="s">
        <v>1844</v>
      </c>
      <c r="E77" s="11" t="s">
        <v>9</v>
      </c>
    </row>
    <row r="78">
      <c r="B78" s="32" t="s">
        <v>1845</v>
      </c>
      <c r="C78" s="33" t="s">
        <v>289</v>
      </c>
      <c r="D78" s="32" t="s">
        <v>1785</v>
      </c>
      <c r="E78" s="11" t="s">
        <v>13</v>
      </c>
    </row>
    <row r="79">
      <c r="B79" s="32" t="s">
        <v>1785</v>
      </c>
      <c r="C79" s="33" t="s">
        <v>25</v>
      </c>
      <c r="D79" s="32" t="s">
        <v>1843</v>
      </c>
      <c r="E79" s="11" t="s">
        <v>9</v>
      </c>
    </row>
    <row r="80">
      <c r="B80" s="32" t="s">
        <v>1845</v>
      </c>
      <c r="C80" s="33" t="s">
        <v>22</v>
      </c>
      <c r="D80" s="32" t="s">
        <v>1844</v>
      </c>
      <c r="E80" s="11" t="s">
        <v>13</v>
      </c>
    </row>
    <row r="81">
      <c r="B81" s="32" t="s">
        <v>1843</v>
      </c>
      <c r="C81" s="35" t="s">
        <v>316</v>
      </c>
      <c r="D81" s="32" t="s">
        <v>1846</v>
      </c>
      <c r="E81" s="11" t="s">
        <v>9</v>
      </c>
    </row>
    <row r="82">
      <c r="B82" s="32" t="s">
        <v>1785</v>
      </c>
      <c r="C82" s="35" t="s">
        <v>25</v>
      </c>
      <c r="D82" s="32" t="s">
        <v>1844</v>
      </c>
      <c r="E82" s="11" t="s">
        <v>13</v>
      </c>
    </row>
    <row r="83">
      <c r="B83" s="32" t="s">
        <v>1845</v>
      </c>
      <c r="C83" s="35" t="s">
        <v>215</v>
      </c>
      <c r="D83" s="32" t="s">
        <v>1846</v>
      </c>
      <c r="E83" s="11" t="s">
        <v>9</v>
      </c>
    </row>
    <row r="84">
      <c r="B84" s="32" t="s">
        <v>1843</v>
      </c>
      <c r="C84" s="35" t="s">
        <v>16</v>
      </c>
      <c r="D84" s="32" t="s">
        <v>1844</v>
      </c>
      <c r="E84" s="11" t="s">
        <v>13</v>
      </c>
    </row>
    <row r="85">
      <c r="B85" s="32" t="s">
        <v>1785</v>
      </c>
      <c r="C85" s="35" t="s">
        <v>71</v>
      </c>
      <c r="D85" s="32" t="s">
        <v>1846</v>
      </c>
      <c r="E85" s="11" t="s">
        <v>9</v>
      </c>
    </row>
    <row r="86">
      <c r="B86" s="32" t="s">
        <v>1843</v>
      </c>
      <c r="C86" s="35" t="s">
        <v>286</v>
      </c>
      <c r="D86" s="32" t="s">
        <v>1845</v>
      </c>
      <c r="E86" s="11" t="s">
        <v>13</v>
      </c>
    </row>
    <row r="87">
      <c r="B87" s="32" t="s">
        <v>1844</v>
      </c>
      <c r="C87" s="35" t="s">
        <v>55</v>
      </c>
      <c r="D87" s="32" t="s">
        <v>1846</v>
      </c>
      <c r="E87" s="11" t="s">
        <v>9</v>
      </c>
    </row>
    <row r="88">
      <c r="B88" s="32" t="s">
        <v>1785</v>
      </c>
      <c r="C88" s="35" t="s">
        <v>19</v>
      </c>
      <c r="D88" s="32" t="s">
        <v>1845</v>
      </c>
      <c r="E88" s="11" t="s">
        <v>13</v>
      </c>
    </row>
    <row r="89">
      <c r="B89" s="1" t="s">
        <v>1659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16" t="s">
        <v>5</v>
      </c>
    </row>
    <row r="91">
      <c r="B91" s="32" t="s">
        <v>1847</v>
      </c>
      <c r="C91" s="35" t="s">
        <v>330</v>
      </c>
      <c r="D91" s="32" t="s">
        <v>660</v>
      </c>
      <c r="E91" s="11" t="s">
        <v>9</v>
      </c>
    </row>
    <row r="92">
      <c r="B92" s="32" t="s">
        <v>940</v>
      </c>
      <c r="C92" s="35" t="s">
        <v>38</v>
      </c>
      <c r="D92" s="32" t="s">
        <v>1848</v>
      </c>
      <c r="E92" s="11" t="s">
        <v>13</v>
      </c>
    </row>
    <row r="93">
      <c r="B93" s="32" t="s">
        <v>991</v>
      </c>
      <c r="C93" s="35" t="s">
        <v>11</v>
      </c>
      <c r="D93" s="32" t="s">
        <v>1847</v>
      </c>
      <c r="E93" s="11" t="s">
        <v>9</v>
      </c>
    </row>
    <row r="94">
      <c r="B94" s="32" t="s">
        <v>940</v>
      </c>
      <c r="C94" s="35" t="s">
        <v>232</v>
      </c>
      <c r="D94" s="32" t="s">
        <v>660</v>
      </c>
      <c r="E94" s="11" t="s">
        <v>13</v>
      </c>
    </row>
    <row r="95">
      <c r="B95" s="32" t="s">
        <v>991</v>
      </c>
      <c r="C95" s="35" t="s">
        <v>201</v>
      </c>
      <c r="D95" s="32" t="s">
        <v>1848</v>
      </c>
      <c r="E95" s="11" t="s">
        <v>9</v>
      </c>
    </row>
    <row r="96">
      <c r="B96" s="32" t="s">
        <v>940</v>
      </c>
      <c r="C96" s="35" t="s">
        <v>239</v>
      </c>
      <c r="D96" s="32" t="s">
        <v>1847</v>
      </c>
      <c r="E96" s="11" t="s">
        <v>13</v>
      </c>
    </row>
    <row r="97">
      <c r="B97" s="32" t="s">
        <v>991</v>
      </c>
      <c r="C97" s="35" t="s">
        <v>21</v>
      </c>
      <c r="D97" s="32" t="s">
        <v>660</v>
      </c>
      <c r="E97" s="11" t="s">
        <v>9</v>
      </c>
    </row>
    <row r="98">
      <c r="B98" s="32" t="s">
        <v>1848</v>
      </c>
      <c r="C98" s="35" t="s">
        <v>195</v>
      </c>
      <c r="D98" s="32" t="s">
        <v>1847</v>
      </c>
      <c r="E98" s="11" t="s">
        <v>13</v>
      </c>
    </row>
    <row r="99">
      <c r="B99" s="32" t="s">
        <v>991</v>
      </c>
      <c r="C99" s="35" t="s">
        <v>87</v>
      </c>
      <c r="D99" s="32" t="s">
        <v>940</v>
      </c>
      <c r="E99" s="11" t="s">
        <v>9</v>
      </c>
    </row>
    <row r="100">
      <c r="B100" s="32" t="s">
        <v>1848</v>
      </c>
      <c r="C100" s="35" t="s">
        <v>285</v>
      </c>
      <c r="D100" s="32" t="s">
        <v>660</v>
      </c>
      <c r="E100" s="11" t="s">
        <v>13</v>
      </c>
    </row>
    <row r="101">
      <c r="B101" s="32" t="s">
        <v>660</v>
      </c>
      <c r="C101" s="35" t="s">
        <v>370</v>
      </c>
      <c r="D101" s="32" t="s">
        <v>1847</v>
      </c>
      <c r="E101" s="11" t="s">
        <v>9</v>
      </c>
    </row>
    <row r="102">
      <c r="B102" s="32" t="s">
        <v>1848</v>
      </c>
      <c r="C102" s="35" t="s">
        <v>17</v>
      </c>
      <c r="D102" s="32" t="s">
        <v>940</v>
      </c>
      <c r="E102" s="11" t="s">
        <v>13</v>
      </c>
    </row>
    <row r="103">
      <c r="B103" s="32" t="s">
        <v>1847</v>
      </c>
      <c r="C103" s="35" t="s">
        <v>41</v>
      </c>
      <c r="D103" s="32" t="s">
        <v>991</v>
      </c>
      <c r="E103" s="11" t="s">
        <v>9</v>
      </c>
    </row>
    <row r="104">
      <c r="B104" s="32" t="s">
        <v>660</v>
      </c>
      <c r="C104" s="35" t="s">
        <v>294</v>
      </c>
      <c r="D104" s="32" t="s">
        <v>940</v>
      </c>
      <c r="E104" s="11" t="s">
        <v>13</v>
      </c>
    </row>
    <row r="105">
      <c r="B105" s="32" t="s">
        <v>1848</v>
      </c>
      <c r="C105" s="35" t="s">
        <v>19</v>
      </c>
      <c r="D105" s="32" t="s">
        <v>991</v>
      </c>
      <c r="E105" s="11" t="s">
        <v>9</v>
      </c>
    </row>
    <row r="106">
      <c r="B106" s="32" t="s">
        <v>1847</v>
      </c>
      <c r="C106" s="35" t="s">
        <v>24</v>
      </c>
      <c r="D106" s="32" t="s">
        <v>940</v>
      </c>
      <c r="E106" s="11" t="s">
        <v>13</v>
      </c>
    </row>
    <row r="107">
      <c r="B107" s="32" t="s">
        <v>660</v>
      </c>
      <c r="C107" s="35" t="s">
        <v>58</v>
      </c>
      <c r="D107" s="32" t="s">
        <v>991</v>
      </c>
      <c r="E107" s="11" t="s">
        <v>9</v>
      </c>
    </row>
    <row r="108">
      <c r="B108" s="32" t="s">
        <v>1847</v>
      </c>
      <c r="C108" s="35" t="s">
        <v>1849</v>
      </c>
      <c r="D108" s="32" t="s">
        <v>1848</v>
      </c>
      <c r="E108" s="11" t="s">
        <v>13</v>
      </c>
    </row>
    <row r="109">
      <c r="B109" s="32" t="s">
        <v>940</v>
      </c>
      <c r="C109" s="35" t="s">
        <v>1850</v>
      </c>
      <c r="D109" s="32" t="s">
        <v>991</v>
      </c>
      <c r="E109" s="11" t="s">
        <v>9</v>
      </c>
    </row>
    <row r="110">
      <c r="B110" s="32" t="s">
        <v>660</v>
      </c>
      <c r="C110" s="35" t="s">
        <v>285</v>
      </c>
      <c r="D110" s="32" t="s">
        <v>1848</v>
      </c>
      <c r="E110" s="11" t="s">
        <v>13</v>
      </c>
    </row>
    <row r="111">
      <c r="B111" s="1" t="s">
        <v>1664</v>
      </c>
      <c r="C111" s="2"/>
      <c r="D111" s="3"/>
      <c r="E111" s="4"/>
    </row>
    <row r="112"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B113" s="32" t="s">
        <v>1851</v>
      </c>
      <c r="C113" s="33" t="s">
        <v>218</v>
      </c>
      <c r="D113" s="32" t="s">
        <v>1852</v>
      </c>
      <c r="E113" s="11" t="s">
        <v>9</v>
      </c>
    </row>
    <row r="114">
      <c r="B114" s="32" t="s">
        <v>1853</v>
      </c>
      <c r="C114" s="33" t="s">
        <v>55</v>
      </c>
      <c r="D114" s="32" t="s">
        <v>1854</v>
      </c>
      <c r="E114" s="11" t="s">
        <v>13</v>
      </c>
    </row>
    <row r="115">
      <c r="B115" s="32" t="s">
        <v>1793</v>
      </c>
      <c r="C115" s="33" t="s">
        <v>19</v>
      </c>
      <c r="D115" s="32" t="s">
        <v>1851</v>
      </c>
      <c r="E115" s="11" t="s">
        <v>9</v>
      </c>
    </row>
    <row r="116">
      <c r="B116" s="32" t="s">
        <v>1853</v>
      </c>
      <c r="C116" s="33" t="s">
        <v>533</v>
      </c>
      <c r="D116" s="32" t="s">
        <v>1852</v>
      </c>
      <c r="E116" s="11" t="s">
        <v>13</v>
      </c>
    </row>
    <row r="117">
      <c r="B117" s="32" t="s">
        <v>1793</v>
      </c>
      <c r="C117" s="33" t="s">
        <v>260</v>
      </c>
      <c r="D117" s="32" t="s">
        <v>1854</v>
      </c>
      <c r="E117" s="11" t="s">
        <v>9</v>
      </c>
    </row>
    <row r="118">
      <c r="B118" s="32" t="s">
        <v>1853</v>
      </c>
      <c r="C118" s="33" t="s">
        <v>733</v>
      </c>
      <c r="D118" s="32" t="s">
        <v>1851</v>
      </c>
      <c r="E118" s="11" t="s">
        <v>13</v>
      </c>
    </row>
    <row r="119">
      <c r="B119" s="32" t="s">
        <v>1793</v>
      </c>
      <c r="C119" s="33" t="s">
        <v>295</v>
      </c>
      <c r="D119" s="32" t="s">
        <v>1852</v>
      </c>
      <c r="E119" s="11" t="s">
        <v>9</v>
      </c>
    </row>
    <row r="120">
      <c r="B120" s="32" t="s">
        <v>1854</v>
      </c>
      <c r="C120" s="33" t="s">
        <v>71</v>
      </c>
      <c r="D120" s="32" t="s">
        <v>1851</v>
      </c>
      <c r="E120" s="11" t="s">
        <v>13</v>
      </c>
    </row>
    <row r="121">
      <c r="B121" s="32" t="s">
        <v>1793</v>
      </c>
      <c r="C121" s="33" t="s">
        <v>231</v>
      </c>
      <c r="D121" s="32" t="s">
        <v>1853</v>
      </c>
      <c r="E121" s="11" t="s">
        <v>9</v>
      </c>
    </row>
    <row r="122">
      <c r="B122" s="32" t="s">
        <v>1854</v>
      </c>
      <c r="C122" s="33" t="s">
        <v>22</v>
      </c>
      <c r="D122" s="32" t="s">
        <v>1852</v>
      </c>
      <c r="E122" s="11" t="s">
        <v>13</v>
      </c>
    </row>
    <row r="123">
      <c r="B123" s="32" t="s">
        <v>1852</v>
      </c>
      <c r="C123" s="33" t="s">
        <v>81</v>
      </c>
      <c r="D123" s="32" t="s">
        <v>1851</v>
      </c>
      <c r="E123" s="11" t="s">
        <v>9</v>
      </c>
    </row>
    <row r="124">
      <c r="B124" s="32" t="s">
        <v>1854</v>
      </c>
      <c r="C124" s="33" t="s">
        <v>1832</v>
      </c>
      <c r="D124" s="32" t="s">
        <v>1853</v>
      </c>
      <c r="E124" s="11" t="s">
        <v>13</v>
      </c>
    </row>
    <row r="125">
      <c r="B125" s="32" t="s">
        <v>1851</v>
      </c>
      <c r="C125" s="35" t="s">
        <v>20</v>
      </c>
      <c r="D125" s="32" t="s">
        <v>1793</v>
      </c>
      <c r="E125" s="11" t="s">
        <v>9</v>
      </c>
    </row>
    <row r="126">
      <c r="B126" s="32" t="s">
        <v>1852</v>
      </c>
      <c r="C126" s="35" t="s">
        <v>488</v>
      </c>
      <c r="D126" s="32" t="s">
        <v>1853</v>
      </c>
      <c r="E126" s="11" t="s">
        <v>13</v>
      </c>
    </row>
    <row r="127">
      <c r="B127" s="32" t="s">
        <v>1854</v>
      </c>
      <c r="C127" s="35" t="s">
        <v>351</v>
      </c>
      <c r="D127" s="32" t="s">
        <v>1793</v>
      </c>
      <c r="E127" s="11" t="s">
        <v>9</v>
      </c>
    </row>
    <row r="128">
      <c r="B128" s="32" t="s">
        <v>1851</v>
      </c>
      <c r="C128" s="35" t="s">
        <v>716</v>
      </c>
      <c r="D128" s="32" t="s">
        <v>1853</v>
      </c>
      <c r="E128" s="11" t="s">
        <v>13</v>
      </c>
    </row>
    <row r="129">
      <c r="B129" s="32" t="s">
        <v>1852</v>
      </c>
      <c r="C129" s="35" t="s">
        <v>28</v>
      </c>
      <c r="D129" s="32" t="s">
        <v>1793</v>
      </c>
      <c r="E129" s="11" t="s">
        <v>9</v>
      </c>
    </row>
    <row r="130">
      <c r="B130" s="32" t="s">
        <v>1851</v>
      </c>
      <c r="C130" s="35" t="s">
        <v>20</v>
      </c>
      <c r="D130" s="32" t="s">
        <v>1854</v>
      </c>
      <c r="E130" s="11" t="s">
        <v>13</v>
      </c>
    </row>
    <row r="131">
      <c r="B131" s="32" t="s">
        <v>1853</v>
      </c>
      <c r="C131" s="35" t="s">
        <v>218</v>
      </c>
      <c r="D131" s="32" t="s">
        <v>1793</v>
      </c>
      <c r="E131" s="11" t="s">
        <v>9</v>
      </c>
    </row>
    <row r="132">
      <c r="B132" s="32" t="s">
        <v>1852</v>
      </c>
      <c r="C132" s="35" t="s">
        <v>1855</v>
      </c>
      <c r="D132" s="32" t="s">
        <v>1854</v>
      </c>
      <c r="E132" s="11" t="s">
        <v>13</v>
      </c>
    </row>
    <row r="133">
      <c r="B133" s="1" t="s">
        <v>1413</v>
      </c>
      <c r="C133" s="2"/>
      <c r="D133" s="3"/>
      <c r="E133" s="4"/>
      <c r="G133" s="36" t="s">
        <v>663</v>
      </c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32" t="s">
        <v>1154</v>
      </c>
      <c r="C135" s="33" t="s">
        <v>218</v>
      </c>
      <c r="D135" s="32" t="s">
        <v>1856</v>
      </c>
      <c r="E135" s="11" t="s">
        <v>33</v>
      </c>
    </row>
    <row r="136">
      <c r="B136" s="32" t="s">
        <v>1857</v>
      </c>
      <c r="C136" s="33" t="s">
        <v>25</v>
      </c>
      <c r="D136" s="32" t="s">
        <v>1858</v>
      </c>
      <c r="E136" s="11" t="s">
        <v>37</v>
      </c>
    </row>
    <row r="137">
      <c r="B137" s="32" t="s">
        <v>569</v>
      </c>
      <c r="C137" s="33" t="s">
        <v>81</v>
      </c>
      <c r="D137" s="32" t="s">
        <v>1154</v>
      </c>
      <c r="E137" s="11" t="s">
        <v>33</v>
      </c>
    </row>
    <row r="138">
      <c r="B138" s="32" t="s">
        <v>1857</v>
      </c>
      <c r="C138" s="33" t="s">
        <v>363</v>
      </c>
      <c r="D138" s="32" t="s">
        <v>1856</v>
      </c>
      <c r="E138" s="11" t="s">
        <v>37</v>
      </c>
    </row>
    <row r="139">
      <c r="B139" s="32" t="s">
        <v>569</v>
      </c>
      <c r="C139" s="33" t="s">
        <v>329</v>
      </c>
      <c r="D139" s="32" t="s">
        <v>1858</v>
      </c>
      <c r="E139" s="11" t="s">
        <v>33</v>
      </c>
    </row>
    <row r="140">
      <c r="B140" s="32" t="s">
        <v>1857</v>
      </c>
      <c r="C140" s="33" t="s">
        <v>195</v>
      </c>
      <c r="D140" s="32" t="s">
        <v>1154</v>
      </c>
      <c r="E140" s="11" t="s">
        <v>37</v>
      </c>
    </row>
    <row r="141">
      <c r="B141" s="32" t="s">
        <v>569</v>
      </c>
      <c r="C141" s="33" t="s">
        <v>55</v>
      </c>
      <c r="D141" s="32" t="s">
        <v>1856</v>
      </c>
      <c r="E141" s="11" t="s">
        <v>33</v>
      </c>
    </row>
    <row r="142">
      <c r="B142" s="32" t="s">
        <v>1858</v>
      </c>
      <c r="C142" s="33" t="s">
        <v>196</v>
      </c>
      <c r="D142" s="32" t="s">
        <v>1154</v>
      </c>
      <c r="E142" s="11" t="s">
        <v>37</v>
      </c>
    </row>
    <row r="143">
      <c r="B143" s="32" t="s">
        <v>569</v>
      </c>
      <c r="C143" s="33" t="s">
        <v>566</v>
      </c>
      <c r="D143" s="32" t="s">
        <v>1857</v>
      </c>
      <c r="E143" s="11" t="s">
        <v>33</v>
      </c>
    </row>
    <row r="144">
      <c r="B144" s="32" t="s">
        <v>1858</v>
      </c>
      <c r="C144" s="33" t="s">
        <v>354</v>
      </c>
      <c r="D144" s="32" t="s">
        <v>1856</v>
      </c>
      <c r="E144" s="11" t="s">
        <v>37</v>
      </c>
    </row>
    <row r="145">
      <c r="B145" s="32" t="s">
        <v>1856</v>
      </c>
      <c r="C145" s="33" t="s">
        <v>218</v>
      </c>
      <c r="D145" s="32" t="s">
        <v>1154</v>
      </c>
      <c r="E145" s="11" t="s">
        <v>33</v>
      </c>
    </row>
    <row r="146">
      <c r="B146" s="32" t="s">
        <v>1858</v>
      </c>
      <c r="C146" s="33" t="s">
        <v>48</v>
      </c>
      <c r="D146" s="32" t="s">
        <v>1857</v>
      </c>
      <c r="E146" s="11" t="s">
        <v>37</v>
      </c>
    </row>
    <row r="147">
      <c r="B147" s="32" t="s">
        <v>1154</v>
      </c>
      <c r="C147" s="35" t="s">
        <v>67</v>
      </c>
      <c r="D147" s="32" t="s">
        <v>569</v>
      </c>
      <c r="E147" s="11" t="s">
        <v>33</v>
      </c>
    </row>
    <row r="148">
      <c r="B148" s="32" t="s">
        <v>1856</v>
      </c>
      <c r="C148" s="35" t="s">
        <v>212</v>
      </c>
      <c r="D148" s="32" t="s">
        <v>1857</v>
      </c>
      <c r="E148" s="11" t="s">
        <v>37</v>
      </c>
    </row>
    <row r="149">
      <c r="B149" s="32" t="s">
        <v>1858</v>
      </c>
      <c r="C149" s="35" t="s">
        <v>43</v>
      </c>
      <c r="D149" s="32" t="s">
        <v>569</v>
      </c>
      <c r="E149" s="11" t="s">
        <v>33</v>
      </c>
    </row>
    <row r="150">
      <c r="B150" s="32" t="s">
        <v>1154</v>
      </c>
      <c r="C150" s="35" t="s">
        <v>193</v>
      </c>
      <c r="D150" s="32" t="s">
        <v>1857</v>
      </c>
      <c r="E150" s="11" t="s">
        <v>37</v>
      </c>
    </row>
    <row r="151">
      <c r="B151" s="32" t="s">
        <v>1856</v>
      </c>
      <c r="C151" s="35" t="s">
        <v>17</v>
      </c>
      <c r="D151" s="32" t="s">
        <v>569</v>
      </c>
      <c r="E151" s="11" t="s">
        <v>33</v>
      </c>
    </row>
    <row r="152">
      <c r="B152" s="32" t="s">
        <v>1154</v>
      </c>
      <c r="C152" s="35" t="s">
        <v>22</v>
      </c>
      <c r="D152" s="32" t="s">
        <v>1858</v>
      </c>
      <c r="E152" s="11" t="s">
        <v>37</v>
      </c>
    </row>
    <row r="153">
      <c r="B153" s="32" t="s">
        <v>1857</v>
      </c>
      <c r="C153" s="35" t="s">
        <v>72</v>
      </c>
      <c r="D153" s="32" t="s">
        <v>569</v>
      </c>
      <c r="E153" s="11" t="s">
        <v>33</v>
      </c>
    </row>
    <row r="154">
      <c r="B154" s="32" t="s">
        <v>1856</v>
      </c>
      <c r="C154" s="35" t="s">
        <v>412</v>
      </c>
      <c r="D154" s="32" t="s">
        <v>1858</v>
      </c>
      <c r="E154" s="11" t="s">
        <v>37</v>
      </c>
    </row>
    <row r="155">
      <c r="B155" s="1" t="s">
        <v>1419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B157" s="32" t="s">
        <v>1798</v>
      </c>
      <c r="C157" s="35" t="s">
        <v>1859</v>
      </c>
      <c r="D157" s="32" t="s">
        <v>573</v>
      </c>
      <c r="E157" s="11" t="s">
        <v>9</v>
      </c>
    </row>
    <row r="158">
      <c r="B158" s="32" t="s">
        <v>1860</v>
      </c>
      <c r="C158" s="35" t="s">
        <v>197</v>
      </c>
      <c r="D158" s="32" t="s">
        <v>1861</v>
      </c>
      <c r="E158" s="11" t="s">
        <v>13</v>
      </c>
    </row>
    <row r="159">
      <c r="B159" s="32" t="s">
        <v>1862</v>
      </c>
      <c r="C159" s="35" t="s">
        <v>25</v>
      </c>
      <c r="D159" s="32" t="s">
        <v>1798</v>
      </c>
      <c r="E159" s="11" t="s">
        <v>9</v>
      </c>
    </row>
    <row r="160">
      <c r="B160" s="32" t="s">
        <v>1860</v>
      </c>
      <c r="C160" s="35" t="s">
        <v>16</v>
      </c>
      <c r="D160" s="32" t="s">
        <v>573</v>
      </c>
      <c r="E160" s="11" t="s">
        <v>13</v>
      </c>
    </row>
    <row r="161">
      <c r="B161" s="32" t="s">
        <v>1862</v>
      </c>
      <c r="C161" s="35" t="s">
        <v>66</v>
      </c>
      <c r="D161" s="32" t="s">
        <v>1861</v>
      </c>
      <c r="E161" s="11" t="s">
        <v>9</v>
      </c>
    </row>
    <row r="162">
      <c r="B162" s="32" t="s">
        <v>1860</v>
      </c>
      <c r="C162" s="35" t="s">
        <v>260</v>
      </c>
      <c r="D162" s="32" t="s">
        <v>1798</v>
      </c>
      <c r="E162" s="11" t="s">
        <v>13</v>
      </c>
    </row>
    <row r="163">
      <c r="B163" s="32" t="s">
        <v>1862</v>
      </c>
      <c r="C163" s="35" t="s">
        <v>413</v>
      </c>
      <c r="D163" s="32" t="s">
        <v>573</v>
      </c>
      <c r="E163" s="11" t="s">
        <v>9</v>
      </c>
    </row>
    <row r="164">
      <c r="B164" s="32" t="s">
        <v>1861</v>
      </c>
      <c r="C164" s="35" t="s">
        <v>87</v>
      </c>
      <c r="D164" s="32" t="s">
        <v>1798</v>
      </c>
      <c r="E164" s="11" t="s">
        <v>13</v>
      </c>
    </row>
    <row r="165">
      <c r="B165" s="32" t="s">
        <v>1862</v>
      </c>
      <c r="C165" s="35" t="s">
        <v>363</v>
      </c>
      <c r="D165" s="32" t="s">
        <v>1860</v>
      </c>
      <c r="E165" s="11" t="s">
        <v>9</v>
      </c>
    </row>
    <row r="166">
      <c r="B166" s="32" t="s">
        <v>1861</v>
      </c>
      <c r="C166" s="35" t="s">
        <v>412</v>
      </c>
      <c r="D166" s="32" t="s">
        <v>573</v>
      </c>
      <c r="E166" s="11" t="s">
        <v>13</v>
      </c>
    </row>
    <row r="167">
      <c r="B167" s="32" t="s">
        <v>573</v>
      </c>
      <c r="C167" s="35" t="s">
        <v>687</v>
      </c>
      <c r="D167" s="32" t="s">
        <v>1798</v>
      </c>
      <c r="E167" s="11" t="s">
        <v>9</v>
      </c>
    </row>
    <row r="168">
      <c r="B168" s="32" t="s">
        <v>1861</v>
      </c>
      <c r="C168" s="35" t="s">
        <v>286</v>
      </c>
      <c r="D168" s="32" t="s">
        <v>1860</v>
      </c>
      <c r="E168" s="11" t="s">
        <v>13</v>
      </c>
    </row>
    <row r="169">
      <c r="B169" s="32" t="s">
        <v>1798</v>
      </c>
      <c r="C169" s="35" t="s">
        <v>1863</v>
      </c>
      <c r="D169" s="32" t="s">
        <v>1862</v>
      </c>
      <c r="E169" s="11" t="s">
        <v>9</v>
      </c>
    </row>
    <row r="170">
      <c r="B170" s="32" t="s">
        <v>573</v>
      </c>
      <c r="C170" s="35" t="s">
        <v>43</v>
      </c>
      <c r="D170" s="32" t="s">
        <v>1860</v>
      </c>
      <c r="E170" s="11" t="s">
        <v>13</v>
      </c>
    </row>
    <row r="171">
      <c r="B171" s="32" t="s">
        <v>1861</v>
      </c>
      <c r="C171" s="35" t="s">
        <v>41</v>
      </c>
      <c r="D171" s="32" t="s">
        <v>1862</v>
      </c>
      <c r="E171" s="11" t="s">
        <v>9</v>
      </c>
    </row>
    <row r="172">
      <c r="B172" s="32" t="s">
        <v>1798</v>
      </c>
      <c r="C172" s="35" t="s">
        <v>41</v>
      </c>
      <c r="D172" s="32" t="s">
        <v>1860</v>
      </c>
      <c r="E172" s="11" t="s">
        <v>13</v>
      </c>
    </row>
    <row r="173">
      <c r="B173" s="32" t="s">
        <v>573</v>
      </c>
      <c r="C173" s="35" t="s">
        <v>380</v>
      </c>
      <c r="D173" s="32" t="s">
        <v>1862</v>
      </c>
      <c r="E173" s="11" t="s">
        <v>9</v>
      </c>
    </row>
    <row r="174">
      <c r="B174" s="32" t="s">
        <v>1798</v>
      </c>
      <c r="C174" s="35" t="s">
        <v>67</v>
      </c>
      <c r="D174" s="32" t="s">
        <v>1861</v>
      </c>
      <c r="E174" s="11" t="s">
        <v>13</v>
      </c>
    </row>
    <row r="175">
      <c r="B175" s="32" t="s">
        <v>1860</v>
      </c>
      <c r="C175" s="35" t="s">
        <v>68</v>
      </c>
      <c r="D175" s="32" t="s">
        <v>1862</v>
      </c>
      <c r="E175" s="11" t="s">
        <v>9</v>
      </c>
    </row>
    <row r="176">
      <c r="B176" s="32" t="s">
        <v>573</v>
      </c>
      <c r="C176" s="35" t="s">
        <v>21</v>
      </c>
      <c r="D176" s="32" t="s">
        <v>1861</v>
      </c>
      <c r="E176" s="11" t="s">
        <v>13</v>
      </c>
    </row>
    <row r="177">
      <c r="B177" s="1" t="s">
        <v>112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B179" s="32" t="s">
        <v>1547</v>
      </c>
      <c r="C179" s="35" t="s">
        <v>190</v>
      </c>
      <c r="D179" s="32" t="s">
        <v>1678</v>
      </c>
      <c r="E179" s="11" t="s">
        <v>33</v>
      </c>
    </row>
    <row r="180">
      <c r="B180" s="32" t="s">
        <v>1864</v>
      </c>
      <c r="C180" s="35" t="s">
        <v>197</v>
      </c>
      <c r="D180" s="32" t="s">
        <v>117</v>
      </c>
      <c r="E180" s="11" t="s">
        <v>37</v>
      </c>
    </row>
    <row r="181">
      <c r="B181" s="32" t="s">
        <v>1745</v>
      </c>
      <c r="C181" s="35" t="s">
        <v>363</v>
      </c>
      <c r="D181" s="32" t="s">
        <v>1547</v>
      </c>
      <c r="E181" s="11" t="s">
        <v>33</v>
      </c>
    </row>
    <row r="182">
      <c r="B182" s="32" t="s">
        <v>1864</v>
      </c>
      <c r="C182" s="35" t="s">
        <v>857</v>
      </c>
      <c r="D182" s="32" t="s">
        <v>1678</v>
      </c>
      <c r="E182" s="11" t="s">
        <v>37</v>
      </c>
    </row>
    <row r="183">
      <c r="B183" s="32" t="s">
        <v>1745</v>
      </c>
      <c r="C183" s="35" t="s">
        <v>22</v>
      </c>
      <c r="D183" s="32" t="s">
        <v>117</v>
      </c>
      <c r="E183" s="11" t="s">
        <v>33</v>
      </c>
    </row>
    <row r="184">
      <c r="B184" s="32" t="s">
        <v>1864</v>
      </c>
      <c r="C184" s="35" t="s">
        <v>17</v>
      </c>
      <c r="D184" s="32" t="s">
        <v>1547</v>
      </c>
      <c r="E184" s="11" t="s">
        <v>37</v>
      </c>
    </row>
    <row r="185">
      <c r="B185" s="32" t="s">
        <v>1745</v>
      </c>
      <c r="C185" s="35" t="s">
        <v>64</v>
      </c>
      <c r="D185" s="32" t="s">
        <v>1678</v>
      </c>
      <c r="E185" s="11" t="s">
        <v>33</v>
      </c>
    </row>
    <row r="186">
      <c r="B186" s="32" t="s">
        <v>117</v>
      </c>
      <c r="C186" s="35" t="s">
        <v>286</v>
      </c>
      <c r="D186" s="32" t="s">
        <v>1547</v>
      </c>
      <c r="E186" s="11" t="s">
        <v>37</v>
      </c>
    </row>
    <row r="187">
      <c r="B187" s="32" t="s">
        <v>1745</v>
      </c>
      <c r="C187" s="35" t="s">
        <v>614</v>
      </c>
      <c r="D187" s="32" t="s">
        <v>1864</v>
      </c>
      <c r="E187" s="11" t="s">
        <v>33</v>
      </c>
    </row>
    <row r="188">
      <c r="B188" s="32" t="s">
        <v>117</v>
      </c>
      <c r="C188" s="35" t="s">
        <v>201</v>
      </c>
      <c r="D188" s="32" t="s">
        <v>1678</v>
      </c>
      <c r="E188" s="11" t="s">
        <v>37</v>
      </c>
    </row>
    <row r="189">
      <c r="B189" s="32" t="s">
        <v>1678</v>
      </c>
      <c r="C189" s="35" t="s">
        <v>285</v>
      </c>
      <c r="D189" s="32" t="s">
        <v>1547</v>
      </c>
      <c r="E189" s="11" t="s">
        <v>33</v>
      </c>
    </row>
    <row r="190">
      <c r="B190" s="32" t="s">
        <v>117</v>
      </c>
      <c r="C190" s="35" t="s">
        <v>534</v>
      </c>
      <c r="D190" s="32" t="s">
        <v>1864</v>
      </c>
      <c r="E190" s="11" t="s">
        <v>37</v>
      </c>
    </row>
    <row r="191">
      <c r="B191" s="32" t="s">
        <v>1547</v>
      </c>
      <c r="C191" s="35" t="s">
        <v>87</v>
      </c>
      <c r="D191" s="32" t="s">
        <v>1745</v>
      </c>
      <c r="E191" s="11" t="s">
        <v>33</v>
      </c>
    </row>
    <row r="192">
      <c r="B192" s="32" t="s">
        <v>1678</v>
      </c>
      <c r="C192" s="35" t="s">
        <v>88</v>
      </c>
      <c r="D192" s="32" t="s">
        <v>1864</v>
      </c>
      <c r="E192" s="11" t="s">
        <v>37</v>
      </c>
    </row>
    <row r="193">
      <c r="B193" s="32" t="s">
        <v>117</v>
      </c>
      <c r="C193" s="35" t="s">
        <v>72</v>
      </c>
      <c r="D193" s="32" t="s">
        <v>1745</v>
      </c>
      <c r="E193" s="11" t="s">
        <v>33</v>
      </c>
    </row>
    <row r="194">
      <c r="B194" s="32" t="s">
        <v>1547</v>
      </c>
      <c r="C194" s="35" t="s">
        <v>66</v>
      </c>
      <c r="D194" s="32" t="s">
        <v>1864</v>
      </c>
      <c r="E194" s="11" t="s">
        <v>37</v>
      </c>
    </row>
    <row r="195">
      <c r="B195" s="32" t="s">
        <v>1678</v>
      </c>
      <c r="C195" s="35" t="s">
        <v>389</v>
      </c>
      <c r="D195" s="32" t="s">
        <v>1745</v>
      </c>
      <c r="E195" s="11" t="s">
        <v>33</v>
      </c>
    </row>
    <row r="196">
      <c r="B196" s="32" t="s">
        <v>1547</v>
      </c>
      <c r="C196" s="35" t="s">
        <v>41</v>
      </c>
      <c r="D196" s="32" t="s">
        <v>117</v>
      </c>
      <c r="E196" s="11" t="s">
        <v>37</v>
      </c>
    </row>
    <row r="197">
      <c r="B197" s="32" t="s">
        <v>1864</v>
      </c>
      <c r="C197" s="35" t="s">
        <v>72</v>
      </c>
      <c r="D197" s="32" t="s">
        <v>1745</v>
      </c>
      <c r="E197" s="11" t="s">
        <v>33</v>
      </c>
    </row>
    <row r="198">
      <c r="B198" s="32" t="s">
        <v>1678</v>
      </c>
      <c r="C198" s="35" t="s">
        <v>260</v>
      </c>
      <c r="D198" s="32" t="s">
        <v>117</v>
      </c>
      <c r="E198" s="11" t="s">
        <v>37</v>
      </c>
    </row>
    <row r="199">
      <c r="B199" s="1" t="s">
        <v>1429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B201" s="32" t="s">
        <v>1865</v>
      </c>
      <c r="C201" s="35" t="s">
        <v>68</v>
      </c>
      <c r="D201" s="32" t="s">
        <v>1866</v>
      </c>
      <c r="E201" s="11" t="s">
        <v>33</v>
      </c>
    </row>
    <row r="202">
      <c r="B202" s="32" t="s">
        <v>1867</v>
      </c>
      <c r="C202" s="35" t="s">
        <v>435</v>
      </c>
      <c r="D202" s="32" t="s">
        <v>1868</v>
      </c>
      <c r="E202" s="11" t="s">
        <v>37</v>
      </c>
    </row>
    <row r="203">
      <c r="B203" s="32" t="s">
        <v>1869</v>
      </c>
      <c r="C203" s="35" t="s">
        <v>81</v>
      </c>
      <c r="D203" s="32" t="s">
        <v>1865</v>
      </c>
      <c r="E203" s="11" t="s">
        <v>33</v>
      </c>
    </row>
    <row r="204">
      <c r="B204" s="32" t="s">
        <v>1867</v>
      </c>
      <c r="C204" s="35" t="s">
        <v>68</v>
      </c>
      <c r="D204" s="32" t="s">
        <v>1866</v>
      </c>
      <c r="E204" s="11" t="s">
        <v>37</v>
      </c>
    </row>
    <row r="205">
      <c r="B205" s="32" t="s">
        <v>1869</v>
      </c>
      <c r="C205" s="35" t="s">
        <v>18</v>
      </c>
      <c r="D205" s="32" t="s">
        <v>1868</v>
      </c>
      <c r="E205" s="11" t="s">
        <v>33</v>
      </c>
    </row>
    <row r="206">
      <c r="B206" s="32" t="s">
        <v>1867</v>
      </c>
      <c r="C206" s="35" t="s">
        <v>201</v>
      </c>
      <c r="D206" s="32" t="s">
        <v>1865</v>
      </c>
      <c r="E206" s="11" t="s">
        <v>37</v>
      </c>
    </row>
    <row r="207">
      <c r="B207" s="32" t="s">
        <v>1869</v>
      </c>
      <c r="C207" s="35" t="s">
        <v>17</v>
      </c>
      <c r="D207" s="32" t="s">
        <v>1866</v>
      </c>
      <c r="E207" s="11" t="s">
        <v>33</v>
      </c>
    </row>
    <row r="208">
      <c r="B208" s="32" t="s">
        <v>1868</v>
      </c>
      <c r="C208" s="35" t="s">
        <v>195</v>
      </c>
      <c r="D208" s="32" t="s">
        <v>1865</v>
      </c>
      <c r="E208" s="11" t="s">
        <v>37</v>
      </c>
    </row>
    <row r="209">
      <c r="B209" s="32" t="s">
        <v>1869</v>
      </c>
      <c r="C209" s="35" t="s">
        <v>196</v>
      </c>
      <c r="D209" s="32" t="s">
        <v>1867</v>
      </c>
      <c r="E209" s="11" t="s">
        <v>33</v>
      </c>
    </row>
    <row r="210">
      <c r="B210" s="32" t="s">
        <v>1868</v>
      </c>
      <c r="C210" s="35" t="s">
        <v>17</v>
      </c>
      <c r="D210" s="32" t="s">
        <v>1866</v>
      </c>
      <c r="E210" s="11" t="s">
        <v>37</v>
      </c>
    </row>
    <row r="211">
      <c r="B211" s="32" t="s">
        <v>1866</v>
      </c>
      <c r="C211" s="35" t="s">
        <v>194</v>
      </c>
      <c r="D211" s="32" t="s">
        <v>1865</v>
      </c>
      <c r="E211" s="11" t="s">
        <v>33</v>
      </c>
    </row>
    <row r="212">
      <c r="B212" s="32" t="s">
        <v>1868</v>
      </c>
      <c r="C212" s="35" t="s">
        <v>260</v>
      </c>
      <c r="D212" s="32" t="s">
        <v>1867</v>
      </c>
      <c r="E212" s="11" t="s">
        <v>37</v>
      </c>
    </row>
    <row r="213">
      <c r="B213" s="32" t="s">
        <v>1865</v>
      </c>
      <c r="C213" s="35" t="s">
        <v>1021</v>
      </c>
      <c r="D213" s="32" t="s">
        <v>1869</v>
      </c>
      <c r="E213" s="11" t="s">
        <v>33</v>
      </c>
    </row>
    <row r="214">
      <c r="B214" s="32" t="s">
        <v>1866</v>
      </c>
      <c r="C214" s="35" t="s">
        <v>370</v>
      </c>
      <c r="D214" s="32" t="s">
        <v>1867</v>
      </c>
      <c r="E214" s="11" t="s">
        <v>37</v>
      </c>
    </row>
    <row r="215">
      <c r="B215" s="32" t="s">
        <v>1868</v>
      </c>
      <c r="C215" s="35" t="s">
        <v>190</v>
      </c>
      <c r="D215" s="32" t="s">
        <v>1869</v>
      </c>
      <c r="E215" s="11" t="s">
        <v>33</v>
      </c>
    </row>
    <row r="216">
      <c r="B216" s="32" t="s">
        <v>1865</v>
      </c>
      <c r="C216" s="35" t="s">
        <v>84</v>
      </c>
      <c r="D216" s="32" t="s">
        <v>1867</v>
      </c>
      <c r="E216" s="11" t="s">
        <v>37</v>
      </c>
    </row>
    <row r="217">
      <c r="B217" s="32" t="s">
        <v>1866</v>
      </c>
      <c r="C217" s="35" t="s">
        <v>24</v>
      </c>
      <c r="D217" s="32" t="s">
        <v>1869</v>
      </c>
      <c r="E217" s="11" t="s">
        <v>33</v>
      </c>
    </row>
    <row r="218">
      <c r="B218" s="32" t="s">
        <v>1865</v>
      </c>
      <c r="C218" s="35" t="s">
        <v>217</v>
      </c>
      <c r="D218" s="32" t="s">
        <v>1868</v>
      </c>
      <c r="E218" s="11" t="s">
        <v>37</v>
      </c>
    </row>
    <row r="219">
      <c r="B219" s="32" t="s">
        <v>1867</v>
      </c>
      <c r="C219" s="35" t="s">
        <v>251</v>
      </c>
      <c r="D219" s="32" t="s">
        <v>1869</v>
      </c>
      <c r="E219" s="11" t="s">
        <v>33</v>
      </c>
    </row>
    <row r="220">
      <c r="B220" s="32" t="s">
        <v>1866</v>
      </c>
      <c r="C220" s="35" t="s">
        <v>354</v>
      </c>
      <c r="D220" s="32" t="s">
        <v>1868</v>
      </c>
      <c r="E220" s="11" t="s">
        <v>37</v>
      </c>
    </row>
    <row r="221">
      <c r="B221" s="28" t="s">
        <v>1685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34" t="s">
        <v>1808</v>
      </c>
      <c r="C223" s="33" t="s">
        <v>16</v>
      </c>
      <c r="D223" s="34" t="s">
        <v>1870</v>
      </c>
      <c r="E223" s="11" t="s">
        <v>9</v>
      </c>
    </row>
    <row r="224">
      <c r="B224" s="34" t="s">
        <v>568</v>
      </c>
      <c r="C224" s="33" t="s">
        <v>414</v>
      </c>
      <c r="D224" s="34" t="s">
        <v>1871</v>
      </c>
      <c r="E224" s="11" t="s">
        <v>13</v>
      </c>
    </row>
    <row r="225">
      <c r="B225" s="34" t="s">
        <v>1872</v>
      </c>
      <c r="C225" s="33" t="s">
        <v>282</v>
      </c>
      <c r="D225" s="34" t="s">
        <v>1808</v>
      </c>
      <c r="E225" s="11" t="s">
        <v>9</v>
      </c>
    </row>
    <row r="226">
      <c r="B226" s="34" t="s">
        <v>568</v>
      </c>
      <c r="C226" s="33" t="s">
        <v>195</v>
      </c>
      <c r="D226" s="34" t="s">
        <v>1870</v>
      </c>
      <c r="E226" s="11" t="s">
        <v>13</v>
      </c>
    </row>
    <row r="227">
      <c r="B227" s="34" t="s">
        <v>1872</v>
      </c>
      <c r="C227" s="33" t="s">
        <v>81</v>
      </c>
      <c r="D227" s="34" t="s">
        <v>1871</v>
      </c>
      <c r="E227" s="11" t="s">
        <v>9</v>
      </c>
    </row>
    <row r="228">
      <c r="B228" s="34" t="s">
        <v>568</v>
      </c>
      <c r="C228" s="33" t="s">
        <v>289</v>
      </c>
      <c r="D228" s="34" t="s">
        <v>1808</v>
      </c>
      <c r="E228" s="11" t="s">
        <v>13</v>
      </c>
    </row>
    <row r="229">
      <c r="B229" s="34" t="s">
        <v>1872</v>
      </c>
      <c r="C229" s="33" t="s">
        <v>259</v>
      </c>
      <c r="D229" s="34" t="s">
        <v>1870</v>
      </c>
      <c r="E229" s="11" t="s">
        <v>9</v>
      </c>
    </row>
    <row r="230">
      <c r="B230" s="34" t="s">
        <v>1871</v>
      </c>
      <c r="C230" s="33" t="s">
        <v>193</v>
      </c>
      <c r="D230" s="34" t="s">
        <v>1808</v>
      </c>
      <c r="E230" s="11" t="s">
        <v>13</v>
      </c>
    </row>
    <row r="231">
      <c r="B231" s="34" t="s">
        <v>1872</v>
      </c>
      <c r="C231" s="33" t="s">
        <v>81</v>
      </c>
      <c r="D231" s="34" t="s">
        <v>568</v>
      </c>
      <c r="E231" s="11" t="s">
        <v>9</v>
      </c>
    </row>
    <row r="232">
      <c r="B232" s="34" t="s">
        <v>1871</v>
      </c>
      <c r="C232" s="33" t="s">
        <v>11</v>
      </c>
      <c r="D232" s="34" t="s">
        <v>1870</v>
      </c>
      <c r="E232" s="11" t="s">
        <v>13</v>
      </c>
    </row>
    <row r="233">
      <c r="B233" s="34" t="s">
        <v>1870</v>
      </c>
      <c r="C233" s="33" t="s">
        <v>218</v>
      </c>
      <c r="D233" s="34" t="s">
        <v>1808</v>
      </c>
      <c r="E233" s="11" t="s">
        <v>9</v>
      </c>
    </row>
    <row r="234">
      <c r="B234" s="34" t="s">
        <v>1871</v>
      </c>
      <c r="C234" s="33" t="s">
        <v>305</v>
      </c>
      <c r="D234" s="34" t="s">
        <v>568</v>
      </c>
      <c r="E234" s="11" t="s">
        <v>13</v>
      </c>
    </row>
    <row r="235">
      <c r="B235" s="34" t="s">
        <v>1808</v>
      </c>
      <c r="C235" s="35" t="s">
        <v>190</v>
      </c>
      <c r="D235" s="34" t="s">
        <v>1872</v>
      </c>
      <c r="E235" s="11" t="s">
        <v>9</v>
      </c>
    </row>
    <row r="236">
      <c r="B236" s="34" t="s">
        <v>1870</v>
      </c>
      <c r="C236" s="35" t="s">
        <v>193</v>
      </c>
      <c r="D236" s="34" t="s">
        <v>568</v>
      </c>
      <c r="E236" s="11" t="s">
        <v>13</v>
      </c>
    </row>
    <row r="237">
      <c r="B237" s="34" t="s">
        <v>1871</v>
      </c>
      <c r="C237" s="35" t="s">
        <v>426</v>
      </c>
      <c r="D237" s="34" t="s">
        <v>1872</v>
      </c>
      <c r="E237" s="11" t="s">
        <v>9</v>
      </c>
    </row>
    <row r="238">
      <c r="B238" s="34" t="s">
        <v>1808</v>
      </c>
      <c r="C238" s="35" t="s">
        <v>291</v>
      </c>
      <c r="D238" s="34" t="s">
        <v>568</v>
      </c>
      <c r="E238" s="11" t="s">
        <v>13</v>
      </c>
    </row>
    <row r="239">
      <c r="B239" s="34" t="s">
        <v>1870</v>
      </c>
      <c r="C239" s="35" t="s">
        <v>302</v>
      </c>
      <c r="D239" s="34" t="s">
        <v>1872</v>
      </c>
      <c r="E239" s="11" t="s">
        <v>9</v>
      </c>
    </row>
    <row r="240">
      <c r="B240" s="34" t="s">
        <v>1808</v>
      </c>
      <c r="C240" s="35" t="s">
        <v>69</v>
      </c>
      <c r="D240" s="34" t="s">
        <v>1871</v>
      </c>
      <c r="E240" s="11" t="s">
        <v>13</v>
      </c>
    </row>
    <row r="241">
      <c r="B241" s="34" t="s">
        <v>568</v>
      </c>
      <c r="C241" s="35" t="s">
        <v>68</v>
      </c>
      <c r="D241" s="34" t="s">
        <v>1872</v>
      </c>
      <c r="E241" s="11" t="s">
        <v>9</v>
      </c>
    </row>
    <row r="242">
      <c r="B242" s="34" t="s">
        <v>1870</v>
      </c>
      <c r="C242" s="35" t="s">
        <v>87</v>
      </c>
      <c r="D242" s="34" t="s">
        <v>1871</v>
      </c>
      <c r="E242" s="11" t="s">
        <v>13</v>
      </c>
    </row>
    <row r="243">
      <c r="B243" s="28" t="s">
        <v>1441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34" t="s">
        <v>1532</v>
      </c>
      <c r="C245" s="35" t="s">
        <v>444</v>
      </c>
      <c r="D245" s="34" t="s">
        <v>999</v>
      </c>
      <c r="E245" s="11" t="s">
        <v>9</v>
      </c>
    </row>
    <row r="246">
      <c r="B246" s="34" t="s">
        <v>1813</v>
      </c>
      <c r="C246" s="35" t="s">
        <v>195</v>
      </c>
      <c r="D246" s="34" t="s">
        <v>1254</v>
      </c>
      <c r="E246" s="11" t="s">
        <v>13</v>
      </c>
    </row>
    <row r="247">
      <c r="B247" s="34" t="s">
        <v>1873</v>
      </c>
      <c r="C247" s="35" t="s">
        <v>238</v>
      </c>
      <c r="D247" s="34" t="s">
        <v>1532</v>
      </c>
      <c r="E247" s="11" t="s">
        <v>9</v>
      </c>
    </row>
    <row r="248">
      <c r="B248" s="34" t="s">
        <v>1813</v>
      </c>
      <c r="C248" s="35" t="s">
        <v>81</v>
      </c>
      <c r="D248" s="34" t="s">
        <v>999</v>
      </c>
      <c r="E248" s="11" t="s">
        <v>13</v>
      </c>
    </row>
    <row r="249">
      <c r="B249" s="34" t="s">
        <v>1873</v>
      </c>
      <c r="C249" s="35" t="s">
        <v>251</v>
      </c>
      <c r="D249" s="34" t="s">
        <v>1254</v>
      </c>
      <c r="E249" s="11" t="s">
        <v>9</v>
      </c>
    </row>
    <row r="250">
      <c r="B250" s="34" t="s">
        <v>1813</v>
      </c>
      <c r="C250" s="35" t="s">
        <v>87</v>
      </c>
      <c r="D250" s="34" t="s">
        <v>1532</v>
      </c>
      <c r="E250" s="11" t="s">
        <v>13</v>
      </c>
    </row>
    <row r="251">
      <c r="B251" s="34" t="s">
        <v>1873</v>
      </c>
      <c r="C251" s="35" t="s">
        <v>7</v>
      </c>
      <c r="D251" s="34" t="s">
        <v>999</v>
      </c>
      <c r="E251" s="11" t="s">
        <v>9</v>
      </c>
    </row>
    <row r="252">
      <c r="B252" s="34" t="s">
        <v>1254</v>
      </c>
      <c r="C252" s="35" t="s">
        <v>19</v>
      </c>
      <c r="D252" s="34" t="s">
        <v>1532</v>
      </c>
      <c r="E252" s="11" t="s">
        <v>13</v>
      </c>
    </row>
    <row r="253">
      <c r="B253" s="34" t="s">
        <v>1873</v>
      </c>
      <c r="C253" s="35" t="s">
        <v>17</v>
      </c>
      <c r="D253" s="34" t="s">
        <v>1813</v>
      </c>
      <c r="E253" s="11" t="s">
        <v>9</v>
      </c>
    </row>
    <row r="254">
      <c r="B254" s="34" t="s">
        <v>1254</v>
      </c>
      <c r="C254" s="35" t="s">
        <v>614</v>
      </c>
      <c r="D254" s="34" t="s">
        <v>999</v>
      </c>
      <c r="E254" s="11" t="s">
        <v>13</v>
      </c>
    </row>
    <row r="255">
      <c r="B255" s="34" t="s">
        <v>999</v>
      </c>
      <c r="C255" s="35" t="s">
        <v>270</v>
      </c>
      <c r="D255" s="34" t="s">
        <v>1532</v>
      </c>
      <c r="E255" s="11" t="s">
        <v>9</v>
      </c>
    </row>
    <row r="256">
      <c r="B256" s="34" t="s">
        <v>1254</v>
      </c>
      <c r="C256" s="35" t="s">
        <v>43</v>
      </c>
      <c r="D256" s="34" t="s">
        <v>1813</v>
      </c>
      <c r="E256" s="11" t="s">
        <v>13</v>
      </c>
    </row>
    <row r="257">
      <c r="B257" s="34" t="s">
        <v>1532</v>
      </c>
      <c r="C257" s="35" t="s">
        <v>21</v>
      </c>
      <c r="D257" s="34" t="s">
        <v>1873</v>
      </c>
      <c r="E257" s="11" t="s">
        <v>9</v>
      </c>
    </row>
    <row r="258">
      <c r="B258" s="34" t="s">
        <v>999</v>
      </c>
      <c r="C258" s="35" t="s">
        <v>72</v>
      </c>
      <c r="D258" s="34" t="s">
        <v>1813</v>
      </c>
      <c r="E258" s="11" t="s">
        <v>13</v>
      </c>
    </row>
    <row r="259">
      <c r="B259" s="34" t="s">
        <v>1254</v>
      </c>
      <c r="C259" s="35" t="s">
        <v>389</v>
      </c>
      <c r="D259" s="34" t="s">
        <v>1873</v>
      </c>
      <c r="E259" s="11" t="s">
        <v>9</v>
      </c>
    </row>
    <row r="260">
      <c r="B260" s="34" t="s">
        <v>1532</v>
      </c>
      <c r="C260" s="35" t="s">
        <v>11</v>
      </c>
      <c r="D260" s="34" t="s">
        <v>1813</v>
      </c>
      <c r="E260" s="11" t="s">
        <v>13</v>
      </c>
    </row>
    <row r="261">
      <c r="B261" s="34" t="s">
        <v>999</v>
      </c>
      <c r="C261" s="35" t="s">
        <v>544</v>
      </c>
      <c r="D261" s="34" t="s">
        <v>1873</v>
      </c>
      <c r="E261" s="11" t="s">
        <v>9</v>
      </c>
    </row>
    <row r="262">
      <c r="B262" s="34" t="s">
        <v>1532</v>
      </c>
      <c r="C262" s="35" t="s">
        <v>566</v>
      </c>
      <c r="D262" s="34" t="s">
        <v>1254</v>
      </c>
      <c r="E262" s="11" t="s">
        <v>13</v>
      </c>
    </row>
    <row r="263">
      <c r="B263" s="34" t="s">
        <v>1813</v>
      </c>
      <c r="C263" s="35" t="s">
        <v>81</v>
      </c>
      <c r="D263" s="34" t="s">
        <v>1873</v>
      </c>
      <c r="E263" s="11" t="s">
        <v>9</v>
      </c>
    </row>
    <row r="264">
      <c r="B264" s="34" t="s">
        <v>999</v>
      </c>
      <c r="C264" s="35" t="s">
        <v>411</v>
      </c>
      <c r="D264" s="34" t="s">
        <v>1254</v>
      </c>
      <c r="E264" s="11" t="s">
        <v>13</v>
      </c>
    </row>
    <row r="265">
      <c r="B265" s="28" t="s">
        <v>134</v>
      </c>
      <c r="C265" s="2"/>
      <c r="D265" s="3"/>
      <c r="E265" s="2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34" t="s">
        <v>1874</v>
      </c>
      <c r="C267" s="35" t="s">
        <v>488</v>
      </c>
      <c r="D267" s="34" t="s">
        <v>1875</v>
      </c>
      <c r="E267" s="11" t="s">
        <v>33</v>
      </c>
    </row>
    <row r="268">
      <c r="B268" s="34" t="s">
        <v>1876</v>
      </c>
      <c r="C268" s="35" t="s">
        <v>196</v>
      </c>
      <c r="D268" s="34" t="s">
        <v>1877</v>
      </c>
      <c r="E268" s="11" t="s">
        <v>37</v>
      </c>
    </row>
    <row r="269">
      <c r="B269" s="34" t="s">
        <v>1816</v>
      </c>
      <c r="C269" s="35" t="s">
        <v>289</v>
      </c>
      <c r="D269" s="34" t="s">
        <v>1874</v>
      </c>
      <c r="E269" s="11" t="s">
        <v>33</v>
      </c>
    </row>
    <row r="270">
      <c r="B270" s="34" t="s">
        <v>1876</v>
      </c>
      <c r="C270" s="35" t="s">
        <v>520</v>
      </c>
      <c r="D270" s="34" t="s">
        <v>1875</v>
      </c>
      <c r="E270" s="11" t="s">
        <v>37</v>
      </c>
    </row>
    <row r="271">
      <c r="B271" s="34" t="s">
        <v>1816</v>
      </c>
      <c r="C271" s="35" t="s">
        <v>11</v>
      </c>
      <c r="D271" s="34" t="s">
        <v>1877</v>
      </c>
      <c r="E271" s="11" t="s">
        <v>33</v>
      </c>
    </row>
    <row r="272">
      <c r="B272" s="34" t="s">
        <v>1876</v>
      </c>
      <c r="C272" s="35" t="s">
        <v>81</v>
      </c>
      <c r="D272" s="34" t="s">
        <v>1874</v>
      </c>
      <c r="E272" s="11" t="s">
        <v>37</v>
      </c>
    </row>
    <row r="273">
      <c r="B273" s="34" t="s">
        <v>1816</v>
      </c>
      <c r="C273" s="35" t="s">
        <v>331</v>
      </c>
      <c r="D273" s="34" t="s">
        <v>1875</v>
      </c>
      <c r="E273" s="11" t="s">
        <v>33</v>
      </c>
    </row>
    <row r="274">
      <c r="B274" s="34" t="s">
        <v>1877</v>
      </c>
      <c r="C274" s="35" t="s">
        <v>197</v>
      </c>
      <c r="D274" s="34" t="s">
        <v>1874</v>
      </c>
      <c r="E274" s="11" t="s">
        <v>37</v>
      </c>
    </row>
    <row r="275">
      <c r="B275" s="34" t="s">
        <v>1816</v>
      </c>
      <c r="C275" s="35" t="s">
        <v>14</v>
      </c>
      <c r="D275" s="34" t="s">
        <v>1876</v>
      </c>
      <c r="E275" s="11" t="s">
        <v>33</v>
      </c>
    </row>
    <row r="276">
      <c r="B276" s="34" t="s">
        <v>1877</v>
      </c>
      <c r="C276" s="35" t="s">
        <v>58</v>
      </c>
      <c r="D276" s="34" t="s">
        <v>1875</v>
      </c>
      <c r="E276" s="11" t="s">
        <v>37</v>
      </c>
    </row>
    <row r="277">
      <c r="B277" s="34" t="s">
        <v>1875</v>
      </c>
      <c r="C277" s="35" t="s">
        <v>297</v>
      </c>
      <c r="D277" s="34" t="s">
        <v>1874</v>
      </c>
      <c r="E277" s="11" t="s">
        <v>33</v>
      </c>
    </row>
    <row r="278">
      <c r="B278" s="34" t="s">
        <v>1877</v>
      </c>
      <c r="C278" s="35" t="s">
        <v>87</v>
      </c>
      <c r="D278" s="34" t="s">
        <v>1876</v>
      </c>
      <c r="E278" s="11" t="s">
        <v>37</v>
      </c>
    </row>
    <row r="279">
      <c r="B279" s="34" t="s">
        <v>1874</v>
      </c>
      <c r="C279" s="35" t="s">
        <v>43</v>
      </c>
      <c r="D279" s="34" t="s">
        <v>1816</v>
      </c>
      <c r="E279" s="11" t="s">
        <v>33</v>
      </c>
    </row>
    <row r="280">
      <c r="B280" s="34" t="s">
        <v>1875</v>
      </c>
      <c r="C280" s="35" t="s">
        <v>218</v>
      </c>
      <c r="D280" s="34" t="s">
        <v>1876</v>
      </c>
      <c r="E280" s="11" t="s">
        <v>37</v>
      </c>
    </row>
    <row r="281">
      <c r="B281" s="34" t="s">
        <v>1877</v>
      </c>
      <c r="C281" s="35" t="s">
        <v>25</v>
      </c>
      <c r="D281" s="34" t="s">
        <v>1816</v>
      </c>
      <c r="E281" s="11" t="s">
        <v>33</v>
      </c>
    </row>
    <row r="282">
      <c r="B282" s="34" t="s">
        <v>1874</v>
      </c>
      <c r="C282" s="35" t="s">
        <v>55</v>
      </c>
      <c r="D282" s="34" t="s">
        <v>1876</v>
      </c>
      <c r="E282" s="11" t="s">
        <v>37</v>
      </c>
    </row>
    <row r="283">
      <c r="B283" s="34" t="s">
        <v>1875</v>
      </c>
      <c r="C283" s="35" t="s">
        <v>38</v>
      </c>
      <c r="D283" s="34" t="s">
        <v>1816</v>
      </c>
      <c r="E283" s="11" t="s">
        <v>33</v>
      </c>
    </row>
    <row r="284">
      <c r="B284" s="34" t="s">
        <v>1874</v>
      </c>
      <c r="C284" s="35" t="s">
        <v>1252</v>
      </c>
      <c r="D284" s="34" t="s">
        <v>1877</v>
      </c>
      <c r="E284" s="11" t="s">
        <v>37</v>
      </c>
    </row>
    <row r="285">
      <c r="B285" s="34" t="s">
        <v>1876</v>
      </c>
      <c r="C285" s="35" t="s">
        <v>249</v>
      </c>
      <c r="D285" s="34" t="s">
        <v>1816</v>
      </c>
      <c r="E285" s="11" t="s">
        <v>33</v>
      </c>
    </row>
    <row r="286">
      <c r="B286" s="34" t="s">
        <v>1875</v>
      </c>
      <c r="C286" s="35" t="s">
        <v>533</v>
      </c>
      <c r="D286" s="34" t="s">
        <v>1877</v>
      </c>
      <c r="E286" s="11" t="s">
        <v>37</v>
      </c>
    </row>
    <row r="287">
      <c r="B287" s="28" t="s">
        <v>145</v>
      </c>
      <c r="C287" s="2"/>
      <c r="D287" s="3"/>
      <c r="E287" s="2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34" t="s">
        <v>1878</v>
      </c>
      <c r="C289" s="35" t="s">
        <v>578</v>
      </c>
      <c r="D289" s="34" t="s">
        <v>1879</v>
      </c>
      <c r="E289" s="11" t="s">
        <v>33</v>
      </c>
    </row>
    <row r="290">
      <c r="B290" s="34" t="s">
        <v>1880</v>
      </c>
      <c r="C290" s="35" t="s">
        <v>11</v>
      </c>
      <c r="D290" s="34" t="s">
        <v>1881</v>
      </c>
      <c r="E290" s="11" t="s">
        <v>37</v>
      </c>
    </row>
    <row r="291">
      <c r="B291" s="34" t="s">
        <v>1882</v>
      </c>
      <c r="C291" s="35" t="s">
        <v>81</v>
      </c>
      <c r="D291" s="34" t="s">
        <v>1878</v>
      </c>
      <c r="E291" s="11" t="s">
        <v>33</v>
      </c>
    </row>
    <row r="292">
      <c r="B292" s="34" t="s">
        <v>1880</v>
      </c>
      <c r="C292" s="35" t="s">
        <v>44</v>
      </c>
      <c r="D292" s="34" t="s">
        <v>1879</v>
      </c>
      <c r="E292" s="11" t="s">
        <v>37</v>
      </c>
    </row>
    <row r="293">
      <c r="B293" s="34" t="s">
        <v>1882</v>
      </c>
      <c r="C293" s="35" t="s">
        <v>260</v>
      </c>
      <c r="D293" s="34" t="s">
        <v>1881</v>
      </c>
      <c r="E293" s="11" t="s">
        <v>33</v>
      </c>
    </row>
    <row r="294">
      <c r="B294" s="34" t="s">
        <v>1880</v>
      </c>
      <c r="C294" s="35" t="s">
        <v>19</v>
      </c>
      <c r="D294" s="34" t="s">
        <v>1878</v>
      </c>
      <c r="E294" s="11" t="s">
        <v>37</v>
      </c>
    </row>
    <row r="295">
      <c r="B295" s="34" t="s">
        <v>1882</v>
      </c>
      <c r="C295" s="35" t="s">
        <v>81</v>
      </c>
      <c r="D295" s="34" t="s">
        <v>1879</v>
      </c>
      <c r="E295" s="11" t="s">
        <v>33</v>
      </c>
    </row>
    <row r="296">
      <c r="B296" s="34" t="s">
        <v>1881</v>
      </c>
      <c r="C296" s="35" t="s">
        <v>25</v>
      </c>
      <c r="D296" s="34" t="s">
        <v>1878</v>
      </c>
      <c r="E296" s="11" t="s">
        <v>37</v>
      </c>
    </row>
    <row r="297">
      <c r="B297" s="34" t="s">
        <v>1882</v>
      </c>
      <c r="C297" s="35" t="s">
        <v>19</v>
      </c>
      <c r="D297" s="34" t="s">
        <v>1880</v>
      </c>
      <c r="E297" s="11" t="s">
        <v>33</v>
      </c>
    </row>
    <row r="298">
      <c r="B298" s="34" t="s">
        <v>1881</v>
      </c>
      <c r="C298" s="35" t="s">
        <v>68</v>
      </c>
      <c r="D298" s="34" t="s">
        <v>1879</v>
      </c>
      <c r="E298" s="11" t="s">
        <v>37</v>
      </c>
    </row>
    <row r="299">
      <c r="B299" s="34" t="s">
        <v>1879</v>
      </c>
      <c r="C299" s="35" t="s">
        <v>488</v>
      </c>
      <c r="D299" s="34" t="s">
        <v>1878</v>
      </c>
      <c r="E299" s="11" t="s">
        <v>33</v>
      </c>
    </row>
    <row r="300">
      <c r="B300" s="34" t="s">
        <v>1881</v>
      </c>
      <c r="C300" s="35" t="s">
        <v>212</v>
      </c>
      <c r="D300" s="34" t="s">
        <v>1880</v>
      </c>
      <c r="E300" s="11" t="s">
        <v>37</v>
      </c>
    </row>
    <row r="301">
      <c r="B301" s="34" t="s">
        <v>1878</v>
      </c>
      <c r="C301" s="35" t="s">
        <v>543</v>
      </c>
      <c r="D301" s="34" t="s">
        <v>1882</v>
      </c>
      <c r="E301" s="11" t="s">
        <v>33</v>
      </c>
    </row>
    <row r="302">
      <c r="B302" s="34" t="s">
        <v>1879</v>
      </c>
      <c r="C302" s="35" t="s">
        <v>23</v>
      </c>
      <c r="D302" s="34" t="s">
        <v>1880</v>
      </c>
      <c r="E302" s="11" t="s">
        <v>37</v>
      </c>
    </row>
    <row r="303">
      <c r="B303" s="34" t="s">
        <v>1881</v>
      </c>
      <c r="C303" s="35" t="s">
        <v>21</v>
      </c>
      <c r="D303" s="34" t="s">
        <v>1882</v>
      </c>
      <c r="E303" s="11" t="s">
        <v>33</v>
      </c>
    </row>
    <row r="304">
      <c r="B304" s="34" t="s">
        <v>1878</v>
      </c>
      <c r="C304" s="35" t="s">
        <v>363</v>
      </c>
      <c r="D304" s="34" t="s">
        <v>1880</v>
      </c>
      <c r="E304" s="11" t="s">
        <v>37</v>
      </c>
    </row>
    <row r="305">
      <c r="B305" s="34" t="s">
        <v>1879</v>
      </c>
      <c r="C305" s="35" t="s">
        <v>64</v>
      </c>
      <c r="D305" s="34" t="s">
        <v>1882</v>
      </c>
      <c r="E305" s="11" t="s">
        <v>33</v>
      </c>
    </row>
    <row r="306">
      <c r="B306" s="34" t="s">
        <v>1878</v>
      </c>
      <c r="C306" s="35" t="s">
        <v>215</v>
      </c>
      <c r="D306" s="34" t="s">
        <v>1881</v>
      </c>
      <c r="E306" s="11" t="s">
        <v>37</v>
      </c>
    </row>
    <row r="307">
      <c r="B307" s="34" t="s">
        <v>1880</v>
      </c>
      <c r="C307" s="35" t="s">
        <v>1883</v>
      </c>
      <c r="D307" s="34" t="s">
        <v>1882</v>
      </c>
      <c r="E307" s="11" t="s">
        <v>33</v>
      </c>
    </row>
    <row r="308">
      <c r="B308" s="34" t="s">
        <v>1879</v>
      </c>
      <c r="C308" s="35" t="s">
        <v>312</v>
      </c>
      <c r="D308" s="34" t="s">
        <v>1881</v>
      </c>
      <c r="E308" s="11" t="s">
        <v>37</v>
      </c>
    </row>
    <row r="309">
      <c r="B309" s="28" t="s">
        <v>1456</v>
      </c>
      <c r="C309" s="2"/>
      <c r="D309" s="3"/>
      <c r="E309" s="2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34" t="s">
        <v>1324</v>
      </c>
      <c r="C311" s="33" t="s">
        <v>446</v>
      </c>
      <c r="D311" s="34" t="s">
        <v>1884</v>
      </c>
      <c r="E311" s="11" t="s">
        <v>9</v>
      </c>
    </row>
    <row r="312">
      <c r="B312" s="34" t="s">
        <v>1885</v>
      </c>
      <c r="C312" s="33" t="s">
        <v>217</v>
      </c>
      <c r="D312" s="34" t="s">
        <v>1765</v>
      </c>
      <c r="E312" s="11" t="s">
        <v>13</v>
      </c>
    </row>
    <row r="313">
      <c r="B313" s="34" t="s">
        <v>1768</v>
      </c>
      <c r="C313" s="33" t="s">
        <v>87</v>
      </c>
      <c r="D313" s="34" t="s">
        <v>1324</v>
      </c>
      <c r="E313" s="11" t="s">
        <v>9</v>
      </c>
    </row>
    <row r="314">
      <c r="B314" s="34" t="s">
        <v>1885</v>
      </c>
      <c r="C314" s="33" t="s">
        <v>319</v>
      </c>
      <c r="D314" s="34" t="s">
        <v>1884</v>
      </c>
      <c r="E314" s="11" t="s">
        <v>13</v>
      </c>
    </row>
    <row r="315">
      <c r="B315" s="34" t="s">
        <v>1768</v>
      </c>
      <c r="C315" s="33" t="s">
        <v>520</v>
      </c>
      <c r="D315" s="34" t="s">
        <v>1765</v>
      </c>
      <c r="E315" s="11" t="s">
        <v>9</v>
      </c>
    </row>
    <row r="316">
      <c r="B316" s="34" t="s">
        <v>1885</v>
      </c>
      <c r="C316" s="33" t="s">
        <v>11</v>
      </c>
      <c r="D316" s="34" t="s">
        <v>1324</v>
      </c>
      <c r="E316" s="11" t="s">
        <v>13</v>
      </c>
    </row>
    <row r="317">
      <c r="B317" s="34" t="s">
        <v>1768</v>
      </c>
      <c r="C317" s="33" t="s">
        <v>78</v>
      </c>
      <c r="D317" s="34" t="s">
        <v>1884</v>
      </c>
      <c r="E317" s="11" t="s">
        <v>9</v>
      </c>
    </row>
    <row r="318">
      <c r="B318" s="34" t="s">
        <v>1765</v>
      </c>
      <c r="C318" s="33" t="s">
        <v>220</v>
      </c>
      <c r="D318" s="34" t="s">
        <v>1324</v>
      </c>
      <c r="E318" s="11" t="s">
        <v>13</v>
      </c>
    </row>
    <row r="319">
      <c r="B319" s="34" t="s">
        <v>1768</v>
      </c>
      <c r="C319" s="33" t="s">
        <v>872</v>
      </c>
      <c r="D319" s="34" t="s">
        <v>1885</v>
      </c>
      <c r="E319" s="11" t="s">
        <v>9</v>
      </c>
    </row>
    <row r="320">
      <c r="B320" s="34" t="s">
        <v>1765</v>
      </c>
      <c r="C320" s="33" t="s">
        <v>58</v>
      </c>
      <c r="D320" s="34" t="s">
        <v>1884</v>
      </c>
      <c r="E320" s="11" t="s">
        <v>13</v>
      </c>
    </row>
    <row r="321">
      <c r="B321" s="34" t="s">
        <v>1884</v>
      </c>
      <c r="C321" s="33" t="s">
        <v>1886</v>
      </c>
      <c r="D321" s="34" t="s">
        <v>1324</v>
      </c>
      <c r="E321" s="11" t="s">
        <v>9</v>
      </c>
    </row>
    <row r="322">
      <c r="B322" s="34" t="s">
        <v>1765</v>
      </c>
      <c r="C322" s="33" t="s">
        <v>218</v>
      </c>
      <c r="D322" s="34" t="s">
        <v>1885</v>
      </c>
      <c r="E322" s="11" t="s">
        <v>13</v>
      </c>
    </row>
    <row r="323">
      <c r="B323" s="34" t="s">
        <v>1324</v>
      </c>
      <c r="C323" s="35" t="s">
        <v>20</v>
      </c>
      <c r="D323" s="34" t="s">
        <v>1768</v>
      </c>
      <c r="E323" s="11" t="s">
        <v>9</v>
      </c>
    </row>
    <row r="324">
      <c r="B324" s="34" t="s">
        <v>1884</v>
      </c>
      <c r="C324" s="35" t="s">
        <v>27</v>
      </c>
      <c r="D324" s="34" t="s">
        <v>1885</v>
      </c>
      <c r="E324" s="11" t="s">
        <v>13</v>
      </c>
    </row>
    <row r="325">
      <c r="B325" s="34" t="s">
        <v>1765</v>
      </c>
      <c r="C325" s="35" t="s">
        <v>11</v>
      </c>
      <c r="D325" s="34" t="s">
        <v>1768</v>
      </c>
      <c r="E325" s="11" t="s">
        <v>9</v>
      </c>
    </row>
    <row r="326">
      <c r="B326" s="34" t="s">
        <v>1324</v>
      </c>
      <c r="C326" s="35" t="s">
        <v>239</v>
      </c>
      <c r="D326" s="34" t="s">
        <v>1885</v>
      </c>
      <c r="E326" s="11" t="s">
        <v>13</v>
      </c>
    </row>
    <row r="327">
      <c r="B327" s="34" t="s">
        <v>1884</v>
      </c>
      <c r="C327" s="35" t="s">
        <v>41</v>
      </c>
      <c r="D327" s="34" t="s">
        <v>1768</v>
      </c>
      <c r="E327" s="11" t="s">
        <v>9</v>
      </c>
    </row>
    <row r="328">
      <c r="B328" s="34" t="s">
        <v>1324</v>
      </c>
      <c r="C328" s="35" t="s">
        <v>286</v>
      </c>
      <c r="D328" s="34" t="s">
        <v>1765</v>
      </c>
      <c r="E328" s="11" t="s">
        <v>13</v>
      </c>
    </row>
    <row r="329">
      <c r="B329" s="34" t="s">
        <v>1885</v>
      </c>
      <c r="C329" s="35" t="s">
        <v>1887</v>
      </c>
      <c r="D329" s="34" t="s">
        <v>1768</v>
      </c>
      <c r="E329" s="11" t="s">
        <v>9</v>
      </c>
    </row>
    <row r="330">
      <c r="B330" s="34" t="s">
        <v>1884</v>
      </c>
      <c r="C330" s="35" t="s">
        <v>1888</v>
      </c>
      <c r="D330" s="34" t="s">
        <v>1765</v>
      </c>
      <c r="E330" s="11" t="s">
        <v>13</v>
      </c>
    </row>
    <row r="331">
      <c r="B331" s="28" t="s">
        <v>156</v>
      </c>
      <c r="C331" s="2"/>
      <c r="D331" s="3"/>
      <c r="E331" s="2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34" t="s">
        <v>1889</v>
      </c>
      <c r="C333" s="35" t="s">
        <v>19</v>
      </c>
      <c r="D333" s="34" t="s">
        <v>1890</v>
      </c>
      <c r="E333" s="11" t="s">
        <v>33</v>
      </c>
    </row>
    <row r="334">
      <c r="B334" s="34" t="s">
        <v>1891</v>
      </c>
      <c r="C334" s="35" t="s">
        <v>87</v>
      </c>
      <c r="D334" s="34" t="s">
        <v>1830</v>
      </c>
      <c r="E334" s="11" t="s">
        <v>37</v>
      </c>
      <c r="G334" s="36"/>
    </row>
    <row r="335">
      <c r="B335" s="34" t="s">
        <v>1892</v>
      </c>
      <c r="C335" s="35" t="s">
        <v>68</v>
      </c>
      <c r="D335" s="34" t="s">
        <v>1889</v>
      </c>
      <c r="E335" s="11" t="s">
        <v>33</v>
      </c>
    </row>
    <row r="336">
      <c r="B336" s="34" t="s">
        <v>1891</v>
      </c>
      <c r="C336" s="35" t="s">
        <v>68</v>
      </c>
      <c r="D336" s="34" t="s">
        <v>1890</v>
      </c>
      <c r="E336" s="11" t="s">
        <v>37</v>
      </c>
      <c r="I336" s="36"/>
    </row>
    <row r="337">
      <c r="B337" s="34" t="s">
        <v>1892</v>
      </c>
      <c r="C337" s="35" t="s">
        <v>27</v>
      </c>
      <c r="D337" s="34" t="s">
        <v>1830</v>
      </c>
      <c r="E337" s="11" t="s">
        <v>33</v>
      </c>
    </row>
    <row r="338">
      <c r="B338" s="34" t="s">
        <v>1891</v>
      </c>
      <c r="C338" s="35" t="s">
        <v>17</v>
      </c>
      <c r="D338" s="34" t="s">
        <v>1889</v>
      </c>
      <c r="E338" s="11" t="s">
        <v>37</v>
      </c>
    </row>
    <row r="339">
      <c r="B339" s="34" t="s">
        <v>1892</v>
      </c>
      <c r="C339" s="35" t="s">
        <v>21</v>
      </c>
      <c r="D339" s="34" t="s">
        <v>1890</v>
      </c>
      <c r="E339" s="11" t="s">
        <v>33</v>
      </c>
    </row>
    <row r="340">
      <c r="B340" s="34" t="s">
        <v>1830</v>
      </c>
      <c r="C340" s="35" t="s">
        <v>201</v>
      </c>
      <c r="D340" s="34" t="s">
        <v>1889</v>
      </c>
      <c r="E340" s="11" t="s">
        <v>37</v>
      </c>
    </row>
    <row r="341">
      <c r="B341" s="34" t="s">
        <v>1892</v>
      </c>
      <c r="C341" s="35" t="s">
        <v>81</v>
      </c>
      <c r="D341" s="34" t="s">
        <v>1891</v>
      </c>
      <c r="E341" s="11" t="s">
        <v>33</v>
      </c>
    </row>
    <row r="342">
      <c r="B342" s="34" t="s">
        <v>1830</v>
      </c>
      <c r="C342" s="35" t="s">
        <v>190</v>
      </c>
      <c r="D342" s="34" t="s">
        <v>1890</v>
      </c>
      <c r="E342" s="11" t="s">
        <v>37</v>
      </c>
    </row>
    <row r="343">
      <c r="B343" s="34" t="s">
        <v>1890</v>
      </c>
      <c r="C343" s="35" t="s">
        <v>197</v>
      </c>
      <c r="D343" s="34" t="s">
        <v>1889</v>
      </c>
      <c r="E343" s="11" t="s">
        <v>33</v>
      </c>
    </row>
    <row r="344">
      <c r="B344" s="34" t="s">
        <v>1830</v>
      </c>
      <c r="C344" s="35" t="s">
        <v>201</v>
      </c>
      <c r="D344" s="34" t="s">
        <v>1891</v>
      </c>
      <c r="E344" s="11" t="s">
        <v>37</v>
      </c>
    </row>
    <row r="345">
      <c r="B345" s="34" t="s">
        <v>1889</v>
      </c>
      <c r="C345" s="35" t="s">
        <v>187</v>
      </c>
      <c r="D345" s="34" t="s">
        <v>1892</v>
      </c>
      <c r="E345" s="11" t="s">
        <v>33</v>
      </c>
    </row>
    <row r="346">
      <c r="B346" s="34" t="s">
        <v>1890</v>
      </c>
      <c r="C346" s="35" t="s">
        <v>18</v>
      </c>
      <c r="D346" s="34" t="s">
        <v>1891</v>
      </c>
      <c r="E346" s="11" t="s">
        <v>37</v>
      </c>
    </row>
    <row r="347">
      <c r="B347" s="34" t="s">
        <v>1830</v>
      </c>
      <c r="C347" s="35" t="s">
        <v>260</v>
      </c>
      <c r="D347" s="34" t="s">
        <v>1892</v>
      </c>
      <c r="E347" s="11" t="s">
        <v>33</v>
      </c>
    </row>
    <row r="348">
      <c r="B348" s="34" t="s">
        <v>1889</v>
      </c>
      <c r="C348" s="35" t="s">
        <v>566</v>
      </c>
      <c r="D348" s="34" t="s">
        <v>1891</v>
      </c>
      <c r="E348" s="11" t="s">
        <v>37</v>
      </c>
    </row>
    <row r="349">
      <c r="B349" s="34" t="s">
        <v>1890</v>
      </c>
      <c r="C349" s="35" t="s">
        <v>217</v>
      </c>
      <c r="D349" s="34" t="s">
        <v>1892</v>
      </c>
      <c r="E349" s="11" t="s">
        <v>33</v>
      </c>
    </row>
    <row r="350">
      <c r="B350" s="34" t="s">
        <v>1889</v>
      </c>
      <c r="C350" s="35" t="s">
        <v>11</v>
      </c>
      <c r="D350" s="34" t="s">
        <v>1830</v>
      </c>
      <c r="E350" s="11" t="s">
        <v>37</v>
      </c>
    </row>
    <row r="351">
      <c r="B351" s="34" t="s">
        <v>1891</v>
      </c>
      <c r="C351" s="35" t="s">
        <v>66</v>
      </c>
      <c r="D351" s="34" t="s">
        <v>1892</v>
      </c>
      <c r="E351" s="11" t="s">
        <v>33</v>
      </c>
    </row>
    <row r="352">
      <c r="B352" s="34" t="s">
        <v>1890</v>
      </c>
      <c r="C352" s="35" t="s">
        <v>197</v>
      </c>
      <c r="D352" s="34" t="s">
        <v>1830</v>
      </c>
      <c r="E352" s="11" t="s">
        <v>37</v>
      </c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/>
      <c r="B1" s="1" t="s">
        <v>0</v>
      </c>
      <c r="C1" s="2"/>
      <c r="D1" s="3"/>
      <c r="E1" s="29"/>
    </row>
    <row r="2">
      <c r="A2" s="66"/>
      <c r="B2" s="6" t="s">
        <v>2</v>
      </c>
      <c r="C2" s="6" t="s">
        <v>3</v>
      </c>
      <c r="D2" s="6" t="s">
        <v>4</v>
      </c>
      <c r="E2" s="6" t="s">
        <v>5</v>
      </c>
    </row>
    <row r="3">
      <c r="A3" s="66"/>
      <c r="B3" s="32" t="s">
        <v>1833</v>
      </c>
      <c r="C3" s="35" t="s">
        <v>285</v>
      </c>
      <c r="D3" s="34" t="s">
        <v>1893</v>
      </c>
      <c r="E3" s="11" t="s">
        <v>33</v>
      </c>
    </row>
    <row r="4">
      <c r="A4" s="66"/>
      <c r="B4" s="32" t="s">
        <v>1894</v>
      </c>
      <c r="C4" s="35" t="s">
        <v>16</v>
      </c>
      <c r="D4" s="32" t="s">
        <v>1895</v>
      </c>
      <c r="E4" s="11" t="s">
        <v>37</v>
      </c>
    </row>
    <row r="5">
      <c r="A5" s="66"/>
      <c r="B5" s="34" t="s">
        <v>1896</v>
      </c>
      <c r="C5" s="35" t="s">
        <v>212</v>
      </c>
      <c r="D5" s="32" t="s">
        <v>1833</v>
      </c>
      <c r="E5" s="11" t="s">
        <v>33</v>
      </c>
    </row>
    <row r="6">
      <c r="A6" s="66"/>
      <c r="B6" s="32" t="s">
        <v>1894</v>
      </c>
      <c r="C6" s="35" t="s">
        <v>217</v>
      </c>
      <c r="D6" s="34" t="s">
        <v>1893</v>
      </c>
      <c r="E6" s="11" t="s">
        <v>37</v>
      </c>
    </row>
    <row r="7">
      <c r="A7" s="66"/>
      <c r="B7" s="34" t="s">
        <v>1896</v>
      </c>
      <c r="C7" s="35" t="s">
        <v>87</v>
      </c>
      <c r="D7" s="32" t="s">
        <v>1895</v>
      </c>
      <c r="E7" s="11" t="s">
        <v>33</v>
      </c>
    </row>
    <row r="8">
      <c r="A8" s="66"/>
      <c r="B8" s="32" t="s">
        <v>1894</v>
      </c>
      <c r="C8" s="35" t="s">
        <v>533</v>
      </c>
      <c r="D8" s="32" t="s">
        <v>1833</v>
      </c>
      <c r="E8" s="11" t="s">
        <v>37</v>
      </c>
    </row>
    <row r="9">
      <c r="A9" s="66"/>
      <c r="B9" s="34" t="s">
        <v>1896</v>
      </c>
      <c r="C9" s="35" t="s">
        <v>197</v>
      </c>
      <c r="D9" s="34" t="s">
        <v>1893</v>
      </c>
      <c r="E9" s="11" t="s">
        <v>33</v>
      </c>
    </row>
    <row r="10">
      <c r="A10" s="66"/>
      <c r="B10" s="32" t="s">
        <v>1895</v>
      </c>
      <c r="C10" s="35" t="s">
        <v>20</v>
      </c>
      <c r="D10" s="32" t="s">
        <v>1833</v>
      </c>
      <c r="E10" s="11" t="s">
        <v>37</v>
      </c>
    </row>
    <row r="11">
      <c r="A11" s="66"/>
      <c r="B11" s="34" t="s">
        <v>1896</v>
      </c>
      <c r="C11" s="35" t="s">
        <v>190</v>
      </c>
      <c r="D11" s="32" t="s">
        <v>1894</v>
      </c>
      <c r="E11" s="11" t="s">
        <v>33</v>
      </c>
    </row>
    <row r="12">
      <c r="A12" s="66"/>
      <c r="B12" s="32" t="s">
        <v>1895</v>
      </c>
      <c r="C12" s="35" t="s">
        <v>500</v>
      </c>
      <c r="D12" s="34" t="s">
        <v>1893</v>
      </c>
      <c r="E12" s="11" t="s">
        <v>37</v>
      </c>
    </row>
    <row r="13">
      <c r="A13" s="66"/>
      <c r="B13" s="34" t="s">
        <v>1893</v>
      </c>
      <c r="C13" s="35" t="s">
        <v>66</v>
      </c>
      <c r="D13" s="32" t="s">
        <v>1833</v>
      </c>
      <c r="E13" s="11" t="s">
        <v>33</v>
      </c>
    </row>
    <row r="14">
      <c r="A14" s="66"/>
      <c r="B14" s="32" t="s">
        <v>1895</v>
      </c>
      <c r="C14" s="35" t="s">
        <v>195</v>
      </c>
      <c r="D14" s="32" t="s">
        <v>1894</v>
      </c>
      <c r="E14" s="11" t="s">
        <v>37</v>
      </c>
    </row>
    <row r="15">
      <c r="A15" s="66"/>
      <c r="B15" s="32" t="s">
        <v>1833</v>
      </c>
      <c r="C15" s="35" t="s">
        <v>11</v>
      </c>
      <c r="D15" s="34" t="s">
        <v>1896</v>
      </c>
      <c r="E15" s="11" t="s">
        <v>33</v>
      </c>
    </row>
    <row r="16">
      <c r="A16" s="66"/>
      <c r="B16" s="34" t="s">
        <v>1893</v>
      </c>
      <c r="C16" s="35" t="s">
        <v>190</v>
      </c>
      <c r="D16" s="32" t="s">
        <v>1894</v>
      </c>
      <c r="E16" s="11" t="s">
        <v>37</v>
      </c>
    </row>
    <row r="17">
      <c r="A17" s="66"/>
      <c r="B17" s="32" t="s">
        <v>1895</v>
      </c>
      <c r="C17" s="35" t="s">
        <v>215</v>
      </c>
      <c r="D17" s="34" t="s">
        <v>1896</v>
      </c>
      <c r="E17" s="11" t="s">
        <v>33</v>
      </c>
    </row>
    <row r="18">
      <c r="A18" s="66"/>
      <c r="B18" s="32" t="s">
        <v>1833</v>
      </c>
      <c r="C18" s="35" t="s">
        <v>273</v>
      </c>
      <c r="D18" s="32" t="s">
        <v>1894</v>
      </c>
      <c r="E18" s="11" t="s">
        <v>37</v>
      </c>
    </row>
    <row r="19">
      <c r="A19" s="66"/>
      <c r="B19" s="34" t="s">
        <v>1893</v>
      </c>
      <c r="C19" s="35" t="s">
        <v>1897</v>
      </c>
      <c r="D19" s="34" t="s">
        <v>1896</v>
      </c>
      <c r="E19" s="11" t="s">
        <v>33</v>
      </c>
    </row>
    <row r="20">
      <c r="A20" s="66"/>
      <c r="B20" s="32" t="s">
        <v>1833</v>
      </c>
      <c r="C20" s="35" t="s">
        <v>218</v>
      </c>
      <c r="D20" s="32" t="s">
        <v>1895</v>
      </c>
      <c r="E20" s="11" t="s">
        <v>37</v>
      </c>
    </row>
    <row r="21">
      <c r="A21" s="66"/>
      <c r="B21" s="32" t="s">
        <v>1894</v>
      </c>
      <c r="C21" s="35" t="s">
        <v>7</v>
      </c>
      <c r="D21" s="34" t="s">
        <v>1896</v>
      </c>
      <c r="E21" s="11" t="s">
        <v>33</v>
      </c>
    </row>
    <row r="22">
      <c r="A22" s="66"/>
      <c r="B22" s="34" t="s">
        <v>1893</v>
      </c>
      <c r="C22" s="35" t="s">
        <v>286</v>
      </c>
      <c r="D22" s="32" t="s">
        <v>1895</v>
      </c>
      <c r="E22" s="11" t="s">
        <v>37</v>
      </c>
    </row>
    <row r="23">
      <c r="A23" s="66"/>
      <c r="B23" s="1" t="s">
        <v>1321</v>
      </c>
      <c r="C23" s="2"/>
      <c r="D23" s="3"/>
      <c r="E23" s="48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1254</v>
      </c>
      <c r="C25" s="35" t="s">
        <v>205</v>
      </c>
      <c r="D25" s="32" t="s">
        <v>1714</v>
      </c>
      <c r="E25" s="11" t="s">
        <v>9</v>
      </c>
    </row>
    <row r="26">
      <c r="A26" s="66"/>
      <c r="B26" s="32" t="s">
        <v>1037</v>
      </c>
      <c r="C26" s="35" t="s">
        <v>190</v>
      </c>
      <c r="D26" s="32" t="s">
        <v>1898</v>
      </c>
      <c r="E26" s="11" t="s">
        <v>13</v>
      </c>
    </row>
    <row r="27">
      <c r="A27" s="66"/>
      <c r="B27" s="34" t="s">
        <v>1899</v>
      </c>
      <c r="C27" s="35" t="s">
        <v>64</v>
      </c>
      <c r="D27" s="34" t="s">
        <v>1254</v>
      </c>
      <c r="E27" s="11" t="s">
        <v>9</v>
      </c>
    </row>
    <row r="28">
      <c r="A28" s="66"/>
      <c r="B28" s="32" t="s">
        <v>1037</v>
      </c>
      <c r="C28" s="35" t="s">
        <v>201</v>
      </c>
      <c r="D28" s="32" t="s">
        <v>1714</v>
      </c>
      <c r="E28" s="11" t="s">
        <v>13</v>
      </c>
    </row>
    <row r="29">
      <c r="A29" s="66"/>
      <c r="B29" s="34" t="s">
        <v>1899</v>
      </c>
      <c r="C29" s="35" t="s">
        <v>201</v>
      </c>
      <c r="D29" s="32" t="s">
        <v>1898</v>
      </c>
      <c r="E29" s="11" t="s">
        <v>9</v>
      </c>
    </row>
    <row r="30">
      <c r="A30" s="66"/>
      <c r="B30" s="32" t="s">
        <v>1037</v>
      </c>
      <c r="C30" s="35" t="s">
        <v>218</v>
      </c>
      <c r="D30" s="34" t="s">
        <v>1254</v>
      </c>
      <c r="E30" s="11" t="s">
        <v>13</v>
      </c>
    </row>
    <row r="31">
      <c r="A31" s="66"/>
      <c r="B31" s="34" t="s">
        <v>1899</v>
      </c>
      <c r="C31" s="35" t="s">
        <v>270</v>
      </c>
      <c r="D31" s="32" t="s">
        <v>1714</v>
      </c>
      <c r="E31" s="11" t="s">
        <v>9</v>
      </c>
    </row>
    <row r="32">
      <c r="A32" s="66"/>
      <c r="B32" s="32" t="s">
        <v>1898</v>
      </c>
      <c r="C32" s="35" t="s">
        <v>488</v>
      </c>
      <c r="D32" s="34" t="s">
        <v>1254</v>
      </c>
      <c r="E32" s="11" t="s">
        <v>13</v>
      </c>
    </row>
    <row r="33">
      <c r="A33" s="66"/>
      <c r="B33" s="34" t="s">
        <v>1899</v>
      </c>
      <c r="C33" s="35" t="s">
        <v>28</v>
      </c>
      <c r="D33" s="32" t="s">
        <v>1037</v>
      </c>
      <c r="E33" s="11" t="s">
        <v>9</v>
      </c>
    </row>
    <row r="34">
      <c r="A34" s="66"/>
      <c r="B34" s="32" t="s">
        <v>1898</v>
      </c>
      <c r="C34" s="35" t="s">
        <v>273</v>
      </c>
      <c r="D34" s="32" t="s">
        <v>1714</v>
      </c>
      <c r="E34" s="11" t="s">
        <v>13</v>
      </c>
    </row>
    <row r="35">
      <c r="A35" s="66"/>
      <c r="B35" s="32" t="s">
        <v>1714</v>
      </c>
      <c r="C35" s="35" t="s">
        <v>82</v>
      </c>
      <c r="D35" s="34" t="s">
        <v>1254</v>
      </c>
      <c r="E35" s="11" t="s">
        <v>9</v>
      </c>
    </row>
    <row r="36">
      <c r="A36" s="66"/>
      <c r="B36" s="32" t="s">
        <v>1898</v>
      </c>
      <c r="C36" s="35" t="s">
        <v>25</v>
      </c>
      <c r="D36" s="32" t="s">
        <v>1037</v>
      </c>
      <c r="E36" s="11" t="s">
        <v>13</v>
      </c>
    </row>
    <row r="37">
      <c r="A37" s="66"/>
      <c r="B37" s="34" t="s">
        <v>1254</v>
      </c>
      <c r="C37" s="35" t="s">
        <v>87</v>
      </c>
      <c r="D37" s="34" t="s">
        <v>1899</v>
      </c>
      <c r="E37" s="11" t="s">
        <v>9</v>
      </c>
    </row>
    <row r="38">
      <c r="A38" s="66"/>
      <c r="B38" s="32" t="s">
        <v>1714</v>
      </c>
      <c r="C38" s="35" t="s">
        <v>566</v>
      </c>
      <c r="D38" s="32" t="s">
        <v>1037</v>
      </c>
      <c r="E38" s="11" t="s">
        <v>13</v>
      </c>
    </row>
    <row r="39">
      <c r="A39" s="66"/>
      <c r="B39" s="32" t="s">
        <v>1898</v>
      </c>
      <c r="C39" s="35" t="s">
        <v>55</v>
      </c>
      <c r="D39" s="34" t="s">
        <v>1899</v>
      </c>
      <c r="E39" s="11" t="s">
        <v>9</v>
      </c>
    </row>
    <row r="40">
      <c r="A40" s="66"/>
      <c r="B40" s="34" t="s">
        <v>1254</v>
      </c>
      <c r="C40" s="35" t="s">
        <v>19</v>
      </c>
      <c r="D40" s="32" t="s">
        <v>1037</v>
      </c>
      <c r="E40" s="11" t="s">
        <v>13</v>
      </c>
    </row>
    <row r="41">
      <c r="A41" s="66"/>
      <c r="B41" s="32" t="s">
        <v>1714</v>
      </c>
      <c r="C41" s="35" t="s">
        <v>193</v>
      </c>
      <c r="D41" s="34" t="s">
        <v>1899</v>
      </c>
      <c r="E41" s="11" t="s">
        <v>9</v>
      </c>
    </row>
    <row r="42">
      <c r="A42" s="66"/>
      <c r="B42" s="34" t="s">
        <v>1254</v>
      </c>
      <c r="C42" s="35" t="s">
        <v>20</v>
      </c>
      <c r="D42" s="32" t="s">
        <v>1898</v>
      </c>
      <c r="E42" s="11" t="s">
        <v>13</v>
      </c>
    </row>
    <row r="43">
      <c r="A43" s="66"/>
      <c r="B43" s="32" t="s">
        <v>1037</v>
      </c>
      <c r="C43" s="35" t="s">
        <v>43</v>
      </c>
      <c r="D43" s="34" t="s">
        <v>1899</v>
      </c>
      <c r="E43" s="11" t="s">
        <v>9</v>
      </c>
    </row>
    <row r="44">
      <c r="A44" s="67"/>
      <c r="B44" s="32" t="s">
        <v>1714</v>
      </c>
      <c r="C44" s="35" t="s">
        <v>55</v>
      </c>
      <c r="D44" s="32" t="s">
        <v>1898</v>
      </c>
      <c r="E44" s="11" t="s">
        <v>13</v>
      </c>
    </row>
    <row r="45">
      <c r="B45" s="1" t="s">
        <v>1327</v>
      </c>
      <c r="C45" s="2"/>
      <c r="D45" s="3"/>
      <c r="E45" s="14"/>
      <c r="Q45" s="36" t="s">
        <v>663</v>
      </c>
    </row>
    <row r="46">
      <c r="B46" s="16" t="s">
        <v>2</v>
      </c>
      <c r="C46" s="16" t="s">
        <v>3</v>
      </c>
      <c r="D46" s="16" t="s">
        <v>4</v>
      </c>
      <c r="E46" s="16" t="s">
        <v>5</v>
      </c>
    </row>
    <row r="47">
      <c r="B47" s="32" t="s">
        <v>1783</v>
      </c>
      <c r="C47" s="35" t="s">
        <v>68</v>
      </c>
      <c r="D47" s="32" t="s">
        <v>1652</v>
      </c>
      <c r="E47" s="11" t="s">
        <v>33</v>
      </c>
    </row>
    <row r="48">
      <c r="B48" s="32" t="s">
        <v>1900</v>
      </c>
      <c r="C48" s="35" t="s">
        <v>16</v>
      </c>
      <c r="D48" s="32" t="s">
        <v>1901</v>
      </c>
      <c r="E48" s="11" t="s">
        <v>37</v>
      </c>
    </row>
    <row r="49">
      <c r="B49" s="32" t="s">
        <v>1902</v>
      </c>
      <c r="C49" s="35" t="s">
        <v>81</v>
      </c>
      <c r="D49" s="32" t="s">
        <v>1783</v>
      </c>
      <c r="E49" s="11" t="s">
        <v>33</v>
      </c>
    </row>
    <row r="50">
      <c r="B50" s="32" t="s">
        <v>1900</v>
      </c>
      <c r="C50" s="35" t="s">
        <v>197</v>
      </c>
      <c r="D50" s="32" t="s">
        <v>1652</v>
      </c>
      <c r="E50" s="11" t="s">
        <v>37</v>
      </c>
    </row>
    <row r="51">
      <c r="B51" s="32" t="s">
        <v>1902</v>
      </c>
      <c r="C51" s="35" t="s">
        <v>587</v>
      </c>
      <c r="D51" s="32" t="s">
        <v>1901</v>
      </c>
      <c r="E51" s="11" t="s">
        <v>33</v>
      </c>
    </row>
    <row r="52">
      <c r="B52" s="32" t="s">
        <v>1900</v>
      </c>
      <c r="C52" s="35" t="s">
        <v>187</v>
      </c>
      <c r="D52" s="32" t="s">
        <v>1783</v>
      </c>
      <c r="E52" s="11" t="s">
        <v>37</v>
      </c>
    </row>
    <row r="53">
      <c r="B53" s="32" t="s">
        <v>1902</v>
      </c>
      <c r="C53" s="35" t="s">
        <v>260</v>
      </c>
      <c r="D53" s="32" t="s">
        <v>1652</v>
      </c>
      <c r="E53" s="11" t="s">
        <v>33</v>
      </c>
    </row>
    <row r="54">
      <c r="B54" s="32" t="s">
        <v>1901</v>
      </c>
      <c r="C54" s="35" t="s">
        <v>67</v>
      </c>
      <c r="D54" s="32" t="s">
        <v>1783</v>
      </c>
      <c r="E54" s="11" t="s">
        <v>37</v>
      </c>
    </row>
    <row r="55">
      <c r="B55" s="32" t="s">
        <v>1902</v>
      </c>
      <c r="C55" s="35" t="s">
        <v>41</v>
      </c>
      <c r="D55" s="32" t="s">
        <v>1900</v>
      </c>
      <c r="E55" s="11" t="s">
        <v>33</v>
      </c>
    </row>
    <row r="56">
      <c r="B56" s="32" t="s">
        <v>1901</v>
      </c>
      <c r="C56" s="35" t="s">
        <v>836</v>
      </c>
      <c r="D56" s="32" t="s">
        <v>1652</v>
      </c>
      <c r="E56" s="11" t="s">
        <v>37</v>
      </c>
    </row>
    <row r="57">
      <c r="B57" s="32" t="s">
        <v>1652</v>
      </c>
      <c r="C57" s="35" t="s">
        <v>81</v>
      </c>
      <c r="D57" s="32" t="s">
        <v>1783</v>
      </c>
      <c r="E57" s="11" t="s">
        <v>33</v>
      </c>
    </row>
    <row r="58">
      <c r="B58" s="32" t="s">
        <v>1901</v>
      </c>
      <c r="C58" s="35" t="s">
        <v>87</v>
      </c>
      <c r="D58" s="32" t="s">
        <v>1900</v>
      </c>
      <c r="E58" s="11" t="s">
        <v>37</v>
      </c>
    </row>
    <row r="59">
      <c r="B59" s="32" t="s">
        <v>1783</v>
      </c>
      <c r="C59" s="35" t="s">
        <v>62</v>
      </c>
      <c r="D59" s="32" t="s">
        <v>1902</v>
      </c>
      <c r="E59" s="11" t="s">
        <v>33</v>
      </c>
    </row>
    <row r="60">
      <c r="B60" s="32" t="s">
        <v>1652</v>
      </c>
      <c r="C60" s="35" t="s">
        <v>695</v>
      </c>
      <c r="D60" s="32" t="s">
        <v>1900</v>
      </c>
      <c r="E60" s="11" t="s">
        <v>37</v>
      </c>
    </row>
    <row r="61">
      <c r="B61" s="32" t="s">
        <v>1901</v>
      </c>
      <c r="C61" s="35" t="s">
        <v>285</v>
      </c>
      <c r="D61" s="32" t="s">
        <v>1902</v>
      </c>
      <c r="E61" s="11" t="s">
        <v>33</v>
      </c>
      <c r="H61" s="36"/>
    </row>
    <row r="62">
      <c r="B62" s="32" t="s">
        <v>1783</v>
      </c>
      <c r="C62" s="35" t="s">
        <v>72</v>
      </c>
      <c r="D62" s="32" t="s">
        <v>1900</v>
      </c>
      <c r="E62" s="11" t="s">
        <v>37</v>
      </c>
    </row>
    <row r="63">
      <c r="B63" s="32" t="s">
        <v>1652</v>
      </c>
      <c r="C63" s="35" t="s">
        <v>83</v>
      </c>
      <c r="D63" s="32" t="s">
        <v>1902</v>
      </c>
      <c r="E63" s="11" t="s">
        <v>33</v>
      </c>
    </row>
    <row r="64">
      <c r="B64" s="32" t="s">
        <v>1783</v>
      </c>
      <c r="C64" s="35" t="s">
        <v>201</v>
      </c>
      <c r="D64" s="32" t="s">
        <v>1901</v>
      </c>
      <c r="E64" s="11" t="s">
        <v>37</v>
      </c>
    </row>
    <row r="65">
      <c r="B65" s="32" t="s">
        <v>1900</v>
      </c>
      <c r="C65" s="35" t="s">
        <v>195</v>
      </c>
      <c r="D65" s="32" t="s">
        <v>1902</v>
      </c>
      <c r="E65" s="11" t="s">
        <v>33</v>
      </c>
    </row>
    <row r="66">
      <c r="B66" s="32" t="s">
        <v>1652</v>
      </c>
      <c r="C66" s="35" t="s">
        <v>243</v>
      </c>
      <c r="D66" s="32" t="s">
        <v>1901</v>
      </c>
      <c r="E66" s="11" t="s">
        <v>37</v>
      </c>
    </row>
    <row r="67">
      <c r="B67" s="1" t="s">
        <v>1331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16" t="s">
        <v>5</v>
      </c>
    </row>
    <row r="69">
      <c r="B69" s="32" t="s">
        <v>1903</v>
      </c>
      <c r="C69" s="33" t="s">
        <v>19</v>
      </c>
      <c r="D69" s="32" t="s">
        <v>1846</v>
      </c>
      <c r="E69" s="11" t="s">
        <v>9</v>
      </c>
    </row>
    <row r="70">
      <c r="B70" s="32" t="s">
        <v>1904</v>
      </c>
      <c r="C70" s="33" t="s">
        <v>62</v>
      </c>
      <c r="D70" s="32" t="s">
        <v>1706</v>
      </c>
      <c r="E70" s="11" t="s">
        <v>13</v>
      </c>
    </row>
    <row r="71">
      <c r="B71" s="32" t="s">
        <v>1899</v>
      </c>
      <c r="C71" s="33" t="s">
        <v>17</v>
      </c>
      <c r="D71" s="32" t="s">
        <v>1903</v>
      </c>
      <c r="E71" s="11" t="s">
        <v>9</v>
      </c>
    </row>
    <row r="72">
      <c r="B72" s="32" t="s">
        <v>1904</v>
      </c>
      <c r="C72" s="33" t="s">
        <v>19</v>
      </c>
      <c r="D72" s="32" t="s">
        <v>1846</v>
      </c>
      <c r="E72" s="11" t="s">
        <v>13</v>
      </c>
    </row>
    <row r="73">
      <c r="B73" s="32" t="s">
        <v>1899</v>
      </c>
      <c r="C73" s="33" t="s">
        <v>261</v>
      </c>
      <c r="D73" s="32" t="s">
        <v>1706</v>
      </c>
      <c r="E73" s="11" t="s">
        <v>9</v>
      </c>
    </row>
    <row r="74">
      <c r="B74" s="32" t="s">
        <v>1904</v>
      </c>
      <c r="C74" s="33" t="s">
        <v>87</v>
      </c>
      <c r="D74" s="32" t="s">
        <v>1903</v>
      </c>
      <c r="E74" s="11" t="s">
        <v>13</v>
      </c>
    </row>
    <row r="75">
      <c r="B75" s="32" t="s">
        <v>1899</v>
      </c>
      <c r="C75" s="33" t="s">
        <v>446</v>
      </c>
      <c r="D75" s="32" t="s">
        <v>1846</v>
      </c>
      <c r="E75" s="11" t="s">
        <v>9</v>
      </c>
    </row>
    <row r="76">
      <c r="B76" s="32" t="s">
        <v>1706</v>
      </c>
      <c r="C76" s="33" t="s">
        <v>390</v>
      </c>
      <c r="D76" s="32" t="s">
        <v>1903</v>
      </c>
      <c r="E76" s="11" t="s">
        <v>13</v>
      </c>
    </row>
    <row r="77">
      <c r="B77" s="32" t="s">
        <v>1899</v>
      </c>
      <c r="C77" s="33" t="s">
        <v>55</v>
      </c>
      <c r="D77" s="32" t="s">
        <v>1904</v>
      </c>
      <c r="E77" s="11" t="s">
        <v>9</v>
      </c>
    </row>
    <row r="78">
      <c r="B78" s="32" t="s">
        <v>1706</v>
      </c>
      <c r="C78" s="33" t="s">
        <v>35</v>
      </c>
      <c r="D78" s="32" t="s">
        <v>1846</v>
      </c>
      <c r="E78" s="11" t="s">
        <v>13</v>
      </c>
    </row>
    <row r="79">
      <c r="B79" s="32" t="s">
        <v>1846</v>
      </c>
      <c r="C79" s="33" t="s">
        <v>62</v>
      </c>
      <c r="D79" s="32" t="s">
        <v>1903</v>
      </c>
      <c r="E79" s="11" t="s">
        <v>9</v>
      </c>
    </row>
    <row r="80">
      <c r="B80" s="32" t="s">
        <v>1706</v>
      </c>
      <c r="C80" s="33" t="s">
        <v>201</v>
      </c>
      <c r="D80" s="32" t="s">
        <v>1904</v>
      </c>
      <c r="E80" s="11" t="s">
        <v>13</v>
      </c>
    </row>
    <row r="81">
      <c r="B81" s="32" t="s">
        <v>1903</v>
      </c>
      <c r="C81" s="35" t="s">
        <v>49</v>
      </c>
      <c r="D81" s="32" t="s">
        <v>1899</v>
      </c>
      <c r="E81" s="11" t="s">
        <v>9</v>
      </c>
    </row>
    <row r="82">
      <c r="B82" s="32" t="s">
        <v>1846</v>
      </c>
      <c r="C82" s="35" t="s">
        <v>82</v>
      </c>
      <c r="D82" s="32" t="s">
        <v>1904</v>
      </c>
      <c r="E82" s="11" t="s">
        <v>13</v>
      </c>
    </row>
    <row r="83">
      <c r="B83" s="32" t="s">
        <v>1706</v>
      </c>
      <c r="C83" s="35" t="s">
        <v>20</v>
      </c>
      <c r="D83" s="32" t="s">
        <v>1899</v>
      </c>
      <c r="E83" s="11" t="s">
        <v>9</v>
      </c>
    </row>
    <row r="84">
      <c r="B84" s="32" t="s">
        <v>1903</v>
      </c>
      <c r="C84" s="35" t="s">
        <v>1342</v>
      </c>
      <c r="D84" s="32" t="s">
        <v>1904</v>
      </c>
      <c r="E84" s="11" t="s">
        <v>13</v>
      </c>
    </row>
    <row r="85">
      <c r="B85" s="32" t="s">
        <v>1846</v>
      </c>
      <c r="C85" s="35" t="s">
        <v>69</v>
      </c>
      <c r="D85" s="32" t="s">
        <v>1899</v>
      </c>
      <c r="E85" s="11" t="s">
        <v>9</v>
      </c>
    </row>
    <row r="86">
      <c r="B86" s="32" t="s">
        <v>1903</v>
      </c>
      <c r="C86" s="35" t="s">
        <v>11</v>
      </c>
      <c r="D86" s="32" t="s">
        <v>1706</v>
      </c>
      <c r="E86" s="11" t="s">
        <v>13</v>
      </c>
    </row>
    <row r="87">
      <c r="B87" s="32" t="s">
        <v>1904</v>
      </c>
      <c r="C87" s="35" t="s">
        <v>87</v>
      </c>
      <c r="D87" s="32" t="s">
        <v>1899</v>
      </c>
      <c r="E87" s="11" t="s">
        <v>9</v>
      </c>
    </row>
    <row r="88">
      <c r="B88" s="32" t="s">
        <v>1846</v>
      </c>
      <c r="C88" s="35" t="s">
        <v>239</v>
      </c>
      <c r="D88" s="32" t="s">
        <v>1706</v>
      </c>
      <c r="E88" s="11" t="s">
        <v>13</v>
      </c>
    </row>
    <row r="89">
      <c r="B89" s="1" t="s">
        <v>1659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16" t="s">
        <v>5</v>
      </c>
    </row>
    <row r="91">
      <c r="B91" s="32" t="s">
        <v>1905</v>
      </c>
      <c r="C91" s="35" t="s">
        <v>251</v>
      </c>
      <c r="D91" s="32" t="s">
        <v>1906</v>
      </c>
      <c r="E91" s="11" t="s">
        <v>9</v>
      </c>
    </row>
    <row r="92">
      <c r="B92" s="32" t="s">
        <v>1242</v>
      </c>
      <c r="C92" s="35" t="s">
        <v>260</v>
      </c>
      <c r="D92" s="32" t="s">
        <v>869</v>
      </c>
      <c r="E92" s="11" t="s">
        <v>13</v>
      </c>
    </row>
    <row r="93">
      <c r="B93" s="32" t="s">
        <v>594</v>
      </c>
      <c r="C93" s="35" t="s">
        <v>196</v>
      </c>
      <c r="D93" s="32" t="s">
        <v>1905</v>
      </c>
      <c r="E93" s="11" t="s">
        <v>9</v>
      </c>
    </row>
    <row r="94">
      <c r="B94" s="32" t="s">
        <v>1242</v>
      </c>
      <c r="C94" s="35" t="s">
        <v>87</v>
      </c>
      <c r="D94" s="32" t="s">
        <v>1906</v>
      </c>
      <c r="E94" s="11" t="s">
        <v>13</v>
      </c>
    </row>
    <row r="95">
      <c r="B95" s="32" t="s">
        <v>594</v>
      </c>
      <c r="C95" s="35" t="s">
        <v>31</v>
      </c>
      <c r="D95" s="32" t="s">
        <v>869</v>
      </c>
      <c r="E95" s="11" t="s">
        <v>9</v>
      </c>
    </row>
    <row r="96">
      <c r="B96" s="32" t="s">
        <v>1242</v>
      </c>
      <c r="C96" s="35" t="s">
        <v>81</v>
      </c>
      <c r="D96" s="32" t="s">
        <v>1905</v>
      </c>
      <c r="E96" s="11" t="s">
        <v>13</v>
      </c>
    </row>
    <row r="97">
      <c r="B97" s="32" t="s">
        <v>594</v>
      </c>
      <c r="C97" s="35" t="s">
        <v>43</v>
      </c>
      <c r="D97" s="32" t="s">
        <v>1906</v>
      </c>
      <c r="E97" s="11" t="s">
        <v>9</v>
      </c>
    </row>
    <row r="98">
      <c r="B98" s="32" t="s">
        <v>869</v>
      </c>
      <c r="C98" s="35" t="s">
        <v>194</v>
      </c>
      <c r="D98" s="32" t="s">
        <v>1905</v>
      </c>
      <c r="E98" s="11" t="s">
        <v>13</v>
      </c>
    </row>
    <row r="99">
      <c r="B99" s="32" t="s">
        <v>594</v>
      </c>
      <c r="C99" s="35" t="s">
        <v>378</v>
      </c>
      <c r="D99" s="32" t="s">
        <v>1242</v>
      </c>
      <c r="E99" s="11" t="s">
        <v>9</v>
      </c>
    </row>
    <row r="100">
      <c r="B100" s="32" t="s">
        <v>869</v>
      </c>
      <c r="C100" s="35" t="s">
        <v>31</v>
      </c>
      <c r="D100" s="32" t="s">
        <v>1906</v>
      </c>
      <c r="E100" s="11" t="s">
        <v>13</v>
      </c>
    </row>
    <row r="101">
      <c r="B101" s="32" t="s">
        <v>1906</v>
      </c>
      <c r="C101" s="35" t="s">
        <v>260</v>
      </c>
      <c r="D101" s="32" t="s">
        <v>1905</v>
      </c>
      <c r="E101" s="11" t="s">
        <v>9</v>
      </c>
    </row>
    <row r="102">
      <c r="B102" s="32" t="s">
        <v>869</v>
      </c>
      <c r="C102" s="35" t="s">
        <v>67</v>
      </c>
      <c r="D102" s="32" t="s">
        <v>1242</v>
      </c>
      <c r="E102" s="11" t="s">
        <v>13</v>
      </c>
    </row>
    <row r="103">
      <c r="B103" s="32" t="s">
        <v>1905</v>
      </c>
      <c r="C103" s="35" t="s">
        <v>716</v>
      </c>
      <c r="D103" s="32" t="s">
        <v>594</v>
      </c>
      <c r="E103" s="11" t="s">
        <v>9</v>
      </c>
    </row>
    <row r="104">
      <c r="B104" s="32" t="s">
        <v>1906</v>
      </c>
      <c r="C104" s="35" t="s">
        <v>297</v>
      </c>
      <c r="D104" s="32" t="s">
        <v>1242</v>
      </c>
      <c r="E104" s="11" t="s">
        <v>13</v>
      </c>
    </row>
    <row r="105">
      <c r="B105" s="32" t="s">
        <v>869</v>
      </c>
      <c r="C105" s="35" t="s">
        <v>11</v>
      </c>
      <c r="D105" s="32" t="s">
        <v>594</v>
      </c>
      <c r="E105" s="11" t="s">
        <v>9</v>
      </c>
    </row>
    <row r="106">
      <c r="B106" s="32" t="s">
        <v>1905</v>
      </c>
      <c r="C106" s="35" t="s">
        <v>238</v>
      </c>
      <c r="D106" s="32" t="s">
        <v>1242</v>
      </c>
      <c r="E106" s="11" t="s">
        <v>13</v>
      </c>
    </row>
    <row r="107">
      <c r="B107" s="32" t="s">
        <v>1906</v>
      </c>
      <c r="C107" s="35" t="s">
        <v>81</v>
      </c>
      <c r="D107" s="32" t="s">
        <v>594</v>
      </c>
      <c r="E107" s="11" t="s">
        <v>9</v>
      </c>
    </row>
    <row r="108">
      <c r="B108" s="32" t="s">
        <v>1905</v>
      </c>
      <c r="C108" s="35" t="s">
        <v>16</v>
      </c>
      <c r="D108" s="32" t="s">
        <v>869</v>
      </c>
      <c r="E108" s="11" t="s">
        <v>13</v>
      </c>
    </row>
    <row r="109">
      <c r="B109" s="32" t="s">
        <v>1242</v>
      </c>
      <c r="C109" s="35" t="s">
        <v>355</v>
      </c>
      <c r="D109" s="32" t="s">
        <v>594</v>
      </c>
      <c r="E109" s="11" t="s">
        <v>9</v>
      </c>
    </row>
    <row r="110">
      <c r="B110" s="32" t="s">
        <v>1906</v>
      </c>
      <c r="C110" s="35" t="s">
        <v>11</v>
      </c>
      <c r="D110" s="32" t="s">
        <v>869</v>
      </c>
      <c r="E110" s="11" t="s">
        <v>13</v>
      </c>
    </row>
    <row r="111">
      <c r="B111" s="1" t="s">
        <v>1664</v>
      </c>
      <c r="C111" s="2"/>
      <c r="D111" s="3"/>
      <c r="E111" s="4"/>
    </row>
    <row r="112"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B113" s="32" t="s">
        <v>748</v>
      </c>
      <c r="C113" s="33" t="s">
        <v>196</v>
      </c>
      <c r="D113" s="32" t="s">
        <v>1907</v>
      </c>
      <c r="E113" s="11" t="s">
        <v>9</v>
      </c>
    </row>
    <row r="114">
      <c r="B114" s="32" t="s">
        <v>1665</v>
      </c>
      <c r="C114" s="33" t="s">
        <v>217</v>
      </c>
      <c r="D114" s="32" t="s">
        <v>1908</v>
      </c>
      <c r="E114" s="11" t="s">
        <v>13</v>
      </c>
    </row>
    <row r="115">
      <c r="B115" s="32" t="s">
        <v>1734</v>
      </c>
      <c r="C115" s="33" t="s">
        <v>27</v>
      </c>
      <c r="D115" s="32" t="s">
        <v>748</v>
      </c>
      <c r="E115" s="11" t="s">
        <v>9</v>
      </c>
    </row>
    <row r="116">
      <c r="B116" s="32" t="s">
        <v>1665</v>
      </c>
      <c r="C116" s="33" t="s">
        <v>190</v>
      </c>
      <c r="D116" s="32" t="s">
        <v>1907</v>
      </c>
      <c r="E116" s="24" t="s">
        <v>13</v>
      </c>
    </row>
    <row r="117">
      <c r="B117" s="32" t="s">
        <v>1734</v>
      </c>
      <c r="C117" s="33" t="s">
        <v>218</v>
      </c>
      <c r="D117" s="32" t="s">
        <v>1908</v>
      </c>
      <c r="E117" s="11" t="s">
        <v>9</v>
      </c>
    </row>
    <row r="118">
      <c r="B118" s="32" t="s">
        <v>1665</v>
      </c>
      <c r="C118" s="33" t="s">
        <v>25</v>
      </c>
      <c r="D118" s="32" t="s">
        <v>748</v>
      </c>
      <c r="E118" s="24" t="s">
        <v>13</v>
      </c>
    </row>
    <row r="119">
      <c r="B119" s="32" t="s">
        <v>1734</v>
      </c>
      <c r="C119" s="33" t="s">
        <v>87</v>
      </c>
      <c r="D119" s="32" t="s">
        <v>1907</v>
      </c>
      <c r="E119" s="11" t="s">
        <v>9</v>
      </c>
    </row>
    <row r="120">
      <c r="B120" s="32" t="s">
        <v>1908</v>
      </c>
      <c r="C120" s="33" t="s">
        <v>270</v>
      </c>
      <c r="D120" s="32" t="s">
        <v>748</v>
      </c>
      <c r="E120" s="24" t="s">
        <v>13</v>
      </c>
    </row>
    <row r="121">
      <c r="B121" s="32" t="s">
        <v>1734</v>
      </c>
      <c r="C121" s="33" t="s">
        <v>23</v>
      </c>
      <c r="D121" s="32" t="s">
        <v>1665</v>
      </c>
      <c r="E121" s="11" t="s">
        <v>9</v>
      </c>
    </row>
    <row r="122">
      <c r="B122" s="32" t="s">
        <v>1908</v>
      </c>
      <c r="C122" s="33" t="s">
        <v>270</v>
      </c>
      <c r="D122" s="32" t="s">
        <v>1907</v>
      </c>
      <c r="E122" s="24" t="s">
        <v>13</v>
      </c>
    </row>
    <row r="123">
      <c r="B123" s="32" t="s">
        <v>1907</v>
      </c>
      <c r="C123" s="33" t="s">
        <v>18</v>
      </c>
      <c r="D123" s="32" t="s">
        <v>748</v>
      </c>
      <c r="E123" s="11" t="s">
        <v>9</v>
      </c>
    </row>
    <row r="124">
      <c r="B124" s="32" t="s">
        <v>1908</v>
      </c>
      <c r="C124" s="33" t="s">
        <v>426</v>
      </c>
      <c r="D124" s="32" t="s">
        <v>1665</v>
      </c>
      <c r="E124" s="24" t="s">
        <v>13</v>
      </c>
    </row>
    <row r="125">
      <c r="B125" s="32" t="s">
        <v>748</v>
      </c>
      <c r="C125" s="35" t="s">
        <v>362</v>
      </c>
      <c r="D125" s="32" t="s">
        <v>1734</v>
      </c>
      <c r="E125" s="11" t="s">
        <v>9</v>
      </c>
    </row>
    <row r="126">
      <c r="B126" s="32" t="s">
        <v>1907</v>
      </c>
      <c r="C126" s="35" t="s">
        <v>64</v>
      </c>
      <c r="D126" s="32" t="s">
        <v>1665</v>
      </c>
      <c r="E126" s="24" t="s">
        <v>13</v>
      </c>
    </row>
    <row r="127">
      <c r="B127" s="32" t="s">
        <v>1908</v>
      </c>
      <c r="C127" s="35" t="s">
        <v>196</v>
      </c>
      <c r="D127" s="32" t="s">
        <v>1734</v>
      </c>
      <c r="E127" s="11" t="s">
        <v>9</v>
      </c>
    </row>
    <row r="128">
      <c r="B128" s="32" t="s">
        <v>748</v>
      </c>
      <c r="C128" s="35" t="s">
        <v>82</v>
      </c>
      <c r="D128" s="32" t="s">
        <v>1665</v>
      </c>
      <c r="E128" s="24" t="s">
        <v>13</v>
      </c>
    </row>
    <row r="129">
      <c r="B129" s="32" t="s">
        <v>1907</v>
      </c>
      <c r="C129" s="35" t="s">
        <v>7</v>
      </c>
      <c r="D129" s="32" t="s">
        <v>1734</v>
      </c>
      <c r="E129" s="11" t="s">
        <v>9</v>
      </c>
    </row>
    <row r="130">
      <c r="B130" s="32" t="s">
        <v>748</v>
      </c>
      <c r="C130" s="35" t="s">
        <v>842</v>
      </c>
      <c r="D130" s="32" t="s">
        <v>1908</v>
      </c>
      <c r="E130" s="24" t="s">
        <v>13</v>
      </c>
    </row>
    <row r="131">
      <c r="B131" s="32" t="s">
        <v>1665</v>
      </c>
      <c r="C131" s="35" t="s">
        <v>321</v>
      </c>
      <c r="D131" s="32" t="s">
        <v>1734</v>
      </c>
      <c r="E131" s="11" t="s">
        <v>9</v>
      </c>
    </row>
    <row r="132">
      <c r="B132" s="32" t="s">
        <v>1907</v>
      </c>
      <c r="C132" s="35" t="s">
        <v>260</v>
      </c>
      <c r="D132" s="32" t="s">
        <v>1908</v>
      </c>
      <c r="E132" s="24" t="s">
        <v>13</v>
      </c>
    </row>
    <row r="133">
      <c r="B133" s="1" t="s">
        <v>1413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32" t="s">
        <v>1909</v>
      </c>
      <c r="C135" s="33" t="s">
        <v>328</v>
      </c>
      <c r="D135" s="32" t="s">
        <v>1910</v>
      </c>
      <c r="E135" s="11" t="s">
        <v>33</v>
      </c>
    </row>
    <row r="136">
      <c r="B136" s="32" t="s">
        <v>1911</v>
      </c>
      <c r="C136" s="33" t="s">
        <v>193</v>
      </c>
      <c r="D136" s="32" t="s">
        <v>569</v>
      </c>
      <c r="E136" s="11" t="s">
        <v>37</v>
      </c>
    </row>
    <row r="137">
      <c r="B137" s="32" t="s">
        <v>1912</v>
      </c>
      <c r="C137" s="33" t="s">
        <v>218</v>
      </c>
      <c r="D137" s="32" t="s">
        <v>1909</v>
      </c>
      <c r="E137" s="11" t="s">
        <v>33</v>
      </c>
    </row>
    <row r="138">
      <c r="B138" s="32" t="s">
        <v>1911</v>
      </c>
      <c r="C138" s="33" t="s">
        <v>201</v>
      </c>
      <c r="D138" s="32" t="s">
        <v>1910</v>
      </c>
      <c r="E138" s="11" t="s">
        <v>37</v>
      </c>
    </row>
    <row r="139">
      <c r="B139" s="32" t="s">
        <v>1912</v>
      </c>
      <c r="C139" s="33" t="s">
        <v>190</v>
      </c>
      <c r="D139" s="32" t="s">
        <v>569</v>
      </c>
      <c r="E139" s="11" t="s">
        <v>33</v>
      </c>
    </row>
    <row r="140">
      <c r="B140" s="32" t="s">
        <v>1911</v>
      </c>
      <c r="C140" s="33" t="s">
        <v>43</v>
      </c>
      <c r="D140" s="32" t="s">
        <v>1909</v>
      </c>
      <c r="E140" s="11" t="s">
        <v>37</v>
      </c>
    </row>
    <row r="141">
      <c r="B141" s="32" t="s">
        <v>1912</v>
      </c>
      <c r="C141" s="33" t="s">
        <v>55</v>
      </c>
      <c r="D141" s="32" t="s">
        <v>1910</v>
      </c>
      <c r="E141" s="44" t="str">
        <f>HYPERLINK("https://youtu.be/G3hz68HOdC4?t=2598","channel 3")</f>
        <v>channel 3</v>
      </c>
    </row>
    <row r="142">
      <c r="B142" s="32" t="s">
        <v>569</v>
      </c>
      <c r="C142" s="33" t="s">
        <v>289</v>
      </c>
      <c r="D142" s="32" t="s">
        <v>1909</v>
      </c>
      <c r="E142" s="11" t="s">
        <v>37</v>
      </c>
    </row>
    <row r="143">
      <c r="B143" s="32" t="s">
        <v>1912</v>
      </c>
      <c r="C143" s="33" t="s">
        <v>197</v>
      </c>
      <c r="D143" s="32" t="s">
        <v>1911</v>
      </c>
      <c r="E143" s="11" t="s">
        <v>33</v>
      </c>
    </row>
    <row r="144">
      <c r="B144" s="32" t="s">
        <v>569</v>
      </c>
      <c r="C144" s="33" t="s">
        <v>378</v>
      </c>
      <c r="D144" s="32" t="s">
        <v>1910</v>
      </c>
      <c r="E144" s="11" t="s">
        <v>37</v>
      </c>
    </row>
    <row r="145">
      <c r="B145" s="32" t="s">
        <v>1910</v>
      </c>
      <c r="C145" s="33" t="s">
        <v>282</v>
      </c>
      <c r="D145" s="32" t="s">
        <v>1909</v>
      </c>
      <c r="E145" s="11" t="s">
        <v>33</v>
      </c>
    </row>
    <row r="146">
      <c r="B146" s="32" t="s">
        <v>569</v>
      </c>
      <c r="C146" s="33" t="s">
        <v>195</v>
      </c>
      <c r="D146" s="32" t="s">
        <v>1911</v>
      </c>
      <c r="E146" s="11" t="s">
        <v>37</v>
      </c>
    </row>
    <row r="147">
      <c r="B147" s="32" t="s">
        <v>1909</v>
      </c>
      <c r="C147" s="35" t="s">
        <v>72</v>
      </c>
      <c r="D147" s="32" t="s">
        <v>1912</v>
      </c>
      <c r="E147" s="11" t="s">
        <v>33</v>
      </c>
    </row>
    <row r="148">
      <c r="B148" s="32" t="s">
        <v>1910</v>
      </c>
      <c r="C148" s="35" t="s">
        <v>20</v>
      </c>
      <c r="D148" s="32" t="s">
        <v>1911</v>
      </c>
      <c r="E148" s="11" t="s">
        <v>37</v>
      </c>
    </row>
    <row r="149">
      <c r="B149" s="32" t="s">
        <v>569</v>
      </c>
      <c r="C149" s="35" t="s">
        <v>22</v>
      </c>
      <c r="D149" s="32" t="s">
        <v>1912</v>
      </c>
      <c r="E149" s="11" t="s">
        <v>33</v>
      </c>
    </row>
    <row r="150">
      <c r="B150" s="32" t="s">
        <v>1909</v>
      </c>
      <c r="C150" s="35" t="s">
        <v>22</v>
      </c>
      <c r="D150" s="32" t="s">
        <v>1911</v>
      </c>
      <c r="E150" s="11" t="s">
        <v>37</v>
      </c>
    </row>
    <row r="151">
      <c r="B151" s="32" t="s">
        <v>1910</v>
      </c>
      <c r="C151" s="35" t="s">
        <v>88</v>
      </c>
      <c r="D151" s="32" t="s">
        <v>1912</v>
      </c>
      <c r="E151" s="11" t="s">
        <v>33</v>
      </c>
      <c r="R151" s="36" t="s">
        <v>242</v>
      </c>
    </row>
    <row r="152">
      <c r="B152" s="32" t="s">
        <v>1909</v>
      </c>
      <c r="C152" s="35" t="s">
        <v>67</v>
      </c>
      <c r="D152" s="32" t="s">
        <v>569</v>
      </c>
      <c r="E152" s="11" t="s">
        <v>37</v>
      </c>
    </row>
    <row r="153">
      <c r="B153" s="32" t="s">
        <v>1911</v>
      </c>
      <c r="C153" s="35" t="s">
        <v>190</v>
      </c>
      <c r="D153" s="32" t="s">
        <v>1912</v>
      </c>
      <c r="E153" s="11" t="s">
        <v>33</v>
      </c>
    </row>
    <row r="154">
      <c r="B154" s="32" t="s">
        <v>1910</v>
      </c>
      <c r="C154" s="35" t="s">
        <v>22</v>
      </c>
      <c r="D154" s="32" t="s">
        <v>569</v>
      </c>
      <c r="E154" s="11" t="s">
        <v>37</v>
      </c>
    </row>
    <row r="155">
      <c r="B155" s="1" t="s">
        <v>1419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B157" s="32" t="s">
        <v>1798</v>
      </c>
      <c r="C157" s="35" t="s">
        <v>542</v>
      </c>
      <c r="D157" s="32" t="s">
        <v>1913</v>
      </c>
      <c r="E157" s="11" t="s">
        <v>9</v>
      </c>
    </row>
    <row r="158">
      <c r="B158" s="32" t="s">
        <v>1914</v>
      </c>
      <c r="C158" s="35" t="s">
        <v>289</v>
      </c>
      <c r="D158" s="32" t="s">
        <v>573</v>
      </c>
      <c r="E158" s="11" t="s">
        <v>13</v>
      </c>
    </row>
    <row r="159">
      <c r="B159" s="32" t="s">
        <v>576</v>
      </c>
      <c r="C159" s="35" t="s">
        <v>19</v>
      </c>
      <c r="D159" s="32" t="s">
        <v>1798</v>
      </c>
      <c r="E159" s="11" t="s">
        <v>9</v>
      </c>
    </row>
    <row r="160">
      <c r="B160" s="32" t="s">
        <v>1914</v>
      </c>
      <c r="C160" s="35" t="s">
        <v>196</v>
      </c>
      <c r="D160" s="32" t="s">
        <v>1913</v>
      </c>
      <c r="E160" s="11" t="s">
        <v>13</v>
      </c>
    </row>
    <row r="161">
      <c r="B161" s="32" t="s">
        <v>576</v>
      </c>
      <c r="C161" s="35" t="s">
        <v>285</v>
      </c>
      <c r="D161" s="32" t="s">
        <v>573</v>
      </c>
      <c r="E161" s="11" t="s">
        <v>9</v>
      </c>
    </row>
    <row r="162">
      <c r="B162" s="32" t="s">
        <v>1914</v>
      </c>
      <c r="C162" s="35" t="s">
        <v>25</v>
      </c>
      <c r="D162" s="32" t="s">
        <v>1798</v>
      </c>
      <c r="E162" s="11" t="s">
        <v>13</v>
      </c>
    </row>
    <row r="163">
      <c r="B163" s="32" t="s">
        <v>576</v>
      </c>
      <c r="C163" s="35" t="s">
        <v>260</v>
      </c>
      <c r="D163" s="32" t="s">
        <v>1913</v>
      </c>
      <c r="E163" s="11" t="s">
        <v>9</v>
      </c>
    </row>
    <row r="164">
      <c r="B164" s="32" t="s">
        <v>573</v>
      </c>
      <c r="C164" s="35" t="s">
        <v>283</v>
      </c>
      <c r="D164" s="32" t="s">
        <v>1798</v>
      </c>
      <c r="E164" s="11" t="s">
        <v>13</v>
      </c>
    </row>
    <row r="165">
      <c r="B165" s="32" t="s">
        <v>576</v>
      </c>
      <c r="C165" s="35" t="s">
        <v>38</v>
      </c>
      <c r="D165" s="32" t="s">
        <v>1914</v>
      </c>
      <c r="E165" s="11" t="s">
        <v>9</v>
      </c>
    </row>
    <row r="166">
      <c r="B166" s="32" t="s">
        <v>573</v>
      </c>
      <c r="C166" s="35" t="s">
        <v>16</v>
      </c>
      <c r="D166" s="32" t="s">
        <v>1913</v>
      </c>
      <c r="E166" s="11" t="s">
        <v>13</v>
      </c>
    </row>
    <row r="167">
      <c r="B167" s="32" t="s">
        <v>1913</v>
      </c>
      <c r="C167" s="35" t="s">
        <v>64</v>
      </c>
      <c r="D167" s="32" t="s">
        <v>1798</v>
      </c>
      <c r="E167" s="11" t="s">
        <v>9</v>
      </c>
    </row>
    <row r="168">
      <c r="B168" s="32" t="s">
        <v>573</v>
      </c>
      <c r="C168" s="35" t="s">
        <v>195</v>
      </c>
      <c r="D168" s="32" t="s">
        <v>1914</v>
      </c>
      <c r="E168" s="11" t="s">
        <v>13</v>
      </c>
    </row>
    <row r="169">
      <c r="B169" s="32" t="s">
        <v>1798</v>
      </c>
      <c r="C169" s="35" t="s">
        <v>21</v>
      </c>
      <c r="D169" s="32" t="s">
        <v>576</v>
      </c>
      <c r="E169" s="11" t="s">
        <v>9</v>
      </c>
    </row>
    <row r="170">
      <c r="B170" s="32" t="s">
        <v>1913</v>
      </c>
      <c r="C170" s="35" t="s">
        <v>196</v>
      </c>
      <c r="D170" s="32" t="s">
        <v>1914</v>
      </c>
      <c r="E170" s="11" t="s">
        <v>13</v>
      </c>
    </row>
    <row r="171">
      <c r="B171" s="32" t="s">
        <v>573</v>
      </c>
      <c r="C171" s="35" t="s">
        <v>282</v>
      </c>
      <c r="D171" s="32" t="s">
        <v>576</v>
      </c>
      <c r="E171" s="11" t="s">
        <v>9</v>
      </c>
    </row>
    <row r="172">
      <c r="B172" s="32" t="s">
        <v>1798</v>
      </c>
      <c r="C172" s="35" t="s">
        <v>16</v>
      </c>
      <c r="D172" s="32" t="s">
        <v>1914</v>
      </c>
      <c r="E172" s="11" t="s">
        <v>13</v>
      </c>
    </row>
    <row r="173">
      <c r="B173" s="32" t="s">
        <v>1913</v>
      </c>
      <c r="C173" s="35" t="s">
        <v>11</v>
      </c>
      <c r="D173" s="32" t="s">
        <v>576</v>
      </c>
      <c r="E173" s="11" t="s">
        <v>9</v>
      </c>
    </row>
    <row r="174">
      <c r="B174" s="32" t="s">
        <v>1798</v>
      </c>
      <c r="C174" s="35" t="s">
        <v>7</v>
      </c>
      <c r="D174" s="32" t="s">
        <v>573</v>
      </c>
      <c r="E174" s="11" t="s">
        <v>13</v>
      </c>
    </row>
    <row r="175">
      <c r="B175" s="32" t="s">
        <v>1914</v>
      </c>
      <c r="C175" s="35" t="s">
        <v>412</v>
      </c>
      <c r="D175" s="32" t="s">
        <v>576</v>
      </c>
      <c r="E175" s="11" t="s">
        <v>9</v>
      </c>
    </row>
    <row r="176">
      <c r="B176" s="32" t="s">
        <v>1913</v>
      </c>
      <c r="C176" s="35" t="s">
        <v>22</v>
      </c>
      <c r="D176" s="32" t="s">
        <v>573</v>
      </c>
      <c r="E176" s="11" t="s">
        <v>13</v>
      </c>
    </row>
    <row r="177">
      <c r="B177" s="1" t="s">
        <v>112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B179" s="32" t="s">
        <v>1915</v>
      </c>
      <c r="C179" s="33" t="s">
        <v>22</v>
      </c>
      <c r="D179" s="32" t="s">
        <v>1916</v>
      </c>
      <c r="E179" s="11" t="s">
        <v>33</v>
      </c>
    </row>
    <row r="180">
      <c r="B180" s="32" t="s">
        <v>1917</v>
      </c>
      <c r="C180" s="33" t="s">
        <v>195</v>
      </c>
      <c r="D180" s="32" t="s">
        <v>1801</v>
      </c>
      <c r="E180" s="11" t="s">
        <v>37</v>
      </c>
    </row>
    <row r="181">
      <c r="B181" s="32" t="s">
        <v>1918</v>
      </c>
      <c r="C181" s="33" t="s">
        <v>11</v>
      </c>
      <c r="D181" s="32" t="s">
        <v>1915</v>
      </c>
      <c r="E181" s="11" t="s">
        <v>33</v>
      </c>
    </row>
    <row r="182">
      <c r="B182" s="32" t="s">
        <v>1917</v>
      </c>
      <c r="C182" s="33" t="s">
        <v>282</v>
      </c>
      <c r="D182" s="32" t="s">
        <v>1916</v>
      </c>
      <c r="E182" s="11" t="s">
        <v>37</v>
      </c>
    </row>
    <row r="183">
      <c r="B183" s="32" t="s">
        <v>1918</v>
      </c>
      <c r="C183" s="33" t="s">
        <v>19</v>
      </c>
      <c r="D183" s="32" t="s">
        <v>1801</v>
      </c>
      <c r="E183" s="11" t="s">
        <v>33</v>
      </c>
    </row>
    <row r="184">
      <c r="B184" s="32" t="s">
        <v>1917</v>
      </c>
      <c r="C184" s="33" t="s">
        <v>312</v>
      </c>
      <c r="D184" s="32" t="s">
        <v>1915</v>
      </c>
      <c r="E184" s="11" t="s">
        <v>37</v>
      </c>
    </row>
    <row r="185">
      <c r="B185" s="32" t="s">
        <v>1918</v>
      </c>
      <c r="C185" s="33" t="s">
        <v>718</v>
      </c>
      <c r="D185" s="32" t="s">
        <v>1916</v>
      </c>
      <c r="E185" s="11" t="s">
        <v>33</v>
      </c>
    </row>
    <row r="186">
      <c r="B186" s="32" t="s">
        <v>1801</v>
      </c>
      <c r="C186" s="33" t="s">
        <v>66</v>
      </c>
      <c r="D186" s="32" t="s">
        <v>1915</v>
      </c>
      <c r="E186" s="11" t="s">
        <v>37</v>
      </c>
    </row>
    <row r="187">
      <c r="B187" s="32" t="s">
        <v>1918</v>
      </c>
      <c r="C187" s="33" t="s">
        <v>286</v>
      </c>
      <c r="D187" s="8" t="s">
        <v>1917</v>
      </c>
      <c r="E187" s="11" t="s">
        <v>33</v>
      </c>
    </row>
    <row r="188">
      <c r="B188" s="32" t="s">
        <v>1801</v>
      </c>
      <c r="C188" s="33" t="s">
        <v>45</v>
      </c>
      <c r="D188" s="32" t="s">
        <v>1916</v>
      </c>
      <c r="E188" s="11" t="s">
        <v>37</v>
      </c>
    </row>
    <row r="189">
      <c r="B189" s="32" t="s">
        <v>1916</v>
      </c>
      <c r="C189" s="33" t="s">
        <v>329</v>
      </c>
      <c r="D189" s="32" t="s">
        <v>1915</v>
      </c>
      <c r="E189" s="11" t="s">
        <v>33</v>
      </c>
    </row>
    <row r="190">
      <c r="B190" s="32" t="s">
        <v>1801</v>
      </c>
      <c r="C190" s="33" t="s">
        <v>68</v>
      </c>
      <c r="D190" s="32" t="s">
        <v>1917</v>
      </c>
      <c r="E190" s="11" t="s">
        <v>37</v>
      </c>
    </row>
    <row r="191">
      <c r="B191" s="32" t="s">
        <v>1915</v>
      </c>
      <c r="C191" s="35" t="s">
        <v>536</v>
      </c>
      <c r="D191" s="32" t="s">
        <v>1918</v>
      </c>
      <c r="E191" s="11" t="s">
        <v>33</v>
      </c>
    </row>
    <row r="192">
      <c r="B192" s="32" t="s">
        <v>1916</v>
      </c>
      <c r="C192" s="35" t="s">
        <v>416</v>
      </c>
      <c r="D192" s="32" t="s">
        <v>1917</v>
      </c>
      <c r="E192" s="11" t="s">
        <v>37</v>
      </c>
    </row>
    <row r="193">
      <c r="B193" s="32" t="s">
        <v>1801</v>
      </c>
      <c r="C193" s="35" t="s">
        <v>1831</v>
      </c>
      <c r="D193" s="32" t="s">
        <v>1918</v>
      </c>
      <c r="E193" s="11" t="s">
        <v>33</v>
      </c>
    </row>
    <row r="194">
      <c r="B194" s="32" t="s">
        <v>1915</v>
      </c>
      <c r="C194" s="35" t="s">
        <v>587</v>
      </c>
      <c r="D194" s="32" t="s">
        <v>1917</v>
      </c>
      <c r="E194" s="11" t="s">
        <v>37</v>
      </c>
    </row>
    <row r="195">
      <c r="B195" s="32" t="s">
        <v>1916</v>
      </c>
      <c r="C195" s="35" t="s">
        <v>71</v>
      </c>
      <c r="D195" s="32" t="s">
        <v>1918</v>
      </c>
      <c r="E195" s="11" t="s">
        <v>33</v>
      </c>
    </row>
    <row r="196">
      <c r="B196" s="32" t="s">
        <v>1915</v>
      </c>
      <c r="C196" s="35" t="s">
        <v>726</v>
      </c>
      <c r="D196" s="32" t="s">
        <v>1801</v>
      </c>
      <c r="E196" s="11" t="s">
        <v>37</v>
      </c>
    </row>
    <row r="197">
      <c r="B197" s="32" t="s">
        <v>1917</v>
      </c>
      <c r="C197" s="35" t="s">
        <v>536</v>
      </c>
      <c r="D197" s="32" t="s">
        <v>1918</v>
      </c>
      <c r="E197" s="11" t="s">
        <v>33</v>
      </c>
    </row>
    <row r="198">
      <c r="B198" s="32" t="s">
        <v>1916</v>
      </c>
      <c r="C198" s="35" t="s">
        <v>19</v>
      </c>
      <c r="D198" s="32" t="s">
        <v>1801</v>
      </c>
      <c r="E198" s="11" t="s">
        <v>37</v>
      </c>
    </row>
    <row r="199">
      <c r="B199" s="1" t="s">
        <v>1429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B201" s="32" t="s">
        <v>515</v>
      </c>
      <c r="C201" s="35" t="s">
        <v>21</v>
      </c>
      <c r="D201" s="32" t="s">
        <v>1919</v>
      </c>
      <c r="E201" s="11" t="s">
        <v>33</v>
      </c>
    </row>
    <row r="202">
      <c r="B202" s="32" t="s">
        <v>1867</v>
      </c>
      <c r="C202" s="35" t="s">
        <v>17</v>
      </c>
      <c r="D202" s="32" t="s">
        <v>1920</v>
      </c>
      <c r="E202" s="11" t="s">
        <v>37</v>
      </c>
    </row>
    <row r="203">
      <c r="B203" s="32" t="s">
        <v>1749</v>
      </c>
      <c r="C203" s="35" t="s">
        <v>26</v>
      </c>
      <c r="D203" s="32" t="s">
        <v>515</v>
      </c>
      <c r="E203" s="11" t="s">
        <v>33</v>
      </c>
    </row>
    <row r="204">
      <c r="B204" s="32" t="s">
        <v>1867</v>
      </c>
      <c r="C204" s="35" t="s">
        <v>55</v>
      </c>
      <c r="D204" s="32" t="s">
        <v>1919</v>
      </c>
      <c r="E204" s="11" t="s">
        <v>37</v>
      </c>
    </row>
    <row r="205">
      <c r="B205" s="32" t="s">
        <v>1749</v>
      </c>
      <c r="C205" s="35" t="s">
        <v>87</v>
      </c>
      <c r="D205" s="32" t="s">
        <v>1920</v>
      </c>
      <c r="E205" s="11" t="s">
        <v>33</v>
      </c>
    </row>
    <row r="206">
      <c r="B206" s="32" t="s">
        <v>1867</v>
      </c>
      <c r="C206" s="35" t="s">
        <v>82</v>
      </c>
      <c r="D206" s="32" t="s">
        <v>515</v>
      </c>
      <c r="E206" s="11" t="s">
        <v>37</v>
      </c>
    </row>
    <row r="207">
      <c r="B207" s="32" t="s">
        <v>1749</v>
      </c>
      <c r="C207" s="35" t="s">
        <v>23</v>
      </c>
      <c r="D207" s="32" t="s">
        <v>1919</v>
      </c>
      <c r="E207" s="11" t="s">
        <v>33</v>
      </c>
    </row>
    <row r="208">
      <c r="B208" s="32" t="s">
        <v>1920</v>
      </c>
      <c r="C208" s="35" t="s">
        <v>86</v>
      </c>
      <c r="D208" s="32" t="s">
        <v>515</v>
      </c>
      <c r="E208" s="11" t="s">
        <v>37</v>
      </c>
    </row>
    <row r="209">
      <c r="B209" s="32" t="s">
        <v>1749</v>
      </c>
      <c r="C209" s="35" t="s">
        <v>21</v>
      </c>
      <c r="D209" s="32" t="s">
        <v>1867</v>
      </c>
      <c r="E209" s="11" t="s">
        <v>33</v>
      </c>
    </row>
    <row r="210">
      <c r="B210" s="32" t="s">
        <v>1920</v>
      </c>
      <c r="C210" s="35" t="s">
        <v>217</v>
      </c>
      <c r="D210" s="32" t="s">
        <v>1919</v>
      </c>
      <c r="E210" s="11" t="s">
        <v>37</v>
      </c>
    </row>
    <row r="211">
      <c r="B211" s="32" t="s">
        <v>1919</v>
      </c>
      <c r="C211" s="35" t="s">
        <v>81</v>
      </c>
      <c r="D211" s="32" t="s">
        <v>515</v>
      </c>
      <c r="E211" s="11" t="s">
        <v>33</v>
      </c>
    </row>
    <row r="212">
      <c r="B212" s="32" t="s">
        <v>1920</v>
      </c>
      <c r="C212" s="35" t="s">
        <v>20</v>
      </c>
      <c r="D212" s="32" t="s">
        <v>1867</v>
      </c>
      <c r="E212" s="11" t="s">
        <v>37</v>
      </c>
    </row>
    <row r="213">
      <c r="B213" s="32" t="s">
        <v>515</v>
      </c>
      <c r="C213" s="35" t="s">
        <v>693</v>
      </c>
      <c r="D213" s="32" t="s">
        <v>1749</v>
      </c>
      <c r="E213" s="11" t="s">
        <v>33</v>
      </c>
    </row>
    <row r="214">
      <c r="B214" s="32" t="s">
        <v>1919</v>
      </c>
      <c r="C214" s="35" t="s">
        <v>193</v>
      </c>
      <c r="D214" s="32" t="s">
        <v>1867</v>
      </c>
      <c r="E214" s="11" t="s">
        <v>37</v>
      </c>
    </row>
    <row r="215">
      <c r="B215" s="32" t="s">
        <v>1920</v>
      </c>
      <c r="C215" s="35" t="s">
        <v>66</v>
      </c>
      <c r="D215" s="32" t="s">
        <v>1749</v>
      </c>
      <c r="E215" s="11" t="s">
        <v>33</v>
      </c>
    </row>
    <row r="216">
      <c r="B216" s="32" t="s">
        <v>515</v>
      </c>
      <c r="C216" s="35" t="s">
        <v>41</v>
      </c>
      <c r="D216" s="32" t="s">
        <v>1867</v>
      </c>
      <c r="E216" s="11" t="s">
        <v>37</v>
      </c>
    </row>
    <row r="217">
      <c r="B217" s="32" t="s">
        <v>1919</v>
      </c>
      <c r="C217" s="35" t="s">
        <v>35</v>
      </c>
      <c r="D217" s="32" t="s">
        <v>1749</v>
      </c>
      <c r="E217" s="11" t="s">
        <v>33</v>
      </c>
    </row>
    <row r="218">
      <c r="B218" s="32" t="s">
        <v>515</v>
      </c>
      <c r="C218" s="35" t="s">
        <v>953</v>
      </c>
      <c r="D218" s="32" t="s">
        <v>1920</v>
      </c>
      <c r="E218" s="11" t="s">
        <v>37</v>
      </c>
    </row>
    <row r="219">
      <c r="B219" s="32" t="s">
        <v>1867</v>
      </c>
      <c r="C219" s="35" t="s">
        <v>278</v>
      </c>
      <c r="D219" s="32" t="s">
        <v>1749</v>
      </c>
      <c r="E219" s="11" t="s">
        <v>33</v>
      </c>
    </row>
    <row r="220">
      <c r="B220" s="32" t="s">
        <v>1919</v>
      </c>
      <c r="C220" s="35" t="s">
        <v>320</v>
      </c>
      <c r="D220" s="32" t="s">
        <v>1920</v>
      </c>
      <c r="E220" s="11" t="s">
        <v>37</v>
      </c>
    </row>
    <row r="221">
      <c r="B221" s="28" t="s">
        <v>1685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34" t="s">
        <v>1921</v>
      </c>
      <c r="C223" s="33" t="s">
        <v>362</v>
      </c>
      <c r="D223" s="34" t="s">
        <v>910</v>
      </c>
      <c r="E223" s="11" t="s">
        <v>9</v>
      </c>
    </row>
    <row r="224">
      <c r="B224" s="34" t="s">
        <v>1922</v>
      </c>
      <c r="C224" s="33" t="s">
        <v>217</v>
      </c>
      <c r="D224" s="34" t="s">
        <v>1870</v>
      </c>
      <c r="E224" s="11" t="s">
        <v>13</v>
      </c>
    </row>
    <row r="225">
      <c r="B225" s="34" t="s">
        <v>1923</v>
      </c>
      <c r="C225" s="33" t="s">
        <v>239</v>
      </c>
      <c r="D225" s="34" t="s">
        <v>1921</v>
      </c>
      <c r="E225" s="11" t="s">
        <v>9</v>
      </c>
    </row>
    <row r="226">
      <c r="B226" s="34" t="s">
        <v>1922</v>
      </c>
      <c r="C226" s="33" t="s">
        <v>190</v>
      </c>
      <c r="D226" s="34" t="s">
        <v>910</v>
      </c>
      <c r="E226" s="11" t="s">
        <v>13</v>
      </c>
    </row>
    <row r="227">
      <c r="B227" s="34" t="s">
        <v>1923</v>
      </c>
      <c r="C227" s="33" t="s">
        <v>28</v>
      </c>
      <c r="D227" s="34" t="s">
        <v>1870</v>
      </c>
      <c r="E227" s="11" t="s">
        <v>9</v>
      </c>
    </row>
    <row r="228">
      <c r="B228" s="34" t="s">
        <v>1922</v>
      </c>
      <c r="C228" s="33" t="s">
        <v>55</v>
      </c>
      <c r="D228" s="34" t="s">
        <v>1921</v>
      </c>
      <c r="E228" s="11" t="s">
        <v>13</v>
      </c>
    </row>
    <row r="229">
      <c r="B229" s="34" t="s">
        <v>1923</v>
      </c>
      <c r="C229" s="33" t="s">
        <v>285</v>
      </c>
      <c r="D229" s="34" t="s">
        <v>910</v>
      </c>
      <c r="E229" s="11" t="s">
        <v>9</v>
      </c>
    </row>
    <row r="230">
      <c r="B230" s="34" t="s">
        <v>1870</v>
      </c>
      <c r="C230" s="33" t="s">
        <v>71</v>
      </c>
      <c r="D230" s="34" t="s">
        <v>1921</v>
      </c>
      <c r="E230" s="11" t="s">
        <v>13</v>
      </c>
    </row>
    <row r="231">
      <c r="B231" s="34" t="s">
        <v>1923</v>
      </c>
      <c r="C231" s="33" t="s">
        <v>302</v>
      </c>
      <c r="D231" s="34" t="s">
        <v>1922</v>
      </c>
      <c r="E231" s="11" t="s">
        <v>9</v>
      </c>
    </row>
    <row r="232">
      <c r="B232" s="34" t="s">
        <v>1870</v>
      </c>
      <c r="C232" s="33" t="s">
        <v>47</v>
      </c>
      <c r="D232" s="34" t="s">
        <v>910</v>
      </c>
      <c r="E232" s="11" t="s">
        <v>13</v>
      </c>
    </row>
    <row r="233">
      <c r="B233" s="34" t="s">
        <v>910</v>
      </c>
      <c r="C233" s="33" t="s">
        <v>194</v>
      </c>
      <c r="D233" s="34" t="s">
        <v>1921</v>
      </c>
      <c r="E233" s="11" t="s">
        <v>9</v>
      </c>
    </row>
    <row r="234">
      <c r="B234" s="34" t="s">
        <v>1870</v>
      </c>
      <c r="C234" s="33" t="s">
        <v>218</v>
      </c>
      <c r="D234" s="34" t="s">
        <v>1922</v>
      </c>
      <c r="E234" s="11" t="s">
        <v>13</v>
      </c>
    </row>
    <row r="235">
      <c r="B235" s="34" t="s">
        <v>1921</v>
      </c>
      <c r="C235" s="35" t="s">
        <v>21</v>
      </c>
      <c r="D235" s="34" t="s">
        <v>1923</v>
      </c>
      <c r="E235" s="11" t="s">
        <v>9</v>
      </c>
    </row>
    <row r="236">
      <c r="B236" s="34" t="s">
        <v>910</v>
      </c>
      <c r="C236" s="35" t="s">
        <v>446</v>
      </c>
      <c r="D236" s="34" t="s">
        <v>1922</v>
      </c>
      <c r="E236" s="11" t="s">
        <v>13</v>
      </c>
    </row>
    <row r="237">
      <c r="B237" s="34" t="s">
        <v>1870</v>
      </c>
      <c r="C237" s="35" t="s">
        <v>190</v>
      </c>
      <c r="D237" s="34" t="s">
        <v>1923</v>
      </c>
      <c r="E237" s="11" t="s">
        <v>9</v>
      </c>
    </row>
    <row r="238">
      <c r="B238" s="34" t="s">
        <v>1921</v>
      </c>
      <c r="C238" s="35" t="s">
        <v>270</v>
      </c>
      <c r="D238" s="34" t="s">
        <v>1922</v>
      </c>
      <c r="E238" s="11" t="s">
        <v>13</v>
      </c>
    </row>
    <row r="239">
      <c r="B239" s="34" t="s">
        <v>910</v>
      </c>
      <c r="C239" s="35" t="s">
        <v>81</v>
      </c>
      <c r="D239" s="34" t="s">
        <v>1923</v>
      </c>
      <c r="E239" s="11" t="s">
        <v>9</v>
      </c>
    </row>
    <row r="240">
      <c r="B240" s="34" t="s">
        <v>1921</v>
      </c>
      <c r="C240" s="35" t="s">
        <v>260</v>
      </c>
      <c r="D240" s="34" t="s">
        <v>1870</v>
      </c>
      <c r="E240" s="11" t="s">
        <v>13</v>
      </c>
    </row>
    <row r="241">
      <c r="B241" s="34" t="s">
        <v>1922</v>
      </c>
      <c r="C241" s="35" t="s">
        <v>269</v>
      </c>
      <c r="D241" s="34" t="s">
        <v>1923</v>
      </c>
      <c r="E241" s="11" t="s">
        <v>9</v>
      </c>
    </row>
    <row r="242">
      <c r="B242" s="34" t="s">
        <v>910</v>
      </c>
      <c r="C242" s="35" t="s">
        <v>197</v>
      </c>
      <c r="D242" s="34" t="s">
        <v>1870</v>
      </c>
      <c r="E242" s="11" t="s">
        <v>13</v>
      </c>
    </row>
    <row r="243">
      <c r="B243" s="28" t="s">
        <v>1441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34" t="s">
        <v>1815</v>
      </c>
      <c r="C245" s="35" t="s">
        <v>687</v>
      </c>
      <c r="D245" s="34" t="s">
        <v>288</v>
      </c>
      <c r="E245" s="11" t="s">
        <v>9</v>
      </c>
    </row>
    <row r="246">
      <c r="B246" s="34" t="s">
        <v>1924</v>
      </c>
      <c r="C246" s="35" t="s">
        <v>270</v>
      </c>
      <c r="D246" s="34" t="s">
        <v>1925</v>
      </c>
      <c r="E246" s="11" t="s">
        <v>13</v>
      </c>
    </row>
    <row r="247">
      <c r="B247" s="34" t="s">
        <v>1755</v>
      </c>
      <c r="C247" s="35" t="s">
        <v>212</v>
      </c>
      <c r="D247" s="34" t="s">
        <v>1815</v>
      </c>
      <c r="E247" s="11" t="s">
        <v>9</v>
      </c>
    </row>
    <row r="248">
      <c r="B248" s="34" t="s">
        <v>1924</v>
      </c>
      <c r="C248" s="35" t="s">
        <v>239</v>
      </c>
      <c r="D248" s="34" t="s">
        <v>288</v>
      </c>
      <c r="E248" s="11" t="s">
        <v>13</v>
      </c>
    </row>
    <row r="249">
      <c r="B249" s="34" t="s">
        <v>1755</v>
      </c>
      <c r="C249" s="35" t="s">
        <v>259</v>
      </c>
      <c r="D249" s="34" t="s">
        <v>1925</v>
      </c>
      <c r="E249" s="11" t="s">
        <v>9</v>
      </c>
    </row>
    <row r="250">
      <c r="B250" s="34" t="s">
        <v>1924</v>
      </c>
      <c r="C250" s="35" t="s">
        <v>58</v>
      </c>
      <c r="D250" s="34" t="s">
        <v>1815</v>
      </c>
      <c r="E250" s="11" t="s">
        <v>13</v>
      </c>
    </row>
    <row r="251">
      <c r="B251" s="34" t="s">
        <v>1755</v>
      </c>
      <c r="C251" s="35" t="s">
        <v>1364</v>
      </c>
      <c r="D251" s="34" t="s">
        <v>288</v>
      </c>
      <c r="E251" s="11" t="s">
        <v>9</v>
      </c>
    </row>
    <row r="252">
      <c r="B252" s="34" t="s">
        <v>1925</v>
      </c>
      <c r="C252" s="35" t="s">
        <v>212</v>
      </c>
      <c r="D252" s="34" t="s">
        <v>1815</v>
      </c>
      <c r="E252" s="11" t="s">
        <v>13</v>
      </c>
    </row>
    <row r="253">
      <c r="B253" s="34" t="s">
        <v>1755</v>
      </c>
      <c r="C253" s="35" t="s">
        <v>195</v>
      </c>
      <c r="D253" s="34" t="s">
        <v>1924</v>
      </c>
      <c r="E253" s="11" t="s">
        <v>9</v>
      </c>
    </row>
    <row r="254">
      <c r="B254" s="34" t="s">
        <v>1925</v>
      </c>
      <c r="C254" s="35" t="s">
        <v>71</v>
      </c>
      <c r="D254" s="34" t="s">
        <v>288</v>
      </c>
      <c r="E254" s="11" t="s">
        <v>13</v>
      </c>
    </row>
    <row r="255">
      <c r="B255" s="34" t="s">
        <v>288</v>
      </c>
      <c r="C255" s="35" t="s">
        <v>64</v>
      </c>
      <c r="D255" s="34" t="s">
        <v>1815</v>
      </c>
      <c r="E255" s="11" t="s">
        <v>9</v>
      </c>
    </row>
    <row r="256">
      <c r="B256" s="34" t="s">
        <v>1925</v>
      </c>
      <c r="C256" s="35" t="s">
        <v>533</v>
      </c>
      <c r="D256" s="34" t="s">
        <v>1924</v>
      </c>
      <c r="E256" s="11" t="s">
        <v>13</v>
      </c>
    </row>
    <row r="257">
      <c r="B257" s="34" t="s">
        <v>1815</v>
      </c>
      <c r="C257" s="35" t="s">
        <v>42</v>
      </c>
      <c r="D257" s="34" t="s">
        <v>1755</v>
      </c>
      <c r="E257" s="11" t="s">
        <v>9</v>
      </c>
    </row>
    <row r="258">
      <c r="B258" s="34" t="s">
        <v>288</v>
      </c>
      <c r="C258" s="35" t="s">
        <v>319</v>
      </c>
      <c r="D258" s="34" t="s">
        <v>1924</v>
      </c>
      <c r="E258" s="11" t="s">
        <v>13</v>
      </c>
    </row>
    <row r="259">
      <c r="B259" s="34" t="s">
        <v>1925</v>
      </c>
      <c r="C259" s="35" t="s">
        <v>282</v>
      </c>
      <c r="D259" s="34" t="s">
        <v>1755</v>
      </c>
      <c r="E259" s="11" t="s">
        <v>9</v>
      </c>
    </row>
    <row r="260">
      <c r="B260" s="34" t="s">
        <v>1815</v>
      </c>
      <c r="C260" s="35" t="s">
        <v>273</v>
      </c>
      <c r="D260" s="34" t="s">
        <v>1924</v>
      </c>
      <c r="E260" s="11" t="s">
        <v>13</v>
      </c>
    </row>
    <row r="261">
      <c r="B261" s="34" t="s">
        <v>288</v>
      </c>
      <c r="C261" s="35" t="s">
        <v>208</v>
      </c>
      <c r="D261" s="34" t="s">
        <v>1755</v>
      </c>
      <c r="E261" s="11" t="s">
        <v>9</v>
      </c>
    </row>
    <row r="262">
      <c r="B262" s="34" t="s">
        <v>1815</v>
      </c>
      <c r="C262" s="35" t="s">
        <v>201</v>
      </c>
      <c r="D262" s="34" t="s">
        <v>1925</v>
      </c>
      <c r="E262" s="11" t="s">
        <v>13</v>
      </c>
    </row>
    <row r="263">
      <c r="B263" s="34" t="s">
        <v>1924</v>
      </c>
      <c r="C263" s="35" t="s">
        <v>28</v>
      </c>
      <c r="D263" s="34" t="s">
        <v>1755</v>
      </c>
      <c r="E263" s="11" t="s">
        <v>9</v>
      </c>
    </row>
    <row r="264">
      <c r="B264" s="34" t="s">
        <v>288</v>
      </c>
      <c r="C264" s="35" t="s">
        <v>416</v>
      </c>
      <c r="D264" s="34" t="s">
        <v>1925</v>
      </c>
      <c r="E264" s="11" t="s">
        <v>13</v>
      </c>
    </row>
    <row r="265">
      <c r="B265" s="28" t="s">
        <v>134</v>
      </c>
      <c r="C265" s="2"/>
      <c r="D265" s="3"/>
      <c r="E265" s="2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34" t="s">
        <v>1926</v>
      </c>
      <c r="C267" s="35" t="s">
        <v>14</v>
      </c>
      <c r="D267" s="34" t="s">
        <v>1927</v>
      </c>
      <c r="E267" s="11" t="s">
        <v>33</v>
      </c>
    </row>
    <row r="268">
      <c r="B268" s="34" t="s">
        <v>1876</v>
      </c>
      <c r="C268" s="35" t="s">
        <v>67</v>
      </c>
      <c r="D268" s="34" t="s">
        <v>1928</v>
      </c>
      <c r="E268" s="11" t="s">
        <v>37</v>
      </c>
    </row>
    <row r="269">
      <c r="B269" s="34" t="s">
        <v>457</v>
      </c>
      <c r="C269" s="35" t="s">
        <v>88</v>
      </c>
      <c r="D269" s="34" t="s">
        <v>1926</v>
      </c>
      <c r="E269" s="11" t="s">
        <v>33</v>
      </c>
    </row>
    <row r="270">
      <c r="B270" s="34" t="s">
        <v>1876</v>
      </c>
      <c r="C270" s="35" t="s">
        <v>218</v>
      </c>
      <c r="D270" s="34" t="s">
        <v>1927</v>
      </c>
      <c r="E270" s="11" t="s">
        <v>37</v>
      </c>
    </row>
    <row r="271">
      <c r="B271" s="34" t="s">
        <v>457</v>
      </c>
      <c r="C271" s="35" t="s">
        <v>282</v>
      </c>
      <c r="D271" s="34" t="s">
        <v>1928</v>
      </c>
      <c r="E271" s="11" t="s">
        <v>33</v>
      </c>
    </row>
    <row r="272">
      <c r="B272" s="34" t="s">
        <v>1876</v>
      </c>
      <c r="C272" s="35" t="s">
        <v>55</v>
      </c>
      <c r="D272" s="34" t="s">
        <v>1926</v>
      </c>
      <c r="E272" s="11" t="s">
        <v>37</v>
      </c>
    </row>
    <row r="273">
      <c r="B273" s="34" t="s">
        <v>457</v>
      </c>
      <c r="C273" s="35" t="s">
        <v>25</v>
      </c>
      <c r="D273" s="34" t="s">
        <v>1927</v>
      </c>
      <c r="E273" s="11" t="s">
        <v>33</v>
      </c>
    </row>
    <row r="274">
      <c r="B274" s="34" t="s">
        <v>1928</v>
      </c>
      <c r="C274" s="35" t="s">
        <v>217</v>
      </c>
      <c r="D274" s="34" t="s">
        <v>1926</v>
      </c>
      <c r="E274" s="11" t="s">
        <v>37</v>
      </c>
    </row>
    <row r="275">
      <c r="B275" s="34" t="s">
        <v>457</v>
      </c>
      <c r="C275" s="35" t="s">
        <v>62</v>
      </c>
      <c r="D275" s="34" t="s">
        <v>1876</v>
      </c>
      <c r="E275" s="11" t="s">
        <v>33</v>
      </c>
    </row>
    <row r="276">
      <c r="B276" s="34" t="s">
        <v>1928</v>
      </c>
      <c r="C276" s="35" t="s">
        <v>49</v>
      </c>
      <c r="D276" s="34" t="s">
        <v>1927</v>
      </c>
      <c r="E276" s="11" t="s">
        <v>37</v>
      </c>
    </row>
    <row r="277">
      <c r="B277" s="34" t="s">
        <v>1927</v>
      </c>
      <c r="C277" s="35" t="s">
        <v>58</v>
      </c>
      <c r="D277" s="34" t="s">
        <v>1926</v>
      </c>
      <c r="E277" s="11" t="s">
        <v>33</v>
      </c>
    </row>
    <row r="278">
      <c r="B278" s="34" t="s">
        <v>1928</v>
      </c>
      <c r="C278" s="35" t="s">
        <v>291</v>
      </c>
      <c r="D278" s="34" t="s">
        <v>1876</v>
      </c>
      <c r="E278" s="11" t="s">
        <v>37</v>
      </c>
    </row>
    <row r="279">
      <c r="B279" s="34" t="s">
        <v>1926</v>
      </c>
      <c r="C279" s="35" t="s">
        <v>545</v>
      </c>
      <c r="D279" s="34" t="s">
        <v>457</v>
      </c>
      <c r="E279" s="11" t="s">
        <v>33</v>
      </c>
    </row>
    <row r="280">
      <c r="B280" s="34" t="s">
        <v>1927</v>
      </c>
      <c r="C280" s="35" t="s">
        <v>286</v>
      </c>
      <c r="D280" s="34" t="s">
        <v>1876</v>
      </c>
      <c r="E280" s="11" t="s">
        <v>37</v>
      </c>
    </row>
    <row r="281">
      <c r="B281" s="34" t="s">
        <v>1928</v>
      </c>
      <c r="C281" s="35" t="s">
        <v>196</v>
      </c>
      <c r="D281" s="34" t="s">
        <v>457</v>
      </c>
      <c r="E281" s="11" t="s">
        <v>33</v>
      </c>
    </row>
    <row r="282">
      <c r="B282" s="34" t="s">
        <v>1926</v>
      </c>
      <c r="C282" s="35" t="s">
        <v>426</v>
      </c>
      <c r="D282" s="34" t="s">
        <v>1876</v>
      </c>
      <c r="E282" s="11" t="s">
        <v>37</v>
      </c>
    </row>
    <row r="283">
      <c r="B283" s="34" t="s">
        <v>1927</v>
      </c>
      <c r="C283" s="35" t="s">
        <v>201</v>
      </c>
      <c r="D283" s="34" t="s">
        <v>457</v>
      </c>
      <c r="E283" s="11" t="s">
        <v>33</v>
      </c>
    </row>
    <row r="284">
      <c r="B284" s="34" t="s">
        <v>1926</v>
      </c>
      <c r="C284" s="35" t="s">
        <v>797</v>
      </c>
      <c r="D284" s="34" t="s">
        <v>1928</v>
      </c>
      <c r="E284" s="11" t="s">
        <v>37</v>
      </c>
    </row>
    <row r="285">
      <c r="B285" s="34" t="s">
        <v>1876</v>
      </c>
      <c r="C285" s="35" t="s">
        <v>21</v>
      </c>
      <c r="D285" s="34" t="s">
        <v>457</v>
      </c>
      <c r="E285" s="11" t="s">
        <v>33</v>
      </c>
    </row>
    <row r="286">
      <c r="B286" s="34" t="s">
        <v>1927</v>
      </c>
      <c r="C286" s="35" t="s">
        <v>196</v>
      </c>
      <c r="D286" s="34" t="s">
        <v>1928</v>
      </c>
      <c r="E286" s="11" t="s">
        <v>37</v>
      </c>
    </row>
    <row r="287">
      <c r="B287" s="28" t="s">
        <v>145</v>
      </c>
      <c r="C287" s="2"/>
      <c r="D287" s="3"/>
      <c r="E287" s="2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34" t="s">
        <v>1929</v>
      </c>
      <c r="C289" s="35" t="s">
        <v>325</v>
      </c>
      <c r="D289" s="34" t="s">
        <v>1930</v>
      </c>
      <c r="E289" s="11" t="s">
        <v>33</v>
      </c>
    </row>
    <row r="290">
      <c r="B290" s="34" t="s">
        <v>1880</v>
      </c>
      <c r="C290" s="35" t="s">
        <v>270</v>
      </c>
      <c r="D290" s="34" t="s">
        <v>1931</v>
      </c>
      <c r="E290" s="11" t="s">
        <v>37</v>
      </c>
    </row>
    <row r="291">
      <c r="B291" s="34" t="s">
        <v>1932</v>
      </c>
      <c r="C291" s="35" t="s">
        <v>260</v>
      </c>
      <c r="D291" s="34" t="s">
        <v>1929</v>
      </c>
      <c r="E291" s="11" t="s">
        <v>33</v>
      </c>
    </row>
    <row r="292">
      <c r="B292" s="34" t="s">
        <v>1880</v>
      </c>
      <c r="C292" s="35" t="s">
        <v>195</v>
      </c>
      <c r="D292" s="34" t="s">
        <v>1930</v>
      </c>
      <c r="E292" s="11" t="s">
        <v>37</v>
      </c>
    </row>
    <row r="293">
      <c r="B293" s="34" t="s">
        <v>1932</v>
      </c>
      <c r="C293" s="35" t="s">
        <v>196</v>
      </c>
      <c r="D293" s="34" t="s">
        <v>1931</v>
      </c>
      <c r="E293" s="11" t="s">
        <v>33</v>
      </c>
    </row>
    <row r="294">
      <c r="B294" s="34" t="s">
        <v>1880</v>
      </c>
      <c r="C294" s="35" t="s">
        <v>770</v>
      </c>
      <c r="D294" s="34" t="s">
        <v>1929</v>
      </c>
      <c r="E294" s="11" t="s">
        <v>37</v>
      </c>
    </row>
    <row r="295">
      <c r="B295" s="34" t="s">
        <v>1932</v>
      </c>
      <c r="C295" s="35" t="s">
        <v>69</v>
      </c>
      <c r="D295" s="34" t="s">
        <v>1930</v>
      </c>
      <c r="E295" s="11" t="s">
        <v>33</v>
      </c>
    </row>
    <row r="296">
      <c r="B296" s="34" t="s">
        <v>1931</v>
      </c>
      <c r="C296" s="35" t="s">
        <v>81</v>
      </c>
      <c r="D296" s="34" t="s">
        <v>1929</v>
      </c>
      <c r="E296" s="11" t="s">
        <v>37</v>
      </c>
    </row>
    <row r="297">
      <c r="B297" s="34" t="s">
        <v>1932</v>
      </c>
      <c r="C297" s="35" t="s">
        <v>80</v>
      </c>
      <c r="D297" s="34" t="s">
        <v>1880</v>
      </c>
      <c r="E297" s="11" t="s">
        <v>33</v>
      </c>
    </row>
    <row r="298">
      <c r="B298" s="34" t="s">
        <v>1931</v>
      </c>
      <c r="C298" s="35" t="s">
        <v>212</v>
      </c>
      <c r="D298" s="34" t="s">
        <v>1930</v>
      </c>
      <c r="E298" s="11" t="s">
        <v>37</v>
      </c>
    </row>
    <row r="299">
      <c r="B299" s="34" t="s">
        <v>1930</v>
      </c>
      <c r="C299" s="35" t="s">
        <v>14</v>
      </c>
      <c r="D299" s="34" t="s">
        <v>1929</v>
      </c>
      <c r="E299" s="11" t="s">
        <v>33</v>
      </c>
    </row>
    <row r="300">
      <c r="B300" s="34" t="s">
        <v>1931</v>
      </c>
      <c r="C300" s="35" t="s">
        <v>260</v>
      </c>
      <c r="D300" s="34" t="s">
        <v>1880</v>
      </c>
      <c r="E300" s="11" t="s">
        <v>37</v>
      </c>
    </row>
    <row r="301">
      <c r="B301" s="34" t="s">
        <v>1929</v>
      </c>
      <c r="C301" s="35" t="s">
        <v>45</v>
      </c>
      <c r="D301" s="34" t="s">
        <v>1932</v>
      </c>
      <c r="E301" s="11" t="s">
        <v>33</v>
      </c>
    </row>
    <row r="302">
      <c r="B302" s="34" t="s">
        <v>1930</v>
      </c>
      <c r="C302" s="35" t="s">
        <v>291</v>
      </c>
      <c r="D302" s="34" t="s">
        <v>1880</v>
      </c>
      <c r="E302" s="11" t="s">
        <v>37</v>
      </c>
    </row>
    <row r="303">
      <c r="B303" s="34" t="s">
        <v>1931</v>
      </c>
      <c r="C303" s="35" t="s">
        <v>1205</v>
      </c>
      <c r="D303" s="34" t="s">
        <v>1932</v>
      </c>
      <c r="E303" s="11" t="s">
        <v>33</v>
      </c>
    </row>
    <row r="304">
      <c r="B304" s="34" t="s">
        <v>1929</v>
      </c>
      <c r="C304" s="35" t="s">
        <v>286</v>
      </c>
      <c r="D304" s="34" t="s">
        <v>1880</v>
      </c>
      <c r="E304" s="11" t="s">
        <v>37</v>
      </c>
      <c r="I304" s="36" t="s">
        <v>663</v>
      </c>
    </row>
    <row r="305">
      <c r="B305" s="34" t="s">
        <v>1930</v>
      </c>
      <c r="C305" s="35" t="s">
        <v>354</v>
      </c>
      <c r="D305" s="34" t="s">
        <v>1932</v>
      </c>
      <c r="E305" s="11" t="s">
        <v>33</v>
      </c>
    </row>
    <row r="306">
      <c r="B306" s="34" t="s">
        <v>1929</v>
      </c>
      <c r="C306" s="35" t="s">
        <v>190</v>
      </c>
      <c r="D306" s="34" t="s">
        <v>1931</v>
      </c>
      <c r="E306" s="11" t="s">
        <v>37</v>
      </c>
    </row>
    <row r="307">
      <c r="B307" s="34" t="s">
        <v>1880</v>
      </c>
      <c r="C307" s="35" t="s">
        <v>274</v>
      </c>
      <c r="D307" s="34" t="s">
        <v>1932</v>
      </c>
      <c r="E307" s="11" t="s">
        <v>33</v>
      </c>
    </row>
    <row r="308">
      <c r="B308" s="34" t="s">
        <v>1930</v>
      </c>
      <c r="C308" s="35" t="s">
        <v>11</v>
      </c>
      <c r="D308" s="34" t="s">
        <v>1931</v>
      </c>
      <c r="E308" s="11" t="s">
        <v>37</v>
      </c>
    </row>
    <row r="309">
      <c r="B309" s="28" t="s">
        <v>1456</v>
      </c>
      <c r="C309" s="2"/>
      <c r="D309" s="3"/>
      <c r="E309" s="2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34" t="s">
        <v>1933</v>
      </c>
      <c r="C311" s="33" t="s">
        <v>267</v>
      </c>
      <c r="D311" s="34" t="s">
        <v>1934</v>
      </c>
      <c r="E311" s="11" t="s">
        <v>9</v>
      </c>
    </row>
    <row r="312">
      <c r="B312" s="34" t="s">
        <v>1935</v>
      </c>
      <c r="C312" s="33" t="s">
        <v>239</v>
      </c>
      <c r="D312" s="34" t="s">
        <v>1706</v>
      </c>
      <c r="E312" s="11" t="s">
        <v>13</v>
      </c>
    </row>
    <row r="313">
      <c r="B313" s="34" t="s">
        <v>1247</v>
      </c>
      <c r="C313" s="33" t="s">
        <v>87</v>
      </c>
      <c r="D313" s="34" t="s">
        <v>1933</v>
      </c>
      <c r="E313" s="11" t="s">
        <v>9</v>
      </c>
    </row>
    <row r="314">
      <c r="B314" s="34" t="s">
        <v>1935</v>
      </c>
      <c r="C314" s="33" t="s">
        <v>1129</v>
      </c>
      <c r="D314" s="34" t="s">
        <v>1934</v>
      </c>
      <c r="E314" s="11" t="s">
        <v>13</v>
      </c>
    </row>
    <row r="315">
      <c r="B315" s="34" t="s">
        <v>1247</v>
      </c>
      <c r="C315" s="33" t="s">
        <v>283</v>
      </c>
      <c r="D315" s="34" t="s">
        <v>1706</v>
      </c>
      <c r="E315" s="11" t="s">
        <v>9</v>
      </c>
    </row>
    <row r="316">
      <c r="B316" s="34" t="s">
        <v>1935</v>
      </c>
      <c r="C316" s="33" t="s">
        <v>240</v>
      </c>
      <c r="D316" s="34" t="s">
        <v>1933</v>
      </c>
      <c r="E316" s="11" t="s">
        <v>13</v>
      </c>
    </row>
    <row r="317">
      <c r="B317" s="34" t="s">
        <v>1247</v>
      </c>
      <c r="C317" s="33" t="s">
        <v>722</v>
      </c>
      <c r="D317" s="34" t="s">
        <v>1934</v>
      </c>
      <c r="E317" s="11" t="s">
        <v>9</v>
      </c>
    </row>
    <row r="318">
      <c r="B318" s="34" t="s">
        <v>1706</v>
      </c>
      <c r="C318" s="33" t="s">
        <v>17</v>
      </c>
      <c r="D318" s="34" t="s">
        <v>1933</v>
      </c>
      <c r="E318" s="11" t="s">
        <v>13</v>
      </c>
    </row>
    <row r="319">
      <c r="B319" s="34" t="s">
        <v>1247</v>
      </c>
      <c r="C319" s="33" t="s">
        <v>1067</v>
      </c>
      <c r="D319" s="34" t="s">
        <v>1935</v>
      </c>
      <c r="E319" s="11" t="s">
        <v>9</v>
      </c>
    </row>
    <row r="320">
      <c r="B320" s="34" t="s">
        <v>1706</v>
      </c>
      <c r="C320" s="33" t="s">
        <v>1936</v>
      </c>
      <c r="D320" s="34" t="s">
        <v>1934</v>
      </c>
      <c r="E320" s="11" t="s">
        <v>13</v>
      </c>
    </row>
    <row r="321">
      <c r="B321" s="34" t="s">
        <v>1934</v>
      </c>
      <c r="C321" s="33" t="s">
        <v>1937</v>
      </c>
      <c r="D321" s="34" t="s">
        <v>1933</v>
      </c>
      <c r="E321" s="11" t="s">
        <v>9</v>
      </c>
    </row>
    <row r="322">
      <c r="B322" s="34" t="s">
        <v>1706</v>
      </c>
      <c r="C322" s="33" t="s">
        <v>566</v>
      </c>
      <c r="D322" s="34" t="s">
        <v>1935</v>
      </c>
      <c r="E322" s="11" t="s">
        <v>13</v>
      </c>
    </row>
    <row r="323">
      <c r="B323" s="34" t="s">
        <v>1933</v>
      </c>
      <c r="C323" s="35" t="s">
        <v>89</v>
      </c>
      <c r="D323" s="34" t="s">
        <v>1247</v>
      </c>
      <c r="E323" s="11" t="s">
        <v>9</v>
      </c>
    </row>
    <row r="324">
      <c r="B324" s="34" t="s">
        <v>1934</v>
      </c>
      <c r="C324" s="35" t="s">
        <v>88</v>
      </c>
      <c r="D324" s="34" t="s">
        <v>1935</v>
      </c>
      <c r="E324" s="11" t="s">
        <v>13</v>
      </c>
    </row>
    <row r="325">
      <c r="B325" s="34" t="s">
        <v>1706</v>
      </c>
      <c r="C325" s="35" t="s">
        <v>190</v>
      </c>
      <c r="D325" s="34" t="s">
        <v>1247</v>
      </c>
      <c r="E325" s="11" t="s">
        <v>9</v>
      </c>
    </row>
    <row r="326">
      <c r="B326" s="34" t="s">
        <v>1933</v>
      </c>
      <c r="C326" s="35" t="s">
        <v>291</v>
      </c>
      <c r="D326" s="34" t="s">
        <v>1935</v>
      </c>
      <c r="E326" s="11" t="s">
        <v>13</v>
      </c>
    </row>
    <row r="327">
      <c r="B327" s="34" t="s">
        <v>1934</v>
      </c>
      <c r="C327" s="35" t="s">
        <v>534</v>
      </c>
      <c r="D327" s="34" t="s">
        <v>1247</v>
      </c>
      <c r="E327" s="11" t="s">
        <v>9</v>
      </c>
    </row>
    <row r="328">
      <c r="B328" s="34" t="s">
        <v>1933</v>
      </c>
      <c r="C328" s="35" t="s">
        <v>83</v>
      </c>
      <c r="D328" s="34" t="s">
        <v>1706</v>
      </c>
      <c r="E328" s="11" t="s">
        <v>13</v>
      </c>
    </row>
    <row r="329">
      <c r="B329" s="34" t="s">
        <v>1935</v>
      </c>
      <c r="C329" s="35" t="s">
        <v>21</v>
      </c>
      <c r="D329" s="34" t="s">
        <v>1247</v>
      </c>
      <c r="E329" s="11" t="s">
        <v>9</v>
      </c>
    </row>
    <row r="330">
      <c r="B330" s="34" t="s">
        <v>1934</v>
      </c>
      <c r="C330" s="35" t="s">
        <v>434</v>
      </c>
      <c r="D330" s="34" t="s">
        <v>1706</v>
      </c>
      <c r="E330" s="11" t="s">
        <v>13</v>
      </c>
    </row>
    <row r="331">
      <c r="B331" s="28" t="s">
        <v>156</v>
      </c>
      <c r="C331" s="2"/>
      <c r="D331" s="3"/>
      <c r="E331" s="2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34" t="s">
        <v>1938</v>
      </c>
      <c r="C333" s="35" t="s">
        <v>11</v>
      </c>
      <c r="D333" s="34" t="s">
        <v>1889</v>
      </c>
      <c r="E333" s="11" t="s">
        <v>33</v>
      </c>
    </row>
    <row r="334">
      <c r="B334" s="34" t="s">
        <v>1939</v>
      </c>
      <c r="C334" s="35" t="s">
        <v>81</v>
      </c>
      <c r="D334" s="34" t="s">
        <v>1772</v>
      </c>
      <c r="E334" s="11" t="s">
        <v>37</v>
      </c>
    </row>
    <row r="335">
      <c r="B335" s="34" t="s">
        <v>1940</v>
      </c>
      <c r="C335" s="35" t="s">
        <v>270</v>
      </c>
      <c r="D335" s="34" t="s">
        <v>1938</v>
      </c>
      <c r="E335" s="11" t="s">
        <v>33</v>
      </c>
    </row>
    <row r="336">
      <c r="B336" s="34" t="s">
        <v>1939</v>
      </c>
      <c r="C336" s="35" t="s">
        <v>43</v>
      </c>
      <c r="D336" s="34" t="s">
        <v>1889</v>
      </c>
      <c r="E336" s="11" t="s">
        <v>37</v>
      </c>
    </row>
    <row r="337">
      <c r="B337" s="34" t="s">
        <v>1940</v>
      </c>
      <c r="C337" s="35" t="s">
        <v>22</v>
      </c>
      <c r="D337" s="34" t="s">
        <v>1772</v>
      </c>
      <c r="E337" s="11" t="s">
        <v>33</v>
      </c>
    </row>
    <row r="338">
      <c r="B338" s="34" t="s">
        <v>1939</v>
      </c>
      <c r="C338" s="35" t="s">
        <v>65</v>
      </c>
      <c r="D338" s="34" t="s">
        <v>1938</v>
      </c>
      <c r="E338" s="11" t="s">
        <v>37</v>
      </c>
    </row>
    <row r="339">
      <c r="B339" s="34" t="s">
        <v>1940</v>
      </c>
      <c r="C339" s="35" t="s">
        <v>17</v>
      </c>
      <c r="D339" s="34" t="s">
        <v>1889</v>
      </c>
      <c r="E339" s="11" t="s">
        <v>33</v>
      </c>
    </row>
    <row r="340">
      <c r="B340" s="34" t="s">
        <v>1772</v>
      </c>
      <c r="C340" s="35" t="s">
        <v>27</v>
      </c>
      <c r="D340" s="34" t="s">
        <v>1938</v>
      </c>
      <c r="E340" s="11" t="s">
        <v>37</v>
      </c>
    </row>
    <row r="341">
      <c r="B341" s="34" t="s">
        <v>1940</v>
      </c>
      <c r="C341" s="35" t="s">
        <v>195</v>
      </c>
      <c r="D341" s="34" t="s">
        <v>1939</v>
      </c>
      <c r="E341" s="11" t="s">
        <v>33</v>
      </c>
    </row>
    <row r="342">
      <c r="B342" s="34" t="s">
        <v>1772</v>
      </c>
      <c r="C342" s="35" t="s">
        <v>68</v>
      </c>
      <c r="D342" s="34" t="s">
        <v>1889</v>
      </c>
      <c r="E342" s="11" t="s">
        <v>37</v>
      </c>
    </row>
    <row r="343">
      <c r="B343" s="34" t="s">
        <v>1889</v>
      </c>
      <c r="C343" s="35" t="s">
        <v>43</v>
      </c>
      <c r="D343" s="34" t="s">
        <v>1938</v>
      </c>
      <c r="E343" s="11" t="s">
        <v>33</v>
      </c>
      <c r="J343" s="36"/>
    </row>
    <row r="344">
      <c r="B344" s="34" t="s">
        <v>1772</v>
      </c>
      <c r="C344" s="35" t="s">
        <v>43</v>
      </c>
      <c r="D344" s="34" t="s">
        <v>1939</v>
      </c>
      <c r="E344" s="11" t="s">
        <v>37</v>
      </c>
    </row>
    <row r="345">
      <c r="B345" s="34" t="s">
        <v>1938</v>
      </c>
      <c r="C345" s="35" t="s">
        <v>190</v>
      </c>
      <c r="D345" s="34" t="s">
        <v>1940</v>
      </c>
      <c r="E345" s="11" t="s">
        <v>33</v>
      </c>
    </row>
    <row r="346">
      <c r="B346" s="34" t="s">
        <v>1889</v>
      </c>
      <c r="C346" s="35" t="s">
        <v>196</v>
      </c>
      <c r="D346" s="34" t="s">
        <v>1939</v>
      </c>
      <c r="E346" s="11" t="s">
        <v>37</v>
      </c>
    </row>
    <row r="347">
      <c r="B347" s="34" t="s">
        <v>1772</v>
      </c>
      <c r="C347" s="35" t="s">
        <v>584</v>
      </c>
      <c r="D347" s="34" t="s">
        <v>1940</v>
      </c>
      <c r="E347" s="11" t="s">
        <v>33</v>
      </c>
    </row>
    <row r="348">
      <c r="B348" s="34" t="s">
        <v>1938</v>
      </c>
      <c r="C348" s="35" t="s">
        <v>62</v>
      </c>
      <c r="D348" s="34" t="s">
        <v>1939</v>
      </c>
      <c r="E348" s="11" t="s">
        <v>37</v>
      </c>
    </row>
    <row r="349">
      <c r="B349" s="34" t="s">
        <v>1889</v>
      </c>
      <c r="C349" s="35" t="s">
        <v>218</v>
      </c>
      <c r="D349" s="34" t="s">
        <v>1940</v>
      </c>
      <c r="E349" s="11" t="s">
        <v>33</v>
      </c>
    </row>
    <row r="350">
      <c r="B350" s="34" t="s">
        <v>1938</v>
      </c>
      <c r="C350" s="35" t="s">
        <v>535</v>
      </c>
      <c r="D350" s="34" t="s">
        <v>1772</v>
      </c>
      <c r="E350" s="11" t="s">
        <v>37</v>
      </c>
    </row>
    <row r="351">
      <c r="B351" s="34" t="s">
        <v>1939</v>
      </c>
      <c r="C351" s="35" t="s">
        <v>28</v>
      </c>
      <c r="D351" s="34" t="s">
        <v>1940</v>
      </c>
      <c r="E351" s="11" t="s">
        <v>33</v>
      </c>
    </row>
    <row r="352">
      <c r="B352" s="34" t="s">
        <v>1889</v>
      </c>
      <c r="C352" s="35" t="s">
        <v>1005</v>
      </c>
      <c r="D352" s="34" t="s">
        <v>1772</v>
      </c>
      <c r="E352" s="11" t="s">
        <v>37</v>
      </c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7"/>
    <hyperlink r:id="rId105" ref="E119"/>
    <hyperlink r:id="rId106" ref="E121"/>
    <hyperlink r:id="rId107" ref="E123"/>
    <hyperlink r:id="rId108" ref="E125"/>
    <hyperlink r:id="rId109" ref="E127"/>
    <hyperlink r:id="rId110" ref="E129"/>
    <hyperlink r:id="rId111" ref="E131"/>
    <hyperlink r:id="rId112" ref="E135"/>
    <hyperlink r:id="rId113" ref="E136"/>
    <hyperlink r:id="rId114" ref="E137"/>
    <hyperlink r:id="rId115" ref="E138"/>
    <hyperlink r:id="rId116" ref="E139"/>
    <hyperlink r:id="rId117" ref="E140"/>
    <hyperlink r:id="rId118" ref="E142"/>
    <hyperlink r:id="rId119" ref="E143"/>
    <hyperlink r:id="rId120" ref="E144"/>
    <hyperlink r:id="rId121" ref="E145"/>
    <hyperlink r:id="rId122" ref="E146"/>
    <hyperlink r:id="rId123" ref="E147"/>
    <hyperlink r:id="rId124" ref="E148"/>
    <hyperlink r:id="rId125" ref="E149"/>
    <hyperlink r:id="rId126" ref="E150"/>
    <hyperlink r:id="rId127" ref="E151"/>
    <hyperlink r:id="rId128" ref="E152"/>
    <hyperlink r:id="rId129" ref="E153"/>
    <hyperlink r:id="rId130" ref="E154"/>
    <hyperlink r:id="rId131" ref="E157"/>
    <hyperlink r:id="rId132" ref="E158"/>
    <hyperlink r:id="rId133" ref="E159"/>
    <hyperlink r:id="rId134" ref="E160"/>
    <hyperlink r:id="rId135" ref="E161"/>
    <hyperlink r:id="rId136" ref="E162"/>
    <hyperlink r:id="rId137" ref="E163"/>
    <hyperlink r:id="rId138" ref="E164"/>
    <hyperlink r:id="rId139" ref="E165"/>
    <hyperlink r:id="rId140" ref="E166"/>
    <hyperlink r:id="rId141" ref="E167"/>
    <hyperlink r:id="rId142" ref="E168"/>
    <hyperlink r:id="rId143" ref="E169"/>
    <hyperlink r:id="rId144" ref="E170"/>
    <hyperlink r:id="rId145" ref="E171"/>
    <hyperlink r:id="rId146" ref="E172"/>
    <hyperlink r:id="rId147" ref="E173"/>
    <hyperlink r:id="rId148" ref="E174"/>
    <hyperlink r:id="rId149" ref="E175"/>
    <hyperlink r:id="rId150" ref="E176"/>
    <hyperlink r:id="rId151" ref="E179"/>
    <hyperlink r:id="rId152" ref="E180"/>
    <hyperlink r:id="rId153" ref="E181"/>
    <hyperlink r:id="rId154" ref="E182"/>
    <hyperlink r:id="rId155" ref="E183"/>
    <hyperlink r:id="rId156" ref="E184"/>
    <hyperlink r:id="rId157" ref="E185"/>
    <hyperlink r:id="rId158" ref="E186"/>
    <hyperlink r:id="rId159" ref="E187"/>
    <hyperlink r:id="rId160" ref="E188"/>
    <hyperlink r:id="rId161" ref="E189"/>
    <hyperlink r:id="rId162" ref="E190"/>
    <hyperlink r:id="rId163" ref="E191"/>
    <hyperlink r:id="rId164" ref="E192"/>
    <hyperlink r:id="rId165" ref="E193"/>
    <hyperlink r:id="rId166" ref="E194"/>
    <hyperlink r:id="rId167" ref="E195"/>
    <hyperlink r:id="rId168" ref="E196"/>
    <hyperlink r:id="rId169" ref="E197"/>
    <hyperlink r:id="rId170" ref="E198"/>
    <hyperlink r:id="rId171" ref="E201"/>
    <hyperlink r:id="rId172" ref="E202"/>
    <hyperlink r:id="rId173" ref="E203"/>
    <hyperlink r:id="rId174" ref="E204"/>
    <hyperlink r:id="rId175" ref="E205"/>
    <hyperlink r:id="rId176" ref="E206"/>
    <hyperlink r:id="rId177" ref="E207"/>
    <hyperlink r:id="rId178" ref="E208"/>
    <hyperlink r:id="rId179" ref="E209"/>
    <hyperlink r:id="rId180" ref="E210"/>
    <hyperlink r:id="rId181" ref="E211"/>
    <hyperlink r:id="rId182" ref="E212"/>
    <hyperlink r:id="rId183" ref="E213"/>
    <hyperlink r:id="rId184" ref="E214"/>
    <hyperlink r:id="rId185" ref="E215"/>
    <hyperlink r:id="rId186" ref="E216"/>
    <hyperlink r:id="rId187" ref="E217"/>
    <hyperlink r:id="rId188" ref="E218"/>
    <hyperlink r:id="rId189" ref="E219"/>
    <hyperlink r:id="rId190" ref="E220"/>
    <hyperlink r:id="rId191" ref="E223"/>
    <hyperlink r:id="rId192" ref="E224"/>
    <hyperlink r:id="rId193" ref="E225"/>
    <hyperlink r:id="rId194" ref="E226"/>
    <hyperlink r:id="rId195" ref="E227"/>
    <hyperlink r:id="rId196" ref="E228"/>
    <hyperlink r:id="rId197" ref="E229"/>
    <hyperlink r:id="rId198" ref="E230"/>
    <hyperlink r:id="rId199" ref="E231"/>
    <hyperlink r:id="rId200" ref="E232"/>
    <hyperlink r:id="rId201" ref="E233"/>
    <hyperlink r:id="rId202" ref="E234"/>
    <hyperlink r:id="rId203" ref="E235"/>
    <hyperlink r:id="rId204" ref="E236"/>
    <hyperlink r:id="rId205" ref="E237"/>
    <hyperlink r:id="rId206" ref="E238"/>
    <hyperlink r:id="rId207" ref="E239"/>
    <hyperlink r:id="rId208" ref="E240"/>
    <hyperlink r:id="rId209" ref="E241"/>
    <hyperlink r:id="rId210" ref="E242"/>
    <hyperlink r:id="rId211" ref="E245"/>
    <hyperlink r:id="rId212" ref="E246"/>
    <hyperlink r:id="rId213" ref="E247"/>
    <hyperlink r:id="rId214" ref="E248"/>
    <hyperlink r:id="rId215" ref="E249"/>
    <hyperlink r:id="rId216" ref="E250"/>
    <hyperlink r:id="rId217" ref="E251"/>
    <hyperlink r:id="rId218" ref="E252"/>
    <hyperlink r:id="rId219" ref="E253"/>
    <hyperlink r:id="rId220" ref="E254"/>
    <hyperlink r:id="rId221" ref="E255"/>
    <hyperlink r:id="rId222" ref="E256"/>
    <hyperlink r:id="rId223" ref="E257"/>
    <hyperlink r:id="rId224" ref="E258"/>
    <hyperlink r:id="rId225" ref="E259"/>
    <hyperlink r:id="rId226" ref="E260"/>
    <hyperlink r:id="rId227" ref="E261"/>
    <hyperlink r:id="rId228" ref="E262"/>
    <hyperlink r:id="rId229" ref="E263"/>
    <hyperlink r:id="rId230" ref="E264"/>
    <hyperlink r:id="rId231" ref="E267"/>
    <hyperlink r:id="rId232" ref="E268"/>
    <hyperlink r:id="rId233" ref="E269"/>
    <hyperlink r:id="rId234" ref="E270"/>
    <hyperlink r:id="rId235" ref="E271"/>
    <hyperlink r:id="rId236" ref="E272"/>
    <hyperlink r:id="rId237" ref="E273"/>
    <hyperlink r:id="rId238" ref="E274"/>
    <hyperlink r:id="rId239" ref="E275"/>
    <hyperlink r:id="rId240" ref="E276"/>
    <hyperlink r:id="rId241" ref="E277"/>
    <hyperlink r:id="rId242" ref="E278"/>
    <hyperlink r:id="rId243" ref="E279"/>
    <hyperlink r:id="rId244" ref="E280"/>
    <hyperlink r:id="rId245" ref="E281"/>
    <hyperlink r:id="rId246" ref="E282"/>
    <hyperlink r:id="rId247" ref="E283"/>
    <hyperlink r:id="rId248" ref="E284"/>
    <hyperlink r:id="rId249" ref="E285"/>
    <hyperlink r:id="rId250" ref="E286"/>
    <hyperlink r:id="rId251" ref="E289"/>
    <hyperlink r:id="rId252" ref="E290"/>
    <hyperlink r:id="rId253" ref="E291"/>
    <hyperlink r:id="rId254" ref="E292"/>
    <hyperlink r:id="rId255" ref="E293"/>
    <hyperlink r:id="rId256" ref="E294"/>
    <hyperlink r:id="rId257" ref="E295"/>
    <hyperlink r:id="rId258" ref="E296"/>
    <hyperlink r:id="rId259" ref="E297"/>
    <hyperlink r:id="rId260" ref="E298"/>
    <hyperlink r:id="rId261" ref="E299"/>
    <hyperlink r:id="rId262" ref="E300"/>
    <hyperlink r:id="rId263" ref="E301"/>
    <hyperlink r:id="rId264" ref="E302"/>
    <hyperlink r:id="rId265" ref="E303"/>
    <hyperlink r:id="rId266" ref="E304"/>
    <hyperlink r:id="rId267" ref="E305"/>
    <hyperlink r:id="rId268" ref="E306"/>
    <hyperlink r:id="rId269" ref="E307"/>
    <hyperlink r:id="rId270" ref="E308"/>
    <hyperlink r:id="rId271" ref="E311"/>
    <hyperlink r:id="rId272" ref="E312"/>
    <hyperlink r:id="rId273" ref="E313"/>
    <hyperlink r:id="rId274" ref="E314"/>
    <hyperlink r:id="rId275" ref="E315"/>
    <hyperlink r:id="rId276" ref="E316"/>
    <hyperlink r:id="rId277" ref="E317"/>
    <hyperlink r:id="rId278" ref="E318"/>
    <hyperlink r:id="rId279" ref="E319"/>
    <hyperlink r:id="rId280" ref="E320"/>
    <hyperlink r:id="rId281" ref="E321"/>
    <hyperlink r:id="rId282" ref="E322"/>
    <hyperlink r:id="rId283" ref="E323"/>
    <hyperlink r:id="rId284" ref="E324"/>
    <hyperlink r:id="rId285" ref="E325"/>
    <hyperlink r:id="rId286" ref="E326"/>
    <hyperlink r:id="rId287" ref="E327"/>
    <hyperlink r:id="rId288" ref="E328"/>
    <hyperlink r:id="rId289" ref="E329"/>
    <hyperlink r:id="rId290" ref="E330"/>
    <hyperlink r:id="rId291" ref="E333"/>
    <hyperlink r:id="rId292" ref="E334"/>
    <hyperlink r:id="rId293" ref="E335"/>
    <hyperlink r:id="rId294" ref="E336"/>
    <hyperlink r:id="rId295" ref="E337"/>
    <hyperlink r:id="rId296" ref="E338"/>
    <hyperlink r:id="rId297" ref="E339"/>
    <hyperlink r:id="rId298" ref="E340"/>
    <hyperlink r:id="rId299" ref="E341"/>
    <hyperlink r:id="rId300" ref="E342"/>
    <hyperlink r:id="rId301" ref="E343"/>
    <hyperlink r:id="rId302" ref="E344"/>
    <hyperlink r:id="rId303" ref="E345"/>
    <hyperlink r:id="rId304" ref="E346"/>
    <hyperlink r:id="rId305" ref="E347"/>
    <hyperlink r:id="rId306" ref="E348"/>
    <hyperlink r:id="rId307" ref="E349"/>
    <hyperlink r:id="rId308" ref="E350"/>
    <hyperlink r:id="rId309" ref="E351"/>
    <hyperlink r:id="rId310" ref="E352"/>
  </hyperlinks>
  <drawing r:id="rId31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/>
      <c r="B1" s="1" t="s">
        <v>0</v>
      </c>
      <c r="C1" s="2"/>
      <c r="D1" s="3"/>
      <c r="E1" s="29"/>
    </row>
    <row r="2">
      <c r="A2" s="66"/>
      <c r="B2" s="6" t="s">
        <v>2</v>
      </c>
      <c r="C2" s="6" t="s">
        <v>3</v>
      </c>
      <c r="D2" s="6" t="s">
        <v>4</v>
      </c>
      <c r="E2" s="6" t="s">
        <v>5</v>
      </c>
    </row>
    <row r="3">
      <c r="A3" s="66"/>
      <c r="B3" s="32" t="s">
        <v>1941</v>
      </c>
      <c r="C3" s="35" t="s">
        <v>72</v>
      </c>
      <c r="D3" s="34" t="s">
        <v>1895</v>
      </c>
      <c r="E3" s="11" t="s">
        <v>33</v>
      </c>
    </row>
    <row r="4">
      <c r="A4" s="66"/>
      <c r="B4" s="32" t="s">
        <v>1942</v>
      </c>
      <c r="C4" s="35" t="s">
        <v>43</v>
      </c>
      <c r="D4" s="32" t="s">
        <v>1943</v>
      </c>
      <c r="E4" s="11" t="s">
        <v>37</v>
      </c>
    </row>
    <row r="5">
      <c r="A5" s="66"/>
      <c r="B5" s="34" t="s">
        <v>1944</v>
      </c>
      <c r="C5" s="35" t="s">
        <v>16</v>
      </c>
      <c r="D5" s="32" t="s">
        <v>1941</v>
      </c>
      <c r="E5" s="11" t="s">
        <v>33</v>
      </c>
    </row>
    <row r="6">
      <c r="A6" s="66"/>
      <c r="B6" s="32" t="s">
        <v>1942</v>
      </c>
      <c r="C6" s="35" t="s">
        <v>16</v>
      </c>
      <c r="D6" s="34" t="s">
        <v>1895</v>
      </c>
      <c r="E6" s="11" t="s">
        <v>37</v>
      </c>
    </row>
    <row r="7">
      <c r="A7" s="66"/>
      <c r="B7" s="34" t="s">
        <v>1944</v>
      </c>
      <c r="C7" s="35" t="s">
        <v>45</v>
      </c>
      <c r="D7" s="32" t="s">
        <v>1943</v>
      </c>
      <c r="E7" s="11" t="s">
        <v>33</v>
      </c>
    </row>
    <row r="8">
      <c r="A8" s="66"/>
      <c r="B8" s="32" t="s">
        <v>1942</v>
      </c>
      <c r="C8" s="35" t="s">
        <v>273</v>
      </c>
      <c r="D8" s="32" t="s">
        <v>1941</v>
      </c>
      <c r="E8" s="11" t="s">
        <v>37</v>
      </c>
    </row>
    <row r="9">
      <c r="A9" s="66"/>
      <c r="B9" s="34" t="s">
        <v>1944</v>
      </c>
      <c r="C9" s="35" t="s">
        <v>190</v>
      </c>
      <c r="D9" s="34" t="s">
        <v>1895</v>
      </c>
      <c r="E9" s="11" t="s">
        <v>33</v>
      </c>
    </row>
    <row r="10">
      <c r="A10" s="66"/>
      <c r="B10" s="32" t="s">
        <v>1943</v>
      </c>
      <c r="C10" s="35" t="s">
        <v>857</v>
      </c>
      <c r="D10" s="32" t="s">
        <v>1941</v>
      </c>
      <c r="E10" s="11" t="s">
        <v>37</v>
      </c>
    </row>
    <row r="11">
      <c r="A11" s="66"/>
      <c r="B11" s="34" t="s">
        <v>1944</v>
      </c>
      <c r="C11" s="35" t="s">
        <v>16</v>
      </c>
      <c r="D11" s="32" t="s">
        <v>1942</v>
      </c>
      <c r="E11" s="11" t="s">
        <v>33</v>
      </c>
    </row>
    <row r="12">
      <c r="A12" s="66"/>
      <c r="B12" s="32" t="s">
        <v>1943</v>
      </c>
      <c r="C12" s="35" t="s">
        <v>88</v>
      </c>
      <c r="D12" s="34" t="s">
        <v>1895</v>
      </c>
      <c r="E12" s="11" t="s">
        <v>37</v>
      </c>
    </row>
    <row r="13">
      <c r="A13" s="66"/>
      <c r="B13" s="34" t="s">
        <v>1895</v>
      </c>
      <c r="C13" s="35" t="s">
        <v>25</v>
      </c>
      <c r="D13" s="32" t="s">
        <v>1941</v>
      </c>
      <c r="E13" s="11" t="s">
        <v>33</v>
      </c>
    </row>
    <row r="14">
      <c r="A14" s="66"/>
      <c r="B14" s="32" t="s">
        <v>1943</v>
      </c>
      <c r="C14" s="35" t="s">
        <v>578</v>
      </c>
      <c r="D14" s="32" t="s">
        <v>1942</v>
      </c>
      <c r="E14" s="11" t="s">
        <v>37</v>
      </c>
    </row>
    <row r="15">
      <c r="A15" s="66"/>
      <c r="B15" s="32" t="s">
        <v>1941</v>
      </c>
      <c r="C15" s="35" t="s">
        <v>947</v>
      </c>
      <c r="D15" s="34" t="s">
        <v>1944</v>
      </c>
      <c r="E15" s="11" t="s">
        <v>33</v>
      </c>
    </row>
    <row r="16">
      <c r="A16" s="66"/>
      <c r="B16" s="34" t="s">
        <v>1895</v>
      </c>
      <c r="C16" s="35" t="s">
        <v>19</v>
      </c>
      <c r="D16" s="32" t="s">
        <v>1942</v>
      </c>
      <c r="E16" s="11" t="s">
        <v>37</v>
      </c>
    </row>
    <row r="17">
      <c r="A17" s="66"/>
      <c r="B17" s="32" t="s">
        <v>1943</v>
      </c>
      <c r="C17" s="35" t="s">
        <v>240</v>
      </c>
      <c r="D17" s="34" t="s">
        <v>1944</v>
      </c>
      <c r="E17" s="11" t="s">
        <v>33</v>
      </c>
    </row>
    <row r="18">
      <c r="A18" s="66"/>
      <c r="B18" s="32" t="s">
        <v>1941</v>
      </c>
      <c r="C18" s="35" t="s">
        <v>88</v>
      </c>
      <c r="D18" s="32" t="s">
        <v>1942</v>
      </c>
      <c r="E18" s="11" t="s">
        <v>37</v>
      </c>
    </row>
    <row r="19">
      <c r="A19" s="66"/>
      <c r="B19" s="34" t="s">
        <v>1895</v>
      </c>
      <c r="C19" s="35" t="s">
        <v>195</v>
      </c>
      <c r="D19" s="34" t="s">
        <v>1944</v>
      </c>
      <c r="E19" s="11" t="s">
        <v>33</v>
      </c>
    </row>
    <row r="20">
      <c r="A20" s="66"/>
      <c r="B20" s="32" t="s">
        <v>1941</v>
      </c>
      <c r="C20" s="35" t="s">
        <v>88</v>
      </c>
      <c r="D20" s="32" t="s">
        <v>1943</v>
      </c>
      <c r="E20" s="11" t="s">
        <v>37</v>
      </c>
    </row>
    <row r="21">
      <c r="A21" s="66"/>
      <c r="B21" s="32" t="s">
        <v>1942</v>
      </c>
      <c r="C21" s="35" t="s">
        <v>282</v>
      </c>
      <c r="D21" s="34" t="s">
        <v>1944</v>
      </c>
      <c r="E21" s="11" t="s">
        <v>33</v>
      </c>
    </row>
    <row r="22">
      <c r="A22" s="66"/>
      <c r="B22" s="34" t="s">
        <v>1895</v>
      </c>
      <c r="C22" s="35" t="s">
        <v>64</v>
      </c>
      <c r="D22" s="32" t="s">
        <v>1943</v>
      </c>
      <c r="E22" s="11" t="s">
        <v>37</v>
      </c>
    </row>
    <row r="23">
      <c r="A23" s="66"/>
      <c r="B23" s="1" t="s">
        <v>1321</v>
      </c>
      <c r="C23" s="2"/>
      <c r="D23" s="3"/>
      <c r="E23" s="48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1127</v>
      </c>
      <c r="C25" s="33" t="s">
        <v>23</v>
      </c>
      <c r="D25" s="32" t="s">
        <v>1780</v>
      </c>
      <c r="E25" s="11" t="s">
        <v>9</v>
      </c>
    </row>
    <row r="26">
      <c r="A26" s="66"/>
      <c r="B26" s="32" t="s">
        <v>1779</v>
      </c>
      <c r="C26" s="33" t="s">
        <v>31</v>
      </c>
      <c r="D26" s="32" t="s">
        <v>1945</v>
      </c>
      <c r="E26" s="11" t="s">
        <v>13</v>
      </c>
    </row>
    <row r="27">
      <c r="A27" s="66"/>
      <c r="B27" s="34" t="s">
        <v>1946</v>
      </c>
      <c r="C27" s="33" t="s">
        <v>352</v>
      </c>
      <c r="D27" s="34" t="s">
        <v>1127</v>
      </c>
      <c r="E27" s="11" t="s">
        <v>9</v>
      </c>
    </row>
    <row r="28">
      <c r="A28" s="66"/>
      <c r="B28" s="32" t="s">
        <v>1779</v>
      </c>
      <c r="C28" s="33" t="s">
        <v>196</v>
      </c>
      <c r="D28" s="32" t="s">
        <v>1780</v>
      </c>
      <c r="E28" s="11" t="s">
        <v>13</v>
      </c>
    </row>
    <row r="29">
      <c r="A29" s="66"/>
      <c r="B29" s="34" t="s">
        <v>1946</v>
      </c>
      <c r="C29" s="33" t="s">
        <v>193</v>
      </c>
      <c r="D29" s="32" t="s">
        <v>1945</v>
      </c>
      <c r="E29" s="11" t="s">
        <v>9</v>
      </c>
    </row>
    <row r="30">
      <c r="A30" s="66"/>
      <c r="B30" s="32" t="s">
        <v>1779</v>
      </c>
      <c r="C30" s="33" t="s">
        <v>68</v>
      </c>
      <c r="D30" s="34" t="s">
        <v>1127</v>
      </c>
      <c r="E30" s="11" t="s">
        <v>13</v>
      </c>
    </row>
    <row r="31">
      <c r="A31" s="66"/>
      <c r="B31" s="34" t="s">
        <v>1946</v>
      </c>
      <c r="C31" s="33" t="s">
        <v>218</v>
      </c>
      <c r="D31" s="32" t="s">
        <v>1780</v>
      </c>
      <c r="E31" s="11" t="s">
        <v>9</v>
      </c>
    </row>
    <row r="32">
      <c r="A32" s="66"/>
      <c r="B32" s="32" t="s">
        <v>1945</v>
      </c>
      <c r="C32" s="33" t="s">
        <v>857</v>
      </c>
      <c r="D32" s="34" t="s">
        <v>1127</v>
      </c>
      <c r="E32" s="11" t="s">
        <v>13</v>
      </c>
    </row>
    <row r="33">
      <c r="A33" s="66"/>
      <c r="B33" s="34" t="s">
        <v>1946</v>
      </c>
      <c r="C33" s="33" t="s">
        <v>26</v>
      </c>
      <c r="D33" s="32" t="s">
        <v>1779</v>
      </c>
      <c r="E33" s="11" t="s">
        <v>9</v>
      </c>
    </row>
    <row r="34">
      <c r="A34" s="66"/>
      <c r="B34" s="32" t="s">
        <v>1945</v>
      </c>
      <c r="C34" s="33" t="s">
        <v>201</v>
      </c>
      <c r="D34" s="32" t="s">
        <v>1780</v>
      </c>
      <c r="E34" s="11" t="s">
        <v>13</v>
      </c>
    </row>
    <row r="35">
      <c r="A35" s="66"/>
      <c r="B35" s="32" t="s">
        <v>1780</v>
      </c>
      <c r="C35" s="33" t="s">
        <v>302</v>
      </c>
      <c r="D35" s="34" t="s">
        <v>1127</v>
      </c>
      <c r="E35" s="11" t="s">
        <v>9</v>
      </c>
    </row>
    <row r="36">
      <c r="A36" s="66"/>
      <c r="B36" s="32" t="s">
        <v>1945</v>
      </c>
      <c r="C36" s="33" t="s">
        <v>282</v>
      </c>
      <c r="D36" s="32" t="s">
        <v>1779</v>
      </c>
      <c r="E36" s="11" t="s">
        <v>13</v>
      </c>
    </row>
    <row r="37">
      <c r="A37" s="66"/>
      <c r="B37" s="34" t="s">
        <v>1127</v>
      </c>
      <c r="C37" s="35" t="s">
        <v>218</v>
      </c>
      <c r="D37" s="34" t="s">
        <v>1946</v>
      </c>
      <c r="E37" s="11" t="s">
        <v>9</v>
      </c>
    </row>
    <row r="38">
      <c r="A38" s="66"/>
      <c r="B38" s="32" t="s">
        <v>1780</v>
      </c>
      <c r="C38" s="35" t="s">
        <v>87</v>
      </c>
      <c r="D38" s="32" t="s">
        <v>1779</v>
      </c>
      <c r="E38" s="11" t="s">
        <v>13</v>
      </c>
    </row>
    <row r="39">
      <c r="A39" s="66"/>
      <c r="B39" s="32" t="s">
        <v>1945</v>
      </c>
      <c r="C39" s="35" t="s">
        <v>52</v>
      </c>
      <c r="D39" s="34" t="s">
        <v>1946</v>
      </c>
      <c r="E39" s="11" t="s">
        <v>9</v>
      </c>
    </row>
    <row r="40">
      <c r="A40" s="66"/>
      <c r="B40" s="34" t="s">
        <v>1127</v>
      </c>
      <c r="C40" s="35" t="s">
        <v>193</v>
      </c>
      <c r="D40" s="32" t="s">
        <v>1779</v>
      </c>
      <c r="E40" s="11" t="s">
        <v>13</v>
      </c>
    </row>
    <row r="41">
      <c r="A41" s="66"/>
      <c r="B41" s="32" t="s">
        <v>1780</v>
      </c>
      <c r="C41" s="35" t="s">
        <v>81</v>
      </c>
      <c r="D41" s="34" t="s">
        <v>1946</v>
      </c>
      <c r="E41" s="11" t="s">
        <v>9</v>
      </c>
    </row>
    <row r="42">
      <c r="A42" s="66"/>
      <c r="B42" s="34" t="s">
        <v>1127</v>
      </c>
      <c r="C42" s="35" t="s">
        <v>88</v>
      </c>
      <c r="D42" s="32" t="s">
        <v>1945</v>
      </c>
      <c r="E42" s="11" t="s">
        <v>13</v>
      </c>
    </row>
    <row r="43">
      <c r="A43" s="66"/>
      <c r="B43" s="32" t="s">
        <v>1779</v>
      </c>
      <c r="C43" s="35" t="s">
        <v>231</v>
      </c>
      <c r="D43" s="34" t="s">
        <v>1946</v>
      </c>
      <c r="E43" s="11" t="s">
        <v>9</v>
      </c>
    </row>
    <row r="44">
      <c r="A44" s="67"/>
      <c r="B44" s="32" t="s">
        <v>1780</v>
      </c>
      <c r="C44" s="35" t="s">
        <v>42</v>
      </c>
      <c r="D44" s="32" t="s">
        <v>1945</v>
      </c>
      <c r="E44" s="11" t="s">
        <v>13</v>
      </c>
    </row>
    <row r="45">
      <c r="B45" s="1" t="s">
        <v>1327</v>
      </c>
      <c r="C45" s="2"/>
      <c r="D45" s="3"/>
      <c r="E45" s="14"/>
    </row>
    <row r="46">
      <c r="B46" s="16" t="s">
        <v>2</v>
      </c>
      <c r="C46" s="16" t="s">
        <v>3</v>
      </c>
      <c r="D46" s="16" t="s">
        <v>4</v>
      </c>
      <c r="E46" s="16" t="s">
        <v>5</v>
      </c>
    </row>
    <row r="47">
      <c r="B47" s="32" t="s">
        <v>1947</v>
      </c>
      <c r="C47" s="35" t="s">
        <v>260</v>
      </c>
      <c r="D47" s="32" t="s">
        <v>1840</v>
      </c>
      <c r="E47" s="11" t="s">
        <v>33</v>
      </c>
    </row>
    <row r="48">
      <c r="B48" s="32" t="s">
        <v>1721</v>
      </c>
      <c r="C48" s="35" t="s">
        <v>190</v>
      </c>
      <c r="D48" s="32" t="s">
        <v>1948</v>
      </c>
      <c r="E48" s="11" t="s">
        <v>37</v>
      </c>
    </row>
    <row r="49">
      <c r="B49" s="32" t="s">
        <v>1949</v>
      </c>
      <c r="C49" s="35" t="s">
        <v>273</v>
      </c>
      <c r="D49" s="32" t="s">
        <v>1947</v>
      </c>
      <c r="E49" s="11" t="s">
        <v>33</v>
      </c>
    </row>
    <row r="50">
      <c r="B50" s="32" t="s">
        <v>1721</v>
      </c>
      <c r="C50" s="35" t="s">
        <v>270</v>
      </c>
      <c r="D50" s="32" t="s">
        <v>1840</v>
      </c>
      <c r="E50" s="11" t="s">
        <v>37</v>
      </c>
    </row>
    <row r="51">
      <c r="B51" s="32" t="s">
        <v>1949</v>
      </c>
      <c r="C51" s="35" t="s">
        <v>17</v>
      </c>
      <c r="D51" s="32" t="s">
        <v>1948</v>
      </c>
      <c r="E51" s="11" t="s">
        <v>33</v>
      </c>
    </row>
    <row r="52">
      <c r="B52" s="32" t="s">
        <v>1721</v>
      </c>
      <c r="C52" s="35" t="s">
        <v>435</v>
      </c>
      <c r="D52" s="32" t="s">
        <v>1947</v>
      </c>
      <c r="E52" s="11" t="s">
        <v>37</v>
      </c>
    </row>
    <row r="53">
      <c r="B53" s="32" t="s">
        <v>1949</v>
      </c>
      <c r="C53" s="35" t="s">
        <v>286</v>
      </c>
      <c r="D53" s="32" t="s">
        <v>1840</v>
      </c>
      <c r="E53" s="11" t="s">
        <v>33</v>
      </c>
    </row>
    <row r="54">
      <c r="B54" s="32" t="s">
        <v>1948</v>
      </c>
      <c r="C54" s="35" t="s">
        <v>412</v>
      </c>
      <c r="D54" s="32" t="s">
        <v>1947</v>
      </c>
      <c r="E54" s="11" t="s">
        <v>37</v>
      </c>
    </row>
    <row r="55">
      <c r="B55" s="32" t="s">
        <v>1949</v>
      </c>
      <c r="C55" s="35" t="s">
        <v>196</v>
      </c>
      <c r="D55" s="32" t="s">
        <v>1721</v>
      </c>
      <c r="E55" s="11" t="s">
        <v>33</v>
      </c>
    </row>
    <row r="56">
      <c r="B56" s="32" t="s">
        <v>1948</v>
      </c>
      <c r="C56" s="35" t="s">
        <v>14</v>
      </c>
      <c r="D56" s="32" t="s">
        <v>1840</v>
      </c>
      <c r="E56" s="11" t="s">
        <v>37</v>
      </c>
      <c r="H56" s="36"/>
    </row>
    <row r="57">
      <c r="B57" s="32" t="s">
        <v>1840</v>
      </c>
      <c r="C57" s="35" t="s">
        <v>16</v>
      </c>
      <c r="D57" s="32" t="s">
        <v>1947</v>
      </c>
      <c r="E57" s="11" t="s">
        <v>33</v>
      </c>
    </row>
    <row r="58">
      <c r="B58" s="32" t="s">
        <v>1948</v>
      </c>
      <c r="C58" s="35" t="s">
        <v>460</v>
      </c>
      <c r="D58" s="32" t="s">
        <v>1721</v>
      </c>
      <c r="E58" s="11" t="s">
        <v>37</v>
      </c>
    </row>
    <row r="59">
      <c r="B59" s="32" t="s">
        <v>1947</v>
      </c>
      <c r="C59" s="35" t="s">
        <v>566</v>
      </c>
      <c r="D59" s="32" t="s">
        <v>1949</v>
      </c>
      <c r="E59" s="11" t="s">
        <v>33</v>
      </c>
    </row>
    <row r="60">
      <c r="B60" s="32" t="s">
        <v>1840</v>
      </c>
      <c r="C60" s="35" t="s">
        <v>416</v>
      </c>
      <c r="D60" s="32" t="s">
        <v>1721</v>
      </c>
      <c r="E60" s="11" t="s">
        <v>37</v>
      </c>
    </row>
    <row r="61">
      <c r="B61" s="32" t="s">
        <v>1948</v>
      </c>
      <c r="C61" s="35" t="s">
        <v>66</v>
      </c>
      <c r="D61" s="32" t="s">
        <v>1949</v>
      </c>
      <c r="E61" s="11" t="s">
        <v>33</v>
      </c>
    </row>
    <row r="62">
      <c r="B62" s="32" t="s">
        <v>1947</v>
      </c>
      <c r="C62" s="35" t="s">
        <v>45</v>
      </c>
      <c r="D62" s="32" t="s">
        <v>1721</v>
      </c>
      <c r="E62" s="11" t="s">
        <v>37</v>
      </c>
    </row>
    <row r="63">
      <c r="B63" s="32" t="s">
        <v>1840</v>
      </c>
      <c r="C63" s="35" t="s">
        <v>16</v>
      </c>
      <c r="D63" s="32" t="s">
        <v>1949</v>
      </c>
      <c r="E63" s="11" t="s">
        <v>33</v>
      </c>
    </row>
    <row r="64">
      <c r="B64" s="32" t="s">
        <v>1947</v>
      </c>
      <c r="C64" s="35" t="s">
        <v>49</v>
      </c>
      <c r="D64" s="32" t="s">
        <v>1948</v>
      </c>
      <c r="E64" s="11" t="s">
        <v>37</v>
      </c>
    </row>
    <row r="65">
      <c r="B65" s="32" t="s">
        <v>1721</v>
      </c>
      <c r="C65" s="35" t="s">
        <v>81</v>
      </c>
      <c r="D65" s="32" t="s">
        <v>1949</v>
      </c>
      <c r="E65" s="11" t="s">
        <v>33</v>
      </c>
    </row>
    <row r="66">
      <c r="B66" s="32" t="s">
        <v>1840</v>
      </c>
      <c r="C66" s="35" t="s">
        <v>64</v>
      </c>
      <c r="D66" s="32" t="s">
        <v>1948</v>
      </c>
      <c r="E66" s="11" t="s">
        <v>37</v>
      </c>
    </row>
    <row r="67">
      <c r="B67" s="1" t="s">
        <v>1331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16" t="s">
        <v>5</v>
      </c>
    </row>
    <row r="69">
      <c r="B69" s="32" t="s">
        <v>1950</v>
      </c>
      <c r="C69" s="33" t="s">
        <v>196</v>
      </c>
      <c r="D69" s="32" t="s">
        <v>1657</v>
      </c>
      <c r="E69" s="11" t="s">
        <v>9</v>
      </c>
    </row>
    <row r="70">
      <c r="B70" s="32" t="s">
        <v>1904</v>
      </c>
      <c r="C70" s="33" t="s">
        <v>16</v>
      </c>
      <c r="D70" s="32" t="s">
        <v>1706</v>
      </c>
      <c r="E70" s="11" t="s">
        <v>13</v>
      </c>
    </row>
    <row r="71">
      <c r="B71" s="32" t="s">
        <v>1951</v>
      </c>
      <c r="C71" s="33" t="s">
        <v>1952</v>
      </c>
      <c r="D71" s="32" t="s">
        <v>1950</v>
      </c>
      <c r="E71" s="11" t="s">
        <v>9</v>
      </c>
    </row>
    <row r="72">
      <c r="B72" s="32" t="s">
        <v>1904</v>
      </c>
      <c r="C72" s="33" t="s">
        <v>195</v>
      </c>
      <c r="D72" s="32" t="s">
        <v>1657</v>
      </c>
      <c r="E72" s="11" t="s">
        <v>13</v>
      </c>
    </row>
    <row r="73">
      <c r="B73" s="32" t="s">
        <v>1951</v>
      </c>
      <c r="C73" s="33" t="s">
        <v>369</v>
      </c>
      <c r="D73" s="32" t="s">
        <v>1706</v>
      </c>
      <c r="E73" s="11" t="s">
        <v>9</v>
      </c>
    </row>
    <row r="74">
      <c r="B74" s="32" t="s">
        <v>1904</v>
      </c>
      <c r="C74" s="33" t="s">
        <v>201</v>
      </c>
      <c r="D74" s="32" t="s">
        <v>1950</v>
      </c>
      <c r="E74" s="11" t="s">
        <v>13</v>
      </c>
    </row>
    <row r="75">
      <c r="B75" s="32" t="s">
        <v>1951</v>
      </c>
      <c r="C75" s="33" t="s">
        <v>232</v>
      </c>
      <c r="D75" s="32" t="s">
        <v>1657</v>
      </c>
      <c r="E75" s="11" t="s">
        <v>9</v>
      </c>
    </row>
    <row r="76">
      <c r="B76" s="32" t="s">
        <v>1706</v>
      </c>
      <c r="C76" s="33" t="s">
        <v>49</v>
      </c>
      <c r="D76" s="32" t="s">
        <v>1950</v>
      </c>
      <c r="E76" s="11" t="s">
        <v>13</v>
      </c>
    </row>
    <row r="77">
      <c r="B77" s="32" t="s">
        <v>1951</v>
      </c>
      <c r="C77" s="33" t="s">
        <v>543</v>
      </c>
      <c r="D77" s="32" t="s">
        <v>1904</v>
      </c>
      <c r="E77" s="11" t="s">
        <v>9</v>
      </c>
    </row>
    <row r="78">
      <c r="B78" s="32" t="s">
        <v>1706</v>
      </c>
      <c r="C78" s="33" t="s">
        <v>993</v>
      </c>
      <c r="D78" s="32" t="s">
        <v>1657</v>
      </c>
      <c r="E78" s="11" t="s">
        <v>13</v>
      </c>
    </row>
    <row r="79">
      <c r="B79" s="32" t="s">
        <v>1657</v>
      </c>
      <c r="C79" s="33" t="s">
        <v>196</v>
      </c>
      <c r="D79" s="32" t="s">
        <v>1950</v>
      </c>
      <c r="E79" s="11" t="s">
        <v>9</v>
      </c>
    </row>
    <row r="80">
      <c r="B80" s="32" t="s">
        <v>1706</v>
      </c>
      <c r="C80" s="33" t="s">
        <v>81</v>
      </c>
      <c r="D80" s="32" t="s">
        <v>1904</v>
      </c>
      <c r="E80" s="11" t="s">
        <v>13</v>
      </c>
    </row>
    <row r="81">
      <c r="B81" s="32" t="s">
        <v>1950</v>
      </c>
      <c r="C81" s="35" t="s">
        <v>19</v>
      </c>
      <c r="D81" s="32" t="s">
        <v>1951</v>
      </c>
      <c r="E81" s="11" t="s">
        <v>9</v>
      </c>
    </row>
    <row r="82">
      <c r="B82" s="32" t="s">
        <v>1657</v>
      </c>
      <c r="C82" s="35" t="s">
        <v>66</v>
      </c>
      <c r="D82" s="32" t="s">
        <v>1904</v>
      </c>
      <c r="E82" s="11" t="s">
        <v>13</v>
      </c>
    </row>
    <row r="83">
      <c r="B83" s="32" t="s">
        <v>1706</v>
      </c>
      <c r="C83" s="35" t="s">
        <v>829</v>
      </c>
      <c r="D83" s="32" t="s">
        <v>1951</v>
      </c>
      <c r="E83" s="11" t="s">
        <v>9</v>
      </c>
    </row>
    <row r="84">
      <c r="B84" s="32" t="s">
        <v>1950</v>
      </c>
      <c r="C84" s="35" t="s">
        <v>66</v>
      </c>
      <c r="D84" s="32" t="s">
        <v>1904</v>
      </c>
      <c r="E84" s="11" t="s">
        <v>13</v>
      </c>
    </row>
    <row r="85">
      <c r="B85" s="32" t="s">
        <v>1657</v>
      </c>
      <c r="C85" s="35" t="s">
        <v>49</v>
      </c>
      <c r="D85" s="32" t="s">
        <v>1951</v>
      </c>
      <c r="E85" s="11" t="s">
        <v>9</v>
      </c>
    </row>
    <row r="86">
      <c r="B86" s="32" t="s">
        <v>1950</v>
      </c>
      <c r="C86" s="35" t="s">
        <v>44</v>
      </c>
      <c r="D86" s="32" t="s">
        <v>1706</v>
      </c>
      <c r="E86" s="11" t="s">
        <v>13</v>
      </c>
    </row>
    <row r="87">
      <c r="B87" s="32" t="s">
        <v>1904</v>
      </c>
      <c r="C87" s="35" t="s">
        <v>66</v>
      </c>
      <c r="D87" s="32" t="s">
        <v>1951</v>
      </c>
      <c r="E87" s="11" t="s">
        <v>9</v>
      </c>
    </row>
    <row r="88">
      <c r="B88" s="32" t="s">
        <v>1657</v>
      </c>
      <c r="C88" s="35" t="s">
        <v>83</v>
      </c>
      <c r="D88" s="32" t="s">
        <v>1706</v>
      </c>
      <c r="E88" s="11" t="s">
        <v>13</v>
      </c>
    </row>
    <row r="89">
      <c r="B89" s="1" t="s">
        <v>1659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16" t="s">
        <v>5</v>
      </c>
    </row>
    <row r="91">
      <c r="B91" s="32" t="s">
        <v>549</v>
      </c>
      <c r="C91" s="35" t="s">
        <v>195</v>
      </c>
      <c r="D91" s="32" t="s">
        <v>697</v>
      </c>
      <c r="E91" s="11" t="s">
        <v>9</v>
      </c>
    </row>
    <row r="92">
      <c r="B92" s="32" t="s">
        <v>546</v>
      </c>
      <c r="C92" s="35" t="s">
        <v>835</v>
      </c>
      <c r="D92" s="32" t="s">
        <v>1015</v>
      </c>
      <c r="E92" s="11" t="s">
        <v>13</v>
      </c>
    </row>
    <row r="93">
      <c r="B93" s="32" t="s">
        <v>940</v>
      </c>
      <c r="C93" s="35" t="s">
        <v>270</v>
      </c>
      <c r="D93" s="32" t="s">
        <v>549</v>
      </c>
      <c r="E93" s="11" t="s">
        <v>9</v>
      </c>
    </row>
    <row r="94">
      <c r="B94" s="32" t="s">
        <v>546</v>
      </c>
      <c r="C94" s="35" t="s">
        <v>196</v>
      </c>
      <c r="D94" s="32" t="s">
        <v>697</v>
      </c>
      <c r="E94" s="11" t="s">
        <v>13</v>
      </c>
    </row>
    <row r="95">
      <c r="B95" s="32" t="s">
        <v>940</v>
      </c>
      <c r="C95" s="35" t="s">
        <v>43</v>
      </c>
      <c r="D95" s="32" t="s">
        <v>1015</v>
      </c>
      <c r="E95" s="11" t="s">
        <v>9</v>
      </c>
    </row>
    <row r="96">
      <c r="B96" s="32" t="s">
        <v>546</v>
      </c>
      <c r="C96" s="35" t="s">
        <v>201</v>
      </c>
      <c r="D96" s="32" t="s">
        <v>549</v>
      </c>
      <c r="E96" s="11" t="s">
        <v>13</v>
      </c>
    </row>
    <row r="97">
      <c r="B97" s="32" t="s">
        <v>940</v>
      </c>
      <c r="C97" s="35" t="s">
        <v>22</v>
      </c>
      <c r="D97" s="32" t="s">
        <v>697</v>
      </c>
      <c r="E97" s="11" t="s">
        <v>9</v>
      </c>
    </row>
    <row r="98">
      <c r="B98" s="32" t="s">
        <v>1015</v>
      </c>
      <c r="C98" s="35" t="s">
        <v>273</v>
      </c>
      <c r="D98" s="32" t="s">
        <v>549</v>
      </c>
      <c r="E98" s="11" t="s">
        <v>13</v>
      </c>
    </row>
    <row r="99">
      <c r="B99" s="32" t="s">
        <v>940</v>
      </c>
      <c r="C99" s="35" t="s">
        <v>1953</v>
      </c>
      <c r="D99" s="32" t="s">
        <v>546</v>
      </c>
      <c r="E99" s="11" t="s">
        <v>9</v>
      </c>
    </row>
    <row r="100">
      <c r="B100" s="32" t="s">
        <v>1015</v>
      </c>
      <c r="C100" s="35" t="s">
        <v>11</v>
      </c>
      <c r="D100" s="32" t="s">
        <v>697</v>
      </c>
      <c r="E100" s="11" t="s">
        <v>13</v>
      </c>
    </row>
    <row r="101">
      <c r="B101" s="32" t="s">
        <v>697</v>
      </c>
      <c r="C101" s="35" t="s">
        <v>277</v>
      </c>
      <c r="D101" s="32" t="s">
        <v>549</v>
      </c>
      <c r="E101" s="11" t="s">
        <v>9</v>
      </c>
    </row>
    <row r="102">
      <c r="B102" s="32" t="s">
        <v>1015</v>
      </c>
      <c r="C102" s="35" t="s">
        <v>81</v>
      </c>
      <c r="D102" s="32" t="s">
        <v>546</v>
      </c>
      <c r="E102" s="11" t="s">
        <v>13</v>
      </c>
    </row>
    <row r="103">
      <c r="B103" s="32" t="s">
        <v>549</v>
      </c>
      <c r="C103" s="35" t="s">
        <v>19</v>
      </c>
      <c r="D103" s="32" t="s">
        <v>940</v>
      </c>
      <c r="E103" s="11" t="s">
        <v>9</v>
      </c>
    </row>
    <row r="104">
      <c r="B104" s="32" t="s">
        <v>697</v>
      </c>
      <c r="C104" s="35" t="s">
        <v>22</v>
      </c>
      <c r="D104" s="32" t="s">
        <v>546</v>
      </c>
      <c r="E104" s="11" t="s">
        <v>13</v>
      </c>
    </row>
    <row r="105">
      <c r="B105" s="32" t="s">
        <v>1015</v>
      </c>
      <c r="C105" s="35" t="s">
        <v>250</v>
      </c>
      <c r="D105" s="32" t="s">
        <v>940</v>
      </c>
      <c r="E105" s="11" t="s">
        <v>9</v>
      </c>
    </row>
    <row r="106">
      <c r="B106" s="32" t="s">
        <v>549</v>
      </c>
      <c r="C106" s="35" t="s">
        <v>25</v>
      </c>
      <c r="D106" s="32" t="s">
        <v>546</v>
      </c>
      <c r="E106" s="11" t="s">
        <v>13</v>
      </c>
    </row>
    <row r="107">
      <c r="B107" s="32" t="s">
        <v>697</v>
      </c>
      <c r="C107" s="35" t="s">
        <v>66</v>
      </c>
      <c r="D107" s="32" t="s">
        <v>940</v>
      </c>
      <c r="E107" s="11" t="s">
        <v>9</v>
      </c>
    </row>
    <row r="108">
      <c r="B108" s="32" t="s">
        <v>549</v>
      </c>
      <c r="C108" s="35" t="s">
        <v>89</v>
      </c>
      <c r="D108" s="32" t="s">
        <v>1015</v>
      </c>
      <c r="E108" s="11" t="s">
        <v>13</v>
      </c>
    </row>
    <row r="109">
      <c r="B109" s="32" t="s">
        <v>546</v>
      </c>
      <c r="C109" s="35" t="s">
        <v>1954</v>
      </c>
      <c r="D109" s="32" t="s">
        <v>940</v>
      </c>
      <c r="E109" s="11" t="s">
        <v>9</v>
      </c>
    </row>
    <row r="110">
      <c r="B110" s="32" t="s">
        <v>697</v>
      </c>
      <c r="C110" s="35" t="s">
        <v>71</v>
      </c>
      <c r="D110" s="32" t="s">
        <v>1015</v>
      </c>
      <c r="E110" s="11" t="s">
        <v>13</v>
      </c>
    </row>
    <row r="111">
      <c r="B111" s="1" t="s">
        <v>1664</v>
      </c>
      <c r="C111" s="2"/>
      <c r="D111" s="3"/>
      <c r="E111" s="4"/>
    </row>
    <row r="112"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B113" s="32" t="s">
        <v>839</v>
      </c>
      <c r="C113" s="33" t="s">
        <v>22</v>
      </c>
      <c r="D113" s="32" t="s">
        <v>1792</v>
      </c>
      <c r="E113" s="11" t="s">
        <v>9</v>
      </c>
    </row>
    <row r="114">
      <c r="B114" s="32" t="s">
        <v>1955</v>
      </c>
      <c r="C114" s="33" t="s">
        <v>196</v>
      </c>
      <c r="D114" s="32" t="s">
        <v>1908</v>
      </c>
      <c r="E114" s="11" t="s">
        <v>13</v>
      </c>
    </row>
    <row r="115">
      <c r="B115" s="32" t="s">
        <v>1853</v>
      </c>
      <c r="C115" s="33" t="s">
        <v>282</v>
      </c>
      <c r="D115" s="32" t="s">
        <v>839</v>
      </c>
      <c r="E115" s="11" t="s">
        <v>9</v>
      </c>
    </row>
    <row r="116">
      <c r="B116" s="32" t="s">
        <v>1955</v>
      </c>
      <c r="C116" s="33" t="s">
        <v>43</v>
      </c>
      <c r="D116" s="32" t="s">
        <v>1792</v>
      </c>
      <c r="E116" s="11" t="s">
        <v>13</v>
      </c>
    </row>
    <row r="117">
      <c r="B117" s="32" t="s">
        <v>1853</v>
      </c>
      <c r="C117" s="33" t="s">
        <v>19</v>
      </c>
      <c r="D117" s="32" t="s">
        <v>1908</v>
      </c>
      <c r="E117" s="11" t="s">
        <v>9</v>
      </c>
    </row>
    <row r="118">
      <c r="B118" s="32" t="s">
        <v>1955</v>
      </c>
      <c r="C118" s="33" t="s">
        <v>249</v>
      </c>
      <c r="D118" s="32" t="s">
        <v>839</v>
      </c>
      <c r="E118" s="11" t="s">
        <v>13</v>
      </c>
    </row>
    <row r="119">
      <c r="B119" s="32" t="s">
        <v>1853</v>
      </c>
      <c r="C119" s="33" t="s">
        <v>81</v>
      </c>
      <c r="D119" s="32" t="s">
        <v>1792</v>
      </c>
      <c r="E119" s="11" t="s">
        <v>9</v>
      </c>
    </row>
    <row r="120">
      <c r="B120" s="32" t="s">
        <v>1908</v>
      </c>
      <c r="C120" s="33" t="s">
        <v>19</v>
      </c>
      <c r="D120" s="32" t="s">
        <v>839</v>
      </c>
      <c r="E120" s="11" t="s">
        <v>13</v>
      </c>
    </row>
    <row r="121">
      <c r="B121" s="32" t="s">
        <v>1853</v>
      </c>
      <c r="C121" s="33" t="s">
        <v>1956</v>
      </c>
      <c r="D121" s="32" t="s">
        <v>1955</v>
      </c>
      <c r="E121" s="11" t="s">
        <v>9</v>
      </c>
    </row>
    <row r="122">
      <c r="B122" s="32" t="s">
        <v>1908</v>
      </c>
      <c r="C122" s="33" t="s">
        <v>66</v>
      </c>
      <c r="D122" s="32" t="s">
        <v>1792</v>
      </c>
      <c r="E122" s="11" t="s">
        <v>13</v>
      </c>
    </row>
    <row r="123">
      <c r="B123" s="32" t="s">
        <v>1792</v>
      </c>
      <c r="C123" s="33" t="s">
        <v>239</v>
      </c>
      <c r="D123" s="32" t="s">
        <v>839</v>
      </c>
      <c r="E123" s="11" t="s">
        <v>9</v>
      </c>
    </row>
    <row r="124">
      <c r="B124" s="32" t="s">
        <v>1908</v>
      </c>
      <c r="C124" s="33" t="s">
        <v>22</v>
      </c>
      <c r="D124" s="32" t="s">
        <v>1955</v>
      </c>
      <c r="E124" s="11" t="s">
        <v>13</v>
      </c>
    </row>
    <row r="125">
      <c r="B125" s="32" t="s">
        <v>839</v>
      </c>
      <c r="C125" s="33" t="s">
        <v>857</v>
      </c>
      <c r="D125" s="32" t="s">
        <v>1853</v>
      </c>
      <c r="E125" s="11" t="s">
        <v>9</v>
      </c>
    </row>
    <row r="126">
      <c r="B126" s="32" t="s">
        <v>1792</v>
      </c>
      <c r="C126" s="33" t="s">
        <v>195</v>
      </c>
      <c r="D126" s="32" t="s">
        <v>1955</v>
      </c>
      <c r="E126" s="11" t="s">
        <v>13</v>
      </c>
    </row>
    <row r="127">
      <c r="B127" s="32" t="s">
        <v>1908</v>
      </c>
      <c r="C127" s="33" t="s">
        <v>23</v>
      </c>
      <c r="D127" s="32" t="s">
        <v>1853</v>
      </c>
      <c r="E127" s="11" t="s">
        <v>9</v>
      </c>
    </row>
    <row r="128">
      <c r="B128" s="32" t="s">
        <v>839</v>
      </c>
      <c r="C128" s="33" t="s">
        <v>1602</v>
      </c>
      <c r="D128" s="32" t="s">
        <v>1955</v>
      </c>
      <c r="E128" s="11" t="s">
        <v>13</v>
      </c>
    </row>
    <row r="129">
      <c r="B129" s="32" t="s">
        <v>1792</v>
      </c>
      <c r="C129" s="33" t="s">
        <v>308</v>
      </c>
      <c r="D129" s="32" t="s">
        <v>1853</v>
      </c>
      <c r="E129" s="11" t="s">
        <v>9</v>
      </c>
    </row>
    <row r="130">
      <c r="B130" s="32" t="s">
        <v>839</v>
      </c>
      <c r="C130" s="33" t="s">
        <v>19</v>
      </c>
      <c r="D130" s="32" t="s">
        <v>1908</v>
      </c>
      <c r="E130" s="11" t="s">
        <v>13</v>
      </c>
    </row>
    <row r="131">
      <c r="B131" s="32" t="s">
        <v>1955</v>
      </c>
      <c r="C131" s="33" t="s">
        <v>24</v>
      </c>
      <c r="D131" s="32" t="s">
        <v>1853</v>
      </c>
      <c r="E131" s="11" t="s">
        <v>9</v>
      </c>
    </row>
    <row r="132">
      <c r="B132" s="32" t="s">
        <v>1792</v>
      </c>
      <c r="C132" s="33" t="s">
        <v>195</v>
      </c>
      <c r="D132" s="32" t="s">
        <v>1908</v>
      </c>
      <c r="E132" s="11" t="s">
        <v>13</v>
      </c>
    </row>
    <row r="133">
      <c r="B133" s="1" t="s">
        <v>1413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32" t="s">
        <v>855</v>
      </c>
      <c r="C135" s="57" t="s">
        <v>449</v>
      </c>
      <c r="D135" s="32" t="s">
        <v>279</v>
      </c>
      <c r="E135" s="11" t="s">
        <v>33</v>
      </c>
    </row>
    <row r="136">
      <c r="B136" s="32" t="s">
        <v>1912</v>
      </c>
      <c r="C136" s="57" t="s">
        <v>449</v>
      </c>
      <c r="D136" s="32" t="s">
        <v>1957</v>
      </c>
      <c r="E136" s="11" t="s">
        <v>37</v>
      </c>
    </row>
    <row r="137">
      <c r="B137" s="32" t="s">
        <v>762</v>
      </c>
      <c r="C137" s="35" t="s">
        <v>239</v>
      </c>
      <c r="D137" s="32" t="s">
        <v>855</v>
      </c>
      <c r="E137" s="11" t="s">
        <v>33</v>
      </c>
    </row>
    <row r="138">
      <c r="B138" s="32" t="s">
        <v>1912</v>
      </c>
      <c r="C138" s="35" t="s">
        <v>195</v>
      </c>
      <c r="D138" s="32" t="s">
        <v>279</v>
      </c>
      <c r="E138" s="11" t="s">
        <v>37</v>
      </c>
    </row>
    <row r="139">
      <c r="B139" s="32" t="s">
        <v>762</v>
      </c>
      <c r="C139" s="35" t="s">
        <v>297</v>
      </c>
      <c r="D139" s="32" t="s">
        <v>1957</v>
      </c>
      <c r="E139" s="11" t="s">
        <v>33</v>
      </c>
    </row>
    <row r="140">
      <c r="B140" s="32" t="s">
        <v>1912</v>
      </c>
      <c r="C140" s="35" t="s">
        <v>11</v>
      </c>
      <c r="D140" s="32" t="s">
        <v>855</v>
      </c>
      <c r="E140" s="11" t="s">
        <v>37</v>
      </c>
    </row>
    <row r="141">
      <c r="B141" s="32" t="s">
        <v>762</v>
      </c>
      <c r="C141" s="35" t="s">
        <v>259</v>
      </c>
      <c r="D141" s="32" t="s">
        <v>279</v>
      </c>
      <c r="E141" s="11" t="s">
        <v>33</v>
      </c>
    </row>
    <row r="142">
      <c r="B142" s="32" t="s">
        <v>1957</v>
      </c>
      <c r="C142" s="35" t="s">
        <v>351</v>
      </c>
      <c r="D142" s="32" t="s">
        <v>855</v>
      </c>
      <c r="E142" s="11" t="s">
        <v>37</v>
      </c>
    </row>
    <row r="143">
      <c r="B143" s="32" t="s">
        <v>762</v>
      </c>
      <c r="C143" s="35" t="s">
        <v>497</v>
      </c>
      <c r="D143" s="32" t="s">
        <v>1912</v>
      </c>
      <c r="E143" s="11" t="s">
        <v>33</v>
      </c>
    </row>
    <row r="144">
      <c r="B144" s="32" t="s">
        <v>1957</v>
      </c>
      <c r="C144" s="35" t="s">
        <v>31</v>
      </c>
      <c r="D144" s="32" t="s">
        <v>279</v>
      </c>
      <c r="E144" s="11" t="s">
        <v>37</v>
      </c>
    </row>
    <row r="145">
      <c r="B145" s="32" t="s">
        <v>279</v>
      </c>
      <c r="C145" s="35" t="s">
        <v>212</v>
      </c>
      <c r="D145" s="32" t="s">
        <v>855</v>
      </c>
      <c r="E145" s="11" t="s">
        <v>33</v>
      </c>
    </row>
    <row r="146">
      <c r="B146" s="32" t="s">
        <v>1957</v>
      </c>
      <c r="C146" s="35" t="s">
        <v>197</v>
      </c>
      <c r="D146" s="32" t="s">
        <v>1912</v>
      </c>
      <c r="E146" s="11" t="s">
        <v>37</v>
      </c>
    </row>
    <row r="147">
      <c r="B147" s="32" t="s">
        <v>855</v>
      </c>
      <c r="C147" s="35" t="s">
        <v>43</v>
      </c>
      <c r="D147" s="32" t="s">
        <v>762</v>
      </c>
      <c r="E147" s="11" t="s">
        <v>33</v>
      </c>
    </row>
    <row r="148">
      <c r="B148" s="32" t="s">
        <v>279</v>
      </c>
      <c r="C148" s="35" t="s">
        <v>80</v>
      </c>
      <c r="D148" s="32" t="s">
        <v>1912</v>
      </c>
      <c r="E148" s="11" t="s">
        <v>37</v>
      </c>
    </row>
    <row r="149">
      <c r="B149" s="32" t="s">
        <v>1957</v>
      </c>
      <c r="C149" s="35" t="s">
        <v>48</v>
      </c>
      <c r="D149" s="32" t="s">
        <v>762</v>
      </c>
      <c r="E149" s="11" t="s">
        <v>33</v>
      </c>
    </row>
    <row r="150">
      <c r="B150" s="32" t="s">
        <v>855</v>
      </c>
      <c r="C150" s="35" t="s">
        <v>250</v>
      </c>
      <c r="D150" s="32" t="s">
        <v>1912</v>
      </c>
      <c r="E150" s="11" t="s">
        <v>37</v>
      </c>
    </row>
    <row r="151">
      <c r="B151" s="32" t="s">
        <v>279</v>
      </c>
      <c r="C151" s="35" t="s">
        <v>16</v>
      </c>
      <c r="D151" s="32" t="s">
        <v>762</v>
      </c>
      <c r="E151" s="11" t="s">
        <v>33</v>
      </c>
    </row>
    <row r="152">
      <c r="B152" s="32" t="s">
        <v>855</v>
      </c>
      <c r="C152" s="35" t="s">
        <v>370</v>
      </c>
      <c r="D152" s="32" t="s">
        <v>1957</v>
      </c>
      <c r="E152" s="11" t="s">
        <v>37</v>
      </c>
    </row>
    <row r="153">
      <c r="B153" s="32" t="s">
        <v>1912</v>
      </c>
      <c r="C153" s="35" t="s">
        <v>1618</v>
      </c>
      <c r="D153" s="32" t="s">
        <v>762</v>
      </c>
      <c r="E153" s="11" t="s">
        <v>33</v>
      </c>
    </row>
    <row r="154">
      <c r="B154" s="32" t="s">
        <v>279</v>
      </c>
      <c r="C154" s="35" t="s">
        <v>78</v>
      </c>
      <c r="D154" s="32" t="s">
        <v>1957</v>
      </c>
      <c r="E154" s="11" t="s">
        <v>37</v>
      </c>
    </row>
    <row r="155">
      <c r="B155" s="1" t="s">
        <v>1419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B157" s="32" t="s">
        <v>1958</v>
      </c>
      <c r="C157" s="33" t="s">
        <v>43</v>
      </c>
      <c r="D157" s="32" t="s">
        <v>773</v>
      </c>
      <c r="E157" s="11" t="s">
        <v>9</v>
      </c>
    </row>
    <row r="158">
      <c r="B158" s="32" t="s">
        <v>1959</v>
      </c>
      <c r="C158" s="33" t="s">
        <v>542</v>
      </c>
      <c r="D158" s="32" t="s">
        <v>1677</v>
      </c>
      <c r="E158" s="11" t="s">
        <v>13</v>
      </c>
    </row>
    <row r="159">
      <c r="B159" s="32" t="s">
        <v>315</v>
      </c>
      <c r="C159" s="33" t="s">
        <v>43</v>
      </c>
      <c r="D159" s="32" t="s">
        <v>1958</v>
      </c>
      <c r="E159" s="11" t="s">
        <v>9</v>
      </c>
    </row>
    <row r="160">
      <c r="B160" s="32" t="s">
        <v>1959</v>
      </c>
      <c r="C160" s="33" t="s">
        <v>190</v>
      </c>
      <c r="D160" s="32" t="s">
        <v>773</v>
      </c>
      <c r="E160" s="11" t="s">
        <v>13</v>
      </c>
    </row>
    <row r="161">
      <c r="B161" s="32" t="s">
        <v>315</v>
      </c>
      <c r="C161" s="33" t="s">
        <v>751</v>
      </c>
      <c r="D161" s="32" t="s">
        <v>1677</v>
      </c>
      <c r="E161" s="68" t="s">
        <v>9</v>
      </c>
    </row>
    <row r="162">
      <c r="B162" s="32" t="s">
        <v>1959</v>
      </c>
      <c r="C162" s="33" t="s">
        <v>49</v>
      </c>
      <c r="D162" s="32" t="s">
        <v>1958</v>
      </c>
      <c r="E162" s="11" t="s">
        <v>13</v>
      </c>
    </row>
    <row r="163">
      <c r="B163" s="32" t="s">
        <v>315</v>
      </c>
      <c r="C163" s="33" t="s">
        <v>258</v>
      </c>
      <c r="D163" s="32" t="s">
        <v>773</v>
      </c>
      <c r="E163" s="11" t="s">
        <v>9</v>
      </c>
    </row>
    <row r="164">
      <c r="B164" s="32" t="s">
        <v>1677</v>
      </c>
      <c r="C164" s="33" t="s">
        <v>55</v>
      </c>
      <c r="D164" s="32" t="s">
        <v>1958</v>
      </c>
      <c r="E164" s="11" t="s">
        <v>13</v>
      </c>
    </row>
    <row r="165">
      <c r="B165" s="32" t="s">
        <v>315</v>
      </c>
      <c r="C165" s="33" t="s">
        <v>369</v>
      </c>
      <c r="D165" s="32" t="s">
        <v>1959</v>
      </c>
      <c r="E165" s="11" t="s">
        <v>9</v>
      </c>
    </row>
    <row r="166">
      <c r="B166" s="32" t="s">
        <v>1677</v>
      </c>
      <c r="C166" s="33" t="s">
        <v>16</v>
      </c>
      <c r="D166" s="32" t="s">
        <v>773</v>
      </c>
      <c r="E166" s="11" t="s">
        <v>13</v>
      </c>
    </row>
    <row r="167">
      <c r="B167" s="32" t="s">
        <v>773</v>
      </c>
      <c r="C167" s="33" t="s">
        <v>64</v>
      </c>
      <c r="D167" s="32" t="s">
        <v>1958</v>
      </c>
      <c r="E167" s="11" t="s">
        <v>9</v>
      </c>
    </row>
    <row r="168">
      <c r="B168" s="32" t="s">
        <v>1677</v>
      </c>
      <c r="C168" s="33" t="s">
        <v>83</v>
      </c>
      <c r="D168" s="32" t="s">
        <v>1959</v>
      </c>
      <c r="E168" s="11" t="s">
        <v>13</v>
      </c>
    </row>
    <row r="169">
      <c r="B169" s="32" t="s">
        <v>1958</v>
      </c>
      <c r="C169" s="33" t="s">
        <v>62</v>
      </c>
      <c r="D169" s="32" t="s">
        <v>315</v>
      </c>
      <c r="E169" s="11" t="s">
        <v>9</v>
      </c>
    </row>
    <row r="170">
      <c r="B170" s="32" t="s">
        <v>773</v>
      </c>
      <c r="C170" s="33" t="s">
        <v>217</v>
      </c>
      <c r="D170" s="32" t="s">
        <v>1959</v>
      </c>
      <c r="E170" s="11" t="s">
        <v>13</v>
      </c>
    </row>
    <row r="171">
      <c r="B171" s="32" t="s">
        <v>1677</v>
      </c>
      <c r="C171" s="33" t="s">
        <v>196</v>
      </c>
      <c r="D171" s="32" t="s">
        <v>315</v>
      </c>
      <c r="E171" s="11" t="s">
        <v>9</v>
      </c>
    </row>
    <row r="172">
      <c r="B172" s="32" t="s">
        <v>1958</v>
      </c>
      <c r="C172" s="33" t="s">
        <v>587</v>
      </c>
      <c r="D172" s="32" t="s">
        <v>1959</v>
      </c>
      <c r="E172" s="11" t="s">
        <v>13</v>
      </c>
    </row>
    <row r="173">
      <c r="B173" s="32" t="s">
        <v>773</v>
      </c>
      <c r="C173" s="33" t="s">
        <v>587</v>
      </c>
      <c r="D173" s="32" t="s">
        <v>315</v>
      </c>
      <c r="E173" s="11" t="s">
        <v>9</v>
      </c>
    </row>
    <row r="174">
      <c r="B174" s="32" t="s">
        <v>1958</v>
      </c>
      <c r="C174" s="33" t="s">
        <v>196</v>
      </c>
      <c r="D174" s="32" t="s">
        <v>1677</v>
      </c>
      <c r="E174" s="11" t="s">
        <v>13</v>
      </c>
    </row>
    <row r="175">
      <c r="B175" s="32" t="s">
        <v>1959</v>
      </c>
      <c r="C175" s="33" t="s">
        <v>42</v>
      </c>
      <c r="D175" s="32" t="s">
        <v>315</v>
      </c>
      <c r="E175" s="11" t="s">
        <v>9</v>
      </c>
    </row>
    <row r="176">
      <c r="B176" s="32" t="s">
        <v>773</v>
      </c>
      <c r="C176" s="33" t="s">
        <v>413</v>
      </c>
      <c r="D176" s="32" t="s">
        <v>1677</v>
      </c>
      <c r="E176" s="11" t="s">
        <v>13</v>
      </c>
    </row>
    <row r="177">
      <c r="B177" s="1" t="s">
        <v>112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B179" s="32" t="s">
        <v>1678</v>
      </c>
      <c r="C179" s="35" t="s">
        <v>88</v>
      </c>
      <c r="D179" s="32" t="s">
        <v>844</v>
      </c>
      <c r="E179" s="11" t="s">
        <v>33</v>
      </c>
    </row>
    <row r="180">
      <c r="B180" s="32" t="s">
        <v>1960</v>
      </c>
      <c r="C180" s="35" t="s">
        <v>81</v>
      </c>
      <c r="D180" s="32" t="s">
        <v>1961</v>
      </c>
      <c r="E180" s="11" t="s">
        <v>37</v>
      </c>
    </row>
    <row r="181">
      <c r="B181" s="32" t="s">
        <v>1962</v>
      </c>
      <c r="C181" s="35" t="s">
        <v>251</v>
      </c>
      <c r="D181" s="32" t="s">
        <v>1678</v>
      </c>
      <c r="E181" s="11" t="s">
        <v>33</v>
      </c>
    </row>
    <row r="182">
      <c r="B182" s="32" t="s">
        <v>1960</v>
      </c>
      <c r="C182" s="35" t="s">
        <v>217</v>
      </c>
      <c r="D182" s="32" t="s">
        <v>844</v>
      </c>
      <c r="E182" s="11" t="s">
        <v>37</v>
      </c>
    </row>
    <row r="183">
      <c r="B183" s="32" t="s">
        <v>1962</v>
      </c>
      <c r="C183" s="35" t="s">
        <v>251</v>
      </c>
      <c r="D183" s="32" t="s">
        <v>1961</v>
      </c>
      <c r="E183" s="11" t="s">
        <v>33</v>
      </c>
    </row>
    <row r="184">
      <c r="B184" s="32" t="s">
        <v>1960</v>
      </c>
      <c r="C184" s="35" t="s">
        <v>194</v>
      </c>
      <c r="D184" s="32" t="s">
        <v>1678</v>
      </c>
      <c r="E184" s="11" t="s">
        <v>37</v>
      </c>
    </row>
    <row r="185">
      <c r="B185" s="32" t="s">
        <v>1962</v>
      </c>
      <c r="C185" s="35" t="s">
        <v>328</v>
      </c>
      <c r="D185" s="32" t="s">
        <v>844</v>
      </c>
      <c r="E185" s="11" t="s">
        <v>33</v>
      </c>
    </row>
    <row r="186">
      <c r="B186" s="32" t="s">
        <v>1961</v>
      </c>
      <c r="C186" s="35" t="s">
        <v>556</v>
      </c>
      <c r="D186" s="32" t="s">
        <v>1678</v>
      </c>
      <c r="E186" s="11" t="s">
        <v>37</v>
      </c>
    </row>
    <row r="187">
      <c r="B187" s="32" t="s">
        <v>1962</v>
      </c>
      <c r="C187" s="35" t="s">
        <v>80</v>
      </c>
      <c r="D187" s="32" t="s">
        <v>1960</v>
      </c>
      <c r="E187" s="11" t="s">
        <v>33</v>
      </c>
    </row>
    <row r="188">
      <c r="B188" s="32" t="s">
        <v>1961</v>
      </c>
      <c r="C188" s="35" t="s">
        <v>286</v>
      </c>
      <c r="D188" s="32" t="s">
        <v>844</v>
      </c>
      <c r="E188" s="11" t="s">
        <v>37</v>
      </c>
    </row>
    <row r="189">
      <c r="B189" s="32" t="s">
        <v>844</v>
      </c>
      <c r="C189" s="35" t="s">
        <v>55</v>
      </c>
      <c r="D189" s="32" t="s">
        <v>1678</v>
      </c>
      <c r="E189" s="11" t="s">
        <v>33</v>
      </c>
    </row>
    <row r="190">
      <c r="B190" s="32" t="s">
        <v>1961</v>
      </c>
      <c r="C190" s="35" t="s">
        <v>83</v>
      </c>
      <c r="D190" s="32" t="s">
        <v>1960</v>
      </c>
      <c r="E190" s="11" t="s">
        <v>37</v>
      </c>
    </row>
    <row r="191">
      <c r="B191" s="32" t="s">
        <v>1678</v>
      </c>
      <c r="C191" s="35" t="s">
        <v>64</v>
      </c>
      <c r="D191" s="32" t="s">
        <v>1962</v>
      </c>
      <c r="E191" s="11" t="s">
        <v>33</v>
      </c>
    </row>
    <row r="192">
      <c r="B192" s="32" t="s">
        <v>844</v>
      </c>
      <c r="C192" s="35" t="s">
        <v>545</v>
      </c>
      <c r="D192" s="32" t="s">
        <v>1960</v>
      </c>
      <c r="E192" s="11" t="s">
        <v>37</v>
      </c>
    </row>
    <row r="193">
      <c r="B193" s="32" t="s">
        <v>1961</v>
      </c>
      <c r="C193" s="35" t="s">
        <v>509</v>
      </c>
      <c r="D193" s="32" t="s">
        <v>1962</v>
      </c>
      <c r="E193" s="11" t="s">
        <v>33</v>
      </c>
    </row>
    <row r="194">
      <c r="B194" s="32" t="s">
        <v>1678</v>
      </c>
      <c r="C194" s="35" t="s">
        <v>68</v>
      </c>
      <c r="D194" s="32" t="s">
        <v>1960</v>
      </c>
      <c r="E194" s="11" t="s">
        <v>37</v>
      </c>
    </row>
    <row r="195">
      <c r="B195" s="32" t="s">
        <v>844</v>
      </c>
      <c r="C195" s="35" t="s">
        <v>1963</v>
      </c>
      <c r="D195" s="32" t="s">
        <v>1962</v>
      </c>
      <c r="E195" s="11" t="s">
        <v>33</v>
      </c>
    </row>
    <row r="196">
      <c r="B196" s="32" t="s">
        <v>1678</v>
      </c>
      <c r="C196" s="35" t="s">
        <v>11</v>
      </c>
      <c r="D196" s="32" t="s">
        <v>1961</v>
      </c>
      <c r="E196" s="11" t="s">
        <v>37</v>
      </c>
    </row>
    <row r="197">
      <c r="B197" s="32" t="s">
        <v>1960</v>
      </c>
      <c r="C197" s="35" t="s">
        <v>7</v>
      </c>
      <c r="D197" s="32" t="s">
        <v>1962</v>
      </c>
      <c r="E197" s="11" t="s">
        <v>33</v>
      </c>
    </row>
    <row r="198">
      <c r="B198" s="32" t="s">
        <v>844</v>
      </c>
      <c r="C198" s="35" t="s">
        <v>88</v>
      </c>
      <c r="D198" s="32" t="s">
        <v>1961</v>
      </c>
      <c r="E198" s="11" t="s">
        <v>37</v>
      </c>
    </row>
    <row r="199">
      <c r="B199" s="1" t="s">
        <v>1429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B201" s="32" t="s">
        <v>1608</v>
      </c>
      <c r="C201" s="35" t="s">
        <v>261</v>
      </c>
      <c r="D201" s="32" t="s">
        <v>1964</v>
      </c>
      <c r="E201" s="11" t="s">
        <v>33</v>
      </c>
    </row>
    <row r="202">
      <c r="B202" s="32" t="s">
        <v>1965</v>
      </c>
      <c r="C202" s="35" t="s">
        <v>726</v>
      </c>
      <c r="D202" s="32" t="s">
        <v>1966</v>
      </c>
      <c r="E202" s="11" t="s">
        <v>37</v>
      </c>
    </row>
    <row r="203">
      <c r="B203" s="32" t="s">
        <v>1806</v>
      </c>
      <c r="C203" s="35" t="s">
        <v>488</v>
      </c>
      <c r="D203" s="32" t="s">
        <v>1608</v>
      </c>
      <c r="E203" s="11" t="s">
        <v>33</v>
      </c>
    </row>
    <row r="204">
      <c r="B204" s="32" t="s">
        <v>1965</v>
      </c>
      <c r="C204" s="35" t="s">
        <v>195</v>
      </c>
      <c r="D204" s="32" t="s">
        <v>1964</v>
      </c>
      <c r="E204" s="11" t="s">
        <v>37</v>
      </c>
    </row>
    <row r="205">
      <c r="B205" s="32" t="s">
        <v>1806</v>
      </c>
      <c r="C205" s="35" t="s">
        <v>72</v>
      </c>
      <c r="D205" s="32" t="s">
        <v>1966</v>
      </c>
      <c r="E205" s="11" t="s">
        <v>33</v>
      </c>
    </row>
    <row r="206">
      <c r="B206" s="32" t="s">
        <v>1965</v>
      </c>
      <c r="C206" s="35" t="s">
        <v>197</v>
      </c>
      <c r="D206" s="32" t="s">
        <v>1608</v>
      </c>
      <c r="E206" s="11" t="s">
        <v>37</v>
      </c>
    </row>
    <row r="207">
      <c r="B207" s="32" t="s">
        <v>1806</v>
      </c>
      <c r="C207" s="35" t="s">
        <v>488</v>
      </c>
      <c r="D207" s="32" t="s">
        <v>1964</v>
      </c>
      <c r="E207" s="11" t="s">
        <v>33</v>
      </c>
    </row>
    <row r="208">
      <c r="B208" s="32" t="s">
        <v>1966</v>
      </c>
      <c r="C208" s="35" t="s">
        <v>232</v>
      </c>
      <c r="D208" s="32" t="s">
        <v>1608</v>
      </c>
      <c r="E208" s="11" t="s">
        <v>37</v>
      </c>
    </row>
    <row r="209">
      <c r="B209" s="32" t="s">
        <v>1806</v>
      </c>
      <c r="C209" s="35" t="s">
        <v>7</v>
      </c>
      <c r="D209" s="32" t="s">
        <v>1965</v>
      </c>
      <c r="E209" s="11" t="s">
        <v>33</v>
      </c>
    </row>
    <row r="210">
      <c r="B210" s="32" t="s">
        <v>1966</v>
      </c>
      <c r="C210" s="35" t="s">
        <v>217</v>
      </c>
      <c r="D210" s="32" t="s">
        <v>1964</v>
      </c>
      <c r="E210" s="11" t="s">
        <v>37</v>
      </c>
    </row>
    <row r="211">
      <c r="B211" s="32" t="s">
        <v>1964</v>
      </c>
      <c r="C211" s="35" t="s">
        <v>267</v>
      </c>
      <c r="D211" s="32" t="s">
        <v>1608</v>
      </c>
      <c r="E211" s="11" t="s">
        <v>33</v>
      </c>
    </row>
    <row r="212">
      <c r="B212" s="32" t="s">
        <v>1966</v>
      </c>
      <c r="C212" s="35" t="s">
        <v>22</v>
      </c>
      <c r="D212" s="32" t="s">
        <v>1965</v>
      </c>
      <c r="E212" s="11" t="s">
        <v>37</v>
      </c>
    </row>
    <row r="213">
      <c r="B213" s="32" t="s">
        <v>1608</v>
      </c>
      <c r="C213" s="35" t="s">
        <v>69</v>
      </c>
      <c r="D213" s="32" t="s">
        <v>1806</v>
      </c>
      <c r="E213" s="11" t="s">
        <v>33</v>
      </c>
    </row>
    <row r="214">
      <c r="B214" s="32" t="s">
        <v>1964</v>
      </c>
      <c r="C214" s="35" t="s">
        <v>48</v>
      </c>
      <c r="D214" s="32" t="s">
        <v>1965</v>
      </c>
      <c r="E214" s="11" t="s">
        <v>37</v>
      </c>
    </row>
    <row r="215">
      <c r="B215" s="32" t="s">
        <v>1966</v>
      </c>
      <c r="C215" s="35" t="s">
        <v>446</v>
      </c>
      <c r="D215" s="32" t="s">
        <v>1806</v>
      </c>
      <c r="E215" s="11" t="s">
        <v>33</v>
      </c>
    </row>
    <row r="216">
      <c r="B216" s="32" t="s">
        <v>1608</v>
      </c>
      <c r="C216" s="35" t="s">
        <v>533</v>
      </c>
      <c r="D216" s="32" t="s">
        <v>1965</v>
      </c>
      <c r="E216" s="11" t="s">
        <v>37</v>
      </c>
    </row>
    <row r="217">
      <c r="B217" s="32" t="s">
        <v>1964</v>
      </c>
      <c r="C217" s="35" t="s">
        <v>270</v>
      </c>
      <c r="D217" s="32" t="s">
        <v>1806</v>
      </c>
      <c r="E217" s="11" t="s">
        <v>33</v>
      </c>
    </row>
    <row r="218">
      <c r="B218" s="32" t="s">
        <v>1608</v>
      </c>
      <c r="C218" s="35" t="s">
        <v>47</v>
      </c>
      <c r="D218" s="32" t="s">
        <v>1966</v>
      </c>
      <c r="E218" s="11" t="s">
        <v>37</v>
      </c>
    </row>
    <row r="219">
      <c r="B219" s="32" t="s">
        <v>1965</v>
      </c>
      <c r="C219" s="35" t="s">
        <v>283</v>
      </c>
      <c r="D219" s="32" t="s">
        <v>1806</v>
      </c>
      <c r="E219" s="11" t="s">
        <v>33</v>
      </c>
    </row>
    <row r="220">
      <c r="B220" s="32" t="s">
        <v>1964</v>
      </c>
      <c r="C220" s="35" t="s">
        <v>542</v>
      </c>
      <c r="D220" s="32" t="s">
        <v>1966</v>
      </c>
      <c r="E220" s="11" t="s">
        <v>37</v>
      </c>
    </row>
    <row r="221">
      <c r="B221" s="28" t="s">
        <v>1685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34" t="s">
        <v>1967</v>
      </c>
      <c r="C223" s="33" t="s">
        <v>201</v>
      </c>
      <c r="D223" s="34" t="s">
        <v>1210</v>
      </c>
      <c r="E223" s="11" t="s">
        <v>9</v>
      </c>
    </row>
    <row r="224">
      <c r="B224" s="34" t="s">
        <v>1751</v>
      </c>
      <c r="C224" s="33" t="s">
        <v>201</v>
      </c>
      <c r="D224" s="34" t="s">
        <v>1870</v>
      </c>
      <c r="E224" s="11" t="s">
        <v>13</v>
      </c>
    </row>
    <row r="225">
      <c r="B225" s="34" t="s">
        <v>568</v>
      </c>
      <c r="C225" s="33" t="s">
        <v>87</v>
      </c>
      <c r="D225" s="34" t="s">
        <v>1967</v>
      </c>
      <c r="E225" s="11" t="s">
        <v>9</v>
      </c>
    </row>
    <row r="226">
      <c r="B226" s="34" t="s">
        <v>1751</v>
      </c>
      <c r="C226" s="33" t="s">
        <v>45</v>
      </c>
      <c r="D226" s="34" t="s">
        <v>1210</v>
      </c>
      <c r="E226" s="11" t="s">
        <v>13</v>
      </c>
    </row>
    <row r="227">
      <c r="B227" s="34" t="s">
        <v>568</v>
      </c>
      <c r="C227" s="33" t="s">
        <v>195</v>
      </c>
      <c r="D227" s="34" t="s">
        <v>1870</v>
      </c>
      <c r="E227" s="11" t="s">
        <v>9</v>
      </c>
    </row>
    <row r="228">
      <c r="B228" s="34" t="s">
        <v>1751</v>
      </c>
      <c r="C228" s="33" t="s">
        <v>87</v>
      </c>
      <c r="D228" s="34" t="s">
        <v>1967</v>
      </c>
      <c r="E228" s="11" t="s">
        <v>13</v>
      </c>
    </row>
    <row r="229">
      <c r="B229" s="34" t="s">
        <v>568</v>
      </c>
      <c r="C229" s="33" t="s">
        <v>285</v>
      </c>
      <c r="D229" s="34" t="s">
        <v>1210</v>
      </c>
      <c r="E229" s="11" t="s">
        <v>9</v>
      </c>
    </row>
    <row r="230">
      <c r="B230" s="34" t="s">
        <v>1870</v>
      </c>
      <c r="C230" s="33" t="s">
        <v>88</v>
      </c>
      <c r="D230" s="34" t="s">
        <v>1967</v>
      </c>
      <c r="E230" s="11" t="s">
        <v>13</v>
      </c>
    </row>
    <row r="231">
      <c r="B231" s="34" t="s">
        <v>568</v>
      </c>
      <c r="C231" s="33" t="s">
        <v>18</v>
      </c>
      <c r="D231" s="34" t="s">
        <v>1751</v>
      </c>
      <c r="E231" s="11" t="s">
        <v>9</v>
      </c>
    </row>
    <row r="232">
      <c r="B232" s="34" t="s">
        <v>1870</v>
      </c>
      <c r="C232" s="33" t="s">
        <v>239</v>
      </c>
      <c r="D232" s="34" t="s">
        <v>1210</v>
      </c>
      <c r="E232" s="11" t="s">
        <v>13</v>
      </c>
    </row>
    <row r="233">
      <c r="B233" s="34" t="s">
        <v>1210</v>
      </c>
      <c r="C233" s="33" t="s">
        <v>197</v>
      </c>
      <c r="D233" s="34" t="s">
        <v>1967</v>
      </c>
      <c r="E233" s="11" t="s">
        <v>9</v>
      </c>
    </row>
    <row r="234">
      <c r="B234" s="34" t="s">
        <v>1870</v>
      </c>
      <c r="C234" s="33" t="s">
        <v>260</v>
      </c>
      <c r="D234" s="34" t="s">
        <v>1751</v>
      </c>
      <c r="E234" s="11" t="s">
        <v>13</v>
      </c>
    </row>
    <row r="235">
      <c r="B235" s="34" t="s">
        <v>1967</v>
      </c>
      <c r="C235" s="33" t="s">
        <v>43</v>
      </c>
      <c r="D235" s="34" t="s">
        <v>568</v>
      </c>
      <c r="E235" s="11" t="s">
        <v>9</v>
      </c>
    </row>
    <row r="236">
      <c r="B236" s="34" t="s">
        <v>1210</v>
      </c>
      <c r="C236" s="33" t="s">
        <v>81</v>
      </c>
      <c r="D236" s="34" t="s">
        <v>1751</v>
      </c>
      <c r="E236" s="11" t="s">
        <v>13</v>
      </c>
    </row>
    <row r="237">
      <c r="B237" s="34" t="s">
        <v>1870</v>
      </c>
      <c r="C237" s="33" t="s">
        <v>270</v>
      </c>
      <c r="D237" s="34" t="s">
        <v>568</v>
      </c>
      <c r="E237" s="11" t="s">
        <v>9</v>
      </c>
    </row>
    <row r="238">
      <c r="B238" s="34" t="s">
        <v>1967</v>
      </c>
      <c r="C238" s="33" t="s">
        <v>47</v>
      </c>
      <c r="D238" s="34" t="s">
        <v>1751</v>
      </c>
      <c r="E238" s="11" t="s">
        <v>13</v>
      </c>
    </row>
    <row r="239">
      <c r="B239" s="34" t="s">
        <v>1210</v>
      </c>
      <c r="C239" s="33" t="s">
        <v>273</v>
      </c>
      <c r="D239" s="34" t="s">
        <v>568</v>
      </c>
      <c r="E239" s="11" t="s">
        <v>9</v>
      </c>
    </row>
    <row r="240">
      <c r="B240" s="34" t="s">
        <v>1967</v>
      </c>
      <c r="C240" s="33" t="s">
        <v>238</v>
      </c>
      <c r="D240" s="34" t="s">
        <v>1870</v>
      </c>
      <c r="E240" s="11" t="s">
        <v>13</v>
      </c>
    </row>
    <row r="241">
      <c r="B241" s="34" t="s">
        <v>1751</v>
      </c>
      <c r="C241" s="33" t="s">
        <v>684</v>
      </c>
      <c r="D241" s="34" t="s">
        <v>568</v>
      </c>
      <c r="E241" s="11" t="s">
        <v>9</v>
      </c>
    </row>
    <row r="242">
      <c r="B242" s="34" t="s">
        <v>1210</v>
      </c>
      <c r="C242" s="33" t="s">
        <v>22</v>
      </c>
      <c r="D242" s="34" t="s">
        <v>1870</v>
      </c>
      <c r="E242" s="11" t="s">
        <v>13</v>
      </c>
    </row>
    <row r="243">
      <c r="B243" s="28" t="s">
        <v>1441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34" t="s">
        <v>1813</v>
      </c>
      <c r="C245" s="35" t="s">
        <v>533</v>
      </c>
      <c r="D245" s="34" t="s">
        <v>1873</v>
      </c>
      <c r="E245" s="11" t="s">
        <v>9</v>
      </c>
    </row>
    <row r="246">
      <c r="B246" s="34" t="s">
        <v>1968</v>
      </c>
      <c r="C246" s="35" t="s">
        <v>1538</v>
      </c>
      <c r="D246" s="34" t="s">
        <v>1692</v>
      </c>
      <c r="E246" s="11" t="s">
        <v>13</v>
      </c>
    </row>
    <row r="247">
      <c r="B247" s="34" t="s">
        <v>1969</v>
      </c>
      <c r="C247" s="35" t="s">
        <v>218</v>
      </c>
      <c r="D247" s="34" t="s">
        <v>1813</v>
      </c>
      <c r="E247" s="11" t="s">
        <v>9</v>
      </c>
    </row>
    <row r="248">
      <c r="B248" s="34" t="s">
        <v>1968</v>
      </c>
      <c r="C248" s="35" t="s">
        <v>261</v>
      </c>
      <c r="D248" s="34" t="s">
        <v>1873</v>
      </c>
      <c r="E248" s="11" t="s">
        <v>13</v>
      </c>
    </row>
    <row r="249">
      <c r="B249" s="34" t="s">
        <v>1969</v>
      </c>
      <c r="C249" s="35" t="s">
        <v>1129</v>
      </c>
      <c r="D249" s="34" t="s">
        <v>1692</v>
      </c>
      <c r="E249" s="11" t="s">
        <v>9</v>
      </c>
    </row>
    <row r="250">
      <c r="B250" s="34" t="s">
        <v>1968</v>
      </c>
      <c r="C250" s="35" t="s">
        <v>24</v>
      </c>
      <c r="D250" s="34" t="s">
        <v>1813</v>
      </c>
      <c r="E250" s="11" t="s">
        <v>13</v>
      </c>
    </row>
    <row r="251">
      <c r="B251" s="34" t="s">
        <v>1969</v>
      </c>
      <c r="C251" s="35" t="s">
        <v>68</v>
      </c>
      <c r="D251" s="34" t="s">
        <v>1873</v>
      </c>
      <c r="E251" s="11" t="s">
        <v>9</v>
      </c>
    </row>
    <row r="252">
      <c r="B252" s="34" t="s">
        <v>1692</v>
      </c>
      <c r="C252" s="35" t="s">
        <v>45</v>
      </c>
      <c r="D252" s="34" t="s">
        <v>1813</v>
      </c>
      <c r="E252" s="11" t="s">
        <v>13</v>
      </c>
    </row>
    <row r="253">
      <c r="B253" s="34" t="s">
        <v>1969</v>
      </c>
      <c r="C253" s="35" t="s">
        <v>412</v>
      </c>
      <c r="D253" s="34" t="s">
        <v>1968</v>
      </c>
      <c r="E253" s="11" t="s">
        <v>9</v>
      </c>
    </row>
    <row r="254">
      <c r="B254" s="34" t="s">
        <v>1692</v>
      </c>
      <c r="C254" s="35" t="s">
        <v>87</v>
      </c>
      <c r="D254" s="34" t="s">
        <v>1873</v>
      </c>
      <c r="E254" s="11" t="s">
        <v>13</v>
      </c>
    </row>
    <row r="255">
      <c r="B255" s="34" t="s">
        <v>1873</v>
      </c>
      <c r="C255" s="35" t="s">
        <v>534</v>
      </c>
      <c r="D255" s="34" t="s">
        <v>1813</v>
      </c>
      <c r="E255" s="11" t="s">
        <v>9</v>
      </c>
    </row>
    <row r="256">
      <c r="B256" s="34" t="s">
        <v>1692</v>
      </c>
      <c r="C256" s="35" t="s">
        <v>1025</v>
      </c>
      <c r="D256" s="34" t="s">
        <v>1968</v>
      </c>
      <c r="E256" s="11" t="s">
        <v>13</v>
      </c>
    </row>
    <row r="257">
      <c r="B257" s="34" t="s">
        <v>1813</v>
      </c>
      <c r="C257" s="35" t="s">
        <v>22</v>
      </c>
      <c r="D257" s="34" t="s">
        <v>1969</v>
      </c>
      <c r="E257" s="11" t="s">
        <v>9</v>
      </c>
    </row>
    <row r="258">
      <c r="B258" s="34" t="s">
        <v>1873</v>
      </c>
      <c r="C258" s="35" t="s">
        <v>283</v>
      </c>
      <c r="D258" s="34" t="s">
        <v>1968</v>
      </c>
      <c r="E258" s="11" t="s">
        <v>13</v>
      </c>
    </row>
    <row r="259">
      <c r="B259" s="34" t="s">
        <v>1692</v>
      </c>
      <c r="C259" s="35" t="s">
        <v>251</v>
      </c>
      <c r="D259" s="34" t="s">
        <v>1969</v>
      </c>
      <c r="E259" s="11" t="s">
        <v>9</v>
      </c>
    </row>
    <row r="260">
      <c r="B260" s="34" t="s">
        <v>1813</v>
      </c>
      <c r="C260" s="35" t="s">
        <v>217</v>
      </c>
      <c r="D260" s="34" t="s">
        <v>1968</v>
      </c>
      <c r="E260" s="11" t="s">
        <v>13</v>
      </c>
    </row>
    <row r="261">
      <c r="B261" s="34" t="s">
        <v>1873</v>
      </c>
      <c r="C261" s="35" t="s">
        <v>193</v>
      </c>
      <c r="D261" s="34" t="s">
        <v>1969</v>
      </c>
      <c r="E261" s="11" t="s">
        <v>9</v>
      </c>
    </row>
    <row r="262">
      <c r="B262" s="34" t="s">
        <v>1813</v>
      </c>
      <c r="C262" s="35" t="s">
        <v>261</v>
      </c>
      <c r="D262" s="34" t="s">
        <v>1692</v>
      </c>
      <c r="E262" s="11" t="s">
        <v>13</v>
      </c>
    </row>
    <row r="263">
      <c r="B263" s="34" t="s">
        <v>1968</v>
      </c>
      <c r="C263" s="35" t="s">
        <v>1538</v>
      </c>
      <c r="D263" s="34" t="s">
        <v>1969</v>
      </c>
      <c r="E263" s="11" t="s">
        <v>9</v>
      </c>
    </row>
    <row r="264">
      <c r="B264" s="34" t="s">
        <v>1873</v>
      </c>
      <c r="C264" s="35" t="s">
        <v>87</v>
      </c>
      <c r="D264" s="34" t="s">
        <v>1692</v>
      </c>
      <c r="E264" s="11" t="s">
        <v>13</v>
      </c>
      <c r="S264" s="36" t="s">
        <v>663</v>
      </c>
    </row>
    <row r="265">
      <c r="B265" s="28" t="s">
        <v>134</v>
      </c>
      <c r="C265" s="2"/>
      <c r="D265" s="3"/>
      <c r="E265" s="2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34" t="s">
        <v>862</v>
      </c>
      <c r="C267" s="35" t="s">
        <v>7</v>
      </c>
      <c r="D267" s="34" t="s">
        <v>1970</v>
      </c>
      <c r="E267" s="11" t="s">
        <v>33</v>
      </c>
    </row>
    <row r="268">
      <c r="B268" s="34" t="s">
        <v>865</v>
      </c>
      <c r="C268" s="35" t="s">
        <v>1538</v>
      </c>
      <c r="D268" s="34" t="s">
        <v>1971</v>
      </c>
      <c r="E268" s="11" t="s">
        <v>37</v>
      </c>
    </row>
    <row r="269">
      <c r="B269" s="34" t="s">
        <v>776</v>
      </c>
      <c r="C269" s="35" t="s">
        <v>194</v>
      </c>
      <c r="D269" s="34" t="s">
        <v>862</v>
      </c>
      <c r="E269" s="11" t="s">
        <v>33</v>
      </c>
    </row>
    <row r="270">
      <c r="B270" s="34" t="s">
        <v>865</v>
      </c>
      <c r="C270" s="35" t="s">
        <v>38</v>
      </c>
      <c r="D270" s="34" t="s">
        <v>1970</v>
      </c>
      <c r="E270" s="11" t="s">
        <v>37</v>
      </c>
    </row>
    <row r="271">
      <c r="B271" s="34" t="s">
        <v>776</v>
      </c>
      <c r="C271" s="35" t="s">
        <v>306</v>
      </c>
      <c r="D271" s="34" t="s">
        <v>1971</v>
      </c>
      <c r="E271" s="11" t="s">
        <v>33</v>
      </c>
    </row>
    <row r="272">
      <c r="B272" s="34" t="s">
        <v>865</v>
      </c>
      <c r="C272" s="35" t="s">
        <v>239</v>
      </c>
      <c r="D272" s="34" t="s">
        <v>862</v>
      </c>
      <c r="E272" s="11" t="s">
        <v>37</v>
      </c>
    </row>
    <row r="273">
      <c r="B273" s="34" t="s">
        <v>776</v>
      </c>
      <c r="C273" s="35" t="s">
        <v>49</v>
      </c>
      <c r="D273" s="34" t="s">
        <v>1970</v>
      </c>
      <c r="E273" s="11" t="s">
        <v>33</v>
      </c>
    </row>
    <row r="274">
      <c r="B274" s="34" t="s">
        <v>1971</v>
      </c>
      <c r="C274" s="35" t="s">
        <v>66</v>
      </c>
      <c r="D274" s="34" t="s">
        <v>862</v>
      </c>
      <c r="E274" s="11" t="s">
        <v>37</v>
      </c>
      <c r="N274" s="36" t="s">
        <v>663</v>
      </c>
    </row>
    <row r="275">
      <c r="B275" s="34" t="s">
        <v>776</v>
      </c>
      <c r="C275" s="35" t="s">
        <v>286</v>
      </c>
      <c r="D275" s="34" t="s">
        <v>865</v>
      </c>
      <c r="E275" s="11" t="s">
        <v>33</v>
      </c>
    </row>
    <row r="276">
      <c r="B276" s="34" t="s">
        <v>1971</v>
      </c>
      <c r="C276" s="35" t="s">
        <v>203</v>
      </c>
      <c r="D276" s="34" t="s">
        <v>1970</v>
      </c>
      <c r="E276" s="11" t="s">
        <v>37</v>
      </c>
    </row>
    <row r="277">
      <c r="B277" s="34" t="s">
        <v>1970</v>
      </c>
      <c r="C277" s="35" t="s">
        <v>81</v>
      </c>
      <c r="D277" s="34" t="s">
        <v>862</v>
      </c>
      <c r="E277" s="11" t="s">
        <v>33</v>
      </c>
    </row>
    <row r="278">
      <c r="B278" s="34" t="s">
        <v>1971</v>
      </c>
      <c r="C278" s="35" t="s">
        <v>190</v>
      </c>
      <c r="D278" s="34" t="s">
        <v>865</v>
      </c>
      <c r="E278" s="11" t="s">
        <v>37</v>
      </c>
    </row>
    <row r="279">
      <c r="B279" s="34" t="s">
        <v>862</v>
      </c>
      <c r="C279" s="35" t="s">
        <v>43</v>
      </c>
      <c r="D279" s="34" t="s">
        <v>776</v>
      </c>
      <c r="E279" s="11" t="s">
        <v>33</v>
      </c>
    </row>
    <row r="280">
      <c r="B280" s="34" t="s">
        <v>1970</v>
      </c>
      <c r="C280" s="35" t="s">
        <v>351</v>
      </c>
      <c r="D280" s="34" t="s">
        <v>865</v>
      </c>
      <c r="E280" s="11" t="s">
        <v>37</v>
      </c>
    </row>
    <row r="281">
      <c r="B281" s="34" t="s">
        <v>1971</v>
      </c>
      <c r="C281" s="35" t="s">
        <v>684</v>
      </c>
      <c r="D281" s="34" t="s">
        <v>776</v>
      </c>
      <c r="E281" s="11" t="s">
        <v>33</v>
      </c>
    </row>
    <row r="282">
      <c r="B282" s="34" t="s">
        <v>862</v>
      </c>
      <c r="C282" s="35" t="s">
        <v>258</v>
      </c>
      <c r="D282" s="34" t="s">
        <v>865</v>
      </c>
      <c r="E282" s="11" t="s">
        <v>37</v>
      </c>
    </row>
    <row r="283">
      <c r="B283" s="34" t="s">
        <v>1970</v>
      </c>
      <c r="C283" s="35" t="s">
        <v>363</v>
      </c>
      <c r="D283" s="34" t="s">
        <v>776</v>
      </c>
      <c r="E283" s="11" t="s">
        <v>33</v>
      </c>
    </row>
    <row r="284">
      <c r="B284" s="34" t="s">
        <v>862</v>
      </c>
      <c r="C284" s="35" t="s">
        <v>69</v>
      </c>
      <c r="D284" s="34" t="s">
        <v>1971</v>
      </c>
      <c r="E284" s="11" t="s">
        <v>37</v>
      </c>
    </row>
    <row r="285">
      <c r="B285" s="34" t="s">
        <v>865</v>
      </c>
      <c r="C285" s="35" t="s">
        <v>251</v>
      </c>
      <c r="D285" s="34" t="s">
        <v>776</v>
      </c>
      <c r="E285" s="11" t="s">
        <v>33</v>
      </c>
    </row>
    <row r="286">
      <c r="B286" s="34" t="s">
        <v>1970</v>
      </c>
      <c r="C286" s="35" t="s">
        <v>190</v>
      </c>
      <c r="D286" s="34" t="s">
        <v>1971</v>
      </c>
      <c r="E286" s="11" t="s">
        <v>37</v>
      </c>
    </row>
    <row r="287">
      <c r="B287" s="28" t="s">
        <v>145</v>
      </c>
      <c r="C287" s="2"/>
      <c r="D287" s="3"/>
      <c r="E287" s="2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34" t="s">
        <v>788</v>
      </c>
      <c r="C289" s="35" t="s">
        <v>18</v>
      </c>
      <c r="D289" s="34" t="s">
        <v>1701</v>
      </c>
      <c r="E289" s="11" t="s">
        <v>33</v>
      </c>
    </row>
    <row r="290">
      <c r="B290" s="34" t="s">
        <v>1932</v>
      </c>
      <c r="C290" s="35" t="s">
        <v>239</v>
      </c>
      <c r="D290" s="34" t="s">
        <v>1972</v>
      </c>
      <c r="E290" s="11" t="s">
        <v>37</v>
      </c>
    </row>
    <row r="291">
      <c r="B291" s="34" t="s">
        <v>1820</v>
      </c>
      <c r="C291" s="35" t="s">
        <v>193</v>
      </c>
      <c r="D291" s="34" t="s">
        <v>788</v>
      </c>
      <c r="E291" s="11" t="s">
        <v>33</v>
      </c>
    </row>
    <row r="292">
      <c r="B292" s="34" t="s">
        <v>1932</v>
      </c>
      <c r="C292" s="35" t="s">
        <v>25</v>
      </c>
      <c r="D292" s="34" t="s">
        <v>1701</v>
      </c>
      <c r="E292" s="11" t="s">
        <v>37</v>
      </c>
    </row>
    <row r="293">
      <c r="B293" s="34" t="s">
        <v>1820</v>
      </c>
      <c r="C293" s="35" t="s">
        <v>443</v>
      </c>
      <c r="D293" s="34" t="s">
        <v>1972</v>
      </c>
      <c r="E293" s="11" t="s">
        <v>33</v>
      </c>
      <c r="Q293" s="36" t="s">
        <v>663</v>
      </c>
    </row>
    <row r="294">
      <c r="B294" s="34" t="s">
        <v>1932</v>
      </c>
      <c r="C294" s="35" t="s">
        <v>201</v>
      </c>
      <c r="D294" s="34" t="s">
        <v>788</v>
      </c>
      <c r="E294" s="11" t="s">
        <v>37</v>
      </c>
    </row>
    <row r="295">
      <c r="B295" s="34" t="s">
        <v>1820</v>
      </c>
      <c r="C295" s="35" t="s">
        <v>1478</v>
      </c>
      <c r="D295" s="34" t="s">
        <v>1701</v>
      </c>
      <c r="E295" s="11" t="s">
        <v>33</v>
      </c>
    </row>
    <row r="296">
      <c r="B296" s="34" t="s">
        <v>1972</v>
      </c>
      <c r="C296" s="35" t="s">
        <v>26</v>
      </c>
      <c r="D296" s="34" t="s">
        <v>788</v>
      </c>
      <c r="E296" s="11" t="s">
        <v>37</v>
      </c>
    </row>
    <row r="297">
      <c r="B297" s="34" t="s">
        <v>1820</v>
      </c>
      <c r="C297" s="35" t="s">
        <v>195</v>
      </c>
      <c r="D297" s="34" t="s">
        <v>1932</v>
      </c>
      <c r="E297" s="11" t="s">
        <v>33</v>
      </c>
    </row>
    <row r="298">
      <c r="B298" s="34" t="s">
        <v>1972</v>
      </c>
      <c r="C298" s="35" t="s">
        <v>196</v>
      </c>
      <c r="D298" s="34" t="s">
        <v>1701</v>
      </c>
      <c r="E298" s="11" t="s">
        <v>37</v>
      </c>
    </row>
    <row r="299">
      <c r="B299" s="34" t="s">
        <v>1701</v>
      </c>
      <c r="C299" s="35" t="s">
        <v>27</v>
      </c>
      <c r="D299" s="34" t="s">
        <v>788</v>
      </c>
      <c r="E299" s="11" t="s">
        <v>33</v>
      </c>
    </row>
    <row r="300">
      <c r="B300" s="34" t="s">
        <v>1972</v>
      </c>
      <c r="C300" s="35" t="s">
        <v>43</v>
      </c>
      <c r="D300" s="34" t="s">
        <v>1932</v>
      </c>
      <c r="E300" s="11" t="s">
        <v>37</v>
      </c>
    </row>
    <row r="301">
      <c r="B301" s="34" t="s">
        <v>788</v>
      </c>
      <c r="C301" s="35" t="s">
        <v>286</v>
      </c>
      <c r="D301" s="34" t="s">
        <v>1820</v>
      </c>
      <c r="E301" s="11" t="s">
        <v>33</v>
      </c>
    </row>
    <row r="302">
      <c r="B302" s="34" t="s">
        <v>1701</v>
      </c>
      <c r="C302" s="35" t="s">
        <v>201</v>
      </c>
      <c r="D302" s="34" t="s">
        <v>1932</v>
      </c>
      <c r="E302" s="11" t="s">
        <v>37</v>
      </c>
    </row>
    <row r="303">
      <c r="B303" s="34" t="s">
        <v>1972</v>
      </c>
      <c r="C303" s="35" t="s">
        <v>17</v>
      </c>
      <c r="D303" s="34" t="s">
        <v>1820</v>
      </c>
      <c r="E303" s="11" t="s">
        <v>33</v>
      </c>
    </row>
    <row r="304">
      <c r="B304" s="34" t="s">
        <v>788</v>
      </c>
      <c r="C304" s="35" t="s">
        <v>289</v>
      </c>
      <c r="D304" s="34" t="s">
        <v>1932</v>
      </c>
      <c r="E304" s="11" t="s">
        <v>37</v>
      </c>
    </row>
    <row r="305">
      <c r="B305" s="34" t="s">
        <v>1701</v>
      </c>
      <c r="C305" s="35" t="s">
        <v>380</v>
      </c>
      <c r="D305" s="34" t="s">
        <v>1820</v>
      </c>
      <c r="E305" s="11" t="s">
        <v>33</v>
      </c>
    </row>
    <row r="306">
      <c r="B306" s="34" t="s">
        <v>788</v>
      </c>
      <c r="C306" s="35" t="s">
        <v>22</v>
      </c>
      <c r="D306" s="34" t="s">
        <v>1972</v>
      </c>
      <c r="E306" s="11" t="s">
        <v>37</v>
      </c>
    </row>
    <row r="307">
      <c r="B307" s="34" t="s">
        <v>1932</v>
      </c>
      <c r="C307" s="35" t="s">
        <v>267</v>
      </c>
      <c r="D307" s="34" t="s">
        <v>1820</v>
      </c>
      <c r="E307" s="11" t="s">
        <v>33</v>
      </c>
    </row>
    <row r="308">
      <c r="B308" s="34" t="s">
        <v>1701</v>
      </c>
      <c r="C308" s="35" t="s">
        <v>38</v>
      </c>
      <c r="D308" s="34" t="s">
        <v>1972</v>
      </c>
      <c r="E308" s="11" t="s">
        <v>37</v>
      </c>
    </row>
    <row r="309">
      <c r="B309" s="28" t="s">
        <v>1456</v>
      </c>
      <c r="C309" s="2"/>
      <c r="D309" s="3"/>
      <c r="E309" s="2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34" t="s">
        <v>1973</v>
      </c>
      <c r="C311" s="33" t="s">
        <v>446</v>
      </c>
      <c r="D311" s="34" t="s">
        <v>349</v>
      </c>
      <c r="E311" s="11" t="s">
        <v>9</v>
      </c>
    </row>
    <row r="312">
      <c r="B312" s="34" t="s">
        <v>1974</v>
      </c>
      <c r="C312" s="33" t="s">
        <v>352</v>
      </c>
      <c r="D312" s="34" t="s">
        <v>1975</v>
      </c>
      <c r="E312" s="11" t="s">
        <v>13</v>
      </c>
    </row>
    <row r="313">
      <c r="B313" s="34" t="s">
        <v>1976</v>
      </c>
      <c r="C313" s="33" t="s">
        <v>190</v>
      </c>
      <c r="D313" s="34" t="s">
        <v>1973</v>
      </c>
      <c r="E313" s="11" t="s">
        <v>9</v>
      </c>
    </row>
    <row r="314">
      <c r="B314" s="34" t="s">
        <v>1974</v>
      </c>
      <c r="C314" s="33" t="s">
        <v>196</v>
      </c>
      <c r="D314" s="34" t="s">
        <v>349</v>
      </c>
      <c r="E314" s="11" t="s">
        <v>13</v>
      </c>
    </row>
    <row r="315">
      <c r="B315" s="34" t="s">
        <v>1976</v>
      </c>
      <c r="C315" s="33" t="s">
        <v>239</v>
      </c>
      <c r="D315" s="34" t="s">
        <v>1975</v>
      </c>
      <c r="E315" s="11" t="s">
        <v>9</v>
      </c>
    </row>
    <row r="316">
      <c r="B316" s="34" t="s">
        <v>1974</v>
      </c>
      <c r="C316" s="33" t="s">
        <v>684</v>
      </c>
      <c r="D316" s="34" t="s">
        <v>1973</v>
      </c>
      <c r="E316" s="11" t="s">
        <v>13</v>
      </c>
    </row>
    <row r="317">
      <c r="B317" s="34" t="s">
        <v>1976</v>
      </c>
      <c r="C317" s="33" t="s">
        <v>20</v>
      </c>
      <c r="D317" s="34" t="s">
        <v>349</v>
      </c>
      <c r="E317" s="11" t="s">
        <v>9</v>
      </c>
    </row>
    <row r="318">
      <c r="B318" s="34" t="s">
        <v>1975</v>
      </c>
      <c r="C318" s="33" t="s">
        <v>19</v>
      </c>
      <c r="D318" s="34" t="s">
        <v>1973</v>
      </c>
      <c r="E318" s="11" t="s">
        <v>13</v>
      </c>
    </row>
    <row r="319">
      <c r="B319" s="34" t="s">
        <v>1976</v>
      </c>
      <c r="C319" s="33" t="s">
        <v>853</v>
      </c>
      <c r="D319" s="34" t="s">
        <v>1974</v>
      </c>
      <c r="E319" s="11" t="s">
        <v>9</v>
      </c>
    </row>
    <row r="320">
      <c r="B320" s="34" t="s">
        <v>1975</v>
      </c>
      <c r="C320" s="33" t="s">
        <v>18</v>
      </c>
      <c r="D320" s="34" t="s">
        <v>349</v>
      </c>
      <c r="E320" s="11" t="s">
        <v>13</v>
      </c>
    </row>
    <row r="321">
      <c r="B321" s="34" t="s">
        <v>349</v>
      </c>
      <c r="C321" s="33" t="s">
        <v>17</v>
      </c>
      <c r="D321" s="34" t="s">
        <v>1973</v>
      </c>
      <c r="E321" s="11" t="s">
        <v>9</v>
      </c>
    </row>
    <row r="322">
      <c r="B322" s="34" t="s">
        <v>1975</v>
      </c>
      <c r="C322" s="33" t="s">
        <v>17</v>
      </c>
      <c r="D322" s="34" t="s">
        <v>1974</v>
      </c>
      <c r="E322" s="11" t="s">
        <v>13</v>
      </c>
    </row>
    <row r="323">
      <c r="B323" s="34" t="s">
        <v>1973</v>
      </c>
      <c r="C323" s="35" t="s">
        <v>18</v>
      </c>
      <c r="D323" s="34" t="s">
        <v>1976</v>
      </c>
      <c r="E323" s="11" t="s">
        <v>9</v>
      </c>
    </row>
    <row r="324">
      <c r="B324" s="34" t="s">
        <v>349</v>
      </c>
      <c r="C324" s="35" t="s">
        <v>289</v>
      </c>
      <c r="D324" s="34" t="s">
        <v>1974</v>
      </c>
      <c r="E324" s="11" t="s">
        <v>13</v>
      </c>
    </row>
    <row r="325">
      <c r="B325" s="34" t="s">
        <v>1975</v>
      </c>
      <c r="C325" s="35" t="s">
        <v>64</v>
      </c>
      <c r="D325" s="34" t="s">
        <v>1976</v>
      </c>
      <c r="E325" s="11" t="s">
        <v>9</v>
      </c>
    </row>
    <row r="326">
      <c r="B326" s="34" t="s">
        <v>1973</v>
      </c>
      <c r="C326" s="35" t="s">
        <v>378</v>
      </c>
      <c r="D326" s="34" t="s">
        <v>1974</v>
      </c>
      <c r="E326" s="11" t="s">
        <v>13</v>
      </c>
    </row>
    <row r="327">
      <c r="B327" s="34" t="s">
        <v>349</v>
      </c>
      <c r="C327" s="35" t="s">
        <v>251</v>
      </c>
      <c r="D327" s="34" t="s">
        <v>1976</v>
      </c>
      <c r="E327" s="11" t="s">
        <v>9</v>
      </c>
    </row>
    <row r="328">
      <c r="B328" s="34" t="s">
        <v>1973</v>
      </c>
      <c r="C328" s="35" t="s">
        <v>25</v>
      </c>
      <c r="D328" s="34" t="s">
        <v>1975</v>
      </c>
      <c r="E328" s="11" t="s">
        <v>13</v>
      </c>
    </row>
    <row r="329">
      <c r="B329" s="34" t="s">
        <v>1974</v>
      </c>
      <c r="C329" s="35" t="s">
        <v>43</v>
      </c>
      <c r="D329" s="34" t="s">
        <v>1976</v>
      </c>
      <c r="E329" s="11" t="s">
        <v>9</v>
      </c>
    </row>
    <row r="330">
      <c r="B330" s="34" t="s">
        <v>349</v>
      </c>
      <c r="C330" s="35" t="s">
        <v>11</v>
      </c>
      <c r="D330" s="34" t="s">
        <v>1975</v>
      </c>
      <c r="E330" s="11" t="s">
        <v>13</v>
      </c>
    </row>
    <row r="331">
      <c r="B331" s="28" t="s">
        <v>156</v>
      </c>
      <c r="C331" s="2"/>
      <c r="D331" s="3"/>
      <c r="E331" s="2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34" t="s">
        <v>1938</v>
      </c>
      <c r="C333" s="35" t="s">
        <v>195</v>
      </c>
      <c r="D333" s="34" t="s">
        <v>158</v>
      </c>
      <c r="E333" s="11" t="s">
        <v>33</v>
      </c>
    </row>
    <row r="334">
      <c r="B334" s="34" t="s">
        <v>1977</v>
      </c>
      <c r="C334" s="35" t="s">
        <v>354</v>
      </c>
      <c r="D334" s="34" t="s">
        <v>1889</v>
      </c>
      <c r="E334" s="11" t="s">
        <v>37</v>
      </c>
    </row>
    <row r="335">
      <c r="B335" s="34" t="s">
        <v>1940</v>
      </c>
      <c r="C335" s="35" t="s">
        <v>68</v>
      </c>
      <c r="D335" s="34" t="s">
        <v>1938</v>
      </c>
      <c r="E335" s="11" t="s">
        <v>33</v>
      </c>
    </row>
    <row r="336">
      <c r="B336" s="34" t="s">
        <v>1977</v>
      </c>
      <c r="C336" s="35" t="s">
        <v>215</v>
      </c>
      <c r="D336" s="34" t="s">
        <v>158</v>
      </c>
      <c r="E336" s="11" t="s">
        <v>37</v>
      </c>
    </row>
    <row r="337">
      <c r="B337" s="34" t="s">
        <v>1940</v>
      </c>
      <c r="C337" s="35" t="s">
        <v>218</v>
      </c>
      <c r="D337" s="34" t="s">
        <v>1889</v>
      </c>
      <c r="E337" s="11" t="s">
        <v>33</v>
      </c>
    </row>
    <row r="338">
      <c r="B338" s="34" t="s">
        <v>1977</v>
      </c>
      <c r="C338" s="35" t="s">
        <v>87</v>
      </c>
      <c r="D338" s="34" t="s">
        <v>1938</v>
      </c>
      <c r="E338" s="11" t="s">
        <v>37</v>
      </c>
    </row>
    <row r="339">
      <c r="B339" s="34" t="s">
        <v>1940</v>
      </c>
      <c r="C339" s="35" t="s">
        <v>289</v>
      </c>
      <c r="D339" s="34" t="s">
        <v>158</v>
      </c>
      <c r="E339" s="11" t="s">
        <v>33</v>
      </c>
      <c r="J339" s="36"/>
      <c r="L339" s="36"/>
    </row>
    <row r="340">
      <c r="B340" s="34" t="s">
        <v>1889</v>
      </c>
      <c r="C340" s="35" t="s">
        <v>35</v>
      </c>
      <c r="D340" s="34" t="s">
        <v>1938</v>
      </c>
      <c r="E340" s="11" t="s">
        <v>37</v>
      </c>
    </row>
    <row r="341">
      <c r="B341" s="34" t="s">
        <v>1940</v>
      </c>
      <c r="C341" s="35" t="s">
        <v>218</v>
      </c>
      <c r="D341" s="34" t="s">
        <v>1977</v>
      </c>
      <c r="E341" s="11" t="s">
        <v>33</v>
      </c>
    </row>
    <row r="342">
      <c r="B342" s="34" t="s">
        <v>1889</v>
      </c>
      <c r="C342" s="35" t="s">
        <v>197</v>
      </c>
      <c r="D342" s="34" t="s">
        <v>158</v>
      </c>
      <c r="E342" s="11" t="s">
        <v>37</v>
      </c>
    </row>
    <row r="343">
      <c r="B343" s="34" t="s">
        <v>158</v>
      </c>
      <c r="C343" s="35" t="s">
        <v>58</v>
      </c>
      <c r="D343" s="34" t="s">
        <v>1938</v>
      </c>
      <c r="E343" s="11" t="s">
        <v>33</v>
      </c>
    </row>
    <row r="344">
      <c r="B344" s="34" t="s">
        <v>1889</v>
      </c>
      <c r="C344" s="35" t="s">
        <v>66</v>
      </c>
      <c r="D344" s="34" t="s">
        <v>1977</v>
      </c>
      <c r="E344" s="11" t="s">
        <v>37</v>
      </c>
    </row>
    <row r="345">
      <c r="B345" s="34" t="s">
        <v>1938</v>
      </c>
      <c r="C345" s="35" t="s">
        <v>87</v>
      </c>
      <c r="D345" s="34" t="s">
        <v>1940</v>
      </c>
      <c r="E345" s="11" t="s">
        <v>33</v>
      </c>
    </row>
    <row r="346">
      <c r="B346" s="34" t="s">
        <v>158</v>
      </c>
      <c r="C346" s="35" t="s">
        <v>251</v>
      </c>
      <c r="D346" s="34" t="s">
        <v>1977</v>
      </c>
      <c r="E346" s="11" t="s">
        <v>37</v>
      </c>
    </row>
    <row r="347">
      <c r="B347" s="34" t="s">
        <v>1889</v>
      </c>
      <c r="C347" s="35" t="s">
        <v>197</v>
      </c>
      <c r="D347" s="34" t="s">
        <v>1940</v>
      </c>
      <c r="E347" s="11" t="s">
        <v>33</v>
      </c>
    </row>
    <row r="348">
      <c r="B348" s="34" t="s">
        <v>1938</v>
      </c>
      <c r="C348" s="35" t="s">
        <v>285</v>
      </c>
      <c r="D348" s="34" t="s">
        <v>1977</v>
      </c>
      <c r="E348" s="11" t="s">
        <v>37</v>
      </c>
    </row>
    <row r="349">
      <c r="B349" s="34" t="s">
        <v>158</v>
      </c>
      <c r="C349" s="35" t="s">
        <v>28</v>
      </c>
      <c r="D349" s="34" t="s">
        <v>1940</v>
      </c>
      <c r="E349" s="11" t="s">
        <v>33</v>
      </c>
    </row>
    <row r="350">
      <c r="B350" s="34" t="s">
        <v>1938</v>
      </c>
      <c r="C350" s="35" t="s">
        <v>87</v>
      </c>
      <c r="D350" s="34" t="s">
        <v>1889</v>
      </c>
      <c r="E350" s="11" t="s">
        <v>37</v>
      </c>
    </row>
    <row r="351">
      <c r="B351" s="34" t="s">
        <v>1977</v>
      </c>
      <c r="C351" s="35" t="s">
        <v>297</v>
      </c>
      <c r="D351" s="34" t="s">
        <v>1940</v>
      </c>
      <c r="E351" s="11" t="s">
        <v>33</v>
      </c>
    </row>
    <row r="352">
      <c r="B352" s="34" t="s">
        <v>158</v>
      </c>
      <c r="C352" s="35" t="s">
        <v>190</v>
      </c>
      <c r="D352" s="34" t="s">
        <v>1889</v>
      </c>
      <c r="E352" s="11" t="s">
        <v>37</v>
      </c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/>
      <c r="B1" s="1" t="s">
        <v>0</v>
      </c>
      <c r="C1" s="2"/>
      <c r="D1" s="3"/>
      <c r="E1" s="29"/>
    </row>
    <row r="2">
      <c r="A2" s="66"/>
      <c r="B2" s="6" t="s">
        <v>2</v>
      </c>
      <c r="C2" s="6" t="s">
        <v>3</v>
      </c>
      <c r="D2" s="6" t="s">
        <v>4</v>
      </c>
      <c r="E2" s="6" t="s">
        <v>5</v>
      </c>
    </row>
    <row r="3">
      <c r="A3" s="66"/>
      <c r="B3" s="32" t="s">
        <v>1978</v>
      </c>
      <c r="C3" s="33" t="s">
        <v>47</v>
      </c>
      <c r="D3" s="34" t="s">
        <v>1979</v>
      </c>
      <c r="E3" s="11" t="s">
        <v>33</v>
      </c>
    </row>
    <row r="4">
      <c r="A4" s="66"/>
      <c r="B4" s="32" t="s">
        <v>1980</v>
      </c>
      <c r="C4" s="33" t="s">
        <v>249</v>
      </c>
      <c r="D4" s="32" t="s">
        <v>1981</v>
      </c>
      <c r="E4" s="11" t="s">
        <v>37</v>
      </c>
    </row>
    <row r="5">
      <c r="A5" s="66"/>
      <c r="B5" s="34" t="s">
        <v>1982</v>
      </c>
      <c r="C5" s="33" t="s">
        <v>270</v>
      </c>
      <c r="D5" s="32" t="s">
        <v>1978</v>
      </c>
      <c r="E5" s="11" t="s">
        <v>33</v>
      </c>
    </row>
    <row r="6">
      <c r="A6" s="66"/>
      <c r="B6" s="32" t="s">
        <v>1980</v>
      </c>
      <c r="C6" s="33" t="s">
        <v>193</v>
      </c>
      <c r="D6" s="34" t="s">
        <v>1979</v>
      </c>
      <c r="E6" s="11" t="s">
        <v>37</v>
      </c>
    </row>
    <row r="7">
      <c r="A7" s="66"/>
      <c r="B7" s="34" t="s">
        <v>1982</v>
      </c>
      <c r="C7" s="33" t="s">
        <v>362</v>
      </c>
      <c r="D7" s="32" t="s">
        <v>1981</v>
      </c>
      <c r="E7" s="11" t="s">
        <v>33</v>
      </c>
    </row>
    <row r="8">
      <c r="A8" s="66"/>
      <c r="B8" s="32" t="s">
        <v>1980</v>
      </c>
      <c r="C8" s="33" t="s">
        <v>282</v>
      </c>
      <c r="D8" s="32" t="s">
        <v>1978</v>
      </c>
      <c r="E8" s="11" t="s">
        <v>37</v>
      </c>
    </row>
    <row r="9">
      <c r="A9" s="66"/>
      <c r="B9" s="34" t="s">
        <v>1982</v>
      </c>
      <c r="C9" s="33" t="s">
        <v>328</v>
      </c>
      <c r="D9" s="34" t="s">
        <v>1979</v>
      </c>
      <c r="E9" s="11" t="s">
        <v>33</v>
      </c>
    </row>
    <row r="10">
      <c r="A10" s="66"/>
      <c r="B10" s="32" t="s">
        <v>1981</v>
      </c>
      <c r="C10" s="33" t="s">
        <v>82</v>
      </c>
      <c r="D10" s="32" t="s">
        <v>1978</v>
      </c>
      <c r="E10" s="11" t="s">
        <v>37</v>
      </c>
    </row>
    <row r="11">
      <c r="A11" s="66"/>
      <c r="B11" s="34" t="s">
        <v>1982</v>
      </c>
      <c r="C11" s="33" t="s">
        <v>460</v>
      </c>
      <c r="D11" s="32" t="s">
        <v>1980</v>
      </c>
      <c r="E11" s="11" t="s">
        <v>33</v>
      </c>
    </row>
    <row r="12">
      <c r="A12" s="66"/>
      <c r="B12" s="32" t="s">
        <v>1981</v>
      </c>
      <c r="C12" s="33" t="s">
        <v>62</v>
      </c>
      <c r="D12" s="34" t="s">
        <v>1979</v>
      </c>
      <c r="E12" s="11" t="s">
        <v>37</v>
      </c>
    </row>
    <row r="13">
      <c r="A13" s="66"/>
      <c r="B13" s="34" t="s">
        <v>1979</v>
      </c>
      <c r="C13" s="33" t="s">
        <v>25</v>
      </c>
      <c r="D13" s="32" t="s">
        <v>1978</v>
      </c>
      <c r="E13" s="11" t="s">
        <v>33</v>
      </c>
    </row>
    <row r="14">
      <c r="A14" s="66"/>
      <c r="B14" s="32" t="s">
        <v>1981</v>
      </c>
      <c r="C14" s="33" t="s">
        <v>43</v>
      </c>
      <c r="D14" s="32" t="s">
        <v>1980</v>
      </c>
      <c r="E14" s="11" t="s">
        <v>37</v>
      </c>
    </row>
    <row r="15">
      <c r="A15" s="66"/>
      <c r="B15" s="32" t="s">
        <v>1978</v>
      </c>
      <c r="C15" s="35" t="s">
        <v>295</v>
      </c>
      <c r="D15" s="34" t="s">
        <v>1982</v>
      </c>
      <c r="E15" s="11" t="s">
        <v>33</v>
      </c>
    </row>
    <row r="16">
      <c r="A16" s="66"/>
      <c r="B16" s="34" t="s">
        <v>1979</v>
      </c>
      <c r="C16" s="35" t="s">
        <v>197</v>
      </c>
      <c r="D16" s="32" t="s">
        <v>1980</v>
      </c>
      <c r="E16" s="11" t="s">
        <v>37</v>
      </c>
    </row>
    <row r="17">
      <c r="A17" s="66"/>
      <c r="B17" s="32" t="s">
        <v>1981</v>
      </c>
      <c r="C17" s="35" t="s">
        <v>273</v>
      </c>
      <c r="D17" s="34" t="s">
        <v>1982</v>
      </c>
      <c r="E17" s="11" t="s">
        <v>33</v>
      </c>
    </row>
    <row r="18">
      <c r="A18" s="66"/>
      <c r="B18" s="32" t="s">
        <v>1978</v>
      </c>
      <c r="C18" s="35" t="s">
        <v>7</v>
      </c>
      <c r="D18" s="32" t="s">
        <v>1980</v>
      </c>
      <c r="E18" s="11" t="s">
        <v>37</v>
      </c>
    </row>
    <row r="19">
      <c r="A19" s="66"/>
      <c r="B19" s="34" t="s">
        <v>1979</v>
      </c>
      <c r="C19" s="35" t="s">
        <v>260</v>
      </c>
      <c r="D19" s="34" t="s">
        <v>1982</v>
      </c>
      <c r="E19" s="11" t="s">
        <v>33</v>
      </c>
    </row>
    <row r="20">
      <c r="A20" s="66"/>
      <c r="B20" s="32" t="s">
        <v>1978</v>
      </c>
      <c r="C20" s="35" t="s">
        <v>190</v>
      </c>
      <c r="D20" s="32" t="s">
        <v>1981</v>
      </c>
      <c r="E20" s="11" t="s">
        <v>37</v>
      </c>
    </row>
    <row r="21">
      <c r="A21" s="66"/>
      <c r="B21" s="32" t="s">
        <v>1980</v>
      </c>
      <c r="C21" s="35" t="s">
        <v>260</v>
      </c>
      <c r="D21" s="34" t="s">
        <v>1982</v>
      </c>
      <c r="E21" s="11" t="s">
        <v>33</v>
      </c>
    </row>
    <row r="22">
      <c r="A22" s="66"/>
      <c r="B22" s="34" t="s">
        <v>1979</v>
      </c>
      <c r="C22" s="33" t="s">
        <v>58</v>
      </c>
      <c r="D22" s="32" t="s">
        <v>1981</v>
      </c>
      <c r="E22" s="11" t="s">
        <v>37</v>
      </c>
    </row>
    <row r="23">
      <c r="A23" s="66"/>
      <c r="B23" s="1" t="s">
        <v>1321</v>
      </c>
      <c r="C23" s="2"/>
      <c r="D23" s="3"/>
      <c r="E23" s="48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1983</v>
      </c>
      <c r="C25" s="33" t="s">
        <v>270</v>
      </c>
      <c r="D25" s="32" t="s">
        <v>1785</v>
      </c>
      <c r="E25" s="11" t="s">
        <v>9</v>
      </c>
    </row>
    <row r="26">
      <c r="A26" s="66"/>
      <c r="B26" s="32" t="s">
        <v>1714</v>
      </c>
      <c r="C26" s="33" t="s">
        <v>21</v>
      </c>
      <c r="D26" s="32" t="s">
        <v>1984</v>
      </c>
      <c r="E26" s="11" t="s">
        <v>13</v>
      </c>
    </row>
    <row r="27">
      <c r="A27" s="66"/>
      <c r="B27" s="34" t="s">
        <v>1985</v>
      </c>
      <c r="C27" s="33" t="s">
        <v>194</v>
      </c>
      <c r="D27" s="34" t="s">
        <v>1983</v>
      </c>
      <c r="E27" s="11" t="s">
        <v>9</v>
      </c>
    </row>
    <row r="28">
      <c r="A28" s="66"/>
      <c r="B28" s="32" t="s">
        <v>1714</v>
      </c>
      <c r="C28" s="33" t="s">
        <v>19</v>
      </c>
      <c r="D28" s="32" t="s">
        <v>1785</v>
      </c>
      <c r="E28" s="11" t="s">
        <v>13</v>
      </c>
    </row>
    <row r="29">
      <c r="A29" s="66"/>
      <c r="B29" s="34" t="s">
        <v>1985</v>
      </c>
      <c r="C29" s="33" t="s">
        <v>1566</v>
      </c>
      <c r="D29" s="32" t="s">
        <v>1984</v>
      </c>
      <c r="E29" s="11" t="s">
        <v>9</v>
      </c>
    </row>
    <row r="30">
      <c r="A30" s="66"/>
      <c r="B30" s="32" t="s">
        <v>1714</v>
      </c>
      <c r="C30" s="33" t="s">
        <v>533</v>
      </c>
      <c r="D30" s="34" t="s">
        <v>1983</v>
      </c>
      <c r="E30" s="11" t="s">
        <v>13</v>
      </c>
    </row>
    <row r="31">
      <c r="A31" s="66"/>
      <c r="B31" s="34" t="s">
        <v>1985</v>
      </c>
      <c r="C31" s="33" t="s">
        <v>201</v>
      </c>
      <c r="D31" s="32" t="s">
        <v>1785</v>
      </c>
      <c r="E31" s="11" t="s">
        <v>9</v>
      </c>
    </row>
    <row r="32">
      <c r="A32" s="66"/>
      <c r="B32" s="32" t="s">
        <v>1984</v>
      </c>
      <c r="C32" s="33" t="s">
        <v>404</v>
      </c>
      <c r="D32" s="34" t="s">
        <v>1983</v>
      </c>
      <c r="E32" s="11" t="s">
        <v>13</v>
      </c>
    </row>
    <row r="33">
      <c r="A33" s="66"/>
      <c r="B33" s="34" t="s">
        <v>1985</v>
      </c>
      <c r="C33" s="33" t="s">
        <v>212</v>
      </c>
      <c r="D33" s="32" t="s">
        <v>1714</v>
      </c>
      <c r="E33" s="11" t="s">
        <v>9</v>
      </c>
    </row>
    <row r="34">
      <c r="A34" s="66"/>
      <c r="B34" s="32" t="s">
        <v>1984</v>
      </c>
      <c r="C34" s="33" t="s">
        <v>566</v>
      </c>
      <c r="D34" s="32" t="s">
        <v>1785</v>
      </c>
      <c r="E34" s="11" t="s">
        <v>13</v>
      </c>
    </row>
    <row r="35">
      <c r="A35" s="66"/>
      <c r="B35" s="32" t="s">
        <v>1785</v>
      </c>
      <c r="C35" s="33" t="s">
        <v>69</v>
      </c>
      <c r="D35" s="34" t="s">
        <v>1983</v>
      </c>
      <c r="E35" s="11" t="s">
        <v>9</v>
      </c>
    </row>
    <row r="36">
      <c r="A36" s="66"/>
      <c r="B36" s="32" t="s">
        <v>1984</v>
      </c>
      <c r="C36" s="33" t="s">
        <v>362</v>
      </c>
      <c r="D36" s="32" t="s">
        <v>1714</v>
      </c>
      <c r="E36" s="11" t="s">
        <v>13</v>
      </c>
    </row>
    <row r="37">
      <c r="A37" s="66"/>
      <c r="B37" s="34" t="s">
        <v>1983</v>
      </c>
      <c r="C37" s="35" t="s">
        <v>218</v>
      </c>
      <c r="D37" s="34" t="s">
        <v>1985</v>
      </c>
      <c r="E37" s="11" t="s">
        <v>9</v>
      </c>
    </row>
    <row r="38">
      <c r="A38" s="66"/>
      <c r="B38" s="32" t="s">
        <v>1785</v>
      </c>
      <c r="C38" s="35" t="s">
        <v>55</v>
      </c>
      <c r="D38" s="32" t="s">
        <v>1714</v>
      </c>
      <c r="E38" s="11" t="s">
        <v>13</v>
      </c>
    </row>
    <row r="39">
      <c r="A39" s="66"/>
      <c r="B39" s="32" t="s">
        <v>1984</v>
      </c>
      <c r="C39" s="35" t="s">
        <v>52</v>
      </c>
      <c r="D39" s="34" t="s">
        <v>1985</v>
      </c>
      <c r="E39" s="11" t="s">
        <v>9</v>
      </c>
    </row>
    <row r="40">
      <c r="A40" s="66"/>
      <c r="B40" s="34" t="s">
        <v>1983</v>
      </c>
      <c r="C40" s="35" t="s">
        <v>1953</v>
      </c>
      <c r="D40" s="32" t="s">
        <v>1714</v>
      </c>
      <c r="E40" s="11" t="s">
        <v>13</v>
      </c>
    </row>
    <row r="41">
      <c r="A41" s="66"/>
      <c r="B41" s="32" t="s">
        <v>1785</v>
      </c>
      <c r="C41" s="35" t="s">
        <v>217</v>
      </c>
      <c r="D41" s="34" t="s">
        <v>1985</v>
      </c>
      <c r="E41" s="11" t="s">
        <v>9</v>
      </c>
    </row>
    <row r="42">
      <c r="A42" s="66"/>
      <c r="B42" s="34" t="s">
        <v>1983</v>
      </c>
      <c r="C42" s="35" t="s">
        <v>842</v>
      </c>
      <c r="D42" s="32" t="s">
        <v>1984</v>
      </c>
      <c r="E42" s="11" t="s">
        <v>13</v>
      </c>
    </row>
    <row r="43">
      <c r="A43" s="66"/>
      <c r="B43" s="32" t="s">
        <v>1714</v>
      </c>
      <c r="C43" s="35" t="s">
        <v>193</v>
      </c>
      <c r="D43" s="34" t="s">
        <v>1985</v>
      </c>
      <c r="E43" s="11" t="s">
        <v>9</v>
      </c>
    </row>
    <row r="44">
      <c r="A44" s="67"/>
      <c r="B44" s="32" t="s">
        <v>1785</v>
      </c>
      <c r="C44" s="35" t="s">
        <v>566</v>
      </c>
      <c r="D44" s="32" t="s">
        <v>1984</v>
      </c>
      <c r="E44" s="11" t="s">
        <v>13</v>
      </c>
    </row>
    <row r="45">
      <c r="B45" s="1" t="s">
        <v>1986</v>
      </c>
      <c r="C45" s="2"/>
      <c r="D45" s="3"/>
      <c r="E45" s="14"/>
    </row>
    <row r="46">
      <c r="B46" s="16" t="s">
        <v>2</v>
      </c>
      <c r="C46" s="16" t="s">
        <v>3</v>
      </c>
      <c r="D46" s="16" t="s">
        <v>4</v>
      </c>
      <c r="E46" s="16" t="s">
        <v>5</v>
      </c>
    </row>
    <row r="47">
      <c r="B47" s="32" t="s">
        <v>1987</v>
      </c>
      <c r="C47" s="33" t="s">
        <v>218</v>
      </c>
      <c r="D47" s="32" t="s">
        <v>457</v>
      </c>
      <c r="E47" s="11" t="s">
        <v>33</v>
      </c>
    </row>
    <row r="48">
      <c r="B48" s="32" t="s">
        <v>1988</v>
      </c>
      <c r="C48" s="33" t="s">
        <v>286</v>
      </c>
      <c r="D48" s="32" t="s">
        <v>1989</v>
      </c>
      <c r="E48" s="11" t="s">
        <v>37</v>
      </c>
    </row>
    <row r="49">
      <c r="B49" s="32" t="s">
        <v>1990</v>
      </c>
      <c r="C49" s="33" t="s">
        <v>43</v>
      </c>
      <c r="D49" s="32" t="s">
        <v>1987</v>
      </c>
      <c r="E49" s="11" t="s">
        <v>33</v>
      </c>
    </row>
    <row r="50">
      <c r="B50" s="32" t="s">
        <v>1988</v>
      </c>
      <c r="C50" s="33" t="s">
        <v>273</v>
      </c>
      <c r="D50" s="32" t="s">
        <v>457</v>
      </c>
      <c r="E50" s="11" t="s">
        <v>37</v>
      </c>
    </row>
    <row r="51">
      <c r="B51" s="32" t="s">
        <v>1990</v>
      </c>
      <c r="C51" s="33" t="s">
        <v>17</v>
      </c>
      <c r="D51" s="32" t="s">
        <v>1989</v>
      </c>
      <c r="E51" s="11" t="s">
        <v>33</v>
      </c>
    </row>
    <row r="52">
      <c r="B52" s="32" t="s">
        <v>1988</v>
      </c>
      <c r="C52" s="33" t="s">
        <v>196</v>
      </c>
      <c r="D52" s="32" t="s">
        <v>1987</v>
      </c>
      <c r="E52" s="11" t="s">
        <v>37</v>
      </c>
    </row>
    <row r="53">
      <c r="B53" s="32" t="s">
        <v>1990</v>
      </c>
      <c r="C53" s="33" t="s">
        <v>41</v>
      </c>
      <c r="D53" s="32" t="s">
        <v>457</v>
      </c>
      <c r="E53" s="11" t="s">
        <v>33</v>
      </c>
    </row>
    <row r="54">
      <c r="B54" s="32" t="s">
        <v>1989</v>
      </c>
      <c r="C54" s="33" t="s">
        <v>81</v>
      </c>
      <c r="D54" s="32" t="s">
        <v>1987</v>
      </c>
      <c r="E54" s="11" t="s">
        <v>37</v>
      </c>
    </row>
    <row r="55">
      <c r="B55" s="32" t="s">
        <v>1990</v>
      </c>
      <c r="C55" s="33" t="s">
        <v>190</v>
      </c>
      <c r="D55" s="32" t="s">
        <v>1988</v>
      </c>
      <c r="E55" s="11" t="s">
        <v>33</v>
      </c>
    </row>
    <row r="56">
      <c r="B56" s="32" t="s">
        <v>1989</v>
      </c>
      <c r="C56" s="33" t="s">
        <v>196</v>
      </c>
      <c r="D56" s="32" t="s">
        <v>457</v>
      </c>
      <c r="E56" s="11" t="s">
        <v>37</v>
      </c>
    </row>
    <row r="57">
      <c r="B57" s="32" t="s">
        <v>457</v>
      </c>
      <c r="C57" s="33" t="s">
        <v>357</v>
      </c>
      <c r="D57" s="32" t="s">
        <v>1987</v>
      </c>
      <c r="E57" s="11" t="s">
        <v>33</v>
      </c>
    </row>
    <row r="58">
      <c r="B58" s="32" t="s">
        <v>1989</v>
      </c>
      <c r="C58" s="33" t="s">
        <v>87</v>
      </c>
      <c r="D58" s="32" t="s">
        <v>1988</v>
      </c>
      <c r="E58" s="11" t="s">
        <v>37</v>
      </c>
    </row>
    <row r="59">
      <c r="B59" s="32" t="s">
        <v>1987</v>
      </c>
      <c r="C59" s="35" t="s">
        <v>68</v>
      </c>
      <c r="D59" s="32" t="s">
        <v>1990</v>
      </c>
      <c r="E59" s="11" t="s">
        <v>33</v>
      </c>
    </row>
    <row r="60">
      <c r="B60" s="32" t="s">
        <v>457</v>
      </c>
      <c r="C60" s="35" t="s">
        <v>64</v>
      </c>
      <c r="D60" s="32" t="s">
        <v>1988</v>
      </c>
      <c r="E60" s="11" t="s">
        <v>37</v>
      </c>
    </row>
    <row r="61">
      <c r="B61" s="32" t="s">
        <v>1989</v>
      </c>
      <c r="C61" s="35" t="s">
        <v>78</v>
      </c>
      <c r="D61" s="32" t="s">
        <v>1990</v>
      </c>
      <c r="E61" s="11" t="s">
        <v>33</v>
      </c>
    </row>
    <row r="62">
      <c r="B62" s="32" t="s">
        <v>1987</v>
      </c>
      <c r="C62" s="35" t="s">
        <v>411</v>
      </c>
      <c r="D62" s="32" t="s">
        <v>1988</v>
      </c>
      <c r="E62" s="11" t="s">
        <v>37</v>
      </c>
    </row>
    <row r="63">
      <c r="B63" s="32" t="s">
        <v>457</v>
      </c>
      <c r="C63" s="35" t="s">
        <v>354</v>
      </c>
      <c r="D63" s="32" t="s">
        <v>1990</v>
      </c>
      <c r="E63" s="11" t="s">
        <v>33</v>
      </c>
    </row>
    <row r="64">
      <c r="B64" s="32" t="s">
        <v>1987</v>
      </c>
      <c r="C64" s="35" t="s">
        <v>43</v>
      </c>
      <c r="D64" s="32" t="s">
        <v>1989</v>
      </c>
      <c r="E64" s="11" t="s">
        <v>37</v>
      </c>
    </row>
    <row r="65">
      <c r="B65" s="32" t="s">
        <v>1988</v>
      </c>
      <c r="C65" s="35" t="s">
        <v>1478</v>
      </c>
      <c r="D65" s="32" t="s">
        <v>1990</v>
      </c>
      <c r="E65" s="11" t="s">
        <v>33</v>
      </c>
    </row>
    <row r="66">
      <c r="B66" s="32" t="s">
        <v>457</v>
      </c>
      <c r="C66" s="33" t="s">
        <v>1991</v>
      </c>
      <c r="D66" s="32" t="s">
        <v>1989</v>
      </c>
      <c r="E66" s="11" t="s">
        <v>37</v>
      </c>
    </row>
    <row r="67">
      <c r="B67" s="1" t="s">
        <v>1331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16" t="s">
        <v>5</v>
      </c>
    </row>
    <row r="69">
      <c r="B69" s="32" t="s">
        <v>1951</v>
      </c>
      <c r="C69" s="33" t="s">
        <v>81</v>
      </c>
      <c r="D69" s="32" t="s">
        <v>1724</v>
      </c>
      <c r="E69" s="11" t="s">
        <v>9</v>
      </c>
    </row>
    <row r="70">
      <c r="B70" s="32" t="s">
        <v>1657</v>
      </c>
      <c r="C70" s="33" t="s">
        <v>71</v>
      </c>
      <c r="D70" s="32" t="s">
        <v>1992</v>
      </c>
      <c r="E70" s="11" t="s">
        <v>13</v>
      </c>
    </row>
    <row r="71">
      <c r="B71" s="32" t="s">
        <v>1838</v>
      </c>
      <c r="C71" s="33" t="s">
        <v>239</v>
      </c>
      <c r="D71" s="32" t="s">
        <v>1951</v>
      </c>
      <c r="E71" s="11" t="s">
        <v>9</v>
      </c>
    </row>
    <row r="72">
      <c r="B72" s="32" t="s">
        <v>1657</v>
      </c>
      <c r="C72" s="33" t="s">
        <v>87</v>
      </c>
      <c r="D72" s="32" t="s">
        <v>1724</v>
      </c>
      <c r="E72" s="11" t="s">
        <v>13</v>
      </c>
    </row>
    <row r="73">
      <c r="B73" s="32" t="s">
        <v>1838</v>
      </c>
      <c r="C73" s="33" t="s">
        <v>201</v>
      </c>
      <c r="D73" s="32" t="s">
        <v>1992</v>
      </c>
      <c r="E73" s="11" t="s">
        <v>9</v>
      </c>
    </row>
    <row r="74">
      <c r="B74" s="32" t="s">
        <v>1657</v>
      </c>
      <c r="C74" s="33" t="s">
        <v>270</v>
      </c>
      <c r="D74" s="32" t="s">
        <v>1951</v>
      </c>
      <c r="E74" s="11" t="s">
        <v>13</v>
      </c>
    </row>
    <row r="75">
      <c r="B75" s="32" t="s">
        <v>1838</v>
      </c>
      <c r="C75" s="33" t="s">
        <v>28</v>
      </c>
      <c r="D75" s="32" t="s">
        <v>1724</v>
      </c>
      <c r="E75" s="11" t="s">
        <v>9</v>
      </c>
    </row>
    <row r="76">
      <c r="B76" s="32" t="s">
        <v>1992</v>
      </c>
      <c r="C76" s="33" t="s">
        <v>17</v>
      </c>
      <c r="D76" s="32" t="s">
        <v>1951</v>
      </c>
      <c r="E76" s="11" t="s">
        <v>13</v>
      </c>
    </row>
    <row r="77">
      <c r="B77" s="32" t="s">
        <v>1838</v>
      </c>
      <c r="C77" s="33" t="s">
        <v>239</v>
      </c>
      <c r="D77" s="32" t="s">
        <v>1657</v>
      </c>
      <c r="E77" s="11" t="s">
        <v>9</v>
      </c>
    </row>
    <row r="78">
      <c r="B78" s="32" t="s">
        <v>1992</v>
      </c>
      <c r="C78" s="33" t="s">
        <v>28</v>
      </c>
      <c r="D78" s="32" t="s">
        <v>1724</v>
      </c>
      <c r="E78" s="11" t="s">
        <v>13</v>
      </c>
    </row>
    <row r="79">
      <c r="B79" s="32" t="s">
        <v>1724</v>
      </c>
      <c r="C79" s="33" t="s">
        <v>285</v>
      </c>
      <c r="D79" s="32" t="s">
        <v>1951</v>
      </c>
      <c r="E79" s="11" t="s">
        <v>9</v>
      </c>
    </row>
    <row r="80">
      <c r="B80" s="32" t="s">
        <v>1992</v>
      </c>
      <c r="C80" s="33" t="s">
        <v>404</v>
      </c>
      <c r="D80" s="32" t="s">
        <v>1657</v>
      </c>
      <c r="E80" s="11" t="s">
        <v>13</v>
      </c>
    </row>
    <row r="81">
      <c r="B81" s="32" t="s">
        <v>1951</v>
      </c>
      <c r="C81" s="35" t="s">
        <v>1855</v>
      </c>
      <c r="D81" s="32" t="s">
        <v>1838</v>
      </c>
      <c r="E81" s="11" t="s">
        <v>9</v>
      </c>
    </row>
    <row r="82">
      <c r="B82" s="32" t="s">
        <v>1724</v>
      </c>
      <c r="C82" s="35" t="s">
        <v>68</v>
      </c>
      <c r="D82" s="32" t="s">
        <v>1657</v>
      </c>
      <c r="E82" s="11" t="s">
        <v>13</v>
      </c>
    </row>
    <row r="83">
      <c r="B83" s="32" t="s">
        <v>1992</v>
      </c>
      <c r="C83" s="35" t="s">
        <v>289</v>
      </c>
      <c r="D83" s="32" t="s">
        <v>1838</v>
      </c>
      <c r="E83" s="11" t="s">
        <v>9</v>
      </c>
    </row>
    <row r="84">
      <c r="B84" s="32" t="s">
        <v>1951</v>
      </c>
      <c r="C84" s="35" t="s">
        <v>570</v>
      </c>
      <c r="D84" s="32" t="s">
        <v>1657</v>
      </c>
      <c r="E84" s="11" t="s">
        <v>13</v>
      </c>
    </row>
    <row r="85">
      <c r="B85" s="32" t="s">
        <v>1724</v>
      </c>
      <c r="C85" s="35" t="s">
        <v>87</v>
      </c>
      <c r="D85" s="32" t="s">
        <v>1838</v>
      </c>
      <c r="E85" s="11" t="s">
        <v>9</v>
      </c>
    </row>
    <row r="86">
      <c r="B86" s="32" t="s">
        <v>1951</v>
      </c>
      <c r="C86" s="35" t="s">
        <v>43</v>
      </c>
      <c r="D86" s="32" t="s">
        <v>1992</v>
      </c>
      <c r="E86" s="11" t="s">
        <v>13</v>
      </c>
    </row>
    <row r="87">
      <c r="B87" s="32" t="s">
        <v>1657</v>
      </c>
      <c r="C87" s="35" t="s">
        <v>412</v>
      </c>
      <c r="D87" s="32" t="s">
        <v>1838</v>
      </c>
      <c r="E87" s="11" t="s">
        <v>9</v>
      </c>
    </row>
    <row r="88">
      <c r="B88" s="32" t="s">
        <v>1724</v>
      </c>
      <c r="C88" s="35" t="s">
        <v>68</v>
      </c>
      <c r="D88" s="32" t="s">
        <v>1992</v>
      </c>
      <c r="E88" s="11" t="s">
        <v>13</v>
      </c>
    </row>
    <row r="89">
      <c r="B89" s="1" t="s">
        <v>1659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16" t="s">
        <v>5</v>
      </c>
    </row>
    <row r="91">
      <c r="B91" s="32" t="s">
        <v>1993</v>
      </c>
      <c r="C91" s="35" t="s">
        <v>45</v>
      </c>
      <c r="D91" s="32" t="s">
        <v>697</v>
      </c>
      <c r="E91" s="11" t="s">
        <v>9</v>
      </c>
    </row>
    <row r="92">
      <c r="B92" s="32" t="s">
        <v>1661</v>
      </c>
      <c r="C92" s="35" t="s">
        <v>65</v>
      </c>
      <c r="D92" s="32" t="s">
        <v>750</v>
      </c>
      <c r="E92" s="11" t="s">
        <v>13</v>
      </c>
    </row>
    <row r="93">
      <c r="B93" s="32" t="s">
        <v>1660</v>
      </c>
      <c r="C93" s="35" t="s">
        <v>55</v>
      </c>
      <c r="D93" s="32" t="s">
        <v>1993</v>
      </c>
      <c r="E93" s="11" t="s">
        <v>9</v>
      </c>
    </row>
    <row r="94">
      <c r="B94" s="32" t="s">
        <v>1661</v>
      </c>
      <c r="C94" s="35" t="s">
        <v>534</v>
      </c>
      <c r="D94" s="32" t="s">
        <v>697</v>
      </c>
      <c r="E94" s="11" t="s">
        <v>13</v>
      </c>
    </row>
    <row r="95">
      <c r="B95" s="32" t="s">
        <v>1660</v>
      </c>
      <c r="C95" s="35" t="s">
        <v>81</v>
      </c>
      <c r="D95" s="32" t="s">
        <v>750</v>
      </c>
      <c r="E95" s="11" t="s">
        <v>9</v>
      </c>
    </row>
    <row r="96">
      <c r="B96" s="32" t="s">
        <v>1661</v>
      </c>
      <c r="C96" s="35" t="s">
        <v>17</v>
      </c>
      <c r="D96" s="32" t="s">
        <v>1993</v>
      </c>
      <c r="E96" s="11" t="s">
        <v>13</v>
      </c>
    </row>
    <row r="97">
      <c r="B97" s="32" t="s">
        <v>1660</v>
      </c>
      <c r="C97" s="35" t="s">
        <v>81</v>
      </c>
      <c r="D97" s="32" t="s">
        <v>697</v>
      </c>
      <c r="E97" s="11" t="s">
        <v>9</v>
      </c>
    </row>
    <row r="98">
      <c r="B98" s="32" t="s">
        <v>750</v>
      </c>
      <c r="C98" s="35" t="s">
        <v>260</v>
      </c>
      <c r="D98" s="32" t="s">
        <v>1993</v>
      </c>
      <c r="E98" s="11" t="s">
        <v>13</v>
      </c>
    </row>
    <row r="99">
      <c r="B99" s="32" t="s">
        <v>1660</v>
      </c>
      <c r="C99" s="35" t="s">
        <v>71</v>
      </c>
      <c r="D99" s="32" t="s">
        <v>1661</v>
      </c>
      <c r="E99" s="11" t="s">
        <v>9</v>
      </c>
    </row>
    <row r="100">
      <c r="B100" s="32" t="s">
        <v>750</v>
      </c>
      <c r="C100" s="35" t="s">
        <v>19</v>
      </c>
      <c r="D100" s="32" t="s">
        <v>697</v>
      </c>
      <c r="E100" s="11" t="s">
        <v>13</v>
      </c>
    </row>
    <row r="101">
      <c r="B101" s="32" t="s">
        <v>697</v>
      </c>
      <c r="C101" s="35" t="s">
        <v>81</v>
      </c>
      <c r="D101" s="32" t="s">
        <v>1993</v>
      </c>
      <c r="E101" s="11" t="s">
        <v>9</v>
      </c>
    </row>
    <row r="102">
      <c r="B102" s="32" t="s">
        <v>750</v>
      </c>
      <c r="C102" s="35" t="s">
        <v>201</v>
      </c>
      <c r="D102" s="32" t="s">
        <v>1661</v>
      </c>
      <c r="E102" s="11" t="s">
        <v>13</v>
      </c>
    </row>
    <row r="103">
      <c r="B103" s="32" t="s">
        <v>1993</v>
      </c>
      <c r="C103" s="35" t="s">
        <v>289</v>
      </c>
      <c r="D103" s="32" t="s">
        <v>1660</v>
      </c>
      <c r="E103" s="11" t="s">
        <v>9</v>
      </c>
    </row>
    <row r="104">
      <c r="B104" s="32" t="s">
        <v>697</v>
      </c>
      <c r="C104" s="35" t="s">
        <v>1994</v>
      </c>
      <c r="D104" s="32" t="s">
        <v>1661</v>
      </c>
      <c r="E104" s="11" t="s">
        <v>13</v>
      </c>
    </row>
    <row r="105">
      <c r="B105" s="32" t="s">
        <v>750</v>
      </c>
      <c r="C105" s="35" t="s">
        <v>201</v>
      </c>
      <c r="D105" s="32" t="s">
        <v>1660</v>
      </c>
      <c r="E105" s="11" t="s">
        <v>9</v>
      </c>
    </row>
    <row r="106">
      <c r="B106" s="32" t="s">
        <v>1993</v>
      </c>
      <c r="C106" s="35" t="s">
        <v>363</v>
      </c>
      <c r="D106" s="32" t="s">
        <v>1661</v>
      </c>
      <c r="E106" s="11" t="s">
        <v>13</v>
      </c>
    </row>
    <row r="107">
      <c r="B107" s="32" t="s">
        <v>697</v>
      </c>
      <c r="C107" s="35" t="s">
        <v>722</v>
      </c>
      <c r="D107" s="32" t="s">
        <v>1660</v>
      </c>
      <c r="E107" s="11" t="s">
        <v>9</v>
      </c>
    </row>
    <row r="108">
      <c r="B108" s="32" t="s">
        <v>1993</v>
      </c>
      <c r="C108" s="35" t="s">
        <v>87</v>
      </c>
      <c r="D108" s="32" t="s">
        <v>750</v>
      </c>
      <c r="E108" s="11" t="s">
        <v>13</v>
      </c>
    </row>
    <row r="109">
      <c r="B109" s="32" t="s">
        <v>1661</v>
      </c>
      <c r="C109" s="35" t="s">
        <v>42</v>
      </c>
      <c r="D109" s="32" t="s">
        <v>1660</v>
      </c>
      <c r="E109" s="11" t="s">
        <v>9</v>
      </c>
    </row>
    <row r="110">
      <c r="B110" s="32" t="s">
        <v>697</v>
      </c>
      <c r="C110" s="35" t="s">
        <v>260</v>
      </c>
      <c r="D110" s="32" t="s">
        <v>750</v>
      </c>
      <c r="E110" s="11" t="s">
        <v>13</v>
      </c>
    </row>
    <row r="111">
      <c r="B111" s="1" t="s">
        <v>1664</v>
      </c>
      <c r="C111" s="2"/>
      <c r="D111" s="3"/>
      <c r="E111" s="4"/>
    </row>
    <row r="112"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B113" s="32" t="s">
        <v>1995</v>
      </c>
      <c r="C113" s="35" t="s">
        <v>351</v>
      </c>
      <c r="D113" s="32" t="s">
        <v>1734</v>
      </c>
      <c r="E113" s="11" t="s">
        <v>9</v>
      </c>
    </row>
    <row r="114">
      <c r="B114" s="32" t="s">
        <v>1733</v>
      </c>
      <c r="C114" s="35" t="s">
        <v>201</v>
      </c>
      <c r="D114" s="32" t="s">
        <v>1996</v>
      </c>
      <c r="E114" s="11" t="s">
        <v>13</v>
      </c>
    </row>
    <row r="115">
      <c r="B115" s="32" t="s">
        <v>1790</v>
      </c>
      <c r="C115" s="35" t="s">
        <v>370</v>
      </c>
      <c r="D115" s="32" t="s">
        <v>1995</v>
      </c>
      <c r="E115" s="11" t="s">
        <v>9</v>
      </c>
    </row>
    <row r="116">
      <c r="B116" s="32" t="s">
        <v>1733</v>
      </c>
      <c r="C116" s="35" t="s">
        <v>23</v>
      </c>
      <c r="D116" s="32" t="s">
        <v>1734</v>
      </c>
      <c r="E116" s="11" t="s">
        <v>13</v>
      </c>
    </row>
    <row r="117">
      <c r="B117" s="32" t="s">
        <v>1790</v>
      </c>
      <c r="C117" s="35" t="s">
        <v>215</v>
      </c>
      <c r="D117" s="32" t="s">
        <v>1996</v>
      </c>
      <c r="E117" s="11" t="s">
        <v>9</v>
      </c>
    </row>
    <row r="118">
      <c r="B118" s="32" t="s">
        <v>1733</v>
      </c>
      <c r="C118" s="35" t="s">
        <v>47</v>
      </c>
      <c r="D118" s="32" t="s">
        <v>1995</v>
      </c>
      <c r="E118" s="11" t="s">
        <v>13</v>
      </c>
    </row>
    <row r="119">
      <c r="B119" s="32" t="s">
        <v>1790</v>
      </c>
      <c r="C119" s="35" t="s">
        <v>239</v>
      </c>
      <c r="D119" s="32" t="s">
        <v>1734</v>
      </c>
      <c r="E119" s="11" t="s">
        <v>9</v>
      </c>
    </row>
    <row r="120">
      <c r="B120" s="32" t="s">
        <v>1996</v>
      </c>
      <c r="C120" s="35" t="s">
        <v>64</v>
      </c>
      <c r="D120" s="32" t="s">
        <v>1995</v>
      </c>
      <c r="E120" s="11" t="s">
        <v>13</v>
      </c>
    </row>
    <row r="121">
      <c r="B121" s="32" t="s">
        <v>1790</v>
      </c>
      <c r="C121" s="35" t="s">
        <v>329</v>
      </c>
      <c r="D121" s="32" t="s">
        <v>1733</v>
      </c>
      <c r="E121" s="11" t="s">
        <v>9</v>
      </c>
    </row>
    <row r="122">
      <c r="B122" s="32" t="s">
        <v>1996</v>
      </c>
      <c r="C122" s="35" t="s">
        <v>857</v>
      </c>
      <c r="D122" s="32" t="s">
        <v>1734</v>
      </c>
      <c r="E122" s="11" t="s">
        <v>13</v>
      </c>
    </row>
    <row r="123">
      <c r="B123" s="32" t="s">
        <v>1734</v>
      </c>
      <c r="C123" s="35" t="s">
        <v>217</v>
      </c>
      <c r="D123" s="32" t="s">
        <v>1995</v>
      </c>
      <c r="E123" s="11" t="s">
        <v>9</v>
      </c>
    </row>
    <row r="124">
      <c r="B124" s="32" t="s">
        <v>1996</v>
      </c>
      <c r="C124" s="35" t="s">
        <v>244</v>
      </c>
      <c r="D124" s="32" t="s">
        <v>1733</v>
      </c>
      <c r="E124" s="11" t="s">
        <v>13</v>
      </c>
    </row>
    <row r="125">
      <c r="B125" s="32" t="s">
        <v>1995</v>
      </c>
      <c r="C125" s="35" t="s">
        <v>260</v>
      </c>
      <c r="D125" s="32" t="s">
        <v>1790</v>
      </c>
      <c r="E125" s="11" t="s">
        <v>9</v>
      </c>
    </row>
    <row r="126">
      <c r="B126" s="32" t="s">
        <v>1734</v>
      </c>
      <c r="C126" s="35" t="s">
        <v>289</v>
      </c>
      <c r="D126" s="32" t="s">
        <v>1733</v>
      </c>
      <c r="E126" s="11" t="s">
        <v>13</v>
      </c>
    </row>
    <row r="127">
      <c r="B127" s="32" t="s">
        <v>1996</v>
      </c>
      <c r="C127" s="35" t="s">
        <v>21</v>
      </c>
      <c r="D127" s="32" t="s">
        <v>1790</v>
      </c>
      <c r="E127" s="11" t="s">
        <v>9</v>
      </c>
    </row>
    <row r="128">
      <c r="B128" s="32" t="s">
        <v>1995</v>
      </c>
      <c r="C128" s="35" t="s">
        <v>82</v>
      </c>
      <c r="D128" s="32" t="s">
        <v>1733</v>
      </c>
      <c r="E128" s="11" t="s">
        <v>13</v>
      </c>
    </row>
    <row r="129">
      <c r="B129" s="32" t="s">
        <v>1734</v>
      </c>
      <c r="C129" s="35" t="s">
        <v>72</v>
      </c>
      <c r="D129" s="32" t="s">
        <v>1790</v>
      </c>
      <c r="E129" s="11" t="s">
        <v>9</v>
      </c>
    </row>
    <row r="130">
      <c r="B130" s="32" t="s">
        <v>1995</v>
      </c>
      <c r="C130" s="35" t="s">
        <v>82</v>
      </c>
      <c r="D130" s="32" t="s">
        <v>1996</v>
      </c>
      <c r="E130" s="11" t="s">
        <v>13</v>
      </c>
    </row>
    <row r="131">
      <c r="B131" s="32" t="s">
        <v>1733</v>
      </c>
      <c r="C131" s="35" t="s">
        <v>21</v>
      </c>
      <c r="D131" s="32" t="s">
        <v>1790</v>
      </c>
      <c r="E131" s="11" t="s">
        <v>9</v>
      </c>
    </row>
    <row r="132">
      <c r="B132" s="32" t="s">
        <v>1734</v>
      </c>
      <c r="C132" s="35" t="s">
        <v>217</v>
      </c>
      <c r="D132" s="32" t="s">
        <v>1996</v>
      </c>
      <c r="E132" s="11" t="s">
        <v>13</v>
      </c>
    </row>
    <row r="133">
      <c r="B133" s="1" t="s">
        <v>1413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32" t="s">
        <v>762</v>
      </c>
      <c r="C135" s="35" t="s">
        <v>25</v>
      </c>
      <c r="D135" s="32" t="s">
        <v>923</v>
      </c>
      <c r="E135" s="11" t="s">
        <v>33</v>
      </c>
    </row>
    <row r="136">
      <c r="B136" s="32" t="s">
        <v>1739</v>
      </c>
      <c r="C136" s="35" t="s">
        <v>24</v>
      </c>
      <c r="D136" s="32" t="s">
        <v>855</v>
      </c>
      <c r="E136" s="11" t="s">
        <v>37</v>
      </c>
    </row>
    <row r="137">
      <c r="B137" s="32" t="s">
        <v>279</v>
      </c>
      <c r="C137" s="35" t="s">
        <v>792</v>
      </c>
      <c r="D137" s="32" t="s">
        <v>762</v>
      </c>
      <c r="E137" s="11" t="s">
        <v>33</v>
      </c>
    </row>
    <row r="138">
      <c r="B138" s="32" t="s">
        <v>1739</v>
      </c>
      <c r="C138" s="35" t="s">
        <v>239</v>
      </c>
      <c r="D138" s="32" t="s">
        <v>923</v>
      </c>
      <c r="E138" s="11" t="s">
        <v>37</v>
      </c>
    </row>
    <row r="139">
      <c r="B139" s="32" t="s">
        <v>279</v>
      </c>
      <c r="C139" s="35" t="s">
        <v>239</v>
      </c>
      <c r="D139" s="32" t="s">
        <v>855</v>
      </c>
      <c r="E139" s="11" t="s">
        <v>33</v>
      </c>
    </row>
    <row r="140">
      <c r="B140" s="32" t="s">
        <v>1739</v>
      </c>
      <c r="C140" s="35" t="s">
        <v>72</v>
      </c>
      <c r="D140" s="32" t="s">
        <v>762</v>
      </c>
      <c r="E140" s="11" t="s">
        <v>37</v>
      </c>
    </row>
    <row r="141">
      <c r="B141" s="32" t="s">
        <v>279</v>
      </c>
      <c r="C141" s="35" t="s">
        <v>43</v>
      </c>
      <c r="D141" s="32" t="s">
        <v>923</v>
      </c>
      <c r="E141" s="11" t="s">
        <v>33</v>
      </c>
    </row>
    <row r="142">
      <c r="B142" s="32" t="s">
        <v>855</v>
      </c>
      <c r="C142" s="35" t="s">
        <v>38</v>
      </c>
      <c r="D142" s="32" t="s">
        <v>762</v>
      </c>
      <c r="E142" s="11" t="s">
        <v>37</v>
      </c>
    </row>
    <row r="143">
      <c r="B143" s="32" t="s">
        <v>279</v>
      </c>
      <c r="C143" s="35" t="s">
        <v>285</v>
      </c>
      <c r="D143" s="32" t="s">
        <v>1739</v>
      </c>
      <c r="E143" s="11" t="s">
        <v>33</v>
      </c>
    </row>
    <row r="144">
      <c r="B144" s="32" t="s">
        <v>855</v>
      </c>
      <c r="C144" s="35" t="s">
        <v>87</v>
      </c>
      <c r="D144" s="32" t="s">
        <v>923</v>
      </c>
      <c r="E144" s="11" t="s">
        <v>37</v>
      </c>
    </row>
    <row r="145">
      <c r="B145" s="32" t="s">
        <v>923</v>
      </c>
      <c r="C145" s="35" t="s">
        <v>47</v>
      </c>
      <c r="D145" s="32" t="s">
        <v>762</v>
      </c>
      <c r="E145" s="11" t="s">
        <v>33</v>
      </c>
    </row>
    <row r="146">
      <c r="B146" s="32" t="s">
        <v>855</v>
      </c>
      <c r="C146" s="35" t="s">
        <v>195</v>
      </c>
      <c r="D146" s="32" t="s">
        <v>1739</v>
      </c>
      <c r="E146" s="11" t="s">
        <v>37</v>
      </c>
    </row>
    <row r="147">
      <c r="B147" s="32" t="s">
        <v>762</v>
      </c>
      <c r="C147" s="35" t="s">
        <v>389</v>
      </c>
      <c r="D147" s="32" t="s">
        <v>279</v>
      </c>
      <c r="E147" s="11" t="s">
        <v>33</v>
      </c>
    </row>
    <row r="148">
      <c r="B148" s="32" t="s">
        <v>923</v>
      </c>
      <c r="C148" s="35" t="s">
        <v>370</v>
      </c>
      <c r="D148" s="32" t="s">
        <v>1739</v>
      </c>
      <c r="E148" s="11" t="s">
        <v>37</v>
      </c>
    </row>
    <row r="149">
      <c r="B149" s="32" t="s">
        <v>855</v>
      </c>
      <c r="C149" s="35" t="s">
        <v>14</v>
      </c>
      <c r="D149" s="32" t="s">
        <v>279</v>
      </c>
      <c r="E149" s="11" t="s">
        <v>33</v>
      </c>
    </row>
    <row r="150">
      <c r="B150" s="32" t="s">
        <v>762</v>
      </c>
      <c r="C150" s="35" t="s">
        <v>187</v>
      </c>
      <c r="D150" s="32" t="s">
        <v>1739</v>
      </c>
      <c r="E150" s="11" t="s">
        <v>37</v>
      </c>
    </row>
    <row r="151">
      <c r="B151" s="32" t="s">
        <v>923</v>
      </c>
      <c r="C151" s="35" t="s">
        <v>488</v>
      </c>
      <c r="D151" s="32" t="s">
        <v>279</v>
      </c>
      <c r="E151" s="11" t="s">
        <v>33</v>
      </c>
    </row>
    <row r="152">
      <c r="B152" s="32" t="s">
        <v>762</v>
      </c>
      <c r="C152" s="35" t="s">
        <v>20</v>
      </c>
      <c r="D152" s="32" t="s">
        <v>855</v>
      </c>
      <c r="E152" s="11" t="s">
        <v>37</v>
      </c>
    </row>
    <row r="153">
      <c r="B153" s="32" t="s">
        <v>1739</v>
      </c>
      <c r="C153" s="35" t="s">
        <v>196</v>
      </c>
      <c r="D153" s="32" t="s">
        <v>279</v>
      </c>
      <c r="E153" s="11" t="s">
        <v>33</v>
      </c>
    </row>
    <row r="154">
      <c r="B154" s="32" t="s">
        <v>923</v>
      </c>
      <c r="C154" s="35" t="s">
        <v>1997</v>
      </c>
      <c r="D154" s="32" t="s">
        <v>855</v>
      </c>
      <c r="E154" s="11" t="s">
        <v>37</v>
      </c>
    </row>
    <row r="155">
      <c r="B155" s="1" t="s">
        <v>1419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B157" s="32" t="s">
        <v>1673</v>
      </c>
      <c r="C157" s="33" t="s">
        <v>19</v>
      </c>
      <c r="D157" s="32" t="s">
        <v>576</v>
      </c>
      <c r="E157" s="11" t="s">
        <v>9</v>
      </c>
    </row>
    <row r="158">
      <c r="B158" s="32" t="s">
        <v>1742</v>
      </c>
      <c r="C158" s="33" t="s">
        <v>22</v>
      </c>
      <c r="D158" s="32" t="s">
        <v>1998</v>
      </c>
      <c r="E158" s="11" t="s">
        <v>13</v>
      </c>
    </row>
    <row r="159">
      <c r="B159" s="32" t="s">
        <v>1999</v>
      </c>
      <c r="C159" s="33" t="s">
        <v>488</v>
      </c>
      <c r="D159" s="32" t="s">
        <v>1673</v>
      </c>
      <c r="E159" s="11" t="s">
        <v>9</v>
      </c>
    </row>
    <row r="160">
      <c r="B160" s="32" t="s">
        <v>1742</v>
      </c>
      <c r="C160" s="33" t="s">
        <v>22</v>
      </c>
      <c r="D160" s="32" t="s">
        <v>576</v>
      </c>
      <c r="E160" s="11" t="s">
        <v>13</v>
      </c>
    </row>
    <row r="161">
      <c r="B161" s="32" t="s">
        <v>1999</v>
      </c>
      <c r="C161" s="33" t="s">
        <v>201</v>
      </c>
      <c r="D161" s="32" t="s">
        <v>1998</v>
      </c>
      <c r="E161" s="11" t="s">
        <v>9</v>
      </c>
    </row>
    <row r="162">
      <c r="B162" s="32" t="s">
        <v>1742</v>
      </c>
      <c r="C162" s="33" t="s">
        <v>71</v>
      </c>
      <c r="D162" s="32" t="s">
        <v>1673</v>
      </c>
      <c r="E162" s="11" t="s">
        <v>13</v>
      </c>
    </row>
    <row r="163">
      <c r="B163" s="32" t="s">
        <v>1999</v>
      </c>
      <c r="C163" s="33" t="s">
        <v>62</v>
      </c>
      <c r="D163" s="32" t="s">
        <v>576</v>
      </c>
      <c r="E163" s="11" t="s">
        <v>9</v>
      </c>
    </row>
    <row r="164">
      <c r="B164" s="32" t="s">
        <v>1998</v>
      </c>
      <c r="C164" s="33" t="s">
        <v>16</v>
      </c>
      <c r="D164" s="32" t="s">
        <v>1673</v>
      </c>
      <c r="E164" s="11" t="s">
        <v>13</v>
      </c>
    </row>
    <row r="165">
      <c r="B165" s="32" t="s">
        <v>1999</v>
      </c>
      <c r="C165" s="33" t="s">
        <v>218</v>
      </c>
      <c r="D165" s="32" t="s">
        <v>1742</v>
      </c>
      <c r="E165" s="11" t="s">
        <v>9</v>
      </c>
    </row>
    <row r="166">
      <c r="B166" s="32" t="s">
        <v>1998</v>
      </c>
      <c r="C166" s="33" t="s">
        <v>87</v>
      </c>
      <c r="D166" s="32" t="s">
        <v>576</v>
      </c>
      <c r="E166" s="11" t="s">
        <v>13</v>
      </c>
    </row>
    <row r="167">
      <c r="B167" s="32" t="s">
        <v>576</v>
      </c>
      <c r="C167" s="33" t="s">
        <v>87</v>
      </c>
      <c r="D167" s="32" t="s">
        <v>1673</v>
      </c>
      <c r="E167" s="11" t="s">
        <v>9</v>
      </c>
    </row>
    <row r="168">
      <c r="B168" s="32" t="s">
        <v>1998</v>
      </c>
      <c r="C168" s="33" t="s">
        <v>389</v>
      </c>
      <c r="D168" s="32" t="s">
        <v>1742</v>
      </c>
      <c r="E168" s="11" t="s">
        <v>13</v>
      </c>
    </row>
    <row r="169">
      <c r="B169" s="32" t="s">
        <v>1673</v>
      </c>
      <c r="C169" s="35" t="s">
        <v>31</v>
      </c>
      <c r="D169" s="32" t="s">
        <v>1999</v>
      </c>
      <c r="E169" s="11" t="s">
        <v>9</v>
      </c>
    </row>
    <row r="170">
      <c r="B170" s="32" t="s">
        <v>576</v>
      </c>
      <c r="C170" s="35" t="s">
        <v>319</v>
      </c>
      <c r="D170" s="32" t="s">
        <v>1742</v>
      </c>
      <c r="E170" s="11" t="s">
        <v>13</v>
      </c>
    </row>
    <row r="171">
      <c r="B171" s="32" t="s">
        <v>1998</v>
      </c>
      <c r="C171" s="35" t="s">
        <v>193</v>
      </c>
      <c r="D171" s="32" t="s">
        <v>1999</v>
      </c>
      <c r="E171" s="11" t="s">
        <v>9</v>
      </c>
    </row>
    <row r="172">
      <c r="B172" s="32" t="s">
        <v>1673</v>
      </c>
      <c r="C172" s="35" t="s">
        <v>16</v>
      </c>
      <c r="D172" s="32" t="s">
        <v>1742</v>
      </c>
      <c r="E172" s="11" t="s">
        <v>13</v>
      </c>
    </row>
    <row r="173">
      <c r="B173" s="32" t="s">
        <v>576</v>
      </c>
      <c r="C173" s="35" t="s">
        <v>232</v>
      </c>
      <c r="D173" s="32" t="s">
        <v>1999</v>
      </c>
      <c r="E173" s="11" t="s">
        <v>9</v>
      </c>
    </row>
    <row r="174">
      <c r="B174" s="32" t="s">
        <v>1673</v>
      </c>
      <c r="C174" s="35" t="s">
        <v>31</v>
      </c>
      <c r="D174" s="32" t="s">
        <v>1998</v>
      </c>
      <c r="E174" s="11" t="s">
        <v>13</v>
      </c>
    </row>
    <row r="175">
      <c r="B175" s="32" t="s">
        <v>1742</v>
      </c>
      <c r="C175" s="35" t="s">
        <v>291</v>
      </c>
      <c r="D175" s="32" t="s">
        <v>1999</v>
      </c>
      <c r="E175" s="11" t="s">
        <v>9</v>
      </c>
    </row>
    <row r="176">
      <c r="B176" s="32" t="s">
        <v>576</v>
      </c>
      <c r="C176" s="35" t="s">
        <v>71</v>
      </c>
      <c r="D176" s="32" t="s">
        <v>1998</v>
      </c>
      <c r="E176" s="11" t="s">
        <v>13</v>
      </c>
    </row>
    <row r="177">
      <c r="B177" s="1" t="s">
        <v>112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B179" s="32" t="s">
        <v>916</v>
      </c>
      <c r="C179" s="35" t="s">
        <v>626</v>
      </c>
      <c r="D179" s="32" t="s">
        <v>2000</v>
      </c>
      <c r="E179" s="11" t="s">
        <v>33</v>
      </c>
    </row>
    <row r="180">
      <c r="B180" s="32" t="s">
        <v>1681</v>
      </c>
      <c r="C180" s="35" t="s">
        <v>45</v>
      </c>
      <c r="D180" s="32" t="s">
        <v>2001</v>
      </c>
      <c r="E180" s="11" t="s">
        <v>37</v>
      </c>
    </row>
    <row r="181">
      <c r="B181" s="32" t="s">
        <v>1149</v>
      </c>
      <c r="C181" s="35" t="s">
        <v>83</v>
      </c>
      <c r="D181" s="32" t="s">
        <v>916</v>
      </c>
      <c r="E181" s="11" t="s">
        <v>33</v>
      </c>
    </row>
    <row r="182">
      <c r="B182" s="32" t="s">
        <v>1681</v>
      </c>
      <c r="C182" s="35" t="s">
        <v>68</v>
      </c>
      <c r="D182" s="32" t="s">
        <v>2000</v>
      </c>
      <c r="E182" s="11" t="s">
        <v>37</v>
      </c>
    </row>
    <row r="183">
      <c r="B183" s="32" t="s">
        <v>1149</v>
      </c>
      <c r="C183" s="35" t="s">
        <v>201</v>
      </c>
      <c r="D183" s="32" t="s">
        <v>2001</v>
      </c>
      <c r="E183" s="11" t="s">
        <v>33</v>
      </c>
    </row>
    <row r="184">
      <c r="B184" s="32" t="s">
        <v>1681</v>
      </c>
      <c r="C184" s="35" t="s">
        <v>2002</v>
      </c>
      <c r="D184" s="32" t="s">
        <v>916</v>
      </c>
      <c r="E184" s="11" t="s">
        <v>37</v>
      </c>
    </row>
    <row r="185">
      <c r="B185" s="32" t="s">
        <v>1149</v>
      </c>
      <c r="C185" s="35" t="s">
        <v>536</v>
      </c>
      <c r="D185" s="32" t="s">
        <v>2000</v>
      </c>
      <c r="E185" s="11" t="s">
        <v>33</v>
      </c>
    </row>
    <row r="186">
      <c r="B186" s="32" t="s">
        <v>2001</v>
      </c>
      <c r="C186" s="35" t="s">
        <v>190</v>
      </c>
      <c r="D186" s="32" t="s">
        <v>916</v>
      </c>
      <c r="E186" s="11" t="s">
        <v>37</v>
      </c>
    </row>
    <row r="187">
      <c r="B187" s="32" t="s">
        <v>1149</v>
      </c>
      <c r="C187" s="35" t="s">
        <v>250</v>
      </c>
      <c r="D187" s="32" t="s">
        <v>1681</v>
      </c>
      <c r="E187" s="11" t="s">
        <v>33</v>
      </c>
    </row>
    <row r="188">
      <c r="B188" s="32" t="s">
        <v>2001</v>
      </c>
      <c r="C188" s="35" t="s">
        <v>231</v>
      </c>
      <c r="D188" s="32" t="s">
        <v>2000</v>
      </c>
      <c r="E188" s="11" t="s">
        <v>37</v>
      </c>
    </row>
    <row r="189">
      <c r="B189" s="32" t="s">
        <v>2000</v>
      </c>
      <c r="C189" s="35" t="s">
        <v>58</v>
      </c>
      <c r="D189" s="32" t="s">
        <v>916</v>
      </c>
      <c r="E189" s="11" t="s">
        <v>33</v>
      </c>
    </row>
    <row r="190">
      <c r="B190" s="32" t="s">
        <v>2001</v>
      </c>
      <c r="C190" s="35" t="s">
        <v>197</v>
      </c>
      <c r="D190" s="32" t="s">
        <v>1681</v>
      </c>
      <c r="E190" s="11" t="s">
        <v>37</v>
      </c>
    </row>
    <row r="191">
      <c r="B191" s="32" t="s">
        <v>916</v>
      </c>
      <c r="C191" s="35" t="s">
        <v>328</v>
      </c>
      <c r="D191" s="32" t="s">
        <v>1149</v>
      </c>
      <c r="E191" s="11" t="s">
        <v>33</v>
      </c>
    </row>
    <row r="192">
      <c r="B192" s="32" t="s">
        <v>2000</v>
      </c>
      <c r="C192" s="35" t="s">
        <v>55</v>
      </c>
      <c r="D192" s="32" t="s">
        <v>1681</v>
      </c>
      <c r="E192" s="11" t="s">
        <v>37</v>
      </c>
    </row>
    <row r="193">
      <c r="B193" s="32" t="s">
        <v>2001</v>
      </c>
      <c r="C193" s="35" t="s">
        <v>88</v>
      </c>
      <c r="D193" s="32" t="s">
        <v>1149</v>
      </c>
      <c r="E193" s="11" t="s">
        <v>33</v>
      </c>
    </row>
    <row r="194">
      <c r="B194" s="32" t="s">
        <v>916</v>
      </c>
      <c r="C194" s="35" t="s">
        <v>446</v>
      </c>
      <c r="D194" s="32" t="s">
        <v>1681</v>
      </c>
      <c r="E194" s="11" t="s">
        <v>37</v>
      </c>
    </row>
    <row r="195">
      <c r="B195" s="32" t="s">
        <v>2000</v>
      </c>
      <c r="C195" s="35" t="s">
        <v>25</v>
      </c>
      <c r="D195" s="32" t="s">
        <v>1149</v>
      </c>
      <c r="E195" s="11" t="s">
        <v>33</v>
      </c>
    </row>
    <row r="196">
      <c r="B196" s="32" t="s">
        <v>916</v>
      </c>
      <c r="C196" s="35" t="s">
        <v>66</v>
      </c>
      <c r="D196" s="32" t="s">
        <v>2001</v>
      </c>
      <c r="E196" s="11" t="s">
        <v>37</v>
      </c>
    </row>
    <row r="197">
      <c r="B197" s="32" t="s">
        <v>1681</v>
      </c>
      <c r="C197" s="35" t="s">
        <v>578</v>
      </c>
      <c r="D197" s="32" t="s">
        <v>1149</v>
      </c>
      <c r="E197" s="11" t="s">
        <v>33</v>
      </c>
    </row>
    <row r="198">
      <c r="B198" s="32" t="s">
        <v>2000</v>
      </c>
      <c r="C198" s="35" t="s">
        <v>43</v>
      </c>
      <c r="D198" s="32" t="s">
        <v>2001</v>
      </c>
      <c r="E198" s="11" t="s">
        <v>37</v>
      </c>
    </row>
    <row r="199">
      <c r="B199" s="1" t="s">
        <v>1429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B201" s="32" t="s">
        <v>2003</v>
      </c>
      <c r="C201" s="35" t="s">
        <v>195</v>
      </c>
      <c r="D201" s="32" t="s">
        <v>1684</v>
      </c>
      <c r="E201" s="11" t="s">
        <v>33</v>
      </c>
    </row>
    <row r="202">
      <c r="B202" s="32" t="s">
        <v>388</v>
      </c>
      <c r="C202" s="35" t="s">
        <v>41</v>
      </c>
      <c r="D202" s="32" t="s">
        <v>1123</v>
      </c>
      <c r="E202" s="11" t="s">
        <v>37</v>
      </c>
    </row>
    <row r="203">
      <c r="B203" s="32" t="s">
        <v>730</v>
      </c>
      <c r="C203" s="35" t="s">
        <v>201</v>
      </c>
      <c r="D203" s="32" t="s">
        <v>2003</v>
      </c>
      <c r="E203" s="11" t="s">
        <v>33</v>
      </c>
    </row>
    <row r="204">
      <c r="B204" s="32" t="s">
        <v>388</v>
      </c>
      <c r="C204" s="35" t="s">
        <v>259</v>
      </c>
      <c r="D204" s="32" t="s">
        <v>1684</v>
      </c>
      <c r="E204" s="11" t="s">
        <v>37</v>
      </c>
    </row>
    <row r="205">
      <c r="B205" s="32" t="s">
        <v>730</v>
      </c>
      <c r="C205" s="35" t="s">
        <v>7</v>
      </c>
      <c r="D205" s="32" t="s">
        <v>1123</v>
      </c>
      <c r="E205" s="11" t="s">
        <v>33</v>
      </c>
    </row>
    <row r="206">
      <c r="B206" s="32" t="s">
        <v>388</v>
      </c>
      <c r="C206" s="35" t="s">
        <v>67</v>
      </c>
      <c r="D206" s="32" t="s">
        <v>2003</v>
      </c>
      <c r="E206" s="11" t="s">
        <v>37</v>
      </c>
    </row>
    <row r="207">
      <c r="B207" s="32" t="s">
        <v>730</v>
      </c>
      <c r="C207" s="35" t="s">
        <v>282</v>
      </c>
      <c r="D207" s="32" t="s">
        <v>1684</v>
      </c>
      <c r="E207" s="11" t="s">
        <v>33</v>
      </c>
    </row>
    <row r="208">
      <c r="B208" s="32" t="s">
        <v>1123</v>
      </c>
      <c r="C208" s="35" t="s">
        <v>17</v>
      </c>
      <c r="D208" s="32" t="s">
        <v>2003</v>
      </c>
      <c r="E208" s="11" t="s">
        <v>37</v>
      </c>
    </row>
    <row r="209">
      <c r="B209" s="32" t="s">
        <v>730</v>
      </c>
      <c r="C209" s="35" t="s">
        <v>35</v>
      </c>
      <c r="D209" s="32" t="s">
        <v>388</v>
      </c>
      <c r="E209" s="11" t="s">
        <v>33</v>
      </c>
    </row>
    <row r="210">
      <c r="B210" s="32" t="s">
        <v>1123</v>
      </c>
      <c r="C210" s="35" t="s">
        <v>41</v>
      </c>
      <c r="D210" s="32" t="s">
        <v>1684</v>
      </c>
      <c r="E210" s="11" t="s">
        <v>37</v>
      </c>
    </row>
    <row r="211">
      <c r="B211" s="32" t="s">
        <v>1684</v>
      </c>
      <c r="C211" s="35" t="s">
        <v>544</v>
      </c>
      <c r="D211" s="32" t="s">
        <v>2003</v>
      </c>
      <c r="E211" s="11" t="s">
        <v>33</v>
      </c>
    </row>
    <row r="212">
      <c r="B212" s="32" t="s">
        <v>1123</v>
      </c>
      <c r="C212" s="35" t="s">
        <v>218</v>
      </c>
      <c r="D212" s="32" t="s">
        <v>388</v>
      </c>
      <c r="E212" s="11" t="s">
        <v>37</v>
      </c>
    </row>
    <row r="213">
      <c r="B213" s="32" t="s">
        <v>2003</v>
      </c>
      <c r="C213" s="35" t="s">
        <v>270</v>
      </c>
      <c r="D213" s="32" t="s">
        <v>730</v>
      </c>
      <c r="E213" s="11" t="s">
        <v>33</v>
      </c>
    </row>
    <row r="214">
      <c r="B214" s="32" t="s">
        <v>1684</v>
      </c>
      <c r="C214" s="35" t="s">
        <v>217</v>
      </c>
      <c r="D214" s="32" t="s">
        <v>388</v>
      </c>
      <c r="E214" s="11" t="s">
        <v>37</v>
      </c>
    </row>
    <row r="215">
      <c r="B215" s="32" t="s">
        <v>1123</v>
      </c>
      <c r="C215" s="35" t="s">
        <v>66</v>
      </c>
      <c r="D215" s="32" t="s">
        <v>730</v>
      </c>
      <c r="E215" s="11" t="s">
        <v>33</v>
      </c>
    </row>
    <row r="216">
      <c r="B216" s="32" t="s">
        <v>2003</v>
      </c>
      <c r="C216" s="35" t="s">
        <v>25</v>
      </c>
      <c r="D216" s="32" t="s">
        <v>388</v>
      </c>
      <c r="E216" s="11" t="s">
        <v>37</v>
      </c>
    </row>
    <row r="217">
      <c r="B217" s="32" t="s">
        <v>1684</v>
      </c>
      <c r="C217" s="35" t="s">
        <v>48</v>
      </c>
      <c r="D217" s="32" t="s">
        <v>730</v>
      </c>
      <c r="E217" s="11" t="s">
        <v>33</v>
      </c>
    </row>
    <row r="218">
      <c r="B218" s="32" t="s">
        <v>2003</v>
      </c>
      <c r="C218" s="35" t="s">
        <v>69</v>
      </c>
      <c r="D218" s="32" t="s">
        <v>1123</v>
      </c>
      <c r="E218" s="11" t="s">
        <v>37</v>
      </c>
    </row>
    <row r="219">
      <c r="B219" s="32" t="s">
        <v>388</v>
      </c>
      <c r="C219" s="35" t="s">
        <v>19</v>
      </c>
      <c r="D219" s="32" t="s">
        <v>730</v>
      </c>
      <c r="E219" s="11" t="s">
        <v>33</v>
      </c>
    </row>
    <row r="220">
      <c r="B220" s="32" t="s">
        <v>1684</v>
      </c>
      <c r="C220" s="35" t="s">
        <v>47</v>
      </c>
      <c r="D220" s="32" t="s">
        <v>1123</v>
      </c>
      <c r="E220" s="11" t="s">
        <v>37</v>
      </c>
    </row>
    <row r="221">
      <c r="B221" s="28" t="s">
        <v>1685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34" t="s">
        <v>2004</v>
      </c>
      <c r="C223" s="33" t="s">
        <v>87</v>
      </c>
      <c r="D223" s="34" t="s">
        <v>1210</v>
      </c>
      <c r="E223" s="11" t="s">
        <v>9</v>
      </c>
    </row>
    <row r="224">
      <c r="B224" s="34" t="s">
        <v>1751</v>
      </c>
      <c r="C224" s="33" t="s">
        <v>72</v>
      </c>
      <c r="D224" s="34" t="s">
        <v>1870</v>
      </c>
      <c r="E224" s="11" t="s">
        <v>13</v>
      </c>
    </row>
    <row r="225">
      <c r="B225" s="34" t="s">
        <v>568</v>
      </c>
      <c r="C225" s="33" t="s">
        <v>22</v>
      </c>
      <c r="D225" s="34" t="s">
        <v>2004</v>
      </c>
      <c r="E225" s="11" t="s">
        <v>9</v>
      </c>
    </row>
    <row r="226">
      <c r="B226" s="34" t="s">
        <v>1751</v>
      </c>
      <c r="C226" s="33" t="s">
        <v>190</v>
      </c>
      <c r="D226" s="34" t="s">
        <v>1210</v>
      </c>
      <c r="E226" s="11" t="s">
        <v>13</v>
      </c>
    </row>
    <row r="227">
      <c r="B227" s="34" t="s">
        <v>568</v>
      </c>
      <c r="C227" s="33" t="s">
        <v>494</v>
      </c>
      <c r="D227" s="34" t="s">
        <v>1870</v>
      </c>
      <c r="E227" s="11" t="s">
        <v>9</v>
      </c>
    </row>
    <row r="228">
      <c r="B228" s="34" t="s">
        <v>1751</v>
      </c>
      <c r="C228" s="33" t="s">
        <v>64</v>
      </c>
      <c r="D228" s="34" t="s">
        <v>2004</v>
      </c>
      <c r="E228" s="11" t="s">
        <v>13</v>
      </c>
    </row>
    <row r="229">
      <c r="B229" s="34" t="s">
        <v>568</v>
      </c>
      <c r="C229" s="33" t="s">
        <v>7</v>
      </c>
      <c r="D229" s="34" t="s">
        <v>1210</v>
      </c>
      <c r="E229" s="11" t="s">
        <v>9</v>
      </c>
    </row>
    <row r="230">
      <c r="B230" s="34" t="s">
        <v>1870</v>
      </c>
      <c r="C230" s="33" t="s">
        <v>22</v>
      </c>
      <c r="D230" s="34" t="s">
        <v>2004</v>
      </c>
      <c r="E230" s="11" t="s">
        <v>13</v>
      </c>
    </row>
    <row r="231">
      <c r="B231" s="34" t="s">
        <v>568</v>
      </c>
      <c r="C231" s="33" t="s">
        <v>285</v>
      </c>
      <c r="D231" s="34" t="s">
        <v>1751</v>
      </c>
      <c r="E231" s="11" t="s">
        <v>9</v>
      </c>
    </row>
    <row r="232">
      <c r="B232" s="34" t="s">
        <v>1870</v>
      </c>
      <c r="C232" s="33" t="s">
        <v>19</v>
      </c>
      <c r="D232" s="34" t="s">
        <v>1210</v>
      </c>
      <c r="E232" s="11" t="s">
        <v>13</v>
      </c>
    </row>
    <row r="233">
      <c r="B233" s="34" t="s">
        <v>1210</v>
      </c>
      <c r="C233" s="33" t="s">
        <v>18</v>
      </c>
      <c r="D233" s="34" t="s">
        <v>2004</v>
      </c>
      <c r="E233" s="11" t="s">
        <v>9</v>
      </c>
    </row>
    <row r="234">
      <c r="B234" s="34" t="s">
        <v>1870</v>
      </c>
      <c r="C234" s="33" t="s">
        <v>64</v>
      </c>
      <c r="D234" s="34" t="s">
        <v>1751</v>
      </c>
      <c r="E234" s="11" t="s">
        <v>13</v>
      </c>
    </row>
    <row r="235">
      <c r="B235" s="34" t="s">
        <v>2004</v>
      </c>
      <c r="C235" s="35" t="s">
        <v>17</v>
      </c>
      <c r="D235" s="34" t="s">
        <v>568</v>
      </c>
      <c r="E235" s="11" t="s">
        <v>9</v>
      </c>
    </row>
    <row r="236">
      <c r="B236" s="34" t="s">
        <v>1210</v>
      </c>
      <c r="C236" s="35" t="s">
        <v>260</v>
      </c>
      <c r="D236" s="34" t="s">
        <v>1751</v>
      </c>
      <c r="E236" s="11" t="s">
        <v>13</v>
      </c>
    </row>
    <row r="237">
      <c r="B237" s="34" t="s">
        <v>1870</v>
      </c>
      <c r="C237" s="35" t="s">
        <v>68</v>
      </c>
      <c r="D237" s="34" t="s">
        <v>568</v>
      </c>
      <c r="E237" s="11" t="s">
        <v>9</v>
      </c>
    </row>
    <row r="238">
      <c r="B238" s="34" t="s">
        <v>2004</v>
      </c>
      <c r="C238" s="35" t="s">
        <v>1283</v>
      </c>
      <c r="D238" s="34" t="s">
        <v>1751</v>
      </c>
      <c r="E238" s="11" t="s">
        <v>13</v>
      </c>
    </row>
    <row r="239">
      <c r="B239" s="34" t="s">
        <v>1210</v>
      </c>
      <c r="C239" s="35" t="s">
        <v>25</v>
      </c>
      <c r="D239" s="34" t="s">
        <v>568</v>
      </c>
      <c r="E239" s="11" t="s">
        <v>9</v>
      </c>
    </row>
    <row r="240">
      <c r="B240" s="34" t="s">
        <v>2004</v>
      </c>
      <c r="C240" s="35" t="s">
        <v>87</v>
      </c>
      <c r="D240" s="34" t="s">
        <v>1870</v>
      </c>
      <c r="E240" s="11" t="s">
        <v>13</v>
      </c>
    </row>
    <row r="241">
      <c r="B241" s="34" t="s">
        <v>1751</v>
      </c>
      <c r="C241" s="35" t="s">
        <v>80</v>
      </c>
      <c r="D241" s="34" t="s">
        <v>568</v>
      </c>
      <c r="E241" s="11" t="s">
        <v>9</v>
      </c>
    </row>
    <row r="242">
      <c r="B242" s="34" t="s">
        <v>1210</v>
      </c>
      <c r="C242" s="35" t="s">
        <v>197</v>
      </c>
      <c r="D242" s="34" t="s">
        <v>1870</v>
      </c>
      <c r="E242" s="11" t="s">
        <v>13</v>
      </c>
    </row>
    <row r="243">
      <c r="B243" s="28" t="s">
        <v>1441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34" t="s">
        <v>1036</v>
      </c>
      <c r="C245" s="35" t="s">
        <v>435</v>
      </c>
      <c r="D245" s="34" t="s">
        <v>2005</v>
      </c>
      <c r="E245" s="11" t="s">
        <v>9</v>
      </c>
    </row>
    <row r="246">
      <c r="B246" s="34" t="s">
        <v>1158</v>
      </c>
      <c r="C246" s="35" t="s">
        <v>52</v>
      </c>
      <c r="D246" s="34" t="s">
        <v>2006</v>
      </c>
      <c r="E246" s="11" t="s">
        <v>13</v>
      </c>
    </row>
    <row r="247">
      <c r="B247" s="34" t="s">
        <v>1085</v>
      </c>
      <c r="C247" s="35" t="s">
        <v>836</v>
      </c>
      <c r="D247" s="34" t="s">
        <v>1036</v>
      </c>
      <c r="E247" s="11" t="s">
        <v>9</v>
      </c>
    </row>
    <row r="248">
      <c r="B248" s="34" t="s">
        <v>1158</v>
      </c>
      <c r="C248" s="35" t="s">
        <v>506</v>
      </c>
      <c r="D248" s="34" t="s">
        <v>2005</v>
      </c>
      <c r="E248" s="11" t="s">
        <v>13</v>
      </c>
    </row>
    <row r="249">
      <c r="B249" s="34" t="s">
        <v>1085</v>
      </c>
      <c r="C249" s="35" t="s">
        <v>64</v>
      </c>
      <c r="D249" s="34" t="s">
        <v>2006</v>
      </c>
      <c r="E249" s="11" t="s">
        <v>9</v>
      </c>
    </row>
    <row r="250">
      <c r="B250" s="34" t="s">
        <v>1158</v>
      </c>
      <c r="C250" s="35" t="s">
        <v>2007</v>
      </c>
      <c r="D250" s="34" t="s">
        <v>1036</v>
      </c>
      <c r="E250" s="11" t="s">
        <v>13</v>
      </c>
    </row>
    <row r="251">
      <c r="B251" s="34" t="s">
        <v>1085</v>
      </c>
      <c r="C251" s="35" t="s">
        <v>203</v>
      </c>
      <c r="D251" s="34" t="s">
        <v>2005</v>
      </c>
      <c r="E251" s="11" t="s">
        <v>9</v>
      </c>
    </row>
    <row r="252">
      <c r="B252" s="34" t="s">
        <v>2006</v>
      </c>
      <c r="C252" s="35" t="s">
        <v>722</v>
      </c>
      <c r="D252" s="34" t="s">
        <v>1036</v>
      </c>
      <c r="E252" s="11" t="s">
        <v>13</v>
      </c>
    </row>
    <row r="253">
      <c r="B253" s="34" t="s">
        <v>1085</v>
      </c>
      <c r="C253" s="35" t="s">
        <v>571</v>
      </c>
      <c r="D253" s="34" t="s">
        <v>1158</v>
      </c>
      <c r="E253" s="11" t="s">
        <v>9</v>
      </c>
    </row>
    <row r="254">
      <c r="B254" s="34" t="s">
        <v>2006</v>
      </c>
      <c r="C254" s="35" t="s">
        <v>50</v>
      </c>
      <c r="D254" s="34" t="s">
        <v>2005</v>
      </c>
      <c r="E254" s="11" t="s">
        <v>13</v>
      </c>
    </row>
    <row r="255">
      <c r="B255" s="34" t="s">
        <v>2005</v>
      </c>
      <c r="C255" s="35" t="s">
        <v>62</v>
      </c>
      <c r="D255" s="34" t="s">
        <v>1036</v>
      </c>
      <c r="E255" s="11" t="s">
        <v>9</v>
      </c>
    </row>
    <row r="256">
      <c r="B256" s="34" t="s">
        <v>2006</v>
      </c>
      <c r="C256" s="35" t="s">
        <v>465</v>
      </c>
      <c r="D256" s="34" t="s">
        <v>1158</v>
      </c>
      <c r="E256" s="11" t="s">
        <v>13</v>
      </c>
    </row>
    <row r="257">
      <c r="B257" s="34" t="s">
        <v>1036</v>
      </c>
      <c r="C257" s="35" t="s">
        <v>218</v>
      </c>
      <c r="D257" s="34" t="s">
        <v>1085</v>
      </c>
      <c r="E257" s="11" t="s">
        <v>9</v>
      </c>
    </row>
    <row r="258">
      <c r="B258" s="34" t="s">
        <v>2005</v>
      </c>
      <c r="C258" s="35" t="s">
        <v>527</v>
      </c>
      <c r="D258" s="34" t="s">
        <v>1158</v>
      </c>
      <c r="E258" s="11" t="s">
        <v>13</v>
      </c>
    </row>
    <row r="259">
      <c r="B259" s="34" t="s">
        <v>2006</v>
      </c>
      <c r="C259" s="35" t="s">
        <v>239</v>
      </c>
      <c r="D259" s="34" t="s">
        <v>1085</v>
      </c>
      <c r="E259" s="11" t="s">
        <v>9</v>
      </c>
    </row>
    <row r="260">
      <c r="B260" s="34" t="s">
        <v>1036</v>
      </c>
      <c r="C260" s="35" t="s">
        <v>536</v>
      </c>
      <c r="D260" s="34" t="s">
        <v>1158</v>
      </c>
      <c r="E260" s="11" t="s">
        <v>13</v>
      </c>
    </row>
    <row r="261">
      <c r="B261" s="34" t="s">
        <v>2005</v>
      </c>
      <c r="C261" s="35" t="s">
        <v>11</v>
      </c>
      <c r="D261" s="34" t="s">
        <v>1085</v>
      </c>
      <c r="E261" s="11" t="s">
        <v>9</v>
      </c>
    </row>
    <row r="262">
      <c r="B262" s="34" t="s">
        <v>1036</v>
      </c>
      <c r="C262" s="35" t="s">
        <v>16</v>
      </c>
      <c r="D262" s="34" t="s">
        <v>2006</v>
      </c>
      <c r="E262" s="11" t="s">
        <v>13</v>
      </c>
    </row>
    <row r="263">
      <c r="B263" s="34" t="s">
        <v>1158</v>
      </c>
      <c r="C263" s="35" t="s">
        <v>853</v>
      </c>
      <c r="D263" s="34" t="s">
        <v>1085</v>
      </c>
      <c r="E263" s="11" t="s">
        <v>9</v>
      </c>
    </row>
    <row r="264">
      <c r="B264" s="34" t="s">
        <v>2005</v>
      </c>
      <c r="C264" s="35" t="s">
        <v>250</v>
      </c>
      <c r="D264" s="34" t="s">
        <v>2006</v>
      </c>
      <c r="E264" s="11" t="s">
        <v>13</v>
      </c>
    </row>
    <row r="265">
      <c r="B265" s="28" t="s">
        <v>134</v>
      </c>
      <c r="C265" s="2"/>
      <c r="D265" s="3"/>
      <c r="E265" s="2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34" t="s">
        <v>2008</v>
      </c>
      <c r="C267" s="35" t="s">
        <v>195</v>
      </c>
      <c r="D267" s="34" t="s">
        <v>2009</v>
      </c>
      <c r="E267" s="11" t="s">
        <v>33</v>
      </c>
    </row>
    <row r="268">
      <c r="B268" s="34" t="s">
        <v>1366</v>
      </c>
      <c r="C268" s="35" t="s">
        <v>190</v>
      </c>
      <c r="D268" s="34" t="s">
        <v>135</v>
      </c>
      <c r="E268" s="11" t="s">
        <v>37</v>
      </c>
    </row>
    <row r="269">
      <c r="B269" s="34" t="s">
        <v>583</v>
      </c>
      <c r="C269" s="35" t="s">
        <v>587</v>
      </c>
      <c r="D269" s="34" t="s">
        <v>2008</v>
      </c>
      <c r="E269" s="11" t="s">
        <v>33</v>
      </c>
    </row>
    <row r="270">
      <c r="B270" s="34" t="s">
        <v>1366</v>
      </c>
      <c r="C270" s="35" t="s">
        <v>87</v>
      </c>
      <c r="D270" s="34" t="s">
        <v>2009</v>
      </c>
      <c r="E270" s="11" t="s">
        <v>37</v>
      </c>
    </row>
    <row r="271">
      <c r="B271" s="34" t="s">
        <v>583</v>
      </c>
      <c r="C271" s="35" t="s">
        <v>239</v>
      </c>
      <c r="D271" s="34" t="s">
        <v>135</v>
      </c>
      <c r="E271" s="11" t="s">
        <v>33</v>
      </c>
    </row>
    <row r="272">
      <c r="B272" s="34" t="s">
        <v>1366</v>
      </c>
      <c r="C272" s="35" t="s">
        <v>68</v>
      </c>
      <c r="D272" s="34" t="s">
        <v>2008</v>
      </c>
      <c r="E272" s="11" t="s">
        <v>37</v>
      </c>
    </row>
    <row r="273">
      <c r="B273" s="34" t="s">
        <v>583</v>
      </c>
      <c r="C273" s="35" t="s">
        <v>82</v>
      </c>
      <c r="D273" s="34" t="s">
        <v>2009</v>
      </c>
      <c r="E273" s="11" t="s">
        <v>33</v>
      </c>
    </row>
    <row r="274">
      <c r="B274" s="34" t="s">
        <v>135</v>
      </c>
      <c r="C274" s="35" t="s">
        <v>240</v>
      </c>
      <c r="D274" s="34" t="s">
        <v>2008</v>
      </c>
      <c r="E274" s="11" t="s">
        <v>37</v>
      </c>
    </row>
    <row r="275">
      <c r="B275" s="34" t="s">
        <v>583</v>
      </c>
      <c r="C275" s="35" t="s">
        <v>283</v>
      </c>
      <c r="D275" s="34" t="s">
        <v>1366</v>
      </c>
      <c r="E275" s="11" t="s">
        <v>33</v>
      </c>
    </row>
    <row r="276">
      <c r="B276" s="34" t="s">
        <v>135</v>
      </c>
      <c r="C276" s="35" t="s">
        <v>18</v>
      </c>
      <c r="D276" s="34" t="s">
        <v>2009</v>
      </c>
      <c r="E276" s="11" t="s">
        <v>37</v>
      </c>
    </row>
    <row r="277">
      <c r="B277" s="34" t="s">
        <v>2009</v>
      </c>
      <c r="C277" s="35" t="s">
        <v>815</v>
      </c>
      <c r="D277" s="34" t="s">
        <v>2008</v>
      </c>
      <c r="E277" s="11" t="s">
        <v>33</v>
      </c>
    </row>
    <row r="278">
      <c r="B278" s="34" t="s">
        <v>135</v>
      </c>
      <c r="C278" s="35" t="s">
        <v>71</v>
      </c>
      <c r="D278" s="34" t="s">
        <v>1366</v>
      </c>
      <c r="E278" s="11" t="s">
        <v>37</v>
      </c>
    </row>
    <row r="279">
      <c r="B279" s="34" t="s">
        <v>2008</v>
      </c>
      <c r="C279" s="35" t="s">
        <v>48</v>
      </c>
      <c r="D279" s="34" t="s">
        <v>583</v>
      </c>
      <c r="E279" s="11" t="s">
        <v>33</v>
      </c>
    </row>
    <row r="280">
      <c r="B280" s="34" t="s">
        <v>2009</v>
      </c>
      <c r="C280" s="35" t="s">
        <v>62</v>
      </c>
      <c r="D280" s="34" t="s">
        <v>1366</v>
      </c>
      <c r="E280" s="11" t="s">
        <v>37</v>
      </c>
    </row>
    <row r="281">
      <c r="B281" s="34" t="s">
        <v>135</v>
      </c>
      <c r="C281" s="35" t="s">
        <v>853</v>
      </c>
      <c r="D281" s="34" t="s">
        <v>583</v>
      </c>
      <c r="E281" s="11" t="s">
        <v>33</v>
      </c>
    </row>
    <row r="282">
      <c r="B282" s="34" t="s">
        <v>2008</v>
      </c>
      <c r="C282" s="35" t="s">
        <v>47</v>
      </c>
      <c r="D282" s="34" t="s">
        <v>1366</v>
      </c>
      <c r="E282" s="11" t="s">
        <v>37</v>
      </c>
    </row>
    <row r="283">
      <c r="B283" s="34" t="s">
        <v>2009</v>
      </c>
      <c r="C283" s="35" t="s">
        <v>201</v>
      </c>
      <c r="D283" s="34" t="s">
        <v>583</v>
      </c>
      <c r="E283" s="11" t="s">
        <v>33</v>
      </c>
    </row>
    <row r="284">
      <c r="B284" s="34" t="s">
        <v>2008</v>
      </c>
      <c r="C284" s="35" t="s">
        <v>193</v>
      </c>
      <c r="D284" s="34" t="s">
        <v>135</v>
      </c>
      <c r="E284" s="11" t="s">
        <v>37</v>
      </c>
    </row>
    <row r="285">
      <c r="B285" s="34" t="s">
        <v>1366</v>
      </c>
      <c r="C285" s="35" t="s">
        <v>72</v>
      </c>
      <c r="D285" s="34" t="s">
        <v>583</v>
      </c>
      <c r="E285" s="11" t="s">
        <v>33</v>
      </c>
    </row>
    <row r="286">
      <c r="B286" s="34" t="s">
        <v>2009</v>
      </c>
      <c r="C286" s="35" t="s">
        <v>270</v>
      </c>
      <c r="D286" s="34" t="s">
        <v>135</v>
      </c>
      <c r="E286" s="11" t="s">
        <v>37</v>
      </c>
    </row>
    <row r="287">
      <c r="B287" s="28" t="s">
        <v>145</v>
      </c>
      <c r="C287" s="2"/>
      <c r="D287" s="3"/>
      <c r="E287" s="2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34" t="s">
        <v>2010</v>
      </c>
      <c r="C289" s="35" t="s">
        <v>190</v>
      </c>
      <c r="D289" s="34" t="s">
        <v>2011</v>
      </c>
      <c r="E289" s="11" t="s">
        <v>33</v>
      </c>
    </row>
    <row r="290">
      <c r="B290" s="34" t="s">
        <v>1821</v>
      </c>
      <c r="C290" s="35" t="s">
        <v>193</v>
      </c>
      <c r="D290" s="34" t="s">
        <v>2012</v>
      </c>
      <c r="E290" s="11" t="s">
        <v>37</v>
      </c>
    </row>
    <row r="291">
      <c r="B291" s="34" t="s">
        <v>2013</v>
      </c>
      <c r="C291" s="35" t="s">
        <v>412</v>
      </c>
      <c r="D291" s="34" t="s">
        <v>2010</v>
      </c>
      <c r="E291" s="11" t="s">
        <v>33</v>
      </c>
    </row>
    <row r="292">
      <c r="B292" s="34" t="s">
        <v>1821</v>
      </c>
      <c r="C292" s="35" t="s">
        <v>19</v>
      </c>
      <c r="D292" s="34" t="s">
        <v>2011</v>
      </c>
      <c r="E292" s="11" t="s">
        <v>37</v>
      </c>
    </row>
    <row r="293">
      <c r="B293" s="34" t="s">
        <v>2013</v>
      </c>
      <c r="C293" s="35" t="s">
        <v>270</v>
      </c>
      <c r="D293" s="34" t="s">
        <v>2012</v>
      </c>
      <c r="E293" s="11" t="s">
        <v>33</v>
      </c>
    </row>
    <row r="294">
      <c r="B294" s="34" t="s">
        <v>1821</v>
      </c>
      <c r="C294" s="35" t="s">
        <v>23</v>
      </c>
      <c r="D294" s="34" t="s">
        <v>2010</v>
      </c>
      <c r="E294" s="11" t="s">
        <v>37</v>
      </c>
    </row>
    <row r="295">
      <c r="B295" s="34" t="s">
        <v>2013</v>
      </c>
      <c r="C295" s="35" t="s">
        <v>243</v>
      </c>
      <c r="D295" s="34" t="s">
        <v>2011</v>
      </c>
      <c r="E295" s="11" t="s">
        <v>33</v>
      </c>
    </row>
    <row r="296">
      <c r="B296" s="34" t="s">
        <v>2012</v>
      </c>
      <c r="C296" s="35" t="s">
        <v>43</v>
      </c>
      <c r="D296" s="34" t="s">
        <v>2010</v>
      </c>
      <c r="E296" s="11" t="s">
        <v>37</v>
      </c>
    </row>
    <row r="297">
      <c r="B297" s="34" t="s">
        <v>2013</v>
      </c>
      <c r="C297" s="35" t="s">
        <v>378</v>
      </c>
      <c r="D297" s="34" t="s">
        <v>1821</v>
      </c>
      <c r="E297" s="11" t="s">
        <v>33</v>
      </c>
    </row>
    <row r="298">
      <c r="B298" s="34" t="s">
        <v>2012</v>
      </c>
      <c r="C298" s="35" t="s">
        <v>312</v>
      </c>
      <c r="D298" s="34" t="s">
        <v>2011</v>
      </c>
      <c r="E298" s="11" t="s">
        <v>37</v>
      </c>
    </row>
    <row r="299">
      <c r="B299" s="34" t="s">
        <v>2011</v>
      </c>
      <c r="C299" s="35" t="s">
        <v>217</v>
      </c>
      <c r="D299" s="34" t="s">
        <v>2010</v>
      </c>
      <c r="E299" s="11" t="s">
        <v>33</v>
      </c>
    </row>
    <row r="300">
      <c r="B300" s="34" t="s">
        <v>2012</v>
      </c>
      <c r="C300" s="35" t="s">
        <v>197</v>
      </c>
      <c r="D300" s="34" t="s">
        <v>1821</v>
      </c>
      <c r="E300" s="11" t="s">
        <v>37</v>
      </c>
    </row>
    <row r="301">
      <c r="B301" s="34" t="s">
        <v>2010</v>
      </c>
      <c r="C301" s="35" t="s">
        <v>658</v>
      </c>
      <c r="D301" s="34" t="s">
        <v>2013</v>
      </c>
      <c r="E301" s="11" t="s">
        <v>33</v>
      </c>
    </row>
    <row r="302">
      <c r="B302" s="34" t="s">
        <v>2011</v>
      </c>
      <c r="C302" s="35" t="s">
        <v>239</v>
      </c>
      <c r="D302" s="34" t="s">
        <v>1821</v>
      </c>
      <c r="E302" s="11" t="s">
        <v>37</v>
      </c>
    </row>
    <row r="303">
      <c r="B303" s="34" t="s">
        <v>2012</v>
      </c>
      <c r="C303" s="35" t="s">
        <v>2014</v>
      </c>
      <c r="D303" s="34" t="s">
        <v>2013</v>
      </c>
      <c r="E303" s="11" t="s">
        <v>33</v>
      </c>
    </row>
    <row r="304">
      <c r="B304" s="34" t="s">
        <v>2010</v>
      </c>
      <c r="C304" s="35" t="s">
        <v>218</v>
      </c>
      <c r="D304" s="34" t="s">
        <v>1821</v>
      </c>
      <c r="E304" s="11" t="s">
        <v>37</v>
      </c>
    </row>
    <row r="305">
      <c r="B305" s="34" t="s">
        <v>2011</v>
      </c>
      <c r="C305" s="35" t="s">
        <v>566</v>
      </c>
      <c r="D305" s="34" t="s">
        <v>2013</v>
      </c>
      <c r="E305" s="11" t="s">
        <v>33</v>
      </c>
    </row>
    <row r="306">
      <c r="B306" s="34" t="s">
        <v>2010</v>
      </c>
      <c r="C306" s="35" t="s">
        <v>193</v>
      </c>
      <c r="D306" s="34" t="s">
        <v>2012</v>
      </c>
      <c r="E306" s="11" t="s">
        <v>37</v>
      </c>
    </row>
    <row r="307">
      <c r="B307" s="34" t="s">
        <v>1821</v>
      </c>
      <c r="C307" s="35" t="s">
        <v>352</v>
      </c>
      <c r="D307" s="34" t="s">
        <v>2013</v>
      </c>
      <c r="E307" s="11" t="s">
        <v>33</v>
      </c>
    </row>
    <row r="308">
      <c r="B308" s="34" t="s">
        <v>2011</v>
      </c>
      <c r="C308" s="35" t="s">
        <v>534</v>
      </c>
      <c r="D308" s="34" t="s">
        <v>2012</v>
      </c>
      <c r="E308" s="11" t="s">
        <v>37</v>
      </c>
    </row>
    <row r="309">
      <c r="B309" s="28" t="s">
        <v>1456</v>
      </c>
      <c r="C309" s="2"/>
      <c r="D309" s="3"/>
      <c r="E309" s="2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34" t="s">
        <v>1973</v>
      </c>
      <c r="C311" s="33" t="s">
        <v>82</v>
      </c>
      <c r="D311" s="34" t="s">
        <v>349</v>
      </c>
      <c r="E311" s="11" t="s">
        <v>9</v>
      </c>
    </row>
    <row r="312">
      <c r="B312" s="34" t="s">
        <v>1974</v>
      </c>
      <c r="C312" s="33" t="s">
        <v>534</v>
      </c>
      <c r="D312" s="34" t="s">
        <v>1975</v>
      </c>
      <c r="E312" s="11" t="s">
        <v>13</v>
      </c>
    </row>
    <row r="313">
      <c r="B313" s="34" t="s">
        <v>1976</v>
      </c>
      <c r="C313" s="33" t="s">
        <v>43</v>
      </c>
      <c r="D313" s="34" t="s">
        <v>1973</v>
      </c>
      <c r="E313" s="11" t="s">
        <v>9</v>
      </c>
    </row>
    <row r="314">
      <c r="B314" s="34" t="s">
        <v>1974</v>
      </c>
      <c r="C314" s="33" t="s">
        <v>389</v>
      </c>
      <c r="D314" s="34" t="s">
        <v>349</v>
      </c>
      <c r="E314" s="11" t="s">
        <v>13</v>
      </c>
    </row>
    <row r="315">
      <c r="B315" s="34" t="s">
        <v>1976</v>
      </c>
      <c r="C315" s="33" t="s">
        <v>68</v>
      </c>
      <c r="D315" s="34" t="s">
        <v>1975</v>
      </c>
      <c r="E315" s="11" t="s">
        <v>9</v>
      </c>
    </row>
    <row r="316">
      <c r="B316" s="34" t="s">
        <v>1974</v>
      </c>
      <c r="C316" s="33" t="s">
        <v>325</v>
      </c>
      <c r="D316" s="34" t="s">
        <v>1973</v>
      </c>
      <c r="E316" s="11" t="s">
        <v>13</v>
      </c>
    </row>
    <row r="317">
      <c r="B317" s="34" t="s">
        <v>1976</v>
      </c>
      <c r="C317" s="33" t="s">
        <v>829</v>
      </c>
      <c r="D317" s="34" t="s">
        <v>349</v>
      </c>
      <c r="E317" s="11" t="s">
        <v>9</v>
      </c>
    </row>
    <row r="318">
      <c r="B318" s="34" t="s">
        <v>1975</v>
      </c>
      <c r="C318" s="33" t="s">
        <v>500</v>
      </c>
      <c r="D318" s="34" t="s">
        <v>1973</v>
      </c>
      <c r="E318" s="11" t="s">
        <v>13</v>
      </c>
    </row>
    <row r="319">
      <c r="B319" s="34" t="s">
        <v>1976</v>
      </c>
      <c r="C319" s="33" t="s">
        <v>26</v>
      </c>
      <c r="D319" s="34" t="s">
        <v>1974</v>
      </c>
      <c r="E319" s="11" t="s">
        <v>9</v>
      </c>
    </row>
    <row r="320">
      <c r="B320" s="34" t="s">
        <v>1975</v>
      </c>
      <c r="C320" s="33" t="s">
        <v>26</v>
      </c>
      <c r="D320" s="34" t="s">
        <v>349</v>
      </c>
      <c r="E320" s="11" t="s">
        <v>13</v>
      </c>
    </row>
    <row r="321">
      <c r="B321" s="34" t="s">
        <v>349</v>
      </c>
      <c r="C321" s="33" t="s">
        <v>17</v>
      </c>
      <c r="D321" s="34" t="s">
        <v>1973</v>
      </c>
      <c r="E321" s="11" t="s">
        <v>9</v>
      </c>
    </row>
    <row r="322">
      <c r="B322" s="34" t="s">
        <v>1975</v>
      </c>
      <c r="C322" s="33" t="s">
        <v>267</v>
      </c>
      <c r="D322" s="34" t="s">
        <v>1974</v>
      </c>
      <c r="E322" s="11" t="s">
        <v>13</v>
      </c>
    </row>
    <row r="323">
      <c r="B323" s="34" t="s">
        <v>1973</v>
      </c>
      <c r="C323" s="35" t="s">
        <v>293</v>
      </c>
      <c r="D323" s="34" t="s">
        <v>1976</v>
      </c>
      <c r="E323" s="11" t="s">
        <v>9</v>
      </c>
    </row>
    <row r="324">
      <c r="B324" s="34" t="s">
        <v>349</v>
      </c>
      <c r="C324" s="35" t="s">
        <v>445</v>
      </c>
      <c r="D324" s="34" t="s">
        <v>1974</v>
      </c>
      <c r="E324" s="11" t="s">
        <v>13</v>
      </c>
    </row>
    <row r="325">
      <c r="B325" s="34" t="s">
        <v>1975</v>
      </c>
      <c r="C325" s="35" t="s">
        <v>190</v>
      </c>
      <c r="D325" s="34" t="s">
        <v>1976</v>
      </c>
      <c r="E325" s="11" t="s">
        <v>9</v>
      </c>
    </row>
    <row r="326">
      <c r="B326" s="34" t="s">
        <v>1973</v>
      </c>
      <c r="C326" s="35" t="s">
        <v>18</v>
      </c>
      <c r="D326" s="34" t="s">
        <v>1974</v>
      </c>
      <c r="E326" s="11" t="s">
        <v>13</v>
      </c>
    </row>
    <row r="327">
      <c r="B327" s="34" t="s">
        <v>349</v>
      </c>
      <c r="C327" s="35" t="s">
        <v>400</v>
      </c>
      <c r="D327" s="34" t="s">
        <v>1976</v>
      </c>
      <c r="E327" s="11" t="s">
        <v>9</v>
      </c>
    </row>
    <row r="328">
      <c r="B328" s="34" t="s">
        <v>1973</v>
      </c>
      <c r="C328" s="35" t="s">
        <v>81</v>
      </c>
      <c r="D328" s="34" t="s">
        <v>1975</v>
      </c>
      <c r="E328" s="11" t="s">
        <v>13</v>
      </c>
    </row>
    <row r="329">
      <c r="B329" s="34" t="s">
        <v>1974</v>
      </c>
      <c r="C329" s="35" t="s">
        <v>52</v>
      </c>
      <c r="D329" s="34" t="s">
        <v>1976</v>
      </c>
      <c r="E329" s="11" t="s">
        <v>9</v>
      </c>
    </row>
    <row r="330">
      <c r="B330" s="34" t="s">
        <v>349</v>
      </c>
      <c r="C330" s="35" t="s">
        <v>684</v>
      </c>
      <c r="D330" s="34" t="s">
        <v>1975</v>
      </c>
      <c r="E330" s="11" t="s">
        <v>13</v>
      </c>
    </row>
    <row r="331">
      <c r="B331" s="72" t="s">
        <v>156</v>
      </c>
      <c r="C331" s="2"/>
      <c r="D331" s="3"/>
      <c r="E331" s="2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34" t="s">
        <v>2015</v>
      </c>
      <c r="C333" s="35" t="s">
        <v>28</v>
      </c>
      <c r="D333" s="34" t="s">
        <v>2016</v>
      </c>
      <c r="E333" s="11" t="s">
        <v>33</v>
      </c>
    </row>
    <row r="334">
      <c r="B334" s="34" t="s">
        <v>1891</v>
      </c>
      <c r="C334" s="35" t="s">
        <v>28</v>
      </c>
      <c r="D334" s="34" t="s">
        <v>2017</v>
      </c>
      <c r="E334" s="11" t="s">
        <v>37</v>
      </c>
    </row>
    <row r="335">
      <c r="B335" s="34" t="s">
        <v>2018</v>
      </c>
      <c r="C335" s="35" t="s">
        <v>285</v>
      </c>
      <c r="D335" s="34" t="s">
        <v>2015</v>
      </c>
      <c r="E335" s="11" t="s">
        <v>33</v>
      </c>
    </row>
    <row r="336">
      <c r="B336" s="34" t="s">
        <v>1891</v>
      </c>
      <c r="C336" s="35" t="s">
        <v>195</v>
      </c>
      <c r="D336" s="34" t="s">
        <v>2016</v>
      </c>
      <c r="E336" s="11" t="s">
        <v>37</v>
      </c>
    </row>
    <row r="337">
      <c r="B337" s="34" t="s">
        <v>2018</v>
      </c>
      <c r="C337" s="35" t="s">
        <v>240</v>
      </c>
      <c r="D337" s="34" t="s">
        <v>2017</v>
      </c>
      <c r="E337" s="11" t="s">
        <v>33</v>
      </c>
    </row>
    <row r="338">
      <c r="B338" s="34" t="s">
        <v>1891</v>
      </c>
      <c r="C338" s="35" t="s">
        <v>243</v>
      </c>
      <c r="D338" s="34" t="s">
        <v>2015</v>
      </c>
      <c r="E338" s="11" t="s">
        <v>37</v>
      </c>
    </row>
    <row r="339">
      <c r="B339" s="34" t="s">
        <v>2018</v>
      </c>
      <c r="C339" s="35" t="s">
        <v>31</v>
      </c>
      <c r="D339" s="34" t="s">
        <v>2016</v>
      </c>
      <c r="E339" s="11" t="s">
        <v>33</v>
      </c>
    </row>
    <row r="340">
      <c r="B340" s="34" t="s">
        <v>2017</v>
      </c>
      <c r="C340" s="35" t="s">
        <v>260</v>
      </c>
      <c r="D340" s="34" t="s">
        <v>2015</v>
      </c>
      <c r="E340" s="11" t="s">
        <v>37</v>
      </c>
    </row>
    <row r="341">
      <c r="B341" s="34" t="s">
        <v>2018</v>
      </c>
      <c r="C341" s="35" t="s">
        <v>28</v>
      </c>
      <c r="D341" s="34" t="s">
        <v>1891</v>
      </c>
      <c r="E341" s="11" t="s">
        <v>33</v>
      </c>
    </row>
    <row r="342">
      <c r="B342" s="34" t="s">
        <v>2017</v>
      </c>
      <c r="C342" s="35" t="s">
        <v>66</v>
      </c>
      <c r="D342" s="34" t="s">
        <v>2016</v>
      </c>
      <c r="E342" s="11" t="s">
        <v>37</v>
      </c>
    </row>
    <row r="343">
      <c r="B343" s="34" t="s">
        <v>2016</v>
      </c>
      <c r="C343" s="35" t="s">
        <v>58</v>
      </c>
      <c r="D343" s="34" t="s">
        <v>2015</v>
      </c>
      <c r="E343" s="11" t="s">
        <v>33</v>
      </c>
    </row>
    <row r="344">
      <c r="B344" s="34" t="s">
        <v>2017</v>
      </c>
      <c r="C344" s="35" t="s">
        <v>16</v>
      </c>
      <c r="D344" s="34" t="s">
        <v>1891</v>
      </c>
      <c r="E344" s="11" t="s">
        <v>37</v>
      </c>
    </row>
    <row r="345">
      <c r="B345" s="34" t="s">
        <v>2015</v>
      </c>
      <c r="C345" s="35" t="s">
        <v>11</v>
      </c>
      <c r="D345" s="34" t="s">
        <v>2018</v>
      </c>
      <c r="E345" s="11" t="s">
        <v>33</v>
      </c>
    </row>
    <row r="346">
      <c r="B346" s="34" t="s">
        <v>2016</v>
      </c>
      <c r="C346" s="35" t="s">
        <v>218</v>
      </c>
      <c r="D346" s="34" t="s">
        <v>1891</v>
      </c>
      <c r="E346" s="11" t="s">
        <v>37</v>
      </c>
    </row>
    <row r="347">
      <c r="B347" s="34" t="s">
        <v>2017</v>
      </c>
      <c r="C347" s="35" t="s">
        <v>22</v>
      </c>
      <c r="D347" s="34" t="s">
        <v>2018</v>
      </c>
      <c r="E347" s="11" t="s">
        <v>33</v>
      </c>
    </row>
    <row r="348">
      <c r="B348" s="34" t="s">
        <v>2015</v>
      </c>
      <c r="C348" s="35" t="s">
        <v>212</v>
      </c>
      <c r="D348" s="34" t="s">
        <v>1891</v>
      </c>
      <c r="E348" s="11" t="s">
        <v>37</v>
      </c>
    </row>
    <row r="349">
      <c r="B349" s="34" t="s">
        <v>2016</v>
      </c>
      <c r="C349" s="35" t="s">
        <v>82</v>
      </c>
      <c r="D349" s="34" t="s">
        <v>2018</v>
      </c>
      <c r="E349" s="11" t="s">
        <v>33</v>
      </c>
    </row>
    <row r="350">
      <c r="B350" s="34" t="s">
        <v>2015</v>
      </c>
      <c r="C350" s="35" t="s">
        <v>68</v>
      </c>
      <c r="D350" s="34" t="s">
        <v>2017</v>
      </c>
      <c r="E350" s="11" t="s">
        <v>37</v>
      </c>
    </row>
    <row r="351">
      <c r="B351" s="34" t="s">
        <v>1891</v>
      </c>
      <c r="C351" s="35" t="s">
        <v>196</v>
      </c>
      <c r="D351" s="34" t="s">
        <v>2018</v>
      </c>
      <c r="E351" s="11" t="s">
        <v>33</v>
      </c>
    </row>
    <row r="352">
      <c r="B352" s="34" t="s">
        <v>2016</v>
      </c>
      <c r="C352" s="35" t="s">
        <v>66</v>
      </c>
      <c r="D352" s="34" t="s">
        <v>2017</v>
      </c>
      <c r="E352" s="11" t="s">
        <v>37</v>
      </c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/>
      <c r="B1" s="1" t="s">
        <v>2019</v>
      </c>
      <c r="C1" s="2"/>
      <c r="D1" s="3"/>
      <c r="E1" s="29"/>
    </row>
    <row r="2">
      <c r="A2" s="66"/>
      <c r="B2" s="6" t="s">
        <v>2</v>
      </c>
      <c r="C2" s="6" t="s">
        <v>3</v>
      </c>
      <c r="D2" s="6" t="s">
        <v>4</v>
      </c>
      <c r="E2" s="6" t="s">
        <v>5</v>
      </c>
    </row>
    <row r="3">
      <c r="A3" s="66"/>
      <c r="B3" s="32" t="s">
        <v>2020</v>
      </c>
      <c r="C3" s="35" t="s">
        <v>11</v>
      </c>
      <c r="D3" s="34" t="s">
        <v>1181</v>
      </c>
      <c r="E3" s="11" t="s">
        <v>33</v>
      </c>
    </row>
    <row r="4">
      <c r="A4" s="66"/>
      <c r="B4" s="32" t="s">
        <v>2021</v>
      </c>
      <c r="C4" s="35" t="s">
        <v>412</v>
      </c>
      <c r="D4" s="32" t="s">
        <v>698</v>
      </c>
      <c r="E4" s="11" t="s">
        <v>37</v>
      </c>
    </row>
    <row r="5">
      <c r="A5" s="66"/>
      <c r="B5" s="34" t="s">
        <v>1110</v>
      </c>
      <c r="C5" s="35" t="s">
        <v>64</v>
      </c>
      <c r="D5" s="32" t="s">
        <v>2020</v>
      </c>
      <c r="E5" s="11" t="s">
        <v>33</v>
      </c>
    </row>
    <row r="6">
      <c r="A6" s="66"/>
      <c r="B6" s="32" t="s">
        <v>2021</v>
      </c>
      <c r="C6" s="35" t="s">
        <v>87</v>
      </c>
      <c r="D6" s="34" t="s">
        <v>1181</v>
      </c>
      <c r="E6" s="11" t="s">
        <v>37</v>
      </c>
    </row>
    <row r="7">
      <c r="A7" s="66"/>
      <c r="B7" s="34" t="s">
        <v>1110</v>
      </c>
      <c r="C7" s="35" t="s">
        <v>282</v>
      </c>
      <c r="D7" s="32" t="s">
        <v>698</v>
      </c>
      <c r="E7" s="11" t="s">
        <v>33</v>
      </c>
    </row>
    <row r="8">
      <c r="A8" s="66"/>
      <c r="B8" s="32" t="s">
        <v>2021</v>
      </c>
      <c r="C8" s="35" t="s">
        <v>62</v>
      </c>
      <c r="D8" s="32" t="s">
        <v>2020</v>
      </c>
      <c r="E8" s="11" t="s">
        <v>37</v>
      </c>
    </row>
    <row r="9">
      <c r="A9" s="66"/>
      <c r="B9" s="34" t="s">
        <v>1110</v>
      </c>
      <c r="C9" s="35" t="s">
        <v>267</v>
      </c>
      <c r="D9" s="34" t="s">
        <v>1181</v>
      </c>
      <c r="E9" s="11" t="s">
        <v>33</v>
      </c>
    </row>
    <row r="10">
      <c r="A10" s="66"/>
      <c r="B10" s="32" t="s">
        <v>698</v>
      </c>
      <c r="C10" s="35" t="s">
        <v>62</v>
      </c>
      <c r="D10" s="32" t="s">
        <v>2020</v>
      </c>
      <c r="E10" s="11" t="s">
        <v>37</v>
      </c>
    </row>
    <row r="11">
      <c r="A11" s="66"/>
      <c r="B11" s="34" t="s">
        <v>1110</v>
      </c>
      <c r="C11" s="35" t="s">
        <v>195</v>
      </c>
      <c r="D11" s="32" t="s">
        <v>2021</v>
      </c>
      <c r="E11" s="11" t="s">
        <v>33</v>
      </c>
    </row>
    <row r="12">
      <c r="A12" s="66"/>
      <c r="B12" s="32" t="s">
        <v>698</v>
      </c>
      <c r="C12" s="35" t="s">
        <v>47</v>
      </c>
      <c r="D12" s="34" t="s">
        <v>1181</v>
      </c>
      <c r="E12" s="11" t="s">
        <v>37</v>
      </c>
      <c r="H12" s="36" t="s">
        <v>229</v>
      </c>
    </row>
    <row r="13">
      <c r="A13" s="66"/>
      <c r="B13" s="34" t="s">
        <v>1181</v>
      </c>
      <c r="C13" s="35" t="s">
        <v>78</v>
      </c>
      <c r="D13" s="32" t="s">
        <v>2020</v>
      </c>
      <c r="E13" s="11" t="s">
        <v>33</v>
      </c>
    </row>
    <row r="14">
      <c r="A14" s="66"/>
      <c r="B14" s="32" t="s">
        <v>698</v>
      </c>
      <c r="C14" s="35" t="s">
        <v>260</v>
      </c>
      <c r="D14" s="32" t="s">
        <v>2021</v>
      </c>
      <c r="E14" s="11" t="s">
        <v>37</v>
      </c>
    </row>
    <row r="15">
      <c r="A15" s="66"/>
      <c r="B15" s="32" t="s">
        <v>2020</v>
      </c>
      <c r="C15" s="35" t="s">
        <v>17</v>
      </c>
      <c r="D15" s="34" t="s">
        <v>1110</v>
      </c>
      <c r="E15" s="11" t="s">
        <v>33</v>
      </c>
    </row>
    <row r="16">
      <c r="A16" s="66"/>
      <c r="B16" s="34" t="s">
        <v>1181</v>
      </c>
      <c r="C16" s="35" t="s">
        <v>260</v>
      </c>
      <c r="D16" s="32" t="s">
        <v>2021</v>
      </c>
      <c r="E16" s="11" t="s">
        <v>37</v>
      </c>
    </row>
    <row r="17">
      <c r="A17" s="66"/>
      <c r="B17" s="32" t="s">
        <v>698</v>
      </c>
      <c r="C17" s="35" t="s">
        <v>72</v>
      </c>
      <c r="D17" s="34" t="s">
        <v>1110</v>
      </c>
      <c r="E17" s="11" t="s">
        <v>33</v>
      </c>
    </row>
    <row r="18">
      <c r="A18" s="66"/>
      <c r="B18" s="32" t="s">
        <v>2020</v>
      </c>
      <c r="C18" s="35" t="s">
        <v>25</v>
      </c>
      <c r="D18" s="32" t="s">
        <v>2021</v>
      </c>
      <c r="E18" s="11" t="s">
        <v>37</v>
      </c>
    </row>
    <row r="19">
      <c r="A19" s="66"/>
      <c r="B19" s="34" t="s">
        <v>1181</v>
      </c>
      <c r="C19" s="35" t="s">
        <v>190</v>
      </c>
      <c r="D19" s="34" t="s">
        <v>1110</v>
      </c>
      <c r="E19" s="11" t="s">
        <v>33</v>
      </c>
    </row>
    <row r="20">
      <c r="A20" s="66"/>
      <c r="B20" s="32" t="s">
        <v>2020</v>
      </c>
      <c r="C20" s="35" t="s">
        <v>195</v>
      </c>
      <c r="D20" s="32" t="s">
        <v>698</v>
      </c>
      <c r="E20" s="11" t="s">
        <v>37</v>
      </c>
    </row>
    <row r="21">
      <c r="A21" s="66"/>
      <c r="B21" s="32" t="s">
        <v>2021</v>
      </c>
      <c r="C21" s="35" t="s">
        <v>62</v>
      </c>
      <c r="D21" s="34" t="s">
        <v>1110</v>
      </c>
      <c r="E21" s="11" t="s">
        <v>33</v>
      </c>
    </row>
    <row r="22">
      <c r="A22" s="66"/>
      <c r="B22" s="34" t="s">
        <v>1181</v>
      </c>
      <c r="C22" s="35" t="s">
        <v>64</v>
      </c>
      <c r="D22" s="32" t="s">
        <v>698</v>
      </c>
      <c r="E22" s="11" t="s">
        <v>37</v>
      </c>
    </row>
    <row r="23">
      <c r="A23" s="66"/>
      <c r="B23" s="1" t="s">
        <v>2022</v>
      </c>
      <c r="C23" s="2"/>
      <c r="D23" s="3"/>
      <c r="E23" s="48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1725</v>
      </c>
      <c r="C25" s="33" t="s">
        <v>197</v>
      </c>
      <c r="D25" s="8" t="s">
        <v>1825</v>
      </c>
      <c r="E25" s="11" t="s">
        <v>9</v>
      </c>
    </row>
    <row r="26">
      <c r="A26" s="66"/>
      <c r="B26" s="32" t="s">
        <v>2023</v>
      </c>
      <c r="C26" s="33" t="s">
        <v>19</v>
      </c>
      <c r="D26" s="32" t="s">
        <v>1838</v>
      </c>
      <c r="E26" s="11" t="s">
        <v>13</v>
      </c>
    </row>
    <row r="27">
      <c r="A27" s="66"/>
      <c r="B27" s="34" t="s">
        <v>1786</v>
      </c>
      <c r="C27" s="33" t="s">
        <v>25</v>
      </c>
      <c r="D27" s="34" t="s">
        <v>1725</v>
      </c>
      <c r="E27" s="11" t="s">
        <v>9</v>
      </c>
    </row>
    <row r="28">
      <c r="A28" s="66"/>
      <c r="B28" s="32" t="s">
        <v>2023</v>
      </c>
      <c r="C28" s="33" t="s">
        <v>196</v>
      </c>
      <c r="D28" s="8" t="s">
        <v>1825</v>
      </c>
      <c r="E28" s="11" t="s">
        <v>13</v>
      </c>
    </row>
    <row r="29">
      <c r="A29" s="66"/>
      <c r="B29" s="34" t="s">
        <v>1786</v>
      </c>
      <c r="C29" s="33" t="s">
        <v>566</v>
      </c>
      <c r="D29" s="32" t="s">
        <v>1838</v>
      </c>
      <c r="E29" s="11" t="s">
        <v>9</v>
      </c>
    </row>
    <row r="30">
      <c r="A30" s="66"/>
      <c r="B30" s="32" t="s">
        <v>2023</v>
      </c>
      <c r="C30" s="33" t="s">
        <v>22</v>
      </c>
      <c r="D30" s="34" t="s">
        <v>1725</v>
      </c>
      <c r="E30" s="11" t="s">
        <v>13</v>
      </c>
    </row>
    <row r="31">
      <c r="A31" s="66"/>
      <c r="B31" s="34" t="s">
        <v>1786</v>
      </c>
      <c r="C31" s="33" t="s">
        <v>260</v>
      </c>
      <c r="D31" s="8" t="s">
        <v>1825</v>
      </c>
      <c r="E31" s="11" t="s">
        <v>9</v>
      </c>
    </row>
    <row r="32">
      <c r="A32" s="66"/>
      <c r="B32" s="32" t="s">
        <v>1838</v>
      </c>
      <c r="C32" s="33" t="s">
        <v>11</v>
      </c>
      <c r="D32" s="34" t="s">
        <v>1725</v>
      </c>
      <c r="E32" s="11" t="s">
        <v>13</v>
      </c>
    </row>
    <row r="33">
      <c r="A33" s="66"/>
      <c r="B33" s="34" t="s">
        <v>1786</v>
      </c>
      <c r="C33" s="33" t="s">
        <v>22</v>
      </c>
      <c r="D33" s="32" t="s">
        <v>2023</v>
      </c>
      <c r="E33" s="11" t="s">
        <v>9</v>
      </c>
    </row>
    <row r="34">
      <c r="A34" s="66"/>
      <c r="B34" s="32" t="s">
        <v>1838</v>
      </c>
      <c r="C34" s="33" t="s">
        <v>78</v>
      </c>
      <c r="D34" s="8" t="s">
        <v>1825</v>
      </c>
      <c r="E34" s="11" t="s">
        <v>13</v>
      </c>
    </row>
    <row r="35">
      <c r="A35" s="66"/>
      <c r="B35" s="8" t="s">
        <v>1825</v>
      </c>
      <c r="C35" s="33" t="s">
        <v>1396</v>
      </c>
      <c r="D35" s="34" t="s">
        <v>1725</v>
      </c>
      <c r="E35" s="11" t="s">
        <v>9</v>
      </c>
    </row>
    <row r="36">
      <c r="A36" s="66"/>
      <c r="B36" s="32" t="s">
        <v>1838</v>
      </c>
      <c r="C36" s="33" t="s">
        <v>196</v>
      </c>
      <c r="D36" s="32" t="s">
        <v>2023</v>
      </c>
      <c r="E36" s="11" t="s">
        <v>13</v>
      </c>
    </row>
    <row r="37">
      <c r="A37" s="66"/>
      <c r="B37" s="34" t="s">
        <v>1725</v>
      </c>
      <c r="C37" s="35" t="s">
        <v>651</v>
      </c>
      <c r="D37" s="34" t="s">
        <v>1786</v>
      </c>
      <c r="E37" s="11" t="s">
        <v>9</v>
      </c>
    </row>
    <row r="38">
      <c r="A38" s="66"/>
      <c r="B38" s="8" t="s">
        <v>1825</v>
      </c>
      <c r="C38" s="35" t="s">
        <v>267</v>
      </c>
      <c r="D38" s="32" t="s">
        <v>2023</v>
      </c>
      <c r="E38" s="11" t="s">
        <v>13</v>
      </c>
    </row>
    <row r="39">
      <c r="A39" s="66"/>
      <c r="B39" s="32" t="s">
        <v>1838</v>
      </c>
      <c r="C39" s="35" t="s">
        <v>835</v>
      </c>
      <c r="D39" s="34" t="s">
        <v>1786</v>
      </c>
      <c r="E39" s="11" t="s">
        <v>9</v>
      </c>
    </row>
    <row r="40">
      <c r="A40" s="66"/>
      <c r="B40" s="34" t="s">
        <v>1725</v>
      </c>
      <c r="C40" s="35" t="s">
        <v>45</v>
      </c>
      <c r="D40" s="32" t="s">
        <v>2023</v>
      </c>
      <c r="E40" s="11" t="s">
        <v>13</v>
      </c>
    </row>
    <row r="41">
      <c r="A41" s="66"/>
      <c r="B41" s="8" t="s">
        <v>1825</v>
      </c>
      <c r="C41" s="35" t="s">
        <v>513</v>
      </c>
      <c r="D41" s="34" t="s">
        <v>1786</v>
      </c>
      <c r="E41" s="11" t="s">
        <v>9</v>
      </c>
    </row>
    <row r="42">
      <c r="A42" s="66"/>
      <c r="B42" s="34" t="s">
        <v>1725</v>
      </c>
      <c r="C42" s="35" t="s">
        <v>72</v>
      </c>
      <c r="D42" s="32" t="s">
        <v>1838</v>
      </c>
      <c r="E42" s="11" t="s">
        <v>13</v>
      </c>
    </row>
    <row r="43">
      <c r="A43" s="66"/>
      <c r="B43" s="32" t="s">
        <v>2023</v>
      </c>
      <c r="C43" s="35" t="s">
        <v>62</v>
      </c>
      <c r="D43" s="34" t="s">
        <v>1786</v>
      </c>
      <c r="E43" s="11" t="s">
        <v>9</v>
      </c>
    </row>
    <row r="44">
      <c r="A44" s="67"/>
      <c r="B44" s="8" t="s">
        <v>1825</v>
      </c>
      <c r="C44" s="35" t="s">
        <v>1088</v>
      </c>
      <c r="D44" s="32" t="s">
        <v>1838</v>
      </c>
      <c r="E44" s="11" t="s">
        <v>13</v>
      </c>
    </row>
    <row r="45">
      <c r="B45" s="1" t="s">
        <v>2024</v>
      </c>
      <c r="C45" s="2"/>
      <c r="D45" s="3"/>
      <c r="E45" s="14"/>
    </row>
    <row r="46">
      <c r="B46" s="16" t="s">
        <v>2</v>
      </c>
      <c r="C46" s="16" t="s">
        <v>3</v>
      </c>
      <c r="D46" s="16" t="s">
        <v>4</v>
      </c>
      <c r="E46" s="16" t="s">
        <v>5</v>
      </c>
    </row>
    <row r="47">
      <c r="B47" s="32" t="s">
        <v>2025</v>
      </c>
      <c r="C47" s="33" t="s">
        <v>286</v>
      </c>
      <c r="D47" s="32" t="s">
        <v>1938</v>
      </c>
      <c r="E47" s="11" t="s">
        <v>33</v>
      </c>
      <c r="H47" s="36"/>
    </row>
    <row r="48">
      <c r="B48" s="32" t="s">
        <v>1772</v>
      </c>
      <c r="C48" s="33" t="s">
        <v>193</v>
      </c>
      <c r="D48" s="32" t="s">
        <v>1116</v>
      </c>
      <c r="E48" s="11" t="s">
        <v>37</v>
      </c>
    </row>
    <row r="49">
      <c r="B49" s="32" t="s">
        <v>2026</v>
      </c>
      <c r="C49" s="33" t="s">
        <v>64</v>
      </c>
      <c r="D49" s="32" t="s">
        <v>2025</v>
      </c>
      <c r="E49" s="11" t="s">
        <v>33</v>
      </c>
    </row>
    <row r="50">
      <c r="B50" s="32" t="s">
        <v>1772</v>
      </c>
      <c r="C50" s="33" t="s">
        <v>291</v>
      </c>
      <c r="D50" s="32" t="s">
        <v>1938</v>
      </c>
      <c r="E50" s="11" t="s">
        <v>37</v>
      </c>
    </row>
    <row r="51">
      <c r="B51" s="32" t="s">
        <v>2026</v>
      </c>
      <c r="C51" s="33" t="s">
        <v>212</v>
      </c>
      <c r="D51" s="32" t="s">
        <v>1116</v>
      </c>
      <c r="E51" s="11" t="s">
        <v>33</v>
      </c>
    </row>
    <row r="52">
      <c r="B52" s="32" t="s">
        <v>1772</v>
      </c>
      <c r="C52" s="33" t="s">
        <v>291</v>
      </c>
      <c r="D52" s="32" t="s">
        <v>2025</v>
      </c>
      <c r="E52" s="11" t="s">
        <v>37</v>
      </c>
    </row>
    <row r="53">
      <c r="B53" s="32" t="s">
        <v>2026</v>
      </c>
      <c r="C53" s="33" t="s">
        <v>64</v>
      </c>
      <c r="D53" s="32" t="s">
        <v>1938</v>
      </c>
      <c r="E53" s="11" t="s">
        <v>33</v>
      </c>
    </row>
    <row r="54">
      <c r="B54" s="32" t="s">
        <v>1116</v>
      </c>
      <c r="C54" s="33" t="s">
        <v>76</v>
      </c>
      <c r="D54" s="32" t="s">
        <v>2025</v>
      </c>
      <c r="E54" s="11" t="s">
        <v>37</v>
      </c>
    </row>
    <row r="55">
      <c r="B55" s="32" t="s">
        <v>2026</v>
      </c>
      <c r="C55" s="33" t="s">
        <v>446</v>
      </c>
      <c r="D55" s="32" t="s">
        <v>1772</v>
      </c>
      <c r="E55" s="11" t="s">
        <v>33</v>
      </c>
    </row>
    <row r="56">
      <c r="B56" s="32" t="s">
        <v>1116</v>
      </c>
      <c r="C56" s="33" t="s">
        <v>245</v>
      </c>
      <c r="D56" s="32" t="s">
        <v>1938</v>
      </c>
      <c r="E56" s="11" t="s">
        <v>37</v>
      </c>
    </row>
    <row r="57">
      <c r="B57" s="32" t="s">
        <v>1938</v>
      </c>
      <c r="C57" s="33" t="s">
        <v>218</v>
      </c>
      <c r="D57" s="32" t="s">
        <v>2025</v>
      </c>
      <c r="E57" s="11" t="s">
        <v>33</v>
      </c>
    </row>
    <row r="58">
      <c r="B58" s="32" t="s">
        <v>1116</v>
      </c>
      <c r="C58" s="33" t="s">
        <v>81</v>
      </c>
      <c r="D58" s="32" t="s">
        <v>1772</v>
      </c>
      <c r="E58" s="11" t="s">
        <v>37</v>
      </c>
    </row>
    <row r="59">
      <c r="B59" s="32" t="s">
        <v>2025</v>
      </c>
      <c r="C59" s="35" t="s">
        <v>196</v>
      </c>
      <c r="D59" s="32" t="s">
        <v>2026</v>
      </c>
      <c r="E59" s="11" t="s">
        <v>33</v>
      </c>
    </row>
    <row r="60">
      <c r="B60" s="32" t="s">
        <v>1938</v>
      </c>
      <c r="C60" s="35" t="s">
        <v>187</v>
      </c>
      <c r="D60" s="32" t="s">
        <v>1772</v>
      </c>
      <c r="E60" s="11" t="s">
        <v>37</v>
      </c>
    </row>
    <row r="61">
      <c r="B61" s="32" t="s">
        <v>1116</v>
      </c>
      <c r="C61" s="35" t="s">
        <v>21</v>
      </c>
      <c r="D61" s="32" t="s">
        <v>2026</v>
      </c>
      <c r="E61" s="11" t="s">
        <v>33</v>
      </c>
    </row>
    <row r="62">
      <c r="B62" s="32" t="s">
        <v>2025</v>
      </c>
      <c r="C62" s="35" t="s">
        <v>87</v>
      </c>
      <c r="D62" s="32" t="s">
        <v>1772</v>
      </c>
      <c r="E62" s="11" t="s">
        <v>37</v>
      </c>
    </row>
    <row r="63">
      <c r="B63" s="32" t="s">
        <v>1938</v>
      </c>
      <c r="C63" s="35" t="s">
        <v>218</v>
      </c>
      <c r="D63" s="32" t="s">
        <v>2026</v>
      </c>
      <c r="E63" s="11" t="s">
        <v>33</v>
      </c>
    </row>
    <row r="64">
      <c r="B64" s="32" t="s">
        <v>2025</v>
      </c>
      <c r="C64" s="35" t="s">
        <v>17</v>
      </c>
      <c r="D64" s="32" t="s">
        <v>1116</v>
      </c>
      <c r="E64" s="11" t="s">
        <v>37</v>
      </c>
    </row>
    <row r="65">
      <c r="B65" s="32" t="s">
        <v>1772</v>
      </c>
      <c r="C65" s="35" t="s">
        <v>68</v>
      </c>
      <c r="D65" s="32" t="s">
        <v>2026</v>
      </c>
      <c r="E65" s="11" t="s">
        <v>33</v>
      </c>
    </row>
    <row r="66">
      <c r="B66" s="32" t="s">
        <v>1938</v>
      </c>
      <c r="C66" s="35" t="s">
        <v>14</v>
      </c>
      <c r="D66" s="32" t="s">
        <v>1116</v>
      </c>
      <c r="E66" s="11" t="s">
        <v>37</v>
      </c>
    </row>
    <row r="67">
      <c r="B67" s="1" t="s">
        <v>2027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16" t="s">
        <v>5</v>
      </c>
    </row>
    <row r="69">
      <c r="B69" s="32" t="s">
        <v>2028</v>
      </c>
      <c r="C69" s="33" t="s">
        <v>78</v>
      </c>
      <c r="D69" s="8" t="s">
        <v>2029</v>
      </c>
      <c r="E69" s="11" t="s">
        <v>9</v>
      </c>
    </row>
    <row r="70">
      <c r="B70" s="32" t="s">
        <v>2030</v>
      </c>
      <c r="C70" s="33" t="s">
        <v>19</v>
      </c>
      <c r="D70" s="32" t="s">
        <v>2031</v>
      </c>
      <c r="E70" s="11" t="s">
        <v>13</v>
      </c>
    </row>
    <row r="71">
      <c r="B71" s="32" t="s">
        <v>2032</v>
      </c>
      <c r="C71" s="33" t="s">
        <v>20</v>
      </c>
      <c r="D71" s="32" t="s">
        <v>2028</v>
      </c>
      <c r="E71" s="11" t="s">
        <v>9</v>
      </c>
    </row>
    <row r="72">
      <c r="B72" s="32" t="s">
        <v>2030</v>
      </c>
      <c r="C72" s="33" t="s">
        <v>239</v>
      </c>
      <c r="D72" s="8" t="s">
        <v>2029</v>
      </c>
      <c r="E72" s="11" t="s">
        <v>13</v>
      </c>
    </row>
    <row r="73">
      <c r="B73" s="32" t="s">
        <v>2032</v>
      </c>
      <c r="C73" s="33" t="s">
        <v>88</v>
      </c>
      <c r="D73" s="32" t="s">
        <v>2031</v>
      </c>
      <c r="E73" s="11" t="s">
        <v>9</v>
      </c>
    </row>
    <row r="74">
      <c r="B74" s="32" t="s">
        <v>2030</v>
      </c>
      <c r="C74" s="33" t="s">
        <v>87</v>
      </c>
      <c r="D74" s="32" t="s">
        <v>2028</v>
      </c>
      <c r="E74" s="11" t="s">
        <v>13</v>
      </c>
    </row>
    <row r="75">
      <c r="B75" s="32" t="s">
        <v>2032</v>
      </c>
      <c r="C75" s="33" t="s">
        <v>444</v>
      </c>
      <c r="D75" s="8" t="s">
        <v>2029</v>
      </c>
      <c r="E75" s="11" t="s">
        <v>9</v>
      </c>
    </row>
    <row r="76">
      <c r="B76" s="32" t="s">
        <v>2031</v>
      </c>
      <c r="C76" s="33" t="s">
        <v>534</v>
      </c>
      <c r="D76" s="32" t="s">
        <v>2028</v>
      </c>
      <c r="E76" s="11" t="s">
        <v>13</v>
      </c>
    </row>
    <row r="77">
      <c r="B77" s="32" t="s">
        <v>2032</v>
      </c>
      <c r="C77" s="33" t="s">
        <v>25</v>
      </c>
      <c r="D77" s="32" t="s">
        <v>2030</v>
      </c>
      <c r="E77" s="11" t="s">
        <v>9</v>
      </c>
    </row>
    <row r="78">
      <c r="B78" s="32" t="s">
        <v>2031</v>
      </c>
      <c r="C78" s="33" t="s">
        <v>197</v>
      </c>
      <c r="D78" s="8" t="s">
        <v>2029</v>
      </c>
      <c r="E78" s="11" t="s">
        <v>13</v>
      </c>
    </row>
    <row r="79">
      <c r="B79" s="8" t="s">
        <v>2029</v>
      </c>
      <c r="C79" s="33" t="s">
        <v>28</v>
      </c>
      <c r="D79" s="32" t="s">
        <v>2028</v>
      </c>
      <c r="E79" s="11" t="s">
        <v>9</v>
      </c>
    </row>
    <row r="80">
      <c r="B80" s="32" t="s">
        <v>2031</v>
      </c>
      <c r="C80" s="33" t="s">
        <v>201</v>
      </c>
      <c r="D80" s="32" t="s">
        <v>2030</v>
      </c>
      <c r="E80" s="11" t="s">
        <v>13</v>
      </c>
    </row>
    <row r="81">
      <c r="B81" s="32" t="s">
        <v>2028</v>
      </c>
      <c r="C81" s="35" t="s">
        <v>41</v>
      </c>
      <c r="D81" s="32" t="s">
        <v>2032</v>
      </c>
      <c r="E81" s="11" t="s">
        <v>9</v>
      </c>
    </row>
    <row r="82">
      <c r="B82" s="8" t="s">
        <v>2029</v>
      </c>
      <c r="C82" s="35" t="s">
        <v>19</v>
      </c>
      <c r="D82" s="32" t="s">
        <v>2030</v>
      </c>
      <c r="E82" s="11" t="s">
        <v>13</v>
      </c>
    </row>
    <row r="83">
      <c r="B83" s="32" t="s">
        <v>2031</v>
      </c>
      <c r="C83" s="35" t="s">
        <v>693</v>
      </c>
      <c r="D83" s="32" t="s">
        <v>2032</v>
      </c>
      <c r="E83" s="11" t="s">
        <v>9</v>
      </c>
    </row>
    <row r="84">
      <c r="B84" s="32" t="s">
        <v>2028</v>
      </c>
      <c r="C84" s="35" t="s">
        <v>1465</v>
      </c>
      <c r="D84" s="32" t="s">
        <v>2030</v>
      </c>
      <c r="E84" s="11" t="s">
        <v>13</v>
      </c>
    </row>
    <row r="85">
      <c r="B85" s="8" t="s">
        <v>2029</v>
      </c>
      <c r="C85" s="35" t="s">
        <v>278</v>
      </c>
      <c r="D85" s="32" t="s">
        <v>2032</v>
      </c>
      <c r="E85" s="11" t="s">
        <v>9</v>
      </c>
    </row>
    <row r="86">
      <c r="B86" s="32" t="s">
        <v>2028</v>
      </c>
      <c r="C86" s="35" t="s">
        <v>41</v>
      </c>
      <c r="D86" s="32" t="s">
        <v>2031</v>
      </c>
      <c r="E86" s="11" t="s">
        <v>13</v>
      </c>
    </row>
    <row r="87">
      <c r="B87" s="32" t="s">
        <v>2030</v>
      </c>
      <c r="C87" s="35" t="s">
        <v>286</v>
      </c>
      <c r="D87" s="32" t="s">
        <v>2032</v>
      </c>
      <c r="E87" s="11" t="s">
        <v>9</v>
      </c>
    </row>
    <row r="88">
      <c r="B88" s="8" t="s">
        <v>2029</v>
      </c>
      <c r="C88" s="35" t="s">
        <v>68</v>
      </c>
      <c r="D88" s="32" t="s">
        <v>2031</v>
      </c>
      <c r="E88" s="11" t="s">
        <v>13</v>
      </c>
    </row>
    <row r="89">
      <c r="B89" s="1" t="s">
        <v>1659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16" t="s">
        <v>5</v>
      </c>
    </row>
    <row r="91">
      <c r="B91" s="32" t="s">
        <v>2033</v>
      </c>
      <c r="C91" s="35" t="s">
        <v>260</v>
      </c>
      <c r="D91" s="32" t="s">
        <v>2034</v>
      </c>
      <c r="E91" s="11" t="s">
        <v>9</v>
      </c>
    </row>
    <row r="92">
      <c r="B92" s="32" t="s">
        <v>2035</v>
      </c>
      <c r="C92" s="35" t="s">
        <v>270</v>
      </c>
      <c r="D92" s="32" t="s">
        <v>1878</v>
      </c>
      <c r="E92" s="11" t="s">
        <v>13</v>
      </c>
    </row>
    <row r="93">
      <c r="B93" s="32" t="s">
        <v>2036</v>
      </c>
      <c r="C93" s="35" t="s">
        <v>195</v>
      </c>
      <c r="D93" s="32" t="s">
        <v>2033</v>
      </c>
      <c r="E93" s="11" t="s">
        <v>9</v>
      </c>
    </row>
    <row r="94">
      <c r="B94" s="32" t="s">
        <v>2035</v>
      </c>
      <c r="C94" s="35" t="s">
        <v>218</v>
      </c>
      <c r="D94" s="32" t="s">
        <v>2034</v>
      </c>
      <c r="E94" s="11" t="s">
        <v>13</v>
      </c>
    </row>
    <row r="95">
      <c r="B95" s="32" t="s">
        <v>2036</v>
      </c>
      <c r="C95" s="35" t="s">
        <v>2037</v>
      </c>
      <c r="D95" s="32" t="s">
        <v>1878</v>
      </c>
      <c r="E95" s="11" t="s">
        <v>9</v>
      </c>
    </row>
    <row r="96">
      <c r="B96" s="32" t="s">
        <v>2035</v>
      </c>
      <c r="C96" s="35" t="s">
        <v>87</v>
      </c>
      <c r="D96" s="32" t="s">
        <v>2033</v>
      </c>
      <c r="E96" s="11" t="s">
        <v>13</v>
      </c>
    </row>
    <row r="97">
      <c r="B97" s="32" t="s">
        <v>2036</v>
      </c>
      <c r="C97" s="35" t="s">
        <v>239</v>
      </c>
      <c r="D97" s="32" t="s">
        <v>2034</v>
      </c>
      <c r="E97" s="11" t="s">
        <v>9</v>
      </c>
    </row>
    <row r="98">
      <c r="B98" s="32" t="s">
        <v>1878</v>
      </c>
      <c r="C98" s="35" t="s">
        <v>66</v>
      </c>
      <c r="D98" s="32" t="s">
        <v>2033</v>
      </c>
      <c r="E98" s="11" t="s">
        <v>13</v>
      </c>
    </row>
    <row r="99">
      <c r="B99" s="32" t="s">
        <v>2036</v>
      </c>
      <c r="C99" s="35" t="s">
        <v>87</v>
      </c>
      <c r="D99" s="32" t="s">
        <v>2035</v>
      </c>
      <c r="E99" s="11" t="s">
        <v>9</v>
      </c>
    </row>
    <row r="100">
      <c r="B100" s="32" t="s">
        <v>1878</v>
      </c>
      <c r="C100" s="35" t="s">
        <v>68</v>
      </c>
      <c r="D100" s="32" t="s">
        <v>2034</v>
      </c>
      <c r="E100" s="11" t="s">
        <v>13</v>
      </c>
      <c r="I100" s="73"/>
    </row>
    <row r="101">
      <c r="B101" s="32" t="s">
        <v>2034</v>
      </c>
      <c r="C101" s="35" t="s">
        <v>64</v>
      </c>
      <c r="D101" s="32" t="s">
        <v>2033</v>
      </c>
      <c r="E101" s="11" t="s">
        <v>9</v>
      </c>
    </row>
    <row r="102">
      <c r="B102" s="32" t="s">
        <v>1878</v>
      </c>
      <c r="C102" s="35" t="s">
        <v>218</v>
      </c>
      <c r="D102" s="32" t="s">
        <v>2035</v>
      </c>
      <c r="E102" s="11" t="s">
        <v>13</v>
      </c>
    </row>
    <row r="103">
      <c r="B103" s="32" t="s">
        <v>2033</v>
      </c>
      <c r="C103" s="35" t="s">
        <v>239</v>
      </c>
      <c r="D103" s="32" t="s">
        <v>2036</v>
      </c>
      <c r="E103" s="11" t="s">
        <v>9</v>
      </c>
    </row>
    <row r="104">
      <c r="B104" s="32" t="s">
        <v>2034</v>
      </c>
      <c r="C104" s="35" t="s">
        <v>69</v>
      </c>
      <c r="D104" s="32" t="s">
        <v>2035</v>
      </c>
      <c r="E104" s="11" t="s">
        <v>13</v>
      </c>
    </row>
    <row r="105">
      <c r="B105" s="32" t="s">
        <v>1878</v>
      </c>
      <c r="C105" s="35" t="s">
        <v>197</v>
      </c>
      <c r="D105" s="32" t="s">
        <v>2036</v>
      </c>
      <c r="E105" s="11" t="s">
        <v>9</v>
      </c>
    </row>
    <row r="106">
      <c r="B106" s="32" t="s">
        <v>2033</v>
      </c>
      <c r="C106" s="35" t="s">
        <v>282</v>
      </c>
      <c r="D106" s="32" t="s">
        <v>2035</v>
      </c>
      <c r="E106" s="11" t="s">
        <v>13</v>
      </c>
    </row>
    <row r="107">
      <c r="B107" s="32" t="s">
        <v>2034</v>
      </c>
      <c r="C107" s="35" t="s">
        <v>251</v>
      </c>
      <c r="D107" s="32" t="s">
        <v>2036</v>
      </c>
      <c r="E107" s="11" t="s">
        <v>9</v>
      </c>
    </row>
    <row r="108">
      <c r="B108" s="32" t="s">
        <v>2033</v>
      </c>
      <c r="C108" s="35" t="s">
        <v>42</v>
      </c>
      <c r="D108" s="32" t="s">
        <v>1878</v>
      </c>
      <c r="E108" s="11" t="s">
        <v>13</v>
      </c>
    </row>
    <row r="109">
      <c r="B109" s="32" t="s">
        <v>2035</v>
      </c>
      <c r="C109" s="35" t="s">
        <v>81</v>
      </c>
      <c r="D109" s="32" t="s">
        <v>2036</v>
      </c>
      <c r="E109" s="11" t="s">
        <v>9</v>
      </c>
    </row>
    <row r="110">
      <c r="B110" s="32" t="s">
        <v>2034</v>
      </c>
      <c r="C110" s="35" t="s">
        <v>26</v>
      </c>
      <c r="D110" s="32" t="s">
        <v>1878</v>
      </c>
      <c r="E110" s="11" t="s">
        <v>13</v>
      </c>
    </row>
    <row r="111">
      <c r="B111" s="1" t="s">
        <v>1664</v>
      </c>
      <c r="C111" s="2"/>
      <c r="D111" s="3"/>
      <c r="E111" s="4"/>
    </row>
    <row r="112"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B113" s="32" t="s">
        <v>1995</v>
      </c>
      <c r="C113" s="33" t="s">
        <v>566</v>
      </c>
      <c r="D113" s="32" t="s">
        <v>1734</v>
      </c>
      <c r="E113" s="11" t="s">
        <v>9</v>
      </c>
    </row>
    <row r="114">
      <c r="B114" s="32" t="s">
        <v>2038</v>
      </c>
      <c r="C114" s="33" t="s">
        <v>535</v>
      </c>
      <c r="D114" s="32" t="s">
        <v>748</v>
      </c>
      <c r="E114" s="11" t="s">
        <v>13</v>
      </c>
    </row>
    <row r="115">
      <c r="B115" s="32" t="s">
        <v>1854</v>
      </c>
      <c r="C115" s="33" t="s">
        <v>201</v>
      </c>
      <c r="D115" s="32" t="s">
        <v>1995</v>
      </c>
      <c r="E115" s="11" t="s">
        <v>9</v>
      </c>
    </row>
    <row r="116">
      <c r="B116" s="32" t="s">
        <v>2038</v>
      </c>
      <c r="C116" s="33" t="s">
        <v>64</v>
      </c>
      <c r="D116" s="32" t="s">
        <v>1734</v>
      </c>
      <c r="E116" s="11" t="s">
        <v>13</v>
      </c>
    </row>
    <row r="117">
      <c r="B117" s="32" t="s">
        <v>1854</v>
      </c>
      <c r="C117" s="33" t="s">
        <v>201</v>
      </c>
      <c r="D117" s="32" t="s">
        <v>748</v>
      </c>
      <c r="E117" s="11" t="s">
        <v>9</v>
      </c>
    </row>
    <row r="118">
      <c r="B118" s="32" t="s">
        <v>2038</v>
      </c>
      <c r="C118" s="33" t="s">
        <v>22</v>
      </c>
      <c r="D118" s="32" t="s">
        <v>1995</v>
      </c>
      <c r="E118" s="11" t="s">
        <v>13</v>
      </c>
    </row>
    <row r="119">
      <c r="B119" s="32" t="s">
        <v>1854</v>
      </c>
      <c r="C119" s="33" t="s">
        <v>218</v>
      </c>
      <c r="D119" s="32" t="s">
        <v>1734</v>
      </c>
      <c r="E119" s="11" t="s">
        <v>9</v>
      </c>
    </row>
    <row r="120">
      <c r="B120" s="32" t="s">
        <v>748</v>
      </c>
      <c r="C120" s="33" t="s">
        <v>81</v>
      </c>
      <c r="D120" s="32" t="s">
        <v>1995</v>
      </c>
      <c r="E120" s="11" t="s">
        <v>13</v>
      </c>
    </row>
    <row r="121">
      <c r="B121" s="32" t="s">
        <v>1854</v>
      </c>
      <c r="C121" s="33" t="s">
        <v>62</v>
      </c>
      <c r="D121" s="32" t="s">
        <v>2038</v>
      </c>
      <c r="E121" s="11" t="s">
        <v>9</v>
      </c>
    </row>
    <row r="122">
      <c r="B122" s="32" t="s">
        <v>748</v>
      </c>
      <c r="C122" s="33" t="s">
        <v>16</v>
      </c>
      <c r="D122" s="32" t="s">
        <v>1734</v>
      </c>
      <c r="E122" s="11" t="s">
        <v>13</v>
      </c>
    </row>
    <row r="123">
      <c r="B123" s="32" t="s">
        <v>1734</v>
      </c>
      <c r="C123" s="33" t="s">
        <v>196</v>
      </c>
      <c r="D123" s="32" t="s">
        <v>1995</v>
      </c>
      <c r="E123" s="11" t="s">
        <v>9</v>
      </c>
    </row>
    <row r="124">
      <c r="B124" s="32" t="s">
        <v>748</v>
      </c>
      <c r="C124" s="33" t="s">
        <v>72</v>
      </c>
      <c r="D124" s="32" t="s">
        <v>2038</v>
      </c>
      <c r="E124" s="11" t="s">
        <v>13</v>
      </c>
    </row>
    <row r="125">
      <c r="B125" s="32" t="s">
        <v>1995</v>
      </c>
      <c r="C125" s="35" t="s">
        <v>81</v>
      </c>
      <c r="D125" s="32" t="s">
        <v>1854</v>
      </c>
      <c r="E125" s="11" t="s">
        <v>9</v>
      </c>
    </row>
    <row r="126">
      <c r="B126" s="32" t="s">
        <v>1734</v>
      </c>
      <c r="C126" s="35" t="s">
        <v>328</v>
      </c>
      <c r="D126" s="32" t="s">
        <v>2038</v>
      </c>
      <c r="E126" s="11" t="s">
        <v>13</v>
      </c>
    </row>
    <row r="127">
      <c r="B127" s="32" t="s">
        <v>748</v>
      </c>
      <c r="C127" s="35" t="s">
        <v>239</v>
      </c>
      <c r="D127" s="32" t="s">
        <v>1854</v>
      </c>
      <c r="E127" s="11" t="s">
        <v>9</v>
      </c>
    </row>
    <row r="128">
      <c r="B128" s="32" t="s">
        <v>1995</v>
      </c>
      <c r="C128" s="35" t="s">
        <v>41</v>
      </c>
      <c r="D128" s="32" t="s">
        <v>2038</v>
      </c>
      <c r="E128" s="11" t="s">
        <v>13</v>
      </c>
    </row>
    <row r="129">
      <c r="B129" s="32" t="s">
        <v>1734</v>
      </c>
      <c r="C129" s="35" t="s">
        <v>81</v>
      </c>
      <c r="D129" s="32" t="s">
        <v>1854</v>
      </c>
      <c r="E129" s="11" t="s">
        <v>9</v>
      </c>
    </row>
    <row r="130">
      <c r="B130" s="32" t="s">
        <v>1995</v>
      </c>
      <c r="C130" s="35" t="s">
        <v>319</v>
      </c>
      <c r="D130" s="32" t="s">
        <v>748</v>
      </c>
      <c r="E130" s="11" t="s">
        <v>13</v>
      </c>
    </row>
    <row r="131">
      <c r="B131" s="32" t="s">
        <v>2038</v>
      </c>
      <c r="C131" s="35" t="s">
        <v>81</v>
      </c>
      <c r="D131" s="32" t="s">
        <v>1854</v>
      </c>
      <c r="E131" s="11" t="s">
        <v>9</v>
      </c>
    </row>
    <row r="132">
      <c r="B132" s="32" t="s">
        <v>1734</v>
      </c>
      <c r="C132" s="35" t="s">
        <v>472</v>
      </c>
      <c r="D132" s="32" t="s">
        <v>748</v>
      </c>
      <c r="E132" s="11" t="s">
        <v>13</v>
      </c>
    </row>
    <row r="133">
      <c r="B133" s="1" t="s">
        <v>1413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32" t="s">
        <v>2039</v>
      </c>
      <c r="C135" s="35" t="s">
        <v>23</v>
      </c>
      <c r="D135" s="32" t="s">
        <v>1224</v>
      </c>
      <c r="E135" s="11" t="s">
        <v>33</v>
      </c>
    </row>
    <row r="136">
      <c r="B136" s="32" t="s">
        <v>768</v>
      </c>
      <c r="C136" s="35" t="s">
        <v>20</v>
      </c>
      <c r="D136" s="32" t="s">
        <v>438</v>
      </c>
      <c r="E136" s="11" t="s">
        <v>37</v>
      </c>
    </row>
    <row r="137">
      <c r="B137" s="32" t="s">
        <v>1003</v>
      </c>
      <c r="C137" s="35" t="s">
        <v>212</v>
      </c>
      <c r="D137" s="32" t="s">
        <v>2039</v>
      </c>
      <c r="E137" s="11" t="s">
        <v>33</v>
      </c>
    </row>
    <row r="138">
      <c r="B138" s="32" t="s">
        <v>768</v>
      </c>
      <c r="C138" s="35" t="s">
        <v>207</v>
      </c>
      <c r="D138" s="32" t="s">
        <v>1224</v>
      </c>
      <c r="E138" s="11" t="s">
        <v>37</v>
      </c>
    </row>
    <row r="139">
      <c r="B139" s="32" t="s">
        <v>1003</v>
      </c>
      <c r="C139" s="35" t="s">
        <v>215</v>
      </c>
      <c r="D139" s="32" t="s">
        <v>438</v>
      </c>
      <c r="E139" s="11" t="s">
        <v>33</v>
      </c>
    </row>
    <row r="140">
      <c r="B140" s="32" t="s">
        <v>768</v>
      </c>
      <c r="C140" s="35" t="s">
        <v>197</v>
      </c>
      <c r="D140" s="32" t="s">
        <v>2039</v>
      </c>
      <c r="E140" s="11" t="s">
        <v>37</v>
      </c>
    </row>
    <row r="141">
      <c r="B141" s="32" t="s">
        <v>1003</v>
      </c>
      <c r="C141" s="35" t="s">
        <v>218</v>
      </c>
      <c r="D141" s="32" t="s">
        <v>1224</v>
      </c>
      <c r="E141" s="11" t="s">
        <v>33</v>
      </c>
    </row>
    <row r="142">
      <c r="B142" s="32" t="s">
        <v>438</v>
      </c>
      <c r="C142" s="35" t="s">
        <v>62</v>
      </c>
      <c r="D142" s="32" t="s">
        <v>2039</v>
      </c>
      <c r="E142" s="11" t="s">
        <v>37</v>
      </c>
    </row>
    <row r="143">
      <c r="B143" s="32" t="s">
        <v>1003</v>
      </c>
      <c r="C143" s="35" t="s">
        <v>41</v>
      </c>
      <c r="D143" s="32" t="s">
        <v>768</v>
      </c>
      <c r="E143" s="11" t="s">
        <v>33</v>
      </c>
    </row>
    <row r="144">
      <c r="B144" s="32" t="s">
        <v>438</v>
      </c>
      <c r="C144" s="35" t="s">
        <v>2040</v>
      </c>
      <c r="D144" s="32" t="s">
        <v>1224</v>
      </c>
      <c r="E144" s="11" t="s">
        <v>37</v>
      </c>
    </row>
    <row r="145">
      <c r="B145" s="32" t="s">
        <v>1224</v>
      </c>
      <c r="C145" s="35" t="s">
        <v>320</v>
      </c>
      <c r="D145" s="32" t="s">
        <v>2039</v>
      </c>
      <c r="E145" s="11" t="s">
        <v>33</v>
      </c>
    </row>
    <row r="146">
      <c r="B146" s="32" t="s">
        <v>438</v>
      </c>
      <c r="C146" s="35" t="s">
        <v>258</v>
      </c>
      <c r="D146" s="32" t="s">
        <v>768</v>
      </c>
      <c r="E146" s="11" t="s">
        <v>37</v>
      </c>
    </row>
    <row r="147">
      <c r="B147" s="32" t="s">
        <v>2039</v>
      </c>
      <c r="C147" s="35" t="s">
        <v>239</v>
      </c>
      <c r="D147" s="32" t="s">
        <v>1003</v>
      </c>
      <c r="E147" s="11" t="s">
        <v>33</v>
      </c>
    </row>
    <row r="148">
      <c r="B148" s="32" t="s">
        <v>1224</v>
      </c>
      <c r="C148" s="35" t="s">
        <v>45</v>
      </c>
      <c r="D148" s="32" t="s">
        <v>768</v>
      </c>
      <c r="E148" s="11" t="s">
        <v>37</v>
      </c>
    </row>
    <row r="149">
      <c r="B149" s="32" t="s">
        <v>438</v>
      </c>
      <c r="C149" s="35" t="s">
        <v>793</v>
      </c>
      <c r="D149" s="32" t="s">
        <v>1003</v>
      </c>
      <c r="E149" s="11" t="s">
        <v>33</v>
      </c>
    </row>
    <row r="150">
      <c r="B150" s="32" t="s">
        <v>2039</v>
      </c>
      <c r="C150" s="35" t="s">
        <v>69</v>
      </c>
      <c r="D150" s="32" t="s">
        <v>768</v>
      </c>
      <c r="E150" s="11" t="s">
        <v>37</v>
      </c>
    </row>
    <row r="151">
      <c r="B151" s="32" t="s">
        <v>1224</v>
      </c>
      <c r="C151" s="35" t="s">
        <v>38</v>
      </c>
      <c r="D151" s="32" t="s">
        <v>1003</v>
      </c>
      <c r="E151" s="11" t="s">
        <v>33</v>
      </c>
    </row>
    <row r="152">
      <c r="B152" s="32" t="s">
        <v>2039</v>
      </c>
      <c r="C152" s="35" t="s">
        <v>31</v>
      </c>
      <c r="D152" s="32" t="s">
        <v>438</v>
      </c>
      <c r="E152" s="11" t="s">
        <v>37</v>
      </c>
    </row>
    <row r="153">
      <c r="B153" s="32" t="s">
        <v>768</v>
      </c>
      <c r="C153" s="35" t="s">
        <v>66</v>
      </c>
      <c r="D153" s="32" t="s">
        <v>1003</v>
      </c>
      <c r="E153" s="11" t="s">
        <v>33</v>
      </c>
    </row>
    <row r="154">
      <c r="B154" s="32" t="s">
        <v>1224</v>
      </c>
      <c r="C154" s="35" t="s">
        <v>86</v>
      </c>
      <c r="D154" s="32" t="s">
        <v>438</v>
      </c>
      <c r="E154" s="11" t="s">
        <v>37</v>
      </c>
    </row>
    <row r="155">
      <c r="B155" s="1" t="s">
        <v>2041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B157" s="32" t="s">
        <v>636</v>
      </c>
      <c r="C157" s="33" t="s">
        <v>1013</v>
      </c>
      <c r="D157" s="32" t="s">
        <v>517</v>
      </c>
      <c r="E157" s="11" t="s">
        <v>9</v>
      </c>
    </row>
    <row r="158">
      <c r="B158" s="32" t="s">
        <v>2042</v>
      </c>
      <c r="C158" s="33" t="s">
        <v>20</v>
      </c>
      <c r="D158" s="32" t="s">
        <v>729</v>
      </c>
      <c r="E158" s="11" t="s">
        <v>13</v>
      </c>
    </row>
    <row r="159">
      <c r="B159" s="32" t="s">
        <v>2043</v>
      </c>
      <c r="C159" s="33" t="s">
        <v>43</v>
      </c>
      <c r="D159" s="32" t="s">
        <v>636</v>
      </c>
      <c r="E159" s="11" t="s">
        <v>9</v>
      </c>
    </row>
    <row r="160">
      <c r="B160" s="32" t="s">
        <v>2042</v>
      </c>
      <c r="C160" s="33" t="s">
        <v>16</v>
      </c>
      <c r="D160" s="32" t="s">
        <v>517</v>
      </c>
      <c r="E160" s="11" t="s">
        <v>13</v>
      </c>
    </row>
    <row r="161">
      <c r="B161" s="32" t="s">
        <v>2043</v>
      </c>
      <c r="C161" s="33" t="s">
        <v>64</v>
      </c>
      <c r="D161" s="32" t="s">
        <v>729</v>
      </c>
      <c r="E161" s="11" t="s">
        <v>9</v>
      </c>
    </row>
    <row r="162">
      <c r="B162" s="32" t="s">
        <v>2042</v>
      </c>
      <c r="C162" s="33" t="s">
        <v>217</v>
      </c>
      <c r="D162" s="32" t="s">
        <v>636</v>
      </c>
      <c r="E162" s="11" t="s">
        <v>13</v>
      </c>
    </row>
    <row r="163">
      <c r="B163" s="32" t="s">
        <v>2043</v>
      </c>
      <c r="C163" s="33" t="s">
        <v>43</v>
      </c>
      <c r="D163" s="32" t="s">
        <v>517</v>
      </c>
      <c r="E163" s="11" t="s">
        <v>9</v>
      </c>
    </row>
    <row r="164">
      <c r="B164" s="32" t="s">
        <v>729</v>
      </c>
      <c r="C164" s="33" t="s">
        <v>411</v>
      </c>
      <c r="D164" s="32" t="s">
        <v>636</v>
      </c>
      <c r="E164" s="11" t="s">
        <v>13</v>
      </c>
    </row>
    <row r="165">
      <c r="B165" s="32" t="s">
        <v>2043</v>
      </c>
      <c r="C165" s="33" t="s">
        <v>19</v>
      </c>
      <c r="D165" s="32" t="s">
        <v>2042</v>
      </c>
      <c r="E165" s="11" t="s">
        <v>9</v>
      </c>
    </row>
    <row r="166">
      <c r="B166" s="32" t="s">
        <v>729</v>
      </c>
      <c r="C166" s="33" t="s">
        <v>69</v>
      </c>
      <c r="D166" s="32" t="s">
        <v>517</v>
      </c>
      <c r="E166" s="11" t="s">
        <v>13</v>
      </c>
    </row>
    <row r="167">
      <c r="B167" s="32" t="s">
        <v>517</v>
      </c>
      <c r="C167" s="33" t="s">
        <v>19</v>
      </c>
      <c r="D167" s="32" t="s">
        <v>636</v>
      </c>
      <c r="E167" s="11" t="s">
        <v>9</v>
      </c>
    </row>
    <row r="168">
      <c r="B168" s="32" t="s">
        <v>729</v>
      </c>
      <c r="C168" s="33" t="s">
        <v>11</v>
      </c>
      <c r="D168" s="32" t="s">
        <v>2042</v>
      </c>
      <c r="E168" s="11" t="s">
        <v>13</v>
      </c>
    </row>
    <row r="169">
      <c r="B169" s="32" t="s">
        <v>636</v>
      </c>
      <c r="C169" s="35" t="s">
        <v>426</v>
      </c>
      <c r="D169" s="32" t="s">
        <v>2043</v>
      </c>
      <c r="E169" s="11" t="s">
        <v>9</v>
      </c>
    </row>
    <row r="170">
      <c r="B170" s="32" t="s">
        <v>517</v>
      </c>
      <c r="C170" s="35" t="s">
        <v>19</v>
      </c>
      <c r="D170" s="32" t="s">
        <v>2042</v>
      </c>
      <c r="E170" s="11" t="s">
        <v>13</v>
      </c>
    </row>
    <row r="171">
      <c r="B171" s="32" t="s">
        <v>729</v>
      </c>
      <c r="C171" s="35" t="s">
        <v>270</v>
      </c>
      <c r="D171" s="32" t="s">
        <v>2043</v>
      </c>
      <c r="E171" s="11" t="s">
        <v>9</v>
      </c>
    </row>
    <row r="172">
      <c r="B172" s="32" t="s">
        <v>636</v>
      </c>
      <c r="C172" s="35" t="s">
        <v>41</v>
      </c>
      <c r="D172" s="32" t="s">
        <v>2042</v>
      </c>
      <c r="E172" s="11" t="s">
        <v>13</v>
      </c>
    </row>
    <row r="173">
      <c r="B173" s="32" t="s">
        <v>517</v>
      </c>
      <c r="C173" s="35" t="s">
        <v>354</v>
      </c>
      <c r="D173" s="32" t="s">
        <v>2043</v>
      </c>
      <c r="E173" s="11" t="s">
        <v>9</v>
      </c>
    </row>
    <row r="174">
      <c r="B174" s="32" t="s">
        <v>636</v>
      </c>
      <c r="C174" s="35" t="s">
        <v>251</v>
      </c>
      <c r="D174" s="32" t="s">
        <v>729</v>
      </c>
      <c r="E174" s="11" t="s">
        <v>13</v>
      </c>
    </row>
    <row r="175">
      <c r="B175" s="32" t="s">
        <v>2042</v>
      </c>
      <c r="C175" s="35" t="s">
        <v>42</v>
      </c>
      <c r="D175" s="32" t="s">
        <v>2043</v>
      </c>
      <c r="E175" s="11" t="s">
        <v>9</v>
      </c>
    </row>
    <row r="176">
      <c r="B176" s="32" t="s">
        <v>517</v>
      </c>
      <c r="C176" s="35" t="s">
        <v>87</v>
      </c>
      <c r="D176" s="32" t="s">
        <v>729</v>
      </c>
      <c r="E176" s="11" t="s">
        <v>13</v>
      </c>
    </row>
    <row r="177">
      <c r="B177" s="1" t="s">
        <v>112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B179" s="32" t="s">
        <v>2044</v>
      </c>
      <c r="C179" s="35" t="s">
        <v>239</v>
      </c>
      <c r="D179" s="32" t="s">
        <v>1350</v>
      </c>
      <c r="E179" s="11" t="s">
        <v>33</v>
      </c>
    </row>
    <row r="180">
      <c r="B180" s="32" t="s">
        <v>2045</v>
      </c>
      <c r="C180" s="35" t="s">
        <v>25</v>
      </c>
      <c r="D180" s="32" t="s">
        <v>2046</v>
      </c>
      <c r="E180" s="11" t="s">
        <v>37</v>
      </c>
    </row>
    <row r="181">
      <c r="B181" s="32" t="s">
        <v>918</v>
      </c>
      <c r="C181" s="35" t="s">
        <v>1013</v>
      </c>
      <c r="D181" s="32" t="s">
        <v>2044</v>
      </c>
      <c r="E181" s="11" t="s">
        <v>33</v>
      </c>
    </row>
    <row r="182">
      <c r="B182" s="32" t="s">
        <v>2045</v>
      </c>
      <c r="C182" s="35" t="s">
        <v>62</v>
      </c>
      <c r="D182" s="32" t="s">
        <v>1350</v>
      </c>
      <c r="E182" s="11" t="s">
        <v>37</v>
      </c>
    </row>
    <row r="183">
      <c r="B183" s="32" t="s">
        <v>918</v>
      </c>
      <c r="C183" s="35" t="s">
        <v>297</v>
      </c>
      <c r="D183" s="32" t="s">
        <v>2046</v>
      </c>
      <c r="E183" s="11" t="s">
        <v>33</v>
      </c>
    </row>
    <row r="184">
      <c r="B184" s="32" t="s">
        <v>2045</v>
      </c>
      <c r="C184" s="35" t="s">
        <v>190</v>
      </c>
      <c r="D184" s="32" t="s">
        <v>2044</v>
      </c>
      <c r="E184" s="11" t="s">
        <v>37</v>
      </c>
    </row>
    <row r="185">
      <c r="B185" s="32" t="s">
        <v>918</v>
      </c>
      <c r="C185" s="35" t="s">
        <v>212</v>
      </c>
      <c r="D185" s="32" t="s">
        <v>1350</v>
      </c>
      <c r="E185" s="11" t="s">
        <v>33</v>
      </c>
    </row>
    <row r="186">
      <c r="B186" s="32" t="s">
        <v>2046</v>
      </c>
      <c r="C186" s="35" t="s">
        <v>42</v>
      </c>
      <c r="D186" s="32" t="s">
        <v>2044</v>
      </c>
      <c r="E186" s="11" t="s">
        <v>37</v>
      </c>
    </row>
    <row r="187">
      <c r="B187" s="32" t="s">
        <v>918</v>
      </c>
      <c r="C187" s="35" t="s">
        <v>24</v>
      </c>
      <c r="D187" s="32" t="s">
        <v>2045</v>
      </c>
      <c r="E187" s="11" t="s">
        <v>33</v>
      </c>
    </row>
    <row r="188">
      <c r="B188" s="32" t="s">
        <v>2046</v>
      </c>
      <c r="C188" s="35" t="s">
        <v>212</v>
      </c>
      <c r="D188" s="32" t="s">
        <v>1350</v>
      </c>
      <c r="E188" s="11" t="s">
        <v>37</v>
      </c>
    </row>
    <row r="189">
      <c r="B189" s="32" t="s">
        <v>1350</v>
      </c>
      <c r="C189" s="35" t="s">
        <v>259</v>
      </c>
      <c r="D189" s="32" t="s">
        <v>2044</v>
      </c>
      <c r="E189" s="11" t="s">
        <v>33</v>
      </c>
    </row>
    <row r="190">
      <c r="B190" s="32" t="s">
        <v>2046</v>
      </c>
      <c r="C190" s="35" t="s">
        <v>62</v>
      </c>
      <c r="D190" s="32" t="s">
        <v>2045</v>
      </c>
      <c r="E190" s="11" t="s">
        <v>37</v>
      </c>
    </row>
    <row r="191">
      <c r="B191" s="32" t="s">
        <v>2044</v>
      </c>
      <c r="C191" s="35" t="s">
        <v>196</v>
      </c>
      <c r="D191" s="32" t="s">
        <v>918</v>
      </c>
      <c r="E191" s="11" t="s">
        <v>33</v>
      </c>
    </row>
    <row r="192">
      <c r="B192" s="32" t="s">
        <v>1350</v>
      </c>
      <c r="C192" s="35" t="s">
        <v>19</v>
      </c>
      <c r="D192" s="32" t="s">
        <v>2045</v>
      </c>
      <c r="E192" s="11" t="s">
        <v>37</v>
      </c>
    </row>
    <row r="193">
      <c r="B193" s="32" t="s">
        <v>2046</v>
      </c>
      <c r="C193" s="35" t="s">
        <v>43</v>
      </c>
      <c r="D193" s="32" t="s">
        <v>918</v>
      </c>
      <c r="E193" s="11" t="s">
        <v>33</v>
      </c>
    </row>
    <row r="194">
      <c r="B194" s="32" t="s">
        <v>2044</v>
      </c>
      <c r="C194" s="35" t="s">
        <v>270</v>
      </c>
      <c r="D194" s="32" t="s">
        <v>2045</v>
      </c>
      <c r="E194" s="11" t="s">
        <v>37</v>
      </c>
    </row>
    <row r="195">
      <c r="B195" s="32" t="s">
        <v>1350</v>
      </c>
      <c r="C195" s="35" t="s">
        <v>404</v>
      </c>
      <c r="D195" s="32" t="s">
        <v>918</v>
      </c>
      <c r="E195" s="11" t="s">
        <v>33</v>
      </c>
    </row>
    <row r="196">
      <c r="B196" s="32" t="s">
        <v>2044</v>
      </c>
      <c r="C196" s="35" t="s">
        <v>276</v>
      </c>
      <c r="D196" s="32" t="s">
        <v>2046</v>
      </c>
      <c r="E196" s="11" t="s">
        <v>37</v>
      </c>
    </row>
    <row r="197">
      <c r="B197" s="32" t="s">
        <v>2045</v>
      </c>
      <c r="C197" s="35" t="s">
        <v>81</v>
      </c>
      <c r="D197" s="32" t="s">
        <v>918</v>
      </c>
      <c r="E197" s="11" t="s">
        <v>33</v>
      </c>
    </row>
    <row r="198">
      <c r="B198" s="32" t="s">
        <v>1350</v>
      </c>
      <c r="C198" s="35" t="s">
        <v>2047</v>
      </c>
      <c r="D198" s="32" t="s">
        <v>2046</v>
      </c>
      <c r="E198" s="11" t="s">
        <v>37</v>
      </c>
    </row>
    <row r="199">
      <c r="B199" s="1" t="s">
        <v>1429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B201" s="32" t="s">
        <v>2048</v>
      </c>
      <c r="C201" s="35" t="s">
        <v>201</v>
      </c>
      <c r="D201" s="32" t="s">
        <v>1505</v>
      </c>
      <c r="E201" s="11" t="s">
        <v>33</v>
      </c>
    </row>
    <row r="202">
      <c r="B202" s="32" t="s">
        <v>2049</v>
      </c>
      <c r="C202" s="35" t="s">
        <v>190</v>
      </c>
      <c r="D202" s="32" t="s">
        <v>2050</v>
      </c>
      <c r="E202" s="11" t="s">
        <v>37</v>
      </c>
    </row>
    <row r="203">
      <c r="B203" s="32" t="s">
        <v>57</v>
      </c>
      <c r="C203" s="35" t="s">
        <v>72</v>
      </c>
      <c r="D203" s="32" t="s">
        <v>2048</v>
      </c>
      <c r="E203" s="11" t="s">
        <v>33</v>
      </c>
    </row>
    <row r="204">
      <c r="B204" s="32" t="s">
        <v>2049</v>
      </c>
      <c r="C204" s="35" t="s">
        <v>47</v>
      </c>
      <c r="D204" s="32" t="s">
        <v>1505</v>
      </c>
      <c r="E204" s="11" t="s">
        <v>37</v>
      </c>
    </row>
    <row r="205">
      <c r="B205" s="32" t="s">
        <v>57</v>
      </c>
      <c r="C205" s="35" t="s">
        <v>273</v>
      </c>
      <c r="D205" s="32" t="s">
        <v>2050</v>
      </c>
      <c r="E205" s="11" t="s">
        <v>33</v>
      </c>
    </row>
    <row r="206">
      <c r="B206" s="32" t="s">
        <v>2049</v>
      </c>
      <c r="C206" s="35" t="s">
        <v>238</v>
      </c>
      <c r="D206" s="32" t="s">
        <v>2048</v>
      </c>
      <c r="E206" s="11" t="s">
        <v>37</v>
      </c>
    </row>
    <row r="207">
      <c r="B207" s="32" t="s">
        <v>57</v>
      </c>
      <c r="C207" s="35" t="s">
        <v>239</v>
      </c>
      <c r="D207" s="32" t="s">
        <v>1505</v>
      </c>
      <c r="E207" s="11" t="s">
        <v>33</v>
      </c>
    </row>
    <row r="208">
      <c r="B208" s="32" t="s">
        <v>2050</v>
      </c>
      <c r="C208" s="35" t="s">
        <v>699</v>
      </c>
      <c r="D208" s="32" t="s">
        <v>2048</v>
      </c>
      <c r="E208" s="11" t="s">
        <v>37</v>
      </c>
    </row>
    <row r="209">
      <c r="B209" s="32" t="s">
        <v>57</v>
      </c>
      <c r="C209" s="35" t="s">
        <v>88</v>
      </c>
      <c r="D209" s="32" t="s">
        <v>2049</v>
      </c>
      <c r="E209" s="11" t="s">
        <v>33</v>
      </c>
    </row>
    <row r="210">
      <c r="B210" s="32" t="s">
        <v>2050</v>
      </c>
      <c r="C210" s="35" t="s">
        <v>466</v>
      </c>
      <c r="D210" s="32" t="s">
        <v>1505</v>
      </c>
      <c r="E210" s="11" t="s">
        <v>37</v>
      </c>
    </row>
    <row r="211">
      <c r="B211" s="32" t="s">
        <v>1505</v>
      </c>
      <c r="C211" s="35" t="s">
        <v>285</v>
      </c>
      <c r="D211" s="32" t="s">
        <v>2048</v>
      </c>
      <c r="E211" s="11" t="s">
        <v>33</v>
      </c>
    </row>
    <row r="212">
      <c r="B212" s="32" t="s">
        <v>2050</v>
      </c>
      <c r="C212" s="35" t="s">
        <v>857</v>
      </c>
      <c r="D212" s="32" t="s">
        <v>2049</v>
      </c>
      <c r="E212" s="11" t="s">
        <v>37</v>
      </c>
    </row>
    <row r="213">
      <c r="B213" s="32" t="s">
        <v>2048</v>
      </c>
      <c r="C213" s="35" t="s">
        <v>71</v>
      </c>
      <c r="D213" s="32" t="s">
        <v>57</v>
      </c>
      <c r="E213" s="11" t="s">
        <v>33</v>
      </c>
    </row>
    <row r="214">
      <c r="B214" s="32" t="s">
        <v>1505</v>
      </c>
      <c r="C214" s="35" t="s">
        <v>836</v>
      </c>
      <c r="D214" s="32" t="s">
        <v>2049</v>
      </c>
      <c r="E214" s="11" t="s">
        <v>37</v>
      </c>
    </row>
    <row r="215">
      <c r="B215" s="32" t="s">
        <v>2050</v>
      </c>
      <c r="C215" s="35" t="s">
        <v>2051</v>
      </c>
      <c r="D215" s="32" t="s">
        <v>57</v>
      </c>
      <c r="E215" s="11" t="s">
        <v>33</v>
      </c>
    </row>
    <row r="216">
      <c r="B216" s="32" t="s">
        <v>2048</v>
      </c>
      <c r="C216" s="35" t="s">
        <v>194</v>
      </c>
      <c r="D216" s="32" t="s">
        <v>2049</v>
      </c>
      <c r="E216" s="11" t="s">
        <v>37</v>
      </c>
    </row>
    <row r="217">
      <c r="B217" s="32" t="s">
        <v>1505</v>
      </c>
      <c r="C217" s="35" t="s">
        <v>71</v>
      </c>
      <c r="D217" s="32" t="s">
        <v>57</v>
      </c>
      <c r="E217" s="11" t="s">
        <v>33</v>
      </c>
    </row>
    <row r="218">
      <c r="B218" s="32" t="s">
        <v>2048</v>
      </c>
      <c r="C218" s="35" t="s">
        <v>87</v>
      </c>
      <c r="D218" s="32" t="s">
        <v>2050</v>
      </c>
      <c r="E218" s="11" t="s">
        <v>37</v>
      </c>
    </row>
    <row r="219">
      <c r="B219" s="32" t="s">
        <v>2049</v>
      </c>
      <c r="C219" s="35" t="s">
        <v>285</v>
      </c>
      <c r="D219" s="32" t="s">
        <v>57</v>
      </c>
      <c r="E219" s="11" t="s">
        <v>33</v>
      </c>
    </row>
    <row r="220">
      <c r="B220" s="32" t="s">
        <v>1505</v>
      </c>
      <c r="C220" s="35" t="s">
        <v>285</v>
      </c>
      <c r="D220" s="32" t="s">
        <v>2050</v>
      </c>
      <c r="E220" s="11" t="s">
        <v>37</v>
      </c>
    </row>
    <row r="221">
      <c r="B221" s="28" t="s">
        <v>1435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34" t="s">
        <v>515</v>
      </c>
      <c r="C223" s="33" t="s">
        <v>196</v>
      </c>
      <c r="D223" s="34" t="s">
        <v>1734</v>
      </c>
      <c r="E223" s="11" t="s">
        <v>9</v>
      </c>
    </row>
    <row r="224">
      <c r="B224" s="34" t="s">
        <v>2052</v>
      </c>
      <c r="C224" s="33" t="s">
        <v>78</v>
      </c>
      <c r="D224" s="34" t="s">
        <v>1847</v>
      </c>
      <c r="E224" s="11" t="s">
        <v>13</v>
      </c>
    </row>
    <row r="225">
      <c r="B225" s="34" t="s">
        <v>2053</v>
      </c>
      <c r="C225" s="33" t="s">
        <v>212</v>
      </c>
      <c r="D225" s="34" t="s">
        <v>515</v>
      </c>
      <c r="E225" s="11" t="s">
        <v>9</v>
      </c>
    </row>
    <row r="226">
      <c r="B226" s="34" t="s">
        <v>2052</v>
      </c>
      <c r="C226" s="33" t="s">
        <v>218</v>
      </c>
      <c r="D226" s="34" t="s">
        <v>1734</v>
      </c>
      <c r="E226" s="11" t="s">
        <v>13</v>
      </c>
    </row>
    <row r="227">
      <c r="B227" s="34" t="s">
        <v>2053</v>
      </c>
      <c r="C227" s="33" t="s">
        <v>251</v>
      </c>
      <c r="D227" s="34" t="s">
        <v>1847</v>
      </c>
      <c r="E227" s="11" t="s">
        <v>9</v>
      </c>
    </row>
    <row r="228">
      <c r="B228" s="34" t="s">
        <v>2052</v>
      </c>
      <c r="C228" s="33" t="s">
        <v>319</v>
      </c>
      <c r="D228" s="34" t="s">
        <v>515</v>
      </c>
      <c r="E228" s="11" t="s">
        <v>2054</v>
      </c>
    </row>
    <row r="229">
      <c r="B229" s="34" t="s">
        <v>2053</v>
      </c>
      <c r="C229" s="33" t="s">
        <v>43</v>
      </c>
      <c r="D229" s="34" t="s">
        <v>1734</v>
      </c>
      <c r="E229" s="11" t="s">
        <v>9</v>
      </c>
    </row>
    <row r="230">
      <c r="B230" s="34" t="s">
        <v>1847</v>
      </c>
      <c r="C230" s="33" t="s">
        <v>25</v>
      </c>
      <c r="D230" s="34" t="s">
        <v>515</v>
      </c>
      <c r="E230" s="11" t="s">
        <v>13</v>
      </c>
    </row>
    <row r="231">
      <c r="B231" s="34" t="s">
        <v>2053</v>
      </c>
      <c r="C231" s="33" t="s">
        <v>190</v>
      </c>
      <c r="D231" s="34" t="s">
        <v>2052</v>
      </c>
      <c r="E231" s="11" t="s">
        <v>9</v>
      </c>
    </row>
    <row r="232">
      <c r="B232" s="34" t="s">
        <v>1847</v>
      </c>
      <c r="C232" s="33" t="s">
        <v>949</v>
      </c>
      <c r="D232" s="34" t="s">
        <v>1734</v>
      </c>
      <c r="E232" s="11" t="s">
        <v>13</v>
      </c>
    </row>
    <row r="233">
      <c r="B233" s="34" t="s">
        <v>1734</v>
      </c>
      <c r="C233" s="33" t="s">
        <v>465</v>
      </c>
      <c r="D233" s="34" t="s">
        <v>515</v>
      </c>
      <c r="E233" s="11" t="s">
        <v>9</v>
      </c>
    </row>
    <row r="234">
      <c r="B234" s="34" t="s">
        <v>1847</v>
      </c>
      <c r="C234" s="33" t="s">
        <v>196</v>
      </c>
      <c r="D234" s="34" t="s">
        <v>2052</v>
      </c>
      <c r="E234" s="11" t="s">
        <v>13</v>
      </c>
    </row>
    <row r="235">
      <c r="B235" s="34" t="s">
        <v>515</v>
      </c>
      <c r="C235" s="35" t="s">
        <v>43</v>
      </c>
      <c r="D235" s="34" t="s">
        <v>2053</v>
      </c>
      <c r="E235" s="11" t="s">
        <v>9</v>
      </c>
    </row>
    <row r="236">
      <c r="B236" s="34" t="s">
        <v>1734</v>
      </c>
      <c r="C236" s="35" t="s">
        <v>389</v>
      </c>
      <c r="D236" s="34" t="s">
        <v>2052</v>
      </c>
      <c r="E236" s="11" t="s">
        <v>13</v>
      </c>
    </row>
    <row r="237">
      <c r="B237" s="34" t="s">
        <v>1847</v>
      </c>
      <c r="C237" s="35" t="s">
        <v>43</v>
      </c>
      <c r="D237" s="34" t="s">
        <v>2053</v>
      </c>
      <c r="E237" s="11" t="s">
        <v>9</v>
      </c>
    </row>
    <row r="238">
      <c r="B238" s="34" t="s">
        <v>515</v>
      </c>
      <c r="C238" s="35" t="s">
        <v>317</v>
      </c>
      <c r="D238" s="34" t="s">
        <v>2052</v>
      </c>
      <c r="E238" s="11" t="s">
        <v>13</v>
      </c>
    </row>
    <row r="239">
      <c r="B239" s="34" t="s">
        <v>1734</v>
      </c>
      <c r="C239" s="35" t="s">
        <v>11</v>
      </c>
      <c r="D239" s="34" t="s">
        <v>2053</v>
      </c>
      <c r="E239" s="11" t="s">
        <v>9</v>
      </c>
    </row>
    <row r="240">
      <c r="B240" s="34" t="s">
        <v>515</v>
      </c>
      <c r="C240" s="35" t="s">
        <v>842</v>
      </c>
      <c r="D240" s="34" t="s">
        <v>1847</v>
      </c>
      <c r="E240" s="11" t="s">
        <v>13</v>
      </c>
    </row>
    <row r="241">
      <c r="B241" s="34" t="s">
        <v>2052</v>
      </c>
      <c r="C241" s="35" t="s">
        <v>446</v>
      </c>
      <c r="D241" s="34" t="s">
        <v>2053</v>
      </c>
      <c r="E241" s="11" t="s">
        <v>9</v>
      </c>
    </row>
    <row r="242">
      <c r="B242" s="34" t="s">
        <v>1734</v>
      </c>
      <c r="C242" s="35" t="s">
        <v>218</v>
      </c>
      <c r="D242" s="34" t="s">
        <v>1847</v>
      </c>
      <c r="E242" s="11" t="s">
        <v>13</v>
      </c>
    </row>
    <row r="243">
      <c r="B243" s="28" t="s">
        <v>2055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34" t="s">
        <v>2056</v>
      </c>
      <c r="C245" s="35" t="s">
        <v>217</v>
      </c>
      <c r="D245" s="34" t="s">
        <v>2057</v>
      </c>
      <c r="E245" s="11" t="s">
        <v>9</v>
      </c>
    </row>
    <row r="246">
      <c r="B246" s="34" t="s">
        <v>2058</v>
      </c>
      <c r="C246" s="35" t="s">
        <v>295</v>
      </c>
      <c r="D246" s="34" t="s">
        <v>2059</v>
      </c>
      <c r="E246" s="11" t="s">
        <v>13</v>
      </c>
    </row>
    <row r="247">
      <c r="B247" s="34" t="s">
        <v>2060</v>
      </c>
      <c r="C247" s="35" t="s">
        <v>267</v>
      </c>
      <c r="D247" s="34" t="s">
        <v>2056</v>
      </c>
      <c r="E247" s="11" t="s">
        <v>9</v>
      </c>
    </row>
    <row r="248">
      <c r="B248" s="34" t="s">
        <v>2058</v>
      </c>
      <c r="C248" s="35" t="s">
        <v>533</v>
      </c>
      <c r="D248" s="34" t="s">
        <v>2057</v>
      </c>
      <c r="E248" s="11" t="s">
        <v>13</v>
      </c>
    </row>
    <row r="249">
      <c r="B249" s="34" t="s">
        <v>2060</v>
      </c>
      <c r="C249" s="35" t="s">
        <v>1618</v>
      </c>
      <c r="D249" s="34" t="s">
        <v>2059</v>
      </c>
      <c r="E249" s="11" t="s">
        <v>9</v>
      </c>
    </row>
    <row r="250">
      <c r="B250" s="34" t="s">
        <v>2058</v>
      </c>
      <c r="C250" s="35" t="s">
        <v>212</v>
      </c>
      <c r="D250" s="34" t="s">
        <v>2056</v>
      </c>
      <c r="E250" s="11" t="s">
        <v>13</v>
      </c>
    </row>
    <row r="251">
      <c r="B251" s="34" t="s">
        <v>2060</v>
      </c>
      <c r="C251" s="35" t="s">
        <v>443</v>
      </c>
      <c r="D251" s="34" t="s">
        <v>2057</v>
      </c>
      <c r="E251" s="11" t="s">
        <v>9</v>
      </c>
    </row>
    <row r="252">
      <c r="B252" s="34" t="s">
        <v>2059</v>
      </c>
      <c r="C252" s="35" t="s">
        <v>48</v>
      </c>
      <c r="D252" s="34" t="s">
        <v>2056</v>
      </c>
      <c r="E252" s="11" t="s">
        <v>13</v>
      </c>
    </row>
    <row r="253">
      <c r="B253" s="34" t="s">
        <v>2060</v>
      </c>
      <c r="C253" s="35" t="s">
        <v>17</v>
      </c>
      <c r="D253" s="34" t="s">
        <v>2058</v>
      </c>
      <c r="E253" s="11" t="s">
        <v>9</v>
      </c>
    </row>
    <row r="254">
      <c r="B254" s="34" t="s">
        <v>2059</v>
      </c>
      <c r="C254" s="35" t="s">
        <v>195</v>
      </c>
      <c r="D254" s="34" t="s">
        <v>2057</v>
      </c>
      <c r="E254" s="11" t="s">
        <v>13</v>
      </c>
    </row>
    <row r="255">
      <c r="B255" s="34" t="s">
        <v>2057</v>
      </c>
      <c r="C255" s="35" t="s">
        <v>338</v>
      </c>
      <c r="D255" s="34" t="s">
        <v>2056</v>
      </c>
      <c r="E255" s="11" t="s">
        <v>9</v>
      </c>
    </row>
    <row r="256">
      <c r="B256" s="34" t="s">
        <v>2059</v>
      </c>
      <c r="C256" s="35" t="s">
        <v>64</v>
      </c>
      <c r="D256" s="34" t="s">
        <v>2058</v>
      </c>
      <c r="E256" s="11" t="s">
        <v>13</v>
      </c>
    </row>
    <row r="257">
      <c r="B257" s="34" t="s">
        <v>2056</v>
      </c>
      <c r="C257" s="35" t="s">
        <v>66</v>
      </c>
      <c r="D257" s="34" t="s">
        <v>2060</v>
      </c>
      <c r="E257" s="11" t="s">
        <v>9</v>
      </c>
    </row>
    <row r="258">
      <c r="B258" s="34" t="s">
        <v>2057</v>
      </c>
      <c r="C258" s="35" t="s">
        <v>19</v>
      </c>
      <c r="D258" s="34" t="s">
        <v>2058</v>
      </c>
      <c r="E258" s="11" t="s">
        <v>13</v>
      </c>
    </row>
    <row r="259">
      <c r="B259" s="34" t="s">
        <v>2059</v>
      </c>
      <c r="C259" s="35" t="s">
        <v>425</v>
      </c>
      <c r="D259" s="34" t="s">
        <v>2060</v>
      </c>
      <c r="E259" s="11" t="s">
        <v>9</v>
      </c>
    </row>
    <row r="260">
      <c r="B260" s="34" t="s">
        <v>2056</v>
      </c>
      <c r="C260" s="35" t="s">
        <v>340</v>
      </c>
      <c r="D260" s="34" t="s">
        <v>2058</v>
      </c>
      <c r="E260" s="11" t="s">
        <v>13</v>
      </c>
    </row>
    <row r="261">
      <c r="B261" s="34" t="s">
        <v>2057</v>
      </c>
      <c r="C261" s="35" t="s">
        <v>509</v>
      </c>
      <c r="D261" s="34" t="s">
        <v>2060</v>
      </c>
      <c r="E261" s="11" t="s">
        <v>9</v>
      </c>
    </row>
    <row r="262">
      <c r="B262" s="34" t="s">
        <v>2056</v>
      </c>
      <c r="C262" s="35" t="s">
        <v>193</v>
      </c>
      <c r="D262" s="34" t="s">
        <v>2059</v>
      </c>
      <c r="E262" s="11" t="s">
        <v>13</v>
      </c>
    </row>
    <row r="263">
      <c r="B263" s="34" t="s">
        <v>2058</v>
      </c>
      <c r="C263" s="35" t="s">
        <v>190</v>
      </c>
      <c r="D263" s="34" t="s">
        <v>2060</v>
      </c>
      <c r="E263" s="11" t="s">
        <v>9</v>
      </c>
    </row>
    <row r="264">
      <c r="B264" s="34" t="s">
        <v>2057</v>
      </c>
      <c r="C264" s="35" t="s">
        <v>545</v>
      </c>
      <c r="D264" s="34" t="s">
        <v>2059</v>
      </c>
      <c r="E264" s="11" t="s">
        <v>13</v>
      </c>
    </row>
    <row r="265">
      <c r="B265" s="28" t="s">
        <v>134</v>
      </c>
      <c r="C265" s="2"/>
      <c r="D265" s="3"/>
      <c r="E265" s="2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34" t="s">
        <v>1367</v>
      </c>
      <c r="C267" s="35" t="s">
        <v>357</v>
      </c>
      <c r="D267" s="34" t="s">
        <v>2061</v>
      </c>
      <c r="E267" s="11" t="s">
        <v>33</v>
      </c>
    </row>
    <row r="268">
      <c r="B268" s="34" t="s">
        <v>2062</v>
      </c>
      <c r="C268" s="35" t="s">
        <v>354</v>
      </c>
      <c r="D268" s="34" t="s">
        <v>2063</v>
      </c>
      <c r="E268" s="11" t="s">
        <v>37</v>
      </c>
    </row>
    <row r="269">
      <c r="B269" s="34" t="s">
        <v>2064</v>
      </c>
      <c r="C269" s="35" t="s">
        <v>66</v>
      </c>
      <c r="D269" s="34" t="s">
        <v>1367</v>
      </c>
      <c r="E269" s="11" t="s">
        <v>33</v>
      </c>
    </row>
    <row r="270">
      <c r="B270" s="34" t="s">
        <v>2062</v>
      </c>
      <c r="C270" s="35" t="s">
        <v>218</v>
      </c>
      <c r="D270" s="34" t="s">
        <v>2061</v>
      </c>
      <c r="E270" s="11" t="s">
        <v>37</v>
      </c>
    </row>
    <row r="271">
      <c r="B271" s="34" t="s">
        <v>2064</v>
      </c>
      <c r="C271" s="35" t="s">
        <v>212</v>
      </c>
      <c r="D271" s="34" t="s">
        <v>2063</v>
      </c>
      <c r="E271" s="11" t="s">
        <v>33</v>
      </c>
    </row>
    <row r="272">
      <c r="B272" s="34" t="s">
        <v>2062</v>
      </c>
      <c r="C272" s="35" t="s">
        <v>41</v>
      </c>
      <c r="D272" s="34" t="s">
        <v>1367</v>
      </c>
      <c r="E272" s="11" t="s">
        <v>37</v>
      </c>
    </row>
    <row r="273">
      <c r="B273" s="34" t="s">
        <v>2064</v>
      </c>
      <c r="C273" s="35" t="s">
        <v>68</v>
      </c>
      <c r="D273" s="34" t="s">
        <v>2061</v>
      </c>
      <c r="E273" s="11" t="s">
        <v>33</v>
      </c>
      <c r="I273" s="36"/>
    </row>
    <row r="274">
      <c r="B274" s="34" t="s">
        <v>2063</v>
      </c>
      <c r="C274" s="35" t="s">
        <v>2065</v>
      </c>
      <c r="D274" s="34" t="s">
        <v>1367</v>
      </c>
      <c r="E274" s="11" t="s">
        <v>37</v>
      </c>
    </row>
    <row r="275">
      <c r="B275" s="34" t="s">
        <v>2064</v>
      </c>
      <c r="C275" s="35" t="s">
        <v>239</v>
      </c>
      <c r="D275" s="34" t="s">
        <v>2062</v>
      </c>
      <c r="E275" s="11" t="s">
        <v>33</v>
      </c>
    </row>
    <row r="276">
      <c r="B276" s="34" t="s">
        <v>2063</v>
      </c>
      <c r="C276" s="35" t="s">
        <v>16</v>
      </c>
      <c r="D276" s="34" t="s">
        <v>2061</v>
      </c>
      <c r="E276" s="11" t="s">
        <v>37</v>
      </c>
    </row>
    <row r="277">
      <c r="B277" s="34" t="s">
        <v>2061</v>
      </c>
      <c r="C277" s="35" t="s">
        <v>197</v>
      </c>
      <c r="D277" s="34" t="s">
        <v>1367</v>
      </c>
      <c r="E277" s="11" t="s">
        <v>33</v>
      </c>
    </row>
    <row r="278">
      <c r="B278" s="34" t="s">
        <v>2063</v>
      </c>
      <c r="C278" s="35" t="s">
        <v>239</v>
      </c>
      <c r="D278" s="34" t="s">
        <v>2062</v>
      </c>
      <c r="E278" s="11" t="s">
        <v>37</v>
      </c>
    </row>
    <row r="279">
      <c r="B279" s="34" t="s">
        <v>1367</v>
      </c>
      <c r="C279" s="35" t="s">
        <v>319</v>
      </c>
      <c r="D279" s="34" t="s">
        <v>2064</v>
      </c>
      <c r="E279" s="11" t="s">
        <v>33</v>
      </c>
    </row>
    <row r="280">
      <c r="B280" s="34" t="s">
        <v>2061</v>
      </c>
      <c r="C280" s="35" t="s">
        <v>286</v>
      </c>
      <c r="D280" s="34" t="s">
        <v>2062</v>
      </c>
      <c r="E280" s="11" t="s">
        <v>37</v>
      </c>
    </row>
    <row r="281">
      <c r="B281" s="34" t="s">
        <v>2063</v>
      </c>
      <c r="C281" s="35" t="s">
        <v>69</v>
      </c>
      <c r="D281" s="34" t="s">
        <v>2064</v>
      </c>
      <c r="E281" s="11" t="s">
        <v>33</v>
      </c>
    </row>
    <row r="282">
      <c r="B282" s="34" t="s">
        <v>1367</v>
      </c>
      <c r="C282" s="35" t="s">
        <v>289</v>
      </c>
      <c r="D282" s="34" t="s">
        <v>2062</v>
      </c>
      <c r="E282" s="11" t="s">
        <v>37</v>
      </c>
      <c r="F282" s="36" t="s">
        <v>242</v>
      </c>
    </row>
    <row r="283">
      <c r="B283" s="34" t="s">
        <v>2061</v>
      </c>
      <c r="C283" s="35" t="s">
        <v>19</v>
      </c>
      <c r="D283" s="34" t="s">
        <v>2064</v>
      </c>
      <c r="E283" s="11" t="s">
        <v>33</v>
      </c>
    </row>
    <row r="284">
      <c r="B284" s="34" t="s">
        <v>1367</v>
      </c>
      <c r="C284" s="35" t="s">
        <v>201</v>
      </c>
      <c r="D284" s="34" t="s">
        <v>2063</v>
      </c>
      <c r="E284" s="11" t="s">
        <v>37</v>
      </c>
    </row>
    <row r="285">
      <c r="B285" s="34" t="s">
        <v>2062</v>
      </c>
      <c r="C285" s="35" t="s">
        <v>17</v>
      </c>
      <c r="D285" s="34" t="s">
        <v>2064</v>
      </c>
      <c r="E285" s="11" t="s">
        <v>33</v>
      </c>
    </row>
    <row r="286">
      <c r="B286" s="34" t="s">
        <v>2061</v>
      </c>
      <c r="C286" s="35" t="s">
        <v>14</v>
      </c>
      <c r="D286" s="34" t="s">
        <v>2063</v>
      </c>
      <c r="E286" s="11" t="s">
        <v>37</v>
      </c>
    </row>
    <row r="287">
      <c r="B287" s="28" t="s">
        <v>2066</v>
      </c>
      <c r="C287" s="2"/>
      <c r="D287" s="3"/>
      <c r="E287" s="2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34" t="s">
        <v>760</v>
      </c>
      <c r="C289" s="35" t="s">
        <v>194</v>
      </c>
      <c r="D289" s="34" t="s">
        <v>920</v>
      </c>
      <c r="E289" s="11" t="s">
        <v>33</v>
      </c>
    </row>
    <row r="290">
      <c r="B290" s="34" t="s">
        <v>560</v>
      </c>
      <c r="C290" s="35" t="s">
        <v>14</v>
      </c>
      <c r="D290" s="34" t="s">
        <v>2067</v>
      </c>
      <c r="E290" s="11" t="s">
        <v>37</v>
      </c>
    </row>
    <row r="291">
      <c r="B291" s="34" t="s">
        <v>2068</v>
      </c>
      <c r="C291" s="35" t="s">
        <v>27</v>
      </c>
      <c r="D291" s="34" t="s">
        <v>760</v>
      </c>
      <c r="E291" s="11" t="s">
        <v>33</v>
      </c>
      <c r="I291" s="36"/>
    </row>
    <row r="292">
      <c r="B292" s="34" t="s">
        <v>560</v>
      </c>
      <c r="C292" s="35" t="s">
        <v>286</v>
      </c>
      <c r="D292" s="34" t="s">
        <v>920</v>
      </c>
      <c r="E292" s="11" t="s">
        <v>37</v>
      </c>
    </row>
    <row r="293">
      <c r="B293" s="34" t="s">
        <v>2068</v>
      </c>
      <c r="C293" s="35" t="s">
        <v>190</v>
      </c>
      <c r="D293" s="34" t="s">
        <v>2067</v>
      </c>
      <c r="E293" s="11" t="s">
        <v>33</v>
      </c>
    </row>
    <row r="294">
      <c r="B294" s="34" t="s">
        <v>560</v>
      </c>
      <c r="C294" s="35" t="s">
        <v>17</v>
      </c>
      <c r="D294" s="34" t="s">
        <v>760</v>
      </c>
      <c r="E294" s="11" t="s">
        <v>37</v>
      </c>
    </row>
    <row r="295">
      <c r="B295" s="34" t="s">
        <v>2068</v>
      </c>
      <c r="C295" s="35" t="s">
        <v>43</v>
      </c>
      <c r="D295" s="34" t="s">
        <v>920</v>
      </c>
      <c r="E295" s="11" t="s">
        <v>33</v>
      </c>
    </row>
    <row r="296">
      <c r="B296" s="34" t="s">
        <v>2067</v>
      </c>
      <c r="C296" s="35" t="s">
        <v>195</v>
      </c>
      <c r="D296" s="34" t="s">
        <v>760</v>
      </c>
      <c r="E296" s="11" t="s">
        <v>37</v>
      </c>
    </row>
    <row r="297">
      <c r="B297" s="34" t="s">
        <v>2068</v>
      </c>
      <c r="C297" s="35" t="s">
        <v>31</v>
      </c>
      <c r="D297" s="34" t="s">
        <v>560</v>
      </c>
      <c r="E297" s="11" t="s">
        <v>33</v>
      </c>
    </row>
    <row r="298">
      <c r="B298" s="34" t="s">
        <v>2067</v>
      </c>
      <c r="C298" s="35" t="s">
        <v>274</v>
      </c>
      <c r="D298" s="34" t="s">
        <v>920</v>
      </c>
      <c r="E298" s="11" t="s">
        <v>37</v>
      </c>
    </row>
    <row r="299">
      <c r="B299" s="34" t="s">
        <v>920</v>
      </c>
      <c r="C299" s="35" t="s">
        <v>19</v>
      </c>
      <c r="D299" s="34" t="s">
        <v>760</v>
      </c>
      <c r="E299" s="11" t="s">
        <v>33</v>
      </c>
    </row>
    <row r="300">
      <c r="B300" s="34" t="s">
        <v>2067</v>
      </c>
      <c r="C300" s="35" t="s">
        <v>273</v>
      </c>
      <c r="D300" s="34" t="s">
        <v>560</v>
      </c>
      <c r="E300" s="11" t="s">
        <v>37</v>
      </c>
    </row>
    <row r="301">
      <c r="B301" s="34" t="s">
        <v>760</v>
      </c>
      <c r="C301" s="35" t="s">
        <v>18</v>
      </c>
      <c r="D301" s="34" t="s">
        <v>2068</v>
      </c>
      <c r="E301" s="11" t="s">
        <v>33</v>
      </c>
    </row>
    <row r="302">
      <c r="B302" s="34" t="s">
        <v>920</v>
      </c>
      <c r="C302" s="35" t="s">
        <v>370</v>
      </c>
      <c r="D302" s="34" t="s">
        <v>560</v>
      </c>
      <c r="E302" s="11" t="s">
        <v>37</v>
      </c>
    </row>
    <row r="303">
      <c r="B303" s="34" t="s">
        <v>2067</v>
      </c>
      <c r="C303" s="35" t="s">
        <v>1465</v>
      </c>
      <c r="D303" s="34" t="s">
        <v>2068</v>
      </c>
      <c r="E303" s="11" t="s">
        <v>33</v>
      </c>
    </row>
    <row r="304">
      <c r="B304" s="34" t="s">
        <v>760</v>
      </c>
      <c r="C304" s="35" t="s">
        <v>48</v>
      </c>
      <c r="D304" s="34" t="s">
        <v>560</v>
      </c>
      <c r="E304" s="11" t="s">
        <v>37</v>
      </c>
    </row>
    <row r="305">
      <c r="B305" s="34" t="s">
        <v>920</v>
      </c>
      <c r="C305" s="35" t="s">
        <v>11</v>
      </c>
      <c r="D305" s="34" t="s">
        <v>2068</v>
      </c>
      <c r="E305" s="11" t="s">
        <v>33</v>
      </c>
    </row>
    <row r="306">
      <c r="B306" s="34" t="s">
        <v>760</v>
      </c>
      <c r="C306" s="35" t="s">
        <v>14</v>
      </c>
      <c r="D306" s="34" t="s">
        <v>2067</v>
      </c>
      <c r="E306" s="11" t="s">
        <v>37</v>
      </c>
    </row>
    <row r="307">
      <c r="B307" s="34" t="s">
        <v>560</v>
      </c>
      <c r="C307" s="35" t="s">
        <v>19</v>
      </c>
      <c r="D307" s="34" t="s">
        <v>2068</v>
      </c>
      <c r="E307" s="11" t="s">
        <v>33</v>
      </c>
    </row>
    <row r="308">
      <c r="B308" s="34" t="s">
        <v>920</v>
      </c>
      <c r="C308" s="35" t="s">
        <v>25</v>
      </c>
      <c r="D308" s="34" t="s">
        <v>2067</v>
      </c>
      <c r="E308" s="11" t="s">
        <v>37</v>
      </c>
    </row>
    <row r="309">
      <c r="B309" s="28" t="s">
        <v>2069</v>
      </c>
      <c r="C309" s="2"/>
      <c r="D309" s="3"/>
      <c r="E309" s="2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34" t="s">
        <v>118</v>
      </c>
      <c r="C311" s="33" t="s">
        <v>319</v>
      </c>
      <c r="D311" s="34" t="s">
        <v>2070</v>
      </c>
      <c r="E311" s="11" t="s">
        <v>9</v>
      </c>
    </row>
    <row r="312">
      <c r="B312" s="34" t="s">
        <v>2071</v>
      </c>
      <c r="C312" s="33" t="s">
        <v>45</v>
      </c>
      <c r="D312" s="34" t="s">
        <v>2072</v>
      </c>
      <c r="E312" s="11" t="s">
        <v>13</v>
      </c>
    </row>
    <row r="313">
      <c r="B313" s="34" t="s">
        <v>2073</v>
      </c>
      <c r="C313" s="33" t="s">
        <v>41</v>
      </c>
      <c r="D313" s="34" t="s">
        <v>118</v>
      </c>
      <c r="E313" s="11" t="s">
        <v>9</v>
      </c>
    </row>
    <row r="314">
      <c r="B314" s="34" t="s">
        <v>2071</v>
      </c>
      <c r="C314" s="33" t="s">
        <v>413</v>
      </c>
      <c r="D314" s="34" t="s">
        <v>2070</v>
      </c>
      <c r="E314" s="11" t="s">
        <v>13</v>
      </c>
    </row>
    <row r="315">
      <c r="B315" s="34" t="s">
        <v>2073</v>
      </c>
      <c r="C315" s="33" t="s">
        <v>19</v>
      </c>
      <c r="D315" s="34" t="s">
        <v>2072</v>
      </c>
      <c r="E315" s="11" t="s">
        <v>9</v>
      </c>
    </row>
    <row r="316">
      <c r="B316" s="34" t="s">
        <v>2071</v>
      </c>
      <c r="C316" s="33" t="s">
        <v>72</v>
      </c>
      <c r="D316" s="34" t="s">
        <v>118</v>
      </c>
      <c r="E316" s="11" t="s">
        <v>13</v>
      </c>
    </row>
    <row r="317">
      <c r="B317" s="34" t="s">
        <v>2073</v>
      </c>
      <c r="C317" s="33" t="s">
        <v>232</v>
      </c>
      <c r="D317" s="34" t="s">
        <v>2070</v>
      </c>
      <c r="E317" s="11" t="s">
        <v>9</v>
      </c>
    </row>
    <row r="318">
      <c r="B318" s="34" t="s">
        <v>2072</v>
      </c>
      <c r="C318" s="33" t="s">
        <v>43</v>
      </c>
      <c r="D318" s="34" t="s">
        <v>118</v>
      </c>
      <c r="E318" s="11" t="s">
        <v>13</v>
      </c>
    </row>
    <row r="319">
      <c r="B319" s="34" t="s">
        <v>2073</v>
      </c>
      <c r="C319" s="33" t="s">
        <v>414</v>
      </c>
      <c r="D319" s="34" t="s">
        <v>2071</v>
      </c>
      <c r="E319" s="11" t="s">
        <v>9</v>
      </c>
    </row>
    <row r="320">
      <c r="B320" s="34" t="s">
        <v>2072</v>
      </c>
      <c r="C320" s="33" t="s">
        <v>18</v>
      </c>
      <c r="D320" s="34" t="s">
        <v>2070</v>
      </c>
      <c r="E320" s="11" t="s">
        <v>13</v>
      </c>
    </row>
    <row r="321">
      <c r="B321" s="34" t="s">
        <v>2070</v>
      </c>
      <c r="C321" s="33" t="s">
        <v>201</v>
      </c>
      <c r="D321" s="34" t="s">
        <v>118</v>
      </c>
      <c r="E321" s="11" t="s">
        <v>9</v>
      </c>
    </row>
    <row r="322">
      <c r="B322" s="34" t="s">
        <v>2072</v>
      </c>
      <c r="C322" s="33" t="s">
        <v>47</v>
      </c>
      <c r="D322" s="34" t="s">
        <v>2071</v>
      </c>
      <c r="E322" s="11" t="s">
        <v>13</v>
      </c>
    </row>
    <row r="323">
      <c r="B323" s="34" t="s">
        <v>118</v>
      </c>
      <c r="C323" s="35" t="s">
        <v>76</v>
      </c>
      <c r="D323" s="34" t="s">
        <v>2073</v>
      </c>
      <c r="E323" s="11" t="s">
        <v>9</v>
      </c>
    </row>
    <row r="324">
      <c r="B324" s="34" t="s">
        <v>2070</v>
      </c>
      <c r="C324" s="35" t="s">
        <v>43</v>
      </c>
      <c r="D324" s="34" t="s">
        <v>2071</v>
      </c>
      <c r="E324" s="11" t="s">
        <v>13</v>
      </c>
    </row>
    <row r="325">
      <c r="B325" s="34" t="s">
        <v>2072</v>
      </c>
      <c r="C325" s="35" t="s">
        <v>48</v>
      </c>
      <c r="D325" s="34" t="s">
        <v>2073</v>
      </c>
      <c r="E325" s="11" t="s">
        <v>9</v>
      </c>
    </row>
    <row r="326">
      <c r="B326" s="34" t="s">
        <v>118</v>
      </c>
      <c r="C326" s="35" t="s">
        <v>196</v>
      </c>
      <c r="D326" s="34" t="s">
        <v>2071</v>
      </c>
      <c r="E326" s="11" t="s">
        <v>13</v>
      </c>
    </row>
    <row r="327">
      <c r="B327" s="34" t="s">
        <v>2070</v>
      </c>
      <c r="C327" s="35" t="s">
        <v>42</v>
      </c>
      <c r="D327" s="34" t="s">
        <v>2073</v>
      </c>
      <c r="E327" s="11" t="s">
        <v>9</v>
      </c>
    </row>
    <row r="328">
      <c r="B328" s="34" t="s">
        <v>118</v>
      </c>
      <c r="C328" s="35" t="s">
        <v>35</v>
      </c>
      <c r="D328" s="34" t="s">
        <v>2072</v>
      </c>
      <c r="E328" s="11" t="s">
        <v>13</v>
      </c>
    </row>
    <row r="329">
      <c r="B329" s="34" t="s">
        <v>2071</v>
      </c>
      <c r="C329" s="35" t="s">
        <v>31</v>
      </c>
      <c r="D329" s="34" t="s">
        <v>2073</v>
      </c>
      <c r="E329" s="11" t="s">
        <v>9</v>
      </c>
    </row>
    <row r="330">
      <c r="B330" s="34" t="s">
        <v>2070</v>
      </c>
      <c r="C330" s="35" t="s">
        <v>284</v>
      </c>
      <c r="D330" s="34" t="s">
        <v>2072</v>
      </c>
      <c r="E330" s="11" t="s">
        <v>13</v>
      </c>
    </row>
    <row r="331">
      <c r="B331" s="28" t="s">
        <v>2074</v>
      </c>
      <c r="C331" s="2"/>
      <c r="D331" s="3"/>
      <c r="E331" s="2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34" t="s">
        <v>2075</v>
      </c>
      <c r="C333" s="35" t="s">
        <v>14</v>
      </c>
      <c r="D333" s="34" t="s">
        <v>2076</v>
      </c>
      <c r="E333" s="11" t="s">
        <v>33</v>
      </c>
    </row>
    <row r="334">
      <c r="B334" s="34" t="s">
        <v>2077</v>
      </c>
      <c r="C334" s="35" t="s">
        <v>218</v>
      </c>
      <c r="D334" s="34" t="s">
        <v>2078</v>
      </c>
      <c r="E334" s="11" t="s">
        <v>37</v>
      </c>
    </row>
    <row r="335">
      <c r="B335" s="34" t="s">
        <v>2079</v>
      </c>
      <c r="C335" s="35" t="s">
        <v>19</v>
      </c>
      <c r="D335" s="34" t="s">
        <v>2075</v>
      </c>
      <c r="E335" s="11" t="s">
        <v>33</v>
      </c>
    </row>
    <row r="336">
      <c r="B336" s="34" t="s">
        <v>2077</v>
      </c>
      <c r="C336" s="35" t="s">
        <v>67</v>
      </c>
      <c r="D336" s="34" t="s">
        <v>2076</v>
      </c>
      <c r="E336" s="11" t="s">
        <v>37</v>
      </c>
    </row>
    <row r="337">
      <c r="B337" s="34" t="s">
        <v>2079</v>
      </c>
      <c r="C337" s="35" t="s">
        <v>68</v>
      </c>
      <c r="D337" s="34" t="s">
        <v>2078</v>
      </c>
      <c r="E337" s="11" t="s">
        <v>33</v>
      </c>
    </row>
    <row r="338">
      <c r="B338" s="34" t="s">
        <v>2077</v>
      </c>
      <c r="C338" s="35" t="s">
        <v>291</v>
      </c>
      <c r="D338" s="34" t="s">
        <v>2075</v>
      </c>
      <c r="E338" s="11" t="s">
        <v>37</v>
      </c>
    </row>
    <row r="339">
      <c r="B339" s="34" t="s">
        <v>2079</v>
      </c>
      <c r="C339" s="35" t="s">
        <v>17</v>
      </c>
      <c r="D339" s="34" t="s">
        <v>2076</v>
      </c>
      <c r="E339" s="11" t="s">
        <v>33</v>
      </c>
    </row>
    <row r="340">
      <c r="B340" s="34" t="s">
        <v>2078</v>
      </c>
      <c r="C340" s="35" t="s">
        <v>87</v>
      </c>
      <c r="D340" s="34" t="s">
        <v>2075</v>
      </c>
      <c r="E340" s="11" t="s">
        <v>37</v>
      </c>
    </row>
    <row r="341">
      <c r="B341" s="34" t="s">
        <v>2079</v>
      </c>
      <c r="C341" s="35" t="s">
        <v>47</v>
      </c>
      <c r="D341" s="34" t="s">
        <v>2077</v>
      </c>
      <c r="E341" s="11" t="s">
        <v>33</v>
      </c>
    </row>
    <row r="342">
      <c r="B342" s="34" t="s">
        <v>2078</v>
      </c>
      <c r="C342" s="35" t="s">
        <v>400</v>
      </c>
      <c r="D342" s="34" t="s">
        <v>2076</v>
      </c>
      <c r="E342" s="11" t="s">
        <v>37</v>
      </c>
    </row>
    <row r="343">
      <c r="B343" s="34" t="s">
        <v>2076</v>
      </c>
      <c r="C343" s="35" t="s">
        <v>78</v>
      </c>
      <c r="D343" s="34" t="s">
        <v>2075</v>
      </c>
      <c r="E343" s="11" t="s">
        <v>33</v>
      </c>
    </row>
    <row r="344">
      <c r="B344" s="34" t="s">
        <v>2078</v>
      </c>
      <c r="C344" s="35" t="s">
        <v>329</v>
      </c>
      <c r="D344" s="34" t="s">
        <v>2077</v>
      </c>
      <c r="E344" s="11" t="s">
        <v>37</v>
      </c>
    </row>
    <row r="345">
      <c r="B345" s="34" t="s">
        <v>2075</v>
      </c>
      <c r="C345" s="35" t="s">
        <v>566</v>
      </c>
      <c r="D345" s="34" t="s">
        <v>2079</v>
      </c>
      <c r="E345" s="11" t="s">
        <v>33</v>
      </c>
    </row>
    <row r="346">
      <c r="B346" s="34" t="s">
        <v>2076</v>
      </c>
      <c r="C346" s="35" t="s">
        <v>87</v>
      </c>
      <c r="D346" s="34" t="s">
        <v>2077</v>
      </c>
      <c r="E346" s="11" t="s">
        <v>37</v>
      </c>
    </row>
    <row r="347">
      <c r="B347" s="34" t="s">
        <v>2078</v>
      </c>
      <c r="C347" s="35" t="s">
        <v>78</v>
      </c>
      <c r="D347" s="34" t="s">
        <v>2079</v>
      </c>
      <c r="E347" s="11" t="s">
        <v>33</v>
      </c>
    </row>
    <row r="348">
      <c r="B348" s="34" t="s">
        <v>2075</v>
      </c>
      <c r="C348" s="35" t="s">
        <v>88</v>
      </c>
      <c r="D348" s="34" t="s">
        <v>2077</v>
      </c>
      <c r="E348" s="11" t="s">
        <v>37</v>
      </c>
    </row>
    <row r="349">
      <c r="B349" s="34" t="s">
        <v>2076</v>
      </c>
      <c r="C349" s="35" t="s">
        <v>64</v>
      </c>
      <c r="D349" s="34" t="s">
        <v>2079</v>
      </c>
      <c r="E349" s="11" t="s">
        <v>33</v>
      </c>
    </row>
    <row r="350">
      <c r="B350" s="34" t="s">
        <v>2075</v>
      </c>
      <c r="C350" s="35" t="s">
        <v>22</v>
      </c>
      <c r="D350" s="34" t="s">
        <v>2078</v>
      </c>
      <c r="E350" s="11" t="s">
        <v>37</v>
      </c>
    </row>
    <row r="351">
      <c r="B351" s="34" t="s">
        <v>2077</v>
      </c>
      <c r="C351" s="35" t="s">
        <v>81</v>
      </c>
      <c r="D351" s="34" t="s">
        <v>2079</v>
      </c>
      <c r="E351" s="11" t="s">
        <v>33</v>
      </c>
    </row>
    <row r="352">
      <c r="B352" s="34" t="s">
        <v>2076</v>
      </c>
      <c r="C352" s="35" t="s">
        <v>25</v>
      </c>
      <c r="D352" s="34" t="s">
        <v>2078</v>
      </c>
      <c r="E352" s="11" t="s">
        <v>37</v>
      </c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/>
      <c r="B1" s="1" t="s">
        <v>2080</v>
      </c>
      <c r="C1" s="2"/>
      <c r="D1" s="3"/>
      <c r="E1" s="29"/>
    </row>
    <row r="2">
      <c r="A2" s="66"/>
      <c r="B2" s="6" t="s">
        <v>2</v>
      </c>
      <c r="C2" s="6" t="s">
        <v>3</v>
      </c>
      <c r="D2" s="6" t="s">
        <v>4</v>
      </c>
      <c r="E2" s="6" t="s">
        <v>5</v>
      </c>
    </row>
    <row r="3">
      <c r="A3" s="66"/>
      <c r="B3" s="32" t="s">
        <v>2081</v>
      </c>
      <c r="C3" s="33" t="s">
        <v>18</v>
      </c>
      <c r="D3" s="34" t="s">
        <v>2082</v>
      </c>
      <c r="E3" s="11" t="s">
        <v>33</v>
      </c>
    </row>
    <row r="4">
      <c r="A4" s="66"/>
      <c r="B4" s="32" t="s">
        <v>2083</v>
      </c>
      <c r="C4" s="33" t="s">
        <v>72</v>
      </c>
      <c r="D4" s="32" t="s">
        <v>1758</v>
      </c>
      <c r="E4" s="11" t="s">
        <v>37</v>
      </c>
    </row>
    <row r="5">
      <c r="A5" s="66"/>
      <c r="B5" s="34" t="s">
        <v>1971</v>
      </c>
      <c r="C5" s="33" t="s">
        <v>1272</v>
      </c>
      <c r="D5" s="32" t="s">
        <v>2081</v>
      </c>
      <c r="E5" s="11" t="s">
        <v>33</v>
      </c>
    </row>
    <row r="6">
      <c r="A6" s="66"/>
      <c r="B6" s="32" t="s">
        <v>2083</v>
      </c>
      <c r="C6" s="33" t="s">
        <v>193</v>
      </c>
      <c r="D6" s="34" t="s">
        <v>2082</v>
      </c>
      <c r="E6" s="11" t="s">
        <v>37</v>
      </c>
    </row>
    <row r="7">
      <c r="A7" s="66"/>
      <c r="B7" s="34" t="s">
        <v>1971</v>
      </c>
      <c r="C7" s="33" t="s">
        <v>196</v>
      </c>
      <c r="D7" s="32" t="s">
        <v>1758</v>
      </c>
      <c r="E7" s="11" t="s">
        <v>33</v>
      </c>
    </row>
    <row r="8">
      <c r="A8" s="66"/>
      <c r="B8" s="32" t="s">
        <v>2083</v>
      </c>
      <c r="C8" s="33" t="s">
        <v>35</v>
      </c>
      <c r="D8" s="32" t="s">
        <v>2081</v>
      </c>
      <c r="E8" s="11" t="s">
        <v>37</v>
      </c>
    </row>
    <row r="9">
      <c r="A9" s="66"/>
      <c r="B9" s="34" t="s">
        <v>1971</v>
      </c>
      <c r="C9" s="33" t="s">
        <v>239</v>
      </c>
      <c r="D9" s="34" t="s">
        <v>2082</v>
      </c>
      <c r="E9" s="11" t="s">
        <v>33</v>
      </c>
    </row>
    <row r="10">
      <c r="A10" s="66"/>
      <c r="B10" s="32" t="s">
        <v>1758</v>
      </c>
      <c r="C10" s="33" t="s">
        <v>370</v>
      </c>
      <c r="D10" s="32" t="s">
        <v>2081</v>
      </c>
      <c r="E10" s="11" t="s">
        <v>37</v>
      </c>
    </row>
    <row r="11">
      <c r="A11" s="66"/>
      <c r="B11" s="34" t="s">
        <v>1971</v>
      </c>
      <c r="C11" s="33" t="s">
        <v>88</v>
      </c>
      <c r="D11" s="32" t="s">
        <v>2083</v>
      </c>
      <c r="E11" s="11" t="s">
        <v>33</v>
      </c>
    </row>
    <row r="12">
      <c r="A12" s="66"/>
      <c r="B12" s="32" t="s">
        <v>1758</v>
      </c>
      <c r="C12" s="33" t="s">
        <v>426</v>
      </c>
      <c r="D12" s="34" t="s">
        <v>2082</v>
      </c>
      <c r="E12" s="11" t="s">
        <v>37</v>
      </c>
    </row>
    <row r="13">
      <c r="A13" s="66"/>
      <c r="B13" s="34" t="s">
        <v>2082</v>
      </c>
      <c r="C13" s="33" t="s">
        <v>1728</v>
      </c>
      <c r="D13" s="32" t="s">
        <v>2081</v>
      </c>
      <c r="E13" s="11" t="s">
        <v>33</v>
      </c>
    </row>
    <row r="14">
      <c r="A14" s="66"/>
      <c r="B14" s="32" t="s">
        <v>1758</v>
      </c>
      <c r="C14" s="33" t="s">
        <v>206</v>
      </c>
      <c r="D14" s="32" t="s">
        <v>2083</v>
      </c>
      <c r="E14" s="11" t="s">
        <v>37</v>
      </c>
    </row>
    <row r="15">
      <c r="A15" s="66"/>
      <c r="B15" s="32" t="s">
        <v>2081</v>
      </c>
      <c r="C15" s="35" t="s">
        <v>201</v>
      </c>
      <c r="D15" s="34" t="s">
        <v>1971</v>
      </c>
      <c r="E15" s="11" t="s">
        <v>33</v>
      </c>
    </row>
    <row r="16">
      <c r="A16" s="66"/>
      <c r="B16" s="34" t="s">
        <v>2082</v>
      </c>
      <c r="C16" s="35" t="s">
        <v>18</v>
      </c>
      <c r="D16" s="32" t="s">
        <v>2083</v>
      </c>
      <c r="E16" s="11" t="s">
        <v>37</v>
      </c>
    </row>
    <row r="17">
      <c r="A17" s="66"/>
      <c r="B17" s="32" t="s">
        <v>1758</v>
      </c>
      <c r="C17" s="35" t="s">
        <v>14</v>
      </c>
      <c r="D17" s="34" t="s">
        <v>1971</v>
      </c>
      <c r="E17" s="11" t="s">
        <v>33</v>
      </c>
    </row>
    <row r="18">
      <c r="A18" s="66"/>
      <c r="B18" s="32" t="s">
        <v>2081</v>
      </c>
      <c r="C18" s="35" t="s">
        <v>22</v>
      </c>
      <c r="D18" s="32" t="s">
        <v>2083</v>
      </c>
      <c r="E18" s="11" t="s">
        <v>37</v>
      </c>
    </row>
    <row r="19">
      <c r="A19" s="66"/>
      <c r="B19" s="34" t="s">
        <v>2082</v>
      </c>
      <c r="C19" s="35" t="s">
        <v>65</v>
      </c>
      <c r="D19" s="34" t="s">
        <v>1971</v>
      </c>
      <c r="E19" s="11" t="s">
        <v>33</v>
      </c>
    </row>
    <row r="20">
      <c r="A20" s="66"/>
      <c r="B20" s="32" t="s">
        <v>2081</v>
      </c>
      <c r="C20" s="35" t="s">
        <v>273</v>
      </c>
      <c r="D20" s="32" t="s">
        <v>1758</v>
      </c>
      <c r="E20" s="11" t="s">
        <v>37</v>
      </c>
    </row>
    <row r="21">
      <c r="A21" s="66"/>
      <c r="B21" s="32" t="s">
        <v>2083</v>
      </c>
      <c r="C21" s="35" t="s">
        <v>2084</v>
      </c>
      <c r="D21" s="34" t="s">
        <v>1971</v>
      </c>
      <c r="E21" s="11" t="s">
        <v>33</v>
      </c>
    </row>
    <row r="22">
      <c r="A22" s="66"/>
      <c r="B22" s="34" t="s">
        <v>2082</v>
      </c>
      <c r="C22" s="35" t="s">
        <v>48</v>
      </c>
      <c r="D22" s="32" t="s">
        <v>1758</v>
      </c>
      <c r="E22" s="11" t="s">
        <v>37</v>
      </c>
    </row>
    <row r="23">
      <c r="A23" s="66"/>
      <c r="B23" s="1" t="s">
        <v>2085</v>
      </c>
      <c r="C23" s="2"/>
      <c r="D23" s="3"/>
      <c r="E23" s="48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2086</v>
      </c>
      <c r="C25" s="33" t="s">
        <v>66</v>
      </c>
      <c r="D25" s="34" t="s">
        <v>2087</v>
      </c>
      <c r="E25" s="11" t="s">
        <v>9</v>
      </c>
    </row>
    <row r="26">
      <c r="A26" s="66"/>
      <c r="B26" s="32" t="s">
        <v>2088</v>
      </c>
      <c r="C26" s="33" t="s">
        <v>44</v>
      </c>
      <c r="D26" s="32" t="s">
        <v>2089</v>
      </c>
      <c r="E26" s="11" t="s">
        <v>13</v>
      </c>
    </row>
    <row r="27">
      <c r="A27" s="66"/>
      <c r="B27" s="34" t="s">
        <v>2090</v>
      </c>
      <c r="C27" s="33" t="s">
        <v>217</v>
      </c>
      <c r="D27" s="34" t="s">
        <v>2086</v>
      </c>
      <c r="E27" s="11" t="s">
        <v>9</v>
      </c>
    </row>
    <row r="28">
      <c r="A28" s="66"/>
      <c r="B28" s="32" t="s">
        <v>2088</v>
      </c>
      <c r="C28" s="33" t="s">
        <v>440</v>
      </c>
      <c r="D28" s="34" t="s">
        <v>2087</v>
      </c>
      <c r="E28" s="11" t="s">
        <v>13</v>
      </c>
    </row>
    <row r="29">
      <c r="A29" s="66"/>
      <c r="B29" s="34" t="s">
        <v>2090</v>
      </c>
      <c r="C29" s="33" t="s">
        <v>17</v>
      </c>
      <c r="D29" s="32" t="s">
        <v>2089</v>
      </c>
      <c r="E29" s="11" t="s">
        <v>9</v>
      </c>
    </row>
    <row r="30">
      <c r="A30" s="66"/>
      <c r="B30" s="32" t="s">
        <v>2088</v>
      </c>
      <c r="C30" s="33" t="s">
        <v>196</v>
      </c>
      <c r="D30" s="34" t="s">
        <v>2086</v>
      </c>
      <c r="E30" s="11" t="s">
        <v>13</v>
      </c>
    </row>
    <row r="31">
      <c r="A31" s="66"/>
      <c r="B31" s="34" t="s">
        <v>2090</v>
      </c>
      <c r="C31" s="33" t="s">
        <v>16</v>
      </c>
      <c r="D31" s="34" t="s">
        <v>2087</v>
      </c>
      <c r="E31" s="11" t="s">
        <v>9</v>
      </c>
    </row>
    <row r="32">
      <c r="A32" s="66"/>
      <c r="B32" s="32" t="s">
        <v>2089</v>
      </c>
      <c r="C32" s="33" t="s">
        <v>190</v>
      </c>
      <c r="D32" s="34" t="s">
        <v>2086</v>
      </c>
      <c r="E32" s="11" t="s">
        <v>13</v>
      </c>
    </row>
    <row r="33">
      <c r="A33" s="66"/>
      <c r="B33" s="34" t="s">
        <v>2090</v>
      </c>
      <c r="C33" s="33" t="s">
        <v>71</v>
      </c>
      <c r="D33" s="32" t="s">
        <v>2088</v>
      </c>
      <c r="E33" s="11" t="s">
        <v>9</v>
      </c>
    </row>
    <row r="34">
      <c r="A34" s="66"/>
      <c r="B34" s="32" t="s">
        <v>2089</v>
      </c>
      <c r="C34" s="33" t="s">
        <v>24</v>
      </c>
      <c r="D34" s="34" t="s">
        <v>2087</v>
      </c>
      <c r="E34" s="11" t="s">
        <v>13</v>
      </c>
    </row>
    <row r="35">
      <c r="A35" s="66"/>
      <c r="B35" s="34" t="s">
        <v>2087</v>
      </c>
      <c r="C35" s="33" t="s">
        <v>81</v>
      </c>
      <c r="D35" s="34" t="s">
        <v>2086</v>
      </c>
      <c r="E35" s="11" t="s">
        <v>9</v>
      </c>
    </row>
    <row r="36">
      <c r="A36" s="66"/>
      <c r="B36" s="32" t="s">
        <v>2089</v>
      </c>
      <c r="C36" s="33" t="s">
        <v>412</v>
      </c>
      <c r="D36" s="32" t="s">
        <v>2088</v>
      </c>
      <c r="E36" s="11" t="s">
        <v>13</v>
      </c>
    </row>
    <row r="37">
      <c r="A37" s="66"/>
      <c r="B37" s="34" t="s">
        <v>2086</v>
      </c>
      <c r="C37" s="33" t="s">
        <v>16</v>
      </c>
      <c r="D37" s="34" t="s">
        <v>2090</v>
      </c>
      <c r="E37" s="11" t="s">
        <v>9</v>
      </c>
    </row>
    <row r="38">
      <c r="A38" s="66"/>
      <c r="B38" s="34" t="s">
        <v>2087</v>
      </c>
      <c r="C38" s="33" t="s">
        <v>260</v>
      </c>
      <c r="D38" s="32" t="s">
        <v>2088</v>
      </c>
      <c r="E38" s="11" t="s">
        <v>13</v>
      </c>
    </row>
    <row r="39">
      <c r="A39" s="66"/>
      <c r="B39" s="32" t="s">
        <v>2089</v>
      </c>
      <c r="C39" s="33" t="s">
        <v>857</v>
      </c>
      <c r="D39" s="34" t="s">
        <v>2090</v>
      </c>
      <c r="E39" s="11" t="s">
        <v>9</v>
      </c>
    </row>
    <row r="40">
      <c r="A40" s="66"/>
      <c r="B40" s="34" t="s">
        <v>2086</v>
      </c>
      <c r="C40" s="33" t="s">
        <v>66</v>
      </c>
      <c r="D40" s="32" t="s">
        <v>2088</v>
      </c>
      <c r="E40" s="11" t="s">
        <v>13</v>
      </c>
    </row>
    <row r="41">
      <c r="A41" s="66"/>
      <c r="B41" s="34" t="s">
        <v>2087</v>
      </c>
      <c r="C41" s="33" t="s">
        <v>190</v>
      </c>
      <c r="D41" s="34" t="s">
        <v>2090</v>
      </c>
      <c r="E41" s="11" t="s">
        <v>9</v>
      </c>
    </row>
    <row r="42">
      <c r="A42" s="66"/>
      <c r="B42" s="34" t="s">
        <v>2086</v>
      </c>
      <c r="C42" s="33" t="s">
        <v>779</v>
      </c>
      <c r="D42" s="32" t="s">
        <v>2089</v>
      </c>
      <c r="E42" s="11" t="s">
        <v>13</v>
      </c>
    </row>
    <row r="43">
      <c r="A43" s="66"/>
      <c r="B43" s="32" t="s">
        <v>2088</v>
      </c>
      <c r="C43" s="33" t="s">
        <v>195</v>
      </c>
      <c r="D43" s="34" t="s">
        <v>2090</v>
      </c>
      <c r="E43" s="11" t="s">
        <v>9</v>
      </c>
    </row>
    <row r="44">
      <c r="A44" s="67"/>
      <c r="B44" s="34" t="s">
        <v>2087</v>
      </c>
      <c r="C44" s="33" t="s">
        <v>444</v>
      </c>
      <c r="D44" s="32" t="s">
        <v>2089</v>
      </c>
      <c r="E44" s="11" t="s">
        <v>13</v>
      </c>
    </row>
    <row r="45">
      <c r="B45" s="1" t="s">
        <v>53</v>
      </c>
      <c r="C45" s="2"/>
      <c r="D45" s="3"/>
      <c r="E45" s="14"/>
    </row>
    <row r="46">
      <c r="B46" s="16" t="s">
        <v>2</v>
      </c>
      <c r="C46" s="16" t="s">
        <v>3</v>
      </c>
      <c r="D46" s="16" t="s">
        <v>4</v>
      </c>
      <c r="E46" s="16" t="s">
        <v>5</v>
      </c>
    </row>
    <row r="47">
      <c r="B47" s="32" t="s">
        <v>2091</v>
      </c>
      <c r="C47" s="33" t="s">
        <v>21</v>
      </c>
      <c r="D47" s="32" t="s">
        <v>2092</v>
      </c>
      <c r="E47" s="11" t="s">
        <v>33</v>
      </c>
    </row>
    <row r="48">
      <c r="B48" s="32" t="s">
        <v>342</v>
      </c>
      <c r="C48" s="33" t="s">
        <v>19</v>
      </c>
      <c r="D48" s="32" t="s">
        <v>2076</v>
      </c>
      <c r="E48" s="11" t="s">
        <v>37</v>
      </c>
    </row>
    <row r="49">
      <c r="B49" s="32" t="s">
        <v>1671</v>
      </c>
      <c r="C49" s="33" t="s">
        <v>19</v>
      </c>
      <c r="D49" s="32" t="s">
        <v>2091</v>
      </c>
      <c r="E49" s="11" t="s">
        <v>33</v>
      </c>
    </row>
    <row r="50">
      <c r="B50" s="32" t="s">
        <v>342</v>
      </c>
      <c r="C50" s="33" t="s">
        <v>426</v>
      </c>
      <c r="D50" s="32" t="s">
        <v>2092</v>
      </c>
      <c r="E50" s="11" t="s">
        <v>37</v>
      </c>
    </row>
    <row r="51">
      <c r="B51" s="32" t="s">
        <v>1671</v>
      </c>
      <c r="C51" s="33" t="s">
        <v>69</v>
      </c>
      <c r="D51" s="32" t="s">
        <v>2076</v>
      </c>
      <c r="E51" s="11" t="s">
        <v>33</v>
      </c>
    </row>
    <row r="52">
      <c r="B52" s="32" t="s">
        <v>342</v>
      </c>
      <c r="C52" s="33" t="s">
        <v>193</v>
      </c>
      <c r="D52" s="32" t="s">
        <v>2091</v>
      </c>
      <c r="E52" s="11" t="s">
        <v>37</v>
      </c>
    </row>
    <row r="53">
      <c r="B53" s="32" t="s">
        <v>1671</v>
      </c>
      <c r="C53" s="33" t="s">
        <v>82</v>
      </c>
      <c r="D53" s="32" t="s">
        <v>2092</v>
      </c>
      <c r="E53" s="11" t="s">
        <v>33</v>
      </c>
    </row>
    <row r="54">
      <c r="B54" s="32" t="s">
        <v>2076</v>
      </c>
      <c r="C54" s="33" t="s">
        <v>197</v>
      </c>
      <c r="D54" s="32" t="s">
        <v>2091</v>
      </c>
      <c r="E54" s="11" t="s">
        <v>37</v>
      </c>
    </row>
    <row r="55">
      <c r="B55" s="32" t="s">
        <v>1671</v>
      </c>
      <c r="C55" s="33" t="s">
        <v>69</v>
      </c>
      <c r="D55" s="32" t="s">
        <v>342</v>
      </c>
      <c r="E55" s="11" t="s">
        <v>33</v>
      </c>
    </row>
    <row r="56">
      <c r="B56" s="32" t="s">
        <v>2076</v>
      </c>
      <c r="C56" s="33" t="s">
        <v>19</v>
      </c>
      <c r="D56" s="32" t="s">
        <v>2092</v>
      </c>
      <c r="E56" s="11" t="s">
        <v>37</v>
      </c>
    </row>
    <row r="57">
      <c r="B57" s="32" t="s">
        <v>2092</v>
      </c>
      <c r="C57" s="33" t="s">
        <v>81</v>
      </c>
      <c r="D57" s="32" t="s">
        <v>2091</v>
      </c>
      <c r="E57" s="11" t="s">
        <v>33</v>
      </c>
    </row>
    <row r="58">
      <c r="B58" s="32" t="s">
        <v>2076</v>
      </c>
      <c r="C58" s="33" t="s">
        <v>212</v>
      </c>
      <c r="D58" s="32" t="s">
        <v>342</v>
      </c>
      <c r="E58" s="11" t="s">
        <v>37</v>
      </c>
    </row>
    <row r="59">
      <c r="B59" s="32" t="s">
        <v>2091</v>
      </c>
      <c r="C59" s="35" t="s">
        <v>201</v>
      </c>
      <c r="D59" s="32" t="s">
        <v>1671</v>
      </c>
      <c r="E59" s="11" t="s">
        <v>33</v>
      </c>
    </row>
    <row r="60">
      <c r="B60" s="32" t="s">
        <v>2092</v>
      </c>
      <c r="C60" s="35" t="s">
        <v>25</v>
      </c>
      <c r="D60" s="32" t="s">
        <v>342</v>
      </c>
      <c r="E60" s="11" t="s">
        <v>37</v>
      </c>
    </row>
    <row r="61">
      <c r="B61" s="32" t="s">
        <v>2076</v>
      </c>
      <c r="C61" s="35" t="s">
        <v>45</v>
      </c>
      <c r="D61" s="32" t="s">
        <v>1671</v>
      </c>
      <c r="E61" s="11" t="s">
        <v>33</v>
      </c>
    </row>
    <row r="62">
      <c r="B62" s="32" t="s">
        <v>2091</v>
      </c>
      <c r="C62" s="35" t="s">
        <v>58</v>
      </c>
      <c r="D62" s="32" t="s">
        <v>342</v>
      </c>
      <c r="E62" s="11" t="s">
        <v>37</v>
      </c>
    </row>
    <row r="63">
      <c r="B63" s="32" t="s">
        <v>2092</v>
      </c>
      <c r="C63" s="35" t="s">
        <v>42</v>
      </c>
      <c r="D63" s="32" t="s">
        <v>1671</v>
      </c>
      <c r="E63" s="11" t="s">
        <v>33</v>
      </c>
    </row>
    <row r="64">
      <c r="B64" s="32" t="s">
        <v>2091</v>
      </c>
      <c r="C64" s="35" t="s">
        <v>17</v>
      </c>
      <c r="D64" s="32" t="s">
        <v>2076</v>
      </c>
      <c r="E64" s="11" t="s">
        <v>37</v>
      </c>
    </row>
    <row r="65">
      <c r="B65" s="32" t="s">
        <v>342</v>
      </c>
      <c r="C65" s="35" t="s">
        <v>52</v>
      </c>
      <c r="D65" s="32" t="s">
        <v>1671</v>
      </c>
      <c r="E65" s="11" t="s">
        <v>33</v>
      </c>
    </row>
    <row r="66">
      <c r="B66" s="32" t="s">
        <v>2092</v>
      </c>
      <c r="C66" s="35" t="s">
        <v>58</v>
      </c>
      <c r="D66" s="32" t="s">
        <v>2076</v>
      </c>
      <c r="E66" s="11" t="s">
        <v>37</v>
      </c>
    </row>
    <row r="67">
      <c r="B67" s="72" t="s">
        <v>2093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16" t="s">
        <v>5</v>
      </c>
    </row>
    <row r="69">
      <c r="B69" s="32" t="s">
        <v>2094</v>
      </c>
      <c r="C69" s="33" t="s">
        <v>283</v>
      </c>
      <c r="D69" s="32" t="s">
        <v>1658</v>
      </c>
      <c r="E69" s="11" t="s">
        <v>9</v>
      </c>
    </row>
    <row r="70">
      <c r="B70" s="32" t="s">
        <v>851</v>
      </c>
      <c r="C70" s="33" t="s">
        <v>273</v>
      </c>
      <c r="D70" s="32" t="s">
        <v>962</v>
      </c>
      <c r="E70" s="11" t="s">
        <v>13</v>
      </c>
    </row>
    <row r="71">
      <c r="B71" s="32" t="s">
        <v>1128</v>
      </c>
      <c r="C71" s="33" t="s">
        <v>244</v>
      </c>
      <c r="D71" s="32" t="s">
        <v>2094</v>
      </c>
      <c r="E71" s="11" t="s">
        <v>9</v>
      </c>
    </row>
    <row r="72">
      <c r="B72" s="32" t="s">
        <v>851</v>
      </c>
      <c r="C72" s="33" t="s">
        <v>208</v>
      </c>
      <c r="D72" s="32" t="s">
        <v>1658</v>
      </c>
      <c r="E72" s="11" t="s">
        <v>13</v>
      </c>
    </row>
    <row r="73">
      <c r="B73" s="32" t="s">
        <v>1128</v>
      </c>
      <c r="C73" s="33" t="s">
        <v>250</v>
      </c>
      <c r="D73" s="32" t="s">
        <v>962</v>
      </c>
      <c r="E73" s="11" t="s">
        <v>9</v>
      </c>
    </row>
    <row r="74">
      <c r="B74" s="32" t="s">
        <v>851</v>
      </c>
      <c r="C74" s="33" t="s">
        <v>65</v>
      </c>
      <c r="D74" s="32" t="s">
        <v>2094</v>
      </c>
      <c r="E74" s="11" t="s">
        <v>13</v>
      </c>
    </row>
    <row r="75">
      <c r="B75" s="32" t="s">
        <v>1128</v>
      </c>
      <c r="C75" s="33" t="s">
        <v>291</v>
      </c>
      <c r="D75" s="32" t="s">
        <v>1658</v>
      </c>
      <c r="E75" s="11" t="s">
        <v>9</v>
      </c>
    </row>
    <row r="76">
      <c r="B76" s="32" t="s">
        <v>962</v>
      </c>
      <c r="C76" s="33" t="s">
        <v>35</v>
      </c>
      <c r="D76" s="32" t="s">
        <v>2094</v>
      </c>
      <c r="E76" s="11" t="s">
        <v>13</v>
      </c>
    </row>
    <row r="77">
      <c r="B77" s="32" t="s">
        <v>1128</v>
      </c>
      <c r="C77" s="33" t="s">
        <v>658</v>
      </c>
      <c r="D77" s="32" t="s">
        <v>851</v>
      </c>
      <c r="E77" s="11" t="s">
        <v>9</v>
      </c>
    </row>
    <row r="78">
      <c r="B78" s="32" t="s">
        <v>962</v>
      </c>
      <c r="C78" s="33" t="s">
        <v>282</v>
      </c>
      <c r="D78" s="32" t="s">
        <v>1658</v>
      </c>
      <c r="E78" s="11" t="s">
        <v>13</v>
      </c>
    </row>
    <row r="79">
      <c r="B79" s="32" t="s">
        <v>1658</v>
      </c>
      <c r="C79" s="33" t="s">
        <v>19</v>
      </c>
      <c r="D79" s="32" t="s">
        <v>2094</v>
      </c>
      <c r="E79" s="11" t="s">
        <v>9</v>
      </c>
    </row>
    <row r="80">
      <c r="B80" s="32" t="s">
        <v>962</v>
      </c>
      <c r="C80" s="33" t="s">
        <v>197</v>
      </c>
      <c r="D80" s="32" t="s">
        <v>851</v>
      </c>
      <c r="E80" s="11" t="s">
        <v>13</v>
      </c>
    </row>
    <row r="81">
      <c r="B81" s="32" t="s">
        <v>2094</v>
      </c>
      <c r="C81" s="35" t="s">
        <v>201</v>
      </c>
      <c r="D81" s="32" t="s">
        <v>1128</v>
      </c>
      <c r="E81" s="11" t="s">
        <v>9</v>
      </c>
    </row>
    <row r="82">
      <c r="B82" s="32" t="s">
        <v>1658</v>
      </c>
      <c r="C82" s="35" t="s">
        <v>614</v>
      </c>
      <c r="D82" s="32" t="s">
        <v>851</v>
      </c>
      <c r="E82" s="11" t="s">
        <v>13</v>
      </c>
    </row>
    <row r="83">
      <c r="B83" s="32" t="s">
        <v>962</v>
      </c>
      <c r="C83" s="35" t="s">
        <v>197</v>
      </c>
      <c r="D83" s="32" t="s">
        <v>1128</v>
      </c>
      <c r="E83" s="11" t="s">
        <v>9</v>
      </c>
    </row>
    <row r="84">
      <c r="B84" s="32" t="s">
        <v>2094</v>
      </c>
      <c r="C84" s="35" t="s">
        <v>535</v>
      </c>
      <c r="D84" s="32" t="s">
        <v>851</v>
      </c>
      <c r="E84" s="11" t="s">
        <v>13</v>
      </c>
    </row>
    <row r="85">
      <c r="B85" s="32" t="s">
        <v>1658</v>
      </c>
      <c r="C85" s="35" t="s">
        <v>43</v>
      </c>
      <c r="D85" s="32" t="s">
        <v>1128</v>
      </c>
      <c r="E85" s="11" t="s">
        <v>9</v>
      </c>
    </row>
    <row r="86">
      <c r="B86" s="32" t="s">
        <v>2094</v>
      </c>
      <c r="C86" s="35" t="s">
        <v>201</v>
      </c>
      <c r="D86" s="32" t="s">
        <v>962</v>
      </c>
      <c r="E86" s="11" t="s">
        <v>13</v>
      </c>
    </row>
    <row r="87">
      <c r="B87" s="32" t="s">
        <v>851</v>
      </c>
      <c r="C87" s="35" t="s">
        <v>270</v>
      </c>
      <c r="D87" s="32" t="s">
        <v>1128</v>
      </c>
      <c r="E87" s="11" t="s">
        <v>9</v>
      </c>
    </row>
    <row r="88">
      <c r="B88" s="32" t="s">
        <v>1658</v>
      </c>
      <c r="C88" s="35" t="s">
        <v>251</v>
      </c>
      <c r="D88" s="32" t="s">
        <v>962</v>
      </c>
      <c r="E88" s="11" t="s">
        <v>13</v>
      </c>
    </row>
    <row r="89">
      <c r="B89" s="1" t="s">
        <v>1400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16" t="s">
        <v>5</v>
      </c>
    </row>
    <row r="91">
      <c r="B91" s="32" t="s">
        <v>2095</v>
      </c>
      <c r="C91" s="35" t="s">
        <v>370</v>
      </c>
      <c r="D91" s="32" t="s">
        <v>2096</v>
      </c>
      <c r="E91" s="11" t="s">
        <v>9</v>
      </c>
    </row>
    <row r="92">
      <c r="B92" s="32" t="s">
        <v>2049</v>
      </c>
      <c r="C92" s="35" t="s">
        <v>389</v>
      </c>
      <c r="D92" s="32" t="s">
        <v>2097</v>
      </c>
      <c r="E92" s="11" t="s">
        <v>13</v>
      </c>
    </row>
    <row r="93">
      <c r="B93" s="32" t="s">
        <v>2098</v>
      </c>
      <c r="C93" s="35" t="s">
        <v>195</v>
      </c>
      <c r="D93" s="32" t="s">
        <v>2095</v>
      </c>
      <c r="E93" s="11" t="s">
        <v>9</v>
      </c>
    </row>
    <row r="94">
      <c r="B94" s="32" t="s">
        <v>2049</v>
      </c>
      <c r="C94" s="35" t="s">
        <v>81</v>
      </c>
      <c r="D94" s="32" t="s">
        <v>2096</v>
      </c>
      <c r="E94" s="11" t="s">
        <v>13</v>
      </c>
    </row>
    <row r="95">
      <c r="B95" s="32" t="s">
        <v>2098</v>
      </c>
      <c r="C95" s="35" t="s">
        <v>22</v>
      </c>
      <c r="D95" s="32" t="s">
        <v>2097</v>
      </c>
      <c r="E95" s="11" t="s">
        <v>9</v>
      </c>
    </row>
    <row r="96">
      <c r="B96" s="32" t="s">
        <v>2049</v>
      </c>
      <c r="C96" s="35" t="s">
        <v>66</v>
      </c>
      <c r="D96" s="32" t="s">
        <v>2095</v>
      </c>
      <c r="E96" s="11" t="s">
        <v>13</v>
      </c>
    </row>
    <row r="97">
      <c r="B97" s="32" t="s">
        <v>2098</v>
      </c>
      <c r="C97" s="35" t="s">
        <v>81</v>
      </c>
      <c r="D97" s="32" t="s">
        <v>2096</v>
      </c>
      <c r="E97" s="11" t="s">
        <v>9</v>
      </c>
    </row>
    <row r="98">
      <c r="B98" s="32" t="s">
        <v>2097</v>
      </c>
      <c r="C98" s="35" t="s">
        <v>25</v>
      </c>
      <c r="D98" s="32" t="s">
        <v>2095</v>
      </c>
      <c r="E98" s="11" t="s">
        <v>13</v>
      </c>
    </row>
    <row r="99">
      <c r="B99" s="32" t="s">
        <v>2098</v>
      </c>
      <c r="C99" s="35" t="s">
        <v>494</v>
      </c>
      <c r="D99" s="32" t="s">
        <v>2049</v>
      </c>
      <c r="E99" s="11" t="s">
        <v>9</v>
      </c>
    </row>
    <row r="100">
      <c r="B100" s="32" t="s">
        <v>2097</v>
      </c>
      <c r="C100" s="35" t="s">
        <v>87</v>
      </c>
      <c r="D100" s="32" t="s">
        <v>2096</v>
      </c>
      <c r="E100" s="11" t="s">
        <v>13</v>
      </c>
    </row>
    <row r="101">
      <c r="B101" s="32" t="s">
        <v>2096</v>
      </c>
      <c r="C101" s="35" t="s">
        <v>218</v>
      </c>
      <c r="D101" s="32" t="s">
        <v>2095</v>
      </c>
      <c r="E101" s="11" t="s">
        <v>9</v>
      </c>
    </row>
    <row r="102">
      <c r="B102" s="32" t="s">
        <v>2097</v>
      </c>
      <c r="C102" s="35" t="s">
        <v>260</v>
      </c>
      <c r="D102" s="32" t="s">
        <v>2049</v>
      </c>
      <c r="E102" s="11" t="s">
        <v>13</v>
      </c>
    </row>
    <row r="103">
      <c r="B103" s="32" t="s">
        <v>2095</v>
      </c>
      <c r="C103" s="35" t="s">
        <v>78</v>
      </c>
      <c r="D103" s="32" t="s">
        <v>2098</v>
      </c>
      <c r="E103" s="11" t="s">
        <v>9</v>
      </c>
    </row>
    <row r="104">
      <c r="B104" s="32" t="s">
        <v>2096</v>
      </c>
      <c r="C104" s="35" t="s">
        <v>240</v>
      </c>
      <c r="D104" s="32" t="s">
        <v>2049</v>
      </c>
      <c r="E104" s="11" t="s">
        <v>13</v>
      </c>
    </row>
    <row r="105">
      <c r="B105" s="32" t="s">
        <v>2097</v>
      </c>
      <c r="C105" s="35" t="s">
        <v>87</v>
      </c>
      <c r="D105" s="32" t="s">
        <v>2098</v>
      </c>
      <c r="E105" s="11" t="s">
        <v>9</v>
      </c>
    </row>
    <row r="106">
      <c r="B106" s="32" t="s">
        <v>2095</v>
      </c>
      <c r="C106" s="35" t="s">
        <v>18</v>
      </c>
      <c r="D106" s="32" t="s">
        <v>2049</v>
      </c>
      <c r="E106" s="11" t="s">
        <v>13</v>
      </c>
    </row>
    <row r="107">
      <c r="B107" s="32" t="s">
        <v>2096</v>
      </c>
      <c r="C107" s="35" t="s">
        <v>380</v>
      </c>
      <c r="D107" s="32" t="s">
        <v>2098</v>
      </c>
      <c r="E107" s="11" t="s">
        <v>9</v>
      </c>
    </row>
    <row r="108">
      <c r="B108" s="32" t="s">
        <v>2095</v>
      </c>
      <c r="C108" s="35" t="s">
        <v>22</v>
      </c>
      <c r="D108" s="32" t="s">
        <v>2097</v>
      </c>
      <c r="E108" s="11" t="s">
        <v>13</v>
      </c>
    </row>
    <row r="109">
      <c r="B109" s="32" t="s">
        <v>2049</v>
      </c>
      <c r="C109" s="35" t="s">
        <v>267</v>
      </c>
      <c r="D109" s="32" t="s">
        <v>2098</v>
      </c>
      <c r="E109" s="11" t="s">
        <v>9</v>
      </c>
    </row>
    <row r="110">
      <c r="B110" s="32" t="s">
        <v>2096</v>
      </c>
      <c r="C110" s="35" t="s">
        <v>218</v>
      </c>
      <c r="D110" s="32" t="s">
        <v>2097</v>
      </c>
      <c r="E110" s="11" t="s">
        <v>13</v>
      </c>
    </row>
    <row r="111">
      <c r="B111" s="1" t="s">
        <v>2099</v>
      </c>
      <c r="C111" s="2"/>
      <c r="D111" s="3"/>
      <c r="E111" s="4"/>
    </row>
    <row r="112"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B113" s="32" t="s">
        <v>2100</v>
      </c>
      <c r="C113" s="33" t="s">
        <v>17</v>
      </c>
      <c r="D113" s="32" t="s">
        <v>2101</v>
      </c>
      <c r="E113" s="11" t="s">
        <v>9</v>
      </c>
    </row>
    <row r="114">
      <c r="B114" s="32" t="s">
        <v>1098</v>
      </c>
      <c r="C114" s="33" t="s">
        <v>43</v>
      </c>
      <c r="D114" s="32" t="s">
        <v>773</v>
      </c>
      <c r="E114" s="11" t="s">
        <v>13</v>
      </c>
    </row>
    <row r="115">
      <c r="B115" s="32" t="s">
        <v>315</v>
      </c>
      <c r="C115" s="33" t="s">
        <v>370</v>
      </c>
      <c r="D115" s="32" t="s">
        <v>2100</v>
      </c>
      <c r="E115" s="11" t="s">
        <v>9</v>
      </c>
    </row>
    <row r="116">
      <c r="B116" s="32" t="s">
        <v>1098</v>
      </c>
      <c r="C116" s="33" t="s">
        <v>293</v>
      </c>
      <c r="D116" s="32" t="s">
        <v>2101</v>
      </c>
      <c r="E116" s="11" t="s">
        <v>13</v>
      </c>
    </row>
    <row r="117">
      <c r="B117" s="32" t="s">
        <v>315</v>
      </c>
      <c r="C117" s="33" t="s">
        <v>17</v>
      </c>
      <c r="D117" s="32" t="s">
        <v>773</v>
      </c>
      <c r="E117" s="11" t="s">
        <v>9</v>
      </c>
    </row>
    <row r="118">
      <c r="B118" s="32" t="s">
        <v>1098</v>
      </c>
      <c r="C118" s="33" t="s">
        <v>190</v>
      </c>
      <c r="D118" s="32" t="s">
        <v>2100</v>
      </c>
      <c r="E118" s="11" t="s">
        <v>13</v>
      </c>
    </row>
    <row r="119">
      <c r="B119" s="32" t="s">
        <v>315</v>
      </c>
      <c r="C119" s="33" t="s">
        <v>566</v>
      </c>
      <c r="D119" s="32" t="s">
        <v>2101</v>
      </c>
      <c r="E119" s="11" t="s">
        <v>9</v>
      </c>
    </row>
    <row r="120">
      <c r="B120" s="32" t="s">
        <v>773</v>
      </c>
      <c r="C120" s="33" t="s">
        <v>81</v>
      </c>
      <c r="D120" s="32" t="s">
        <v>2100</v>
      </c>
      <c r="E120" s="11" t="s">
        <v>13</v>
      </c>
    </row>
    <row r="121">
      <c r="B121" s="32" t="s">
        <v>315</v>
      </c>
      <c r="C121" s="33" t="s">
        <v>190</v>
      </c>
      <c r="D121" s="32" t="s">
        <v>1098</v>
      </c>
      <c r="E121" s="11" t="s">
        <v>9</v>
      </c>
    </row>
    <row r="122">
      <c r="B122" s="32" t="s">
        <v>773</v>
      </c>
      <c r="C122" s="33" t="s">
        <v>259</v>
      </c>
      <c r="D122" s="32" t="s">
        <v>2101</v>
      </c>
      <c r="E122" s="11" t="s">
        <v>13</v>
      </c>
    </row>
    <row r="123">
      <c r="B123" s="32" t="s">
        <v>2101</v>
      </c>
      <c r="C123" s="33" t="s">
        <v>2102</v>
      </c>
      <c r="D123" s="32" t="s">
        <v>2100</v>
      </c>
      <c r="E123" s="11" t="s">
        <v>9</v>
      </c>
    </row>
    <row r="124">
      <c r="B124" s="32" t="s">
        <v>773</v>
      </c>
      <c r="C124" s="33" t="s">
        <v>259</v>
      </c>
      <c r="D124" s="32" t="s">
        <v>1098</v>
      </c>
      <c r="E124" s="11" t="s">
        <v>13</v>
      </c>
    </row>
    <row r="125">
      <c r="B125" s="32" t="s">
        <v>2100</v>
      </c>
      <c r="C125" s="35" t="s">
        <v>17</v>
      </c>
      <c r="D125" s="32" t="s">
        <v>315</v>
      </c>
      <c r="E125" s="11" t="s">
        <v>9</v>
      </c>
    </row>
    <row r="126">
      <c r="B126" s="32" t="s">
        <v>2101</v>
      </c>
      <c r="C126" s="35" t="s">
        <v>217</v>
      </c>
      <c r="D126" s="32" t="s">
        <v>1098</v>
      </c>
      <c r="E126" s="11" t="s">
        <v>13</v>
      </c>
    </row>
    <row r="127">
      <c r="B127" s="32" t="s">
        <v>773</v>
      </c>
      <c r="C127" s="35" t="s">
        <v>22</v>
      </c>
      <c r="D127" s="32" t="s">
        <v>315</v>
      </c>
      <c r="E127" s="11" t="s">
        <v>9</v>
      </c>
    </row>
    <row r="128">
      <c r="B128" s="32" t="s">
        <v>2100</v>
      </c>
      <c r="C128" s="35" t="s">
        <v>43</v>
      </c>
      <c r="D128" s="32" t="s">
        <v>1098</v>
      </c>
      <c r="E128" s="11" t="s">
        <v>13</v>
      </c>
    </row>
    <row r="129">
      <c r="B129" s="32" t="s">
        <v>2101</v>
      </c>
      <c r="C129" s="35" t="s">
        <v>87</v>
      </c>
      <c r="D129" s="32" t="s">
        <v>315</v>
      </c>
      <c r="E129" s="11" t="s">
        <v>9</v>
      </c>
    </row>
    <row r="130">
      <c r="B130" s="32" t="s">
        <v>2100</v>
      </c>
      <c r="C130" s="35" t="s">
        <v>87</v>
      </c>
      <c r="D130" s="32" t="s">
        <v>773</v>
      </c>
      <c r="E130" s="11" t="s">
        <v>13</v>
      </c>
    </row>
    <row r="131">
      <c r="B131" s="32" t="s">
        <v>1098</v>
      </c>
      <c r="C131" s="35" t="s">
        <v>273</v>
      </c>
      <c r="D131" s="32" t="s">
        <v>315</v>
      </c>
      <c r="E131" s="11" t="s">
        <v>9</v>
      </c>
    </row>
    <row r="132">
      <c r="B132" s="32" t="s">
        <v>2101</v>
      </c>
      <c r="C132" s="35" t="s">
        <v>190</v>
      </c>
      <c r="D132" s="32" t="s">
        <v>773</v>
      </c>
      <c r="E132" s="11" t="s">
        <v>13</v>
      </c>
    </row>
    <row r="133">
      <c r="B133" s="1" t="s">
        <v>2103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32" t="s">
        <v>1733</v>
      </c>
      <c r="C135" s="33" t="s">
        <v>684</v>
      </c>
      <c r="D135" s="32" t="s">
        <v>2104</v>
      </c>
      <c r="E135" s="11" t="s">
        <v>33</v>
      </c>
    </row>
    <row r="136">
      <c r="B136" s="32" t="s">
        <v>1791</v>
      </c>
      <c r="C136" s="33" t="s">
        <v>62</v>
      </c>
      <c r="D136" s="32" t="s">
        <v>1519</v>
      </c>
      <c r="E136" s="11" t="s">
        <v>37</v>
      </c>
    </row>
    <row r="137">
      <c r="B137" s="32" t="s">
        <v>2105</v>
      </c>
      <c r="C137" s="33" t="s">
        <v>11</v>
      </c>
      <c r="D137" s="32" t="s">
        <v>1733</v>
      </c>
      <c r="E137" s="11" t="s">
        <v>33</v>
      </c>
    </row>
    <row r="138">
      <c r="B138" s="32" t="s">
        <v>1791</v>
      </c>
      <c r="C138" s="33" t="s">
        <v>190</v>
      </c>
      <c r="D138" s="32" t="s">
        <v>2104</v>
      </c>
      <c r="E138" s="11" t="s">
        <v>37</v>
      </c>
    </row>
    <row r="139">
      <c r="B139" s="32" t="s">
        <v>2105</v>
      </c>
      <c r="C139" s="33" t="s">
        <v>201</v>
      </c>
      <c r="D139" s="32" t="s">
        <v>1519</v>
      </c>
      <c r="E139" s="11" t="s">
        <v>33</v>
      </c>
    </row>
    <row r="140">
      <c r="B140" s="32" t="s">
        <v>1791</v>
      </c>
      <c r="C140" s="33" t="s">
        <v>260</v>
      </c>
      <c r="D140" s="32" t="s">
        <v>1733</v>
      </c>
      <c r="E140" s="11" t="s">
        <v>37</v>
      </c>
    </row>
    <row r="141">
      <c r="B141" s="32" t="s">
        <v>2105</v>
      </c>
      <c r="C141" s="33" t="s">
        <v>48</v>
      </c>
      <c r="D141" s="32" t="s">
        <v>2104</v>
      </c>
      <c r="E141" s="11" t="s">
        <v>33</v>
      </c>
    </row>
    <row r="142">
      <c r="B142" s="32" t="s">
        <v>1519</v>
      </c>
      <c r="C142" s="33" t="s">
        <v>81</v>
      </c>
      <c r="D142" s="32" t="s">
        <v>1733</v>
      </c>
      <c r="E142" s="11" t="s">
        <v>37</v>
      </c>
    </row>
    <row r="143">
      <c r="B143" s="32" t="s">
        <v>2105</v>
      </c>
      <c r="C143" s="33" t="s">
        <v>196</v>
      </c>
      <c r="D143" s="32" t="s">
        <v>1791</v>
      </c>
      <c r="E143" s="11" t="s">
        <v>33</v>
      </c>
    </row>
    <row r="144">
      <c r="B144" s="32" t="s">
        <v>1519</v>
      </c>
      <c r="C144" s="33" t="s">
        <v>286</v>
      </c>
      <c r="D144" s="32" t="s">
        <v>2104</v>
      </c>
      <c r="E144" s="11" t="s">
        <v>37</v>
      </c>
    </row>
    <row r="145">
      <c r="B145" s="32" t="s">
        <v>2104</v>
      </c>
      <c r="C145" s="33" t="s">
        <v>536</v>
      </c>
      <c r="D145" s="32" t="s">
        <v>1733</v>
      </c>
      <c r="E145" s="11" t="s">
        <v>33</v>
      </c>
    </row>
    <row r="146">
      <c r="B146" s="32" t="s">
        <v>1519</v>
      </c>
      <c r="C146" s="33" t="s">
        <v>267</v>
      </c>
      <c r="D146" s="32" t="s">
        <v>1791</v>
      </c>
      <c r="E146" s="11" t="s">
        <v>37</v>
      </c>
    </row>
    <row r="147">
      <c r="B147" s="32" t="s">
        <v>1733</v>
      </c>
      <c r="C147" s="35" t="s">
        <v>426</v>
      </c>
      <c r="D147" s="32" t="s">
        <v>2105</v>
      </c>
      <c r="E147" s="11" t="s">
        <v>33</v>
      </c>
    </row>
    <row r="148">
      <c r="B148" s="32" t="s">
        <v>2104</v>
      </c>
      <c r="C148" s="35" t="s">
        <v>16</v>
      </c>
      <c r="D148" s="32" t="s">
        <v>1791</v>
      </c>
      <c r="E148" s="11" t="s">
        <v>37</v>
      </c>
    </row>
    <row r="149">
      <c r="B149" s="32" t="s">
        <v>1519</v>
      </c>
      <c r="C149" s="35" t="s">
        <v>16</v>
      </c>
      <c r="D149" s="32" t="s">
        <v>2105</v>
      </c>
      <c r="E149" s="11" t="s">
        <v>33</v>
      </c>
    </row>
    <row r="150">
      <c r="B150" s="32" t="s">
        <v>1733</v>
      </c>
      <c r="C150" s="35" t="s">
        <v>455</v>
      </c>
      <c r="D150" s="32" t="s">
        <v>1791</v>
      </c>
      <c r="E150" s="11" t="s">
        <v>37</v>
      </c>
    </row>
    <row r="151">
      <c r="B151" s="32" t="s">
        <v>2104</v>
      </c>
      <c r="C151" s="35" t="s">
        <v>239</v>
      </c>
      <c r="D151" s="32" t="s">
        <v>2105</v>
      </c>
      <c r="E151" s="11" t="s">
        <v>33</v>
      </c>
    </row>
    <row r="152">
      <c r="B152" s="32" t="s">
        <v>1733</v>
      </c>
      <c r="C152" s="35" t="s">
        <v>68</v>
      </c>
      <c r="D152" s="32" t="s">
        <v>1519</v>
      </c>
      <c r="E152" s="11" t="s">
        <v>37</v>
      </c>
    </row>
    <row r="153">
      <c r="B153" s="32" t="s">
        <v>1791</v>
      </c>
      <c r="C153" s="35" t="s">
        <v>11</v>
      </c>
      <c r="D153" s="32" t="s">
        <v>2105</v>
      </c>
      <c r="E153" s="11" t="s">
        <v>33</v>
      </c>
    </row>
    <row r="154">
      <c r="B154" s="32" t="s">
        <v>2104</v>
      </c>
      <c r="C154" s="35" t="s">
        <v>283</v>
      </c>
      <c r="D154" s="32" t="s">
        <v>1519</v>
      </c>
      <c r="E154" s="11" t="s">
        <v>37</v>
      </c>
    </row>
    <row r="155">
      <c r="B155" s="1" t="s">
        <v>2041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B157" s="32" t="s">
        <v>2106</v>
      </c>
      <c r="C157" s="57" t="s">
        <v>449</v>
      </c>
      <c r="D157" s="32" t="s">
        <v>2107</v>
      </c>
      <c r="E157" s="24" t="s">
        <v>9</v>
      </c>
    </row>
    <row r="158">
      <c r="B158" s="32" t="s">
        <v>728</v>
      </c>
      <c r="C158" s="57" t="s">
        <v>449</v>
      </c>
      <c r="D158" s="32" t="s">
        <v>1865</v>
      </c>
      <c r="E158" s="24" t="s">
        <v>13</v>
      </c>
    </row>
    <row r="159">
      <c r="B159" s="32" t="s">
        <v>2108</v>
      </c>
      <c r="C159" s="57" t="s">
        <v>449</v>
      </c>
      <c r="D159" s="32" t="s">
        <v>2106</v>
      </c>
      <c r="E159" s="24" t="s">
        <v>9</v>
      </c>
    </row>
    <row r="160">
      <c r="B160" s="32" t="s">
        <v>728</v>
      </c>
      <c r="C160" s="57" t="s">
        <v>449</v>
      </c>
      <c r="D160" s="32" t="s">
        <v>2107</v>
      </c>
      <c r="E160" s="24" t="s">
        <v>13</v>
      </c>
    </row>
    <row r="161">
      <c r="B161" s="32" t="s">
        <v>2108</v>
      </c>
      <c r="C161" s="33" t="s">
        <v>81</v>
      </c>
      <c r="D161" s="32" t="s">
        <v>1865</v>
      </c>
      <c r="E161" s="11" t="s">
        <v>9</v>
      </c>
    </row>
    <row r="162">
      <c r="B162" s="32" t="s">
        <v>728</v>
      </c>
      <c r="C162" s="33" t="s">
        <v>197</v>
      </c>
      <c r="D162" s="32" t="s">
        <v>2106</v>
      </c>
      <c r="E162" s="11" t="s">
        <v>13</v>
      </c>
    </row>
    <row r="163">
      <c r="B163" s="32" t="s">
        <v>2108</v>
      </c>
      <c r="C163" s="33" t="s">
        <v>43</v>
      </c>
      <c r="D163" s="32" t="s">
        <v>2107</v>
      </c>
      <c r="E163" s="11" t="s">
        <v>9</v>
      </c>
    </row>
    <row r="164">
      <c r="B164" s="32" t="s">
        <v>1865</v>
      </c>
      <c r="C164" s="33" t="s">
        <v>312</v>
      </c>
      <c r="D164" s="32" t="s">
        <v>2106</v>
      </c>
      <c r="E164" s="11" t="s">
        <v>13</v>
      </c>
    </row>
    <row r="165">
      <c r="B165" s="32" t="s">
        <v>2108</v>
      </c>
      <c r="C165" s="33" t="s">
        <v>285</v>
      </c>
      <c r="D165" s="32" t="s">
        <v>728</v>
      </c>
      <c r="E165" s="11" t="s">
        <v>9</v>
      </c>
    </row>
    <row r="166">
      <c r="B166" s="32" t="s">
        <v>1865</v>
      </c>
      <c r="C166" s="33" t="s">
        <v>285</v>
      </c>
      <c r="D166" s="32" t="s">
        <v>2107</v>
      </c>
      <c r="E166" s="11" t="s">
        <v>13</v>
      </c>
    </row>
    <row r="167">
      <c r="B167" s="32" t="s">
        <v>2107</v>
      </c>
      <c r="C167" s="33" t="s">
        <v>25</v>
      </c>
      <c r="D167" s="32" t="s">
        <v>2106</v>
      </c>
      <c r="E167" s="11" t="s">
        <v>9</v>
      </c>
    </row>
    <row r="168">
      <c r="B168" s="32" t="s">
        <v>1865</v>
      </c>
      <c r="C168" s="33" t="s">
        <v>87</v>
      </c>
      <c r="D168" s="32" t="s">
        <v>728</v>
      </c>
      <c r="E168" s="11" t="s">
        <v>13</v>
      </c>
    </row>
    <row r="169">
      <c r="B169" s="32" t="s">
        <v>2106</v>
      </c>
      <c r="C169" s="35" t="s">
        <v>250</v>
      </c>
      <c r="D169" s="32" t="s">
        <v>2108</v>
      </c>
      <c r="E169" s="11" t="s">
        <v>9</v>
      </c>
    </row>
    <row r="170">
      <c r="B170" s="32" t="s">
        <v>2107</v>
      </c>
      <c r="C170" s="35" t="s">
        <v>416</v>
      </c>
      <c r="D170" s="32" t="s">
        <v>728</v>
      </c>
      <c r="E170" s="11" t="s">
        <v>13</v>
      </c>
    </row>
    <row r="171">
      <c r="B171" s="32" t="s">
        <v>1865</v>
      </c>
      <c r="C171" s="35" t="s">
        <v>47</v>
      </c>
      <c r="D171" s="32" t="s">
        <v>2108</v>
      </c>
      <c r="E171" s="11" t="s">
        <v>9</v>
      </c>
    </row>
    <row r="172">
      <c r="B172" s="32" t="s">
        <v>2106</v>
      </c>
      <c r="C172" s="35" t="s">
        <v>261</v>
      </c>
      <c r="D172" s="32" t="s">
        <v>728</v>
      </c>
      <c r="E172" s="11" t="s">
        <v>13</v>
      </c>
    </row>
    <row r="173">
      <c r="B173" s="32" t="s">
        <v>2107</v>
      </c>
      <c r="C173" s="35" t="s">
        <v>270</v>
      </c>
      <c r="D173" s="32" t="s">
        <v>2108</v>
      </c>
      <c r="E173" s="11" t="s">
        <v>9</v>
      </c>
    </row>
    <row r="174">
      <c r="B174" s="32" t="s">
        <v>2106</v>
      </c>
      <c r="C174" s="35" t="s">
        <v>16</v>
      </c>
      <c r="D174" s="32" t="s">
        <v>1865</v>
      </c>
      <c r="E174" s="11" t="s">
        <v>13</v>
      </c>
    </row>
    <row r="175">
      <c r="B175" s="32" t="s">
        <v>728</v>
      </c>
      <c r="C175" s="35" t="s">
        <v>11</v>
      </c>
      <c r="D175" s="32" t="s">
        <v>2108</v>
      </c>
      <c r="E175" s="11" t="s">
        <v>9</v>
      </c>
    </row>
    <row r="176">
      <c r="B176" s="32" t="s">
        <v>2107</v>
      </c>
      <c r="C176" s="35" t="s">
        <v>286</v>
      </c>
      <c r="D176" s="32" t="s">
        <v>1865</v>
      </c>
      <c r="E176" s="11" t="s">
        <v>13</v>
      </c>
    </row>
    <row r="177">
      <c r="B177" s="1" t="s">
        <v>2109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B179" s="32" t="s">
        <v>1092</v>
      </c>
      <c r="C179" s="33" t="s">
        <v>797</v>
      </c>
      <c r="D179" s="32" t="s">
        <v>139</v>
      </c>
      <c r="E179" s="11" t="s">
        <v>33</v>
      </c>
    </row>
    <row r="180">
      <c r="B180" s="32" t="s">
        <v>1012</v>
      </c>
      <c r="C180" s="33" t="s">
        <v>239</v>
      </c>
      <c r="D180" s="32" t="s">
        <v>2110</v>
      </c>
      <c r="E180" s="11" t="s">
        <v>37</v>
      </c>
    </row>
    <row r="181">
      <c r="B181" s="32" t="s">
        <v>1876</v>
      </c>
      <c r="C181" s="33" t="s">
        <v>203</v>
      </c>
      <c r="D181" s="32" t="s">
        <v>1092</v>
      </c>
      <c r="E181" s="11" t="s">
        <v>33</v>
      </c>
    </row>
    <row r="182">
      <c r="B182" s="32" t="s">
        <v>1012</v>
      </c>
      <c r="C182" s="33" t="s">
        <v>81</v>
      </c>
      <c r="D182" s="32" t="s">
        <v>139</v>
      </c>
      <c r="E182" s="11" t="s">
        <v>37</v>
      </c>
    </row>
    <row r="183">
      <c r="B183" s="32" t="s">
        <v>1876</v>
      </c>
      <c r="C183" s="33" t="s">
        <v>1728</v>
      </c>
      <c r="D183" s="32" t="s">
        <v>2110</v>
      </c>
      <c r="E183" s="11" t="s">
        <v>33</v>
      </c>
    </row>
    <row r="184">
      <c r="B184" s="32" t="s">
        <v>1012</v>
      </c>
      <c r="C184" s="33" t="s">
        <v>26</v>
      </c>
      <c r="D184" s="32" t="s">
        <v>1092</v>
      </c>
      <c r="E184" s="11" t="s">
        <v>37</v>
      </c>
    </row>
    <row r="185">
      <c r="B185" s="32" t="s">
        <v>1876</v>
      </c>
      <c r="C185" s="33" t="s">
        <v>220</v>
      </c>
      <c r="D185" s="32" t="s">
        <v>139</v>
      </c>
      <c r="E185" s="11" t="s">
        <v>33</v>
      </c>
    </row>
    <row r="186">
      <c r="B186" s="32" t="s">
        <v>2110</v>
      </c>
      <c r="C186" s="33" t="s">
        <v>201</v>
      </c>
      <c r="D186" s="32" t="s">
        <v>1092</v>
      </c>
      <c r="E186" s="11" t="s">
        <v>37</v>
      </c>
    </row>
    <row r="187">
      <c r="B187" s="32" t="s">
        <v>1876</v>
      </c>
      <c r="C187" s="57" t="s">
        <v>449</v>
      </c>
      <c r="D187" s="32" t="s">
        <v>1012</v>
      </c>
      <c r="E187" s="24" t="s">
        <v>33</v>
      </c>
    </row>
    <row r="188">
      <c r="B188" s="32" t="s">
        <v>2110</v>
      </c>
      <c r="C188" s="57" t="s">
        <v>449</v>
      </c>
      <c r="D188" s="32" t="s">
        <v>139</v>
      </c>
      <c r="E188" s="24" t="s">
        <v>37</v>
      </c>
    </row>
    <row r="189">
      <c r="B189" s="32" t="s">
        <v>139</v>
      </c>
      <c r="C189" s="57" t="s">
        <v>449</v>
      </c>
      <c r="D189" s="32" t="s">
        <v>1092</v>
      </c>
      <c r="E189" s="24" t="s">
        <v>33</v>
      </c>
    </row>
    <row r="190">
      <c r="B190" s="32" t="s">
        <v>2110</v>
      </c>
      <c r="C190" s="57" t="s">
        <v>449</v>
      </c>
      <c r="D190" s="32" t="s">
        <v>1012</v>
      </c>
      <c r="E190" s="24" t="s">
        <v>37</v>
      </c>
    </row>
    <row r="191">
      <c r="B191" s="32" t="s">
        <v>1092</v>
      </c>
      <c r="C191" s="35" t="s">
        <v>62</v>
      </c>
      <c r="D191" s="32" t="s">
        <v>1876</v>
      </c>
      <c r="E191" s="11" t="s">
        <v>33</v>
      </c>
    </row>
    <row r="192">
      <c r="B192" s="32" t="s">
        <v>139</v>
      </c>
      <c r="C192" s="35" t="s">
        <v>243</v>
      </c>
      <c r="D192" s="32" t="s">
        <v>1012</v>
      </c>
      <c r="E192" s="11" t="s">
        <v>37</v>
      </c>
    </row>
    <row r="193">
      <c r="B193" s="32" t="s">
        <v>2110</v>
      </c>
      <c r="C193" s="35" t="s">
        <v>16</v>
      </c>
      <c r="D193" s="32" t="s">
        <v>1876</v>
      </c>
      <c r="E193" s="11" t="s">
        <v>33</v>
      </c>
    </row>
    <row r="194">
      <c r="B194" s="32" t="s">
        <v>1092</v>
      </c>
      <c r="C194" s="35" t="s">
        <v>62</v>
      </c>
      <c r="D194" s="32" t="s">
        <v>1012</v>
      </c>
      <c r="E194" s="11" t="s">
        <v>37</v>
      </c>
    </row>
    <row r="195">
      <c r="B195" s="32" t="s">
        <v>139</v>
      </c>
      <c r="C195" s="35" t="s">
        <v>65</v>
      </c>
      <c r="D195" s="32" t="s">
        <v>1876</v>
      </c>
      <c r="E195" s="11" t="s">
        <v>33</v>
      </c>
    </row>
    <row r="196">
      <c r="B196" s="32" t="s">
        <v>1092</v>
      </c>
      <c r="C196" s="35" t="s">
        <v>195</v>
      </c>
      <c r="D196" s="32" t="s">
        <v>2110</v>
      </c>
      <c r="E196" s="11" t="s">
        <v>37</v>
      </c>
    </row>
    <row r="197">
      <c r="B197" s="32" t="s">
        <v>1012</v>
      </c>
      <c r="C197" s="35" t="s">
        <v>355</v>
      </c>
      <c r="D197" s="32" t="s">
        <v>1876</v>
      </c>
      <c r="E197" s="11" t="s">
        <v>33</v>
      </c>
    </row>
    <row r="198">
      <c r="B198" s="32" t="s">
        <v>139</v>
      </c>
      <c r="C198" s="35" t="s">
        <v>249</v>
      </c>
      <c r="D198" s="32" t="s">
        <v>2110</v>
      </c>
      <c r="E198" s="11" t="s">
        <v>37</v>
      </c>
    </row>
    <row r="199">
      <c r="B199" s="72" t="s">
        <v>2111</v>
      </c>
      <c r="C199" s="2"/>
      <c r="D199" s="3"/>
      <c r="E199" s="24"/>
    </row>
    <row r="200"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B201" s="32" t="s">
        <v>2112</v>
      </c>
      <c r="C201" s="35" t="s">
        <v>68</v>
      </c>
      <c r="D201" s="32" t="s">
        <v>1086</v>
      </c>
      <c r="E201" s="11" t="s">
        <v>33</v>
      </c>
    </row>
    <row r="202">
      <c r="B202" s="32" t="s">
        <v>2113</v>
      </c>
      <c r="C202" s="35" t="s">
        <v>55</v>
      </c>
      <c r="D202" s="32" t="s">
        <v>1551</v>
      </c>
      <c r="E202" s="11" t="s">
        <v>37</v>
      </c>
    </row>
    <row r="203">
      <c r="B203" s="32" t="s">
        <v>2114</v>
      </c>
      <c r="C203" s="35" t="s">
        <v>11</v>
      </c>
      <c r="D203" s="32" t="s">
        <v>2112</v>
      </c>
      <c r="E203" s="11" t="s">
        <v>33</v>
      </c>
    </row>
    <row r="204">
      <c r="B204" s="32" t="s">
        <v>2113</v>
      </c>
      <c r="C204" s="35" t="s">
        <v>81</v>
      </c>
      <c r="D204" s="32" t="s">
        <v>1086</v>
      </c>
      <c r="E204" s="11" t="s">
        <v>37</v>
      </c>
    </row>
    <row r="205">
      <c r="B205" s="32" t="s">
        <v>2114</v>
      </c>
      <c r="C205" s="35" t="s">
        <v>201</v>
      </c>
      <c r="D205" s="32" t="s">
        <v>1551</v>
      </c>
      <c r="E205" s="11" t="s">
        <v>33</v>
      </c>
    </row>
    <row r="206">
      <c r="B206" s="32" t="s">
        <v>2113</v>
      </c>
      <c r="C206" s="35" t="s">
        <v>55</v>
      </c>
      <c r="D206" s="32" t="s">
        <v>2112</v>
      </c>
      <c r="E206" s="11" t="s">
        <v>37</v>
      </c>
    </row>
    <row r="207">
      <c r="B207" s="32" t="s">
        <v>2114</v>
      </c>
      <c r="C207" s="35" t="s">
        <v>31</v>
      </c>
      <c r="D207" s="32" t="s">
        <v>1086</v>
      </c>
      <c r="E207" s="11" t="s">
        <v>33</v>
      </c>
      <c r="N207" s="36" t="s">
        <v>663</v>
      </c>
    </row>
    <row r="208">
      <c r="B208" s="32" t="s">
        <v>1551</v>
      </c>
      <c r="C208" s="35" t="s">
        <v>81</v>
      </c>
      <c r="D208" s="32" t="s">
        <v>2112</v>
      </c>
      <c r="E208" s="11" t="s">
        <v>37</v>
      </c>
    </row>
    <row r="209">
      <c r="B209" s="32" t="s">
        <v>2114</v>
      </c>
      <c r="C209" s="35" t="s">
        <v>41</v>
      </c>
      <c r="D209" s="32" t="s">
        <v>2113</v>
      </c>
      <c r="E209" s="11" t="s">
        <v>33</v>
      </c>
    </row>
    <row r="210">
      <c r="B210" s="32" t="s">
        <v>1551</v>
      </c>
      <c r="C210" s="35" t="s">
        <v>72</v>
      </c>
      <c r="D210" s="32" t="s">
        <v>1086</v>
      </c>
      <c r="E210" s="11" t="s">
        <v>37</v>
      </c>
    </row>
    <row r="211">
      <c r="B211" s="32" t="s">
        <v>1086</v>
      </c>
      <c r="C211" s="35" t="s">
        <v>2115</v>
      </c>
      <c r="D211" s="32" t="s">
        <v>2112</v>
      </c>
      <c r="E211" s="11" t="s">
        <v>33</v>
      </c>
    </row>
    <row r="212">
      <c r="B212" s="32" t="s">
        <v>1551</v>
      </c>
      <c r="C212" s="35" t="s">
        <v>267</v>
      </c>
      <c r="D212" s="32" t="s">
        <v>2113</v>
      </c>
      <c r="E212" s="11" t="s">
        <v>37</v>
      </c>
    </row>
    <row r="213">
      <c r="B213" s="32" t="s">
        <v>2112</v>
      </c>
      <c r="C213" s="35" t="s">
        <v>274</v>
      </c>
      <c r="D213" s="32" t="s">
        <v>2114</v>
      </c>
      <c r="E213" s="11" t="s">
        <v>33</v>
      </c>
    </row>
    <row r="214">
      <c r="B214" s="32" t="s">
        <v>1086</v>
      </c>
      <c r="C214" s="35" t="s">
        <v>404</v>
      </c>
      <c r="D214" s="32" t="s">
        <v>2113</v>
      </c>
      <c r="E214" s="11" t="s">
        <v>37</v>
      </c>
    </row>
    <row r="215">
      <c r="B215" s="32" t="s">
        <v>1551</v>
      </c>
      <c r="C215" s="35" t="s">
        <v>16</v>
      </c>
      <c r="D215" s="32" t="s">
        <v>2114</v>
      </c>
      <c r="E215" s="11" t="s">
        <v>33</v>
      </c>
    </row>
    <row r="216">
      <c r="B216" s="32" t="s">
        <v>2112</v>
      </c>
      <c r="C216" s="35" t="s">
        <v>68</v>
      </c>
      <c r="D216" s="32" t="s">
        <v>2113</v>
      </c>
      <c r="E216" s="11" t="s">
        <v>37</v>
      </c>
    </row>
    <row r="217">
      <c r="B217" s="32" t="s">
        <v>1086</v>
      </c>
      <c r="C217" s="35" t="s">
        <v>413</v>
      </c>
      <c r="D217" s="32" t="s">
        <v>2114</v>
      </c>
      <c r="E217" s="11" t="s">
        <v>33</v>
      </c>
    </row>
    <row r="218">
      <c r="B218" s="32" t="s">
        <v>2112</v>
      </c>
      <c r="C218" s="35" t="s">
        <v>534</v>
      </c>
      <c r="D218" s="32" t="s">
        <v>1551</v>
      </c>
      <c r="E218" s="11" t="s">
        <v>37</v>
      </c>
    </row>
    <row r="219">
      <c r="B219" s="32" t="s">
        <v>2113</v>
      </c>
      <c r="C219" s="35" t="s">
        <v>16</v>
      </c>
      <c r="D219" s="32" t="s">
        <v>2114</v>
      </c>
      <c r="E219" s="11" t="s">
        <v>33</v>
      </c>
    </row>
    <row r="220">
      <c r="B220" s="32" t="s">
        <v>1086</v>
      </c>
      <c r="C220" s="35" t="s">
        <v>337</v>
      </c>
      <c r="D220" s="32" t="s">
        <v>1551</v>
      </c>
      <c r="E220" s="11" t="s">
        <v>37</v>
      </c>
    </row>
    <row r="221">
      <c r="B221" s="28" t="s">
        <v>1435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34" t="s">
        <v>2116</v>
      </c>
      <c r="C223" s="33" t="s">
        <v>47</v>
      </c>
      <c r="D223" s="34" t="s">
        <v>2117</v>
      </c>
      <c r="E223" s="11" t="s">
        <v>9</v>
      </c>
    </row>
    <row r="224">
      <c r="B224" s="34" t="s">
        <v>2118</v>
      </c>
      <c r="C224" s="33" t="s">
        <v>193</v>
      </c>
      <c r="D224" s="34" t="s">
        <v>2119</v>
      </c>
      <c r="E224" s="11" t="s">
        <v>13</v>
      </c>
    </row>
    <row r="225">
      <c r="B225" s="34" t="s">
        <v>2120</v>
      </c>
      <c r="C225" s="33" t="s">
        <v>81</v>
      </c>
      <c r="D225" s="34" t="s">
        <v>2116</v>
      </c>
      <c r="E225" s="11" t="s">
        <v>9</v>
      </c>
    </row>
    <row r="226">
      <c r="B226" s="34" t="s">
        <v>2118</v>
      </c>
      <c r="C226" s="33" t="s">
        <v>87</v>
      </c>
      <c r="D226" s="34" t="s">
        <v>2117</v>
      </c>
      <c r="E226" s="11" t="s">
        <v>13</v>
      </c>
    </row>
    <row r="227">
      <c r="B227" s="34" t="s">
        <v>2120</v>
      </c>
      <c r="C227" s="33" t="s">
        <v>260</v>
      </c>
      <c r="D227" s="34" t="s">
        <v>2119</v>
      </c>
      <c r="E227" s="11" t="s">
        <v>9</v>
      </c>
    </row>
    <row r="228">
      <c r="B228" s="34" t="s">
        <v>2118</v>
      </c>
      <c r="C228" s="33" t="s">
        <v>66</v>
      </c>
      <c r="D228" s="34" t="s">
        <v>2116</v>
      </c>
      <c r="E228" s="11" t="s">
        <v>13</v>
      </c>
    </row>
    <row r="229">
      <c r="B229" s="34" t="s">
        <v>2120</v>
      </c>
      <c r="C229" s="33" t="s">
        <v>2121</v>
      </c>
      <c r="D229" s="34" t="s">
        <v>2117</v>
      </c>
      <c r="E229" s="11" t="s">
        <v>9</v>
      </c>
    </row>
    <row r="230">
      <c r="B230" s="34" t="s">
        <v>2119</v>
      </c>
      <c r="C230" s="33" t="s">
        <v>43</v>
      </c>
      <c r="D230" s="34" t="s">
        <v>2116</v>
      </c>
      <c r="E230" s="11" t="s">
        <v>13</v>
      </c>
    </row>
    <row r="231">
      <c r="B231" s="34" t="s">
        <v>2120</v>
      </c>
      <c r="C231" s="33" t="s">
        <v>218</v>
      </c>
      <c r="D231" s="34" t="s">
        <v>2118</v>
      </c>
      <c r="E231" s="11" t="s">
        <v>9</v>
      </c>
    </row>
    <row r="232">
      <c r="B232" s="34" t="s">
        <v>2119</v>
      </c>
      <c r="C232" s="33" t="s">
        <v>285</v>
      </c>
      <c r="D232" s="34" t="s">
        <v>2117</v>
      </c>
      <c r="E232" s="11" t="s">
        <v>13</v>
      </c>
    </row>
    <row r="233">
      <c r="B233" s="34" t="s">
        <v>2117</v>
      </c>
      <c r="C233" s="33" t="s">
        <v>7</v>
      </c>
      <c r="D233" s="34" t="s">
        <v>2116</v>
      </c>
      <c r="E233" s="11" t="s">
        <v>9</v>
      </c>
    </row>
    <row r="234">
      <c r="B234" s="34" t="s">
        <v>2119</v>
      </c>
      <c r="C234" s="33" t="s">
        <v>87</v>
      </c>
      <c r="D234" s="34" t="s">
        <v>2118</v>
      </c>
      <c r="E234" s="11" t="s">
        <v>13</v>
      </c>
    </row>
    <row r="235">
      <c r="B235" s="34" t="s">
        <v>2116</v>
      </c>
      <c r="C235" s="35" t="s">
        <v>78</v>
      </c>
      <c r="D235" s="34" t="s">
        <v>2120</v>
      </c>
      <c r="E235" s="11" t="s">
        <v>9</v>
      </c>
    </row>
    <row r="236">
      <c r="B236" s="34" t="s">
        <v>2117</v>
      </c>
      <c r="C236" s="35" t="s">
        <v>22</v>
      </c>
      <c r="D236" s="34" t="s">
        <v>2118</v>
      </c>
      <c r="E236" s="11" t="s">
        <v>13</v>
      </c>
    </row>
    <row r="237">
      <c r="B237" s="34" t="s">
        <v>2119</v>
      </c>
      <c r="C237" s="35" t="s">
        <v>201</v>
      </c>
      <c r="D237" s="34" t="s">
        <v>2120</v>
      </c>
      <c r="E237" s="11" t="s">
        <v>9</v>
      </c>
    </row>
    <row r="238">
      <c r="B238" s="34" t="s">
        <v>2116</v>
      </c>
      <c r="C238" s="35" t="s">
        <v>218</v>
      </c>
      <c r="D238" s="34" t="s">
        <v>2118</v>
      </c>
      <c r="E238" s="11" t="s">
        <v>13</v>
      </c>
    </row>
    <row r="239">
      <c r="B239" s="34" t="s">
        <v>2117</v>
      </c>
      <c r="C239" s="35" t="s">
        <v>302</v>
      </c>
      <c r="D239" s="34" t="s">
        <v>2120</v>
      </c>
      <c r="E239" s="11" t="s">
        <v>9</v>
      </c>
    </row>
    <row r="240">
      <c r="B240" s="34" t="s">
        <v>2116</v>
      </c>
      <c r="C240" s="35" t="s">
        <v>589</v>
      </c>
      <c r="D240" s="34" t="s">
        <v>2119</v>
      </c>
      <c r="E240" s="11" t="s">
        <v>13</v>
      </c>
    </row>
    <row r="241">
      <c r="B241" s="34" t="s">
        <v>2118</v>
      </c>
      <c r="C241" s="35" t="s">
        <v>58</v>
      </c>
      <c r="D241" s="34" t="s">
        <v>2120</v>
      </c>
      <c r="E241" s="11" t="s">
        <v>9</v>
      </c>
    </row>
    <row r="242">
      <c r="B242" s="34" t="s">
        <v>2117</v>
      </c>
      <c r="C242" s="35" t="s">
        <v>58</v>
      </c>
      <c r="D242" s="34" t="s">
        <v>2119</v>
      </c>
      <c r="E242" s="11" t="s">
        <v>13</v>
      </c>
    </row>
    <row r="243">
      <c r="B243" s="28" t="s">
        <v>1441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34" t="s">
        <v>1513</v>
      </c>
      <c r="C245" s="35" t="s">
        <v>706</v>
      </c>
      <c r="D245" s="34" t="s">
        <v>2122</v>
      </c>
      <c r="E245" s="11" t="s">
        <v>9</v>
      </c>
    </row>
    <row r="246">
      <c r="B246" s="34" t="s">
        <v>1569</v>
      </c>
      <c r="C246" s="35" t="s">
        <v>260</v>
      </c>
      <c r="D246" s="34" t="s">
        <v>1570</v>
      </c>
      <c r="E246" s="11" t="s">
        <v>13</v>
      </c>
    </row>
    <row r="247">
      <c r="B247" s="34" t="s">
        <v>1512</v>
      </c>
      <c r="C247" s="35" t="s">
        <v>55</v>
      </c>
      <c r="D247" s="34" t="s">
        <v>1513</v>
      </c>
      <c r="E247" s="11" t="s">
        <v>9</v>
      </c>
    </row>
    <row r="248">
      <c r="B248" s="34" t="s">
        <v>1569</v>
      </c>
      <c r="C248" s="35" t="s">
        <v>520</v>
      </c>
      <c r="D248" s="34" t="s">
        <v>2122</v>
      </c>
      <c r="E248" s="11" t="s">
        <v>13</v>
      </c>
    </row>
    <row r="249">
      <c r="B249" s="34" t="s">
        <v>1512</v>
      </c>
      <c r="C249" s="35" t="s">
        <v>18</v>
      </c>
      <c r="D249" s="34" t="s">
        <v>1570</v>
      </c>
      <c r="E249" s="11" t="s">
        <v>9</v>
      </c>
    </row>
    <row r="250">
      <c r="B250" s="34" t="s">
        <v>1569</v>
      </c>
      <c r="C250" s="35" t="s">
        <v>43</v>
      </c>
      <c r="D250" s="34" t="s">
        <v>1513</v>
      </c>
      <c r="E250" s="11" t="s">
        <v>13</v>
      </c>
    </row>
    <row r="251">
      <c r="B251" s="34" t="s">
        <v>1512</v>
      </c>
      <c r="C251" s="35" t="s">
        <v>71</v>
      </c>
      <c r="D251" s="34" t="s">
        <v>2122</v>
      </c>
      <c r="E251" s="11" t="s">
        <v>9</v>
      </c>
    </row>
    <row r="252">
      <c r="B252" s="34" t="s">
        <v>1570</v>
      </c>
      <c r="C252" s="35" t="s">
        <v>41</v>
      </c>
      <c r="D252" s="34" t="s">
        <v>1513</v>
      </c>
      <c r="E252" s="11" t="s">
        <v>13</v>
      </c>
    </row>
    <row r="253">
      <c r="B253" s="34" t="s">
        <v>1512</v>
      </c>
      <c r="C253" s="35" t="s">
        <v>20</v>
      </c>
      <c r="D253" s="34" t="s">
        <v>1569</v>
      </c>
      <c r="E253" s="11" t="s">
        <v>9</v>
      </c>
    </row>
    <row r="254">
      <c r="B254" s="34" t="s">
        <v>1570</v>
      </c>
      <c r="C254" s="35" t="s">
        <v>196</v>
      </c>
      <c r="D254" s="34" t="s">
        <v>2122</v>
      </c>
      <c r="E254" s="11" t="s">
        <v>13</v>
      </c>
    </row>
    <row r="255">
      <c r="B255" s="34" t="s">
        <v>2122</v>
      </c>
      <c r="C255" s="35" t="s">
        <v>261</v>
      </c>
      <c r="D255" s="34" t="s">
        <v>1513</v>
      </c>
      <c r="E255" s="11" t="s">
        <v>9</v>
      </c>
    </row>
    <row r="256">
      <c r="B256" s="34" t="s">
        <v>1570</v>
      </c>
      <c r="C256" s="35" t="s">
        <v>81</v>
      </c>
      <c r="D256" s="34" t="s">
        <v>1569</v>
      </c>
      <c r="E256" s="11" t="s">
        <v>13</v>
      </c>
    </row>
    <row r="257">
      <c r="B257" s="34" t="s">
        <v>1513</v>
      </c>
      <c r="C257" s="35" t="s">
        <v>21</v>
      </c>
      <c r="D257" s="34" t="s">
        <v>1512</v>
      </c>
      <c r="E257" s="11" t="s">
        <v>9</v>
      </c>
    </row>
    <row r="258">
      <c r="B258" s="34" t="s">
        <v>2122</v>
      </c>
      <c r="C258" s="35" t="s">
        <v>19</v>
      </c>
      <c r="D258" s="34" t="s">
        <v>1569</v>
      </c>
      <c r="E258" s="11" t="s">
        <v>13</v>
      </c>
    </row>
    <row r="259">
      <c r="B259" s="34" t="s">
        <v>1570</v>
      </c>
      <c r="C259" s="35" t="s">
        <v>87</v>
      </c>
      <c r="D259" s="34" t="s">
        <v>1512</v>
      </c>
      <c r="E259" s="11" t="s">
        <v>9</v>
      </c>
    </row>
    <row r="260">
      <c r="B260" s="34" t="s">
        <v>1513</v>
      </c>
      <c r="C260" s="35" t="s">
        <v>488</v>
      </c>
      <c r="D260" s="34" t="s">
        <v>1569</v>
      </c>
      <c r="E260" s="11" t="s">
        <v>13</v>
      </c>
    </row>
    <row r="261">
      <c r="B261" s="34" t="s">
        <v>2122</v>
      </c>
      <c r="C261" s="35" t="s">
        <v>302</v>
      </c>
      <c r="D261" s="34" t="s">
        <v>1512</v>
      </c>
      <c r="E261" s="11" t="s">
        <v>9</v>
      </c>
    </row>
    <row r="262">
      <c r="B262" s="34" t="s">
        <v>1513</v>
      </c>
      <c r="C262" s="35" t="s">
        <v>41</v>
      </c>
      <c r="D262" s="34" t="s">
        <v>1570</v>
      </c>
      <c r="E262" s="11" t="s">
        <v>13</v>
      </c>
    </row>
    <row r="263">
      <c r="B263" s="34" t="s">
        <v>1569</v>
      </c>
      <c r="C263" s="35" t="s">
        <v>238</v>
      </c>
      <c r="D263" s="34" t="s">
        <v>1512</v>
      </c>
      <c r="E263" s="11" t="s">
        <v>9</v>
      </c>
    </row>
    <row r="264">
      <c r="B264" s="34" t="s">
        <v>2122</v>
      </c>
      <c r="C264" s="35" t="s">
        <v>41</v>
      </c>
      <c r="D264" s="34" t="s">
        <v>1570</v>
      </c>
      <c r="E264" s="11" t="s">
        <v>13</v>
      </c>
    </row>
    <row r="265">
      <c r="B265" s="28" t="s">
        <v>2123</v>
      </c>
      <c r="C265" s="2"/>
      <c r="D265" s="3"/>
      <c r="E265" s="2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34" t="s">
        <v>2124</v>
      </c>
      <c r="C267" s="35" t="s">
        <v>80</v>
      </c>
      <c r="D267" s="34" t="s">
        <v>1350</v>
      </c>
      <c r="E267" s="11" t="s">
        <v>33</v>
      </c>
    </row>
    <row r="268">
      <c r="B268" s="34" t="s">
        <v>2001</v>
      </c>
      <c r="C268" s="35" t="s">
        <v>218</v>
      </c>
      <c r="D268" s="34" t="s">
        <v>2125</v>
      </c>
      <c r="E268" s="11" t="s">
        <v>37</v>
      </c>
      <c r="L268" s="36" t="s">
        <v>663</v>
      </c>
    </row>
    <row r="269">
      <c r="B269" s="34" t="s">
        <v>2126</v>
      </c>
      <c r="C269" s="35" t="s">
        <v>16</v>
      </c>
      <c r="D269" s="34" t="s">
        <v>2124</v>
      </c>
      <c r="E269" s="11" t="s">
        <v>33</v>
      </c>
    </row>
    <row r="270">
      <c r="B270" s="34" t="s">
        <v>2001</v>
      </c>
      <c r="C270" s="35" t="s">
        <v>684</v>
      </c>
      <c r="D270" s="34" t="s">
        <v>1350</v>
      </c>
      <c r="E270" s="11" t="s">
        <v>37</v>
      </c>
    </row>
    <row r="271">
      <c r="B271" s="34" t="s">
        <v>2126</v>
      </c>
      <c r="C271" s="35" t="s">
        <v>238</v>
      </c>
      <c r="D271" s="34" t="s">
        <v>2125</v>
      </c>
      <c r="E271" s="11" t="s">
        <v>33</v>
      </c>
    </row>
    <row r="272">
      <c r="B272" s="34" t="s">
        <v>2001</v>
      </c>
      <c r="C272" s="35" t="s">
        <v>7</v>
      </c>
      <c r="D272" s="34" t="s">
        <v>2124</v>
      </c>
      <c r="E272" s="11" t="s">
        <v>37</v>
      </c>
    </row>
    <row r="273">
      <c r="B273" s="34" t="s">
        <v>2126</v>
      </c>
      <c r="C273" s="35" t="s">
        <v>328</v>
      </c>
      <c r="D273" s="34" t="s">
        <v>1350</v>
      </c>
      <c r="E273" s="11" t="s">
        <v>33</v>
      </c>
    </row>
    <row r="274">
      <c r="B274" s="34" t="s">
        <v>2125</v>
      </c>
      <c r="C274" s="35" t="s">
        <v>239</v>
      </c>
      <c r="D274" s="34" t="s">
        <v>2124</v>
      </c>
      <c r="E274" s="11" t="s">
        <v>37</v>
      </c>
    </row>
    <row r="275">
      <c r="B275" s="34" t="s">
        <v>2126</v>
      </c>
      <c r="C275" s="35" t="s">
        <v>58</v>
      </c>
      <c r="D275" s="34" t="s">
        <v>2001</v>
      </c>
      <c r="E275" s="11" t="s">
        <v>33</v>
      </c>
    </row>
    <row r="276">
      <c r="B276" s="34" t="s">
        <v>2125</v>
      </c>
      <c r="C276" s="35" t="s">
        <v>947</v>
      </c>
      <c r="D276" s="34" t="s">
        <v>1350</v>
      </c>
      <c r="E276" s="11" t="s">
        <v>37</v>
      </c>
    </row>
    <row r="277">
      <c r="B277" s="34" t="s">
        <v>1350</v>
      </c>
      <c r="C277" s="35" t="s">
        <v>318</v>
      </c>
      <c r="D277" s="34" t="s">
        <v>2124</v>
      </c>
      <c r="E277" s="11" t="s">
        <v>33</v>
      </c>
    </row>
    <row r="278">
      <c r="B278" s="34" t="s">
        <v>2125</v>
      </c>
      <c r="C278" s="35" t="s">
        <v>196</v>
      </c>
      <c r="D278" s="34" t="s">
        <v>2001</v>
      </c>
      <c r="E278" s="11" t="s">
        <v>37</v>
      </c>
    </row>
    <row r="279">
      <c r="B279" s="34" t="s">
        <v>2124</v>
      </c>
      <c r="C279" s="35" t="s">
        <v>684</v>
      </c>
      <c r="D279" s="34" t="s">
        <v>2126</v>
      </c>
      <c r="E279" s="11" t="s">
        <v>33</v>
      </c>
    </row>
    <row r="280">
      <c r="B280" s="34" t="s">
        <v>1350</v>
      </c>
      <c r="C280" s="35" t="s">
        <v>66</v>
      </c>
      <c r="D280" s="34" t="s">
        <v>2001</v>
      </c>
      <c r="E280" s="11" t="s">
        <v>37</v>
      </c>
    </row>
    <row r="281">
      <c r="B281" s="34" t="s">
        <v>2125</v>
      </c>
      <c r="C281" s="35" t="s">
        <v>72</v>
      </c>
      <c r="D281" s="34" t="s">
        <v>2126</v>
      </c>
      <c r="E281" s="11" t="s">
        <v>33</v>
      </c>
    </row>
    <row r="282">
      <c r="B282" s="34" t="s">
        <v>2124</v>
      </c>
      <c r="C282" s="35" t="s">
        <v>282</v>
      </c>
      <c r="D282" s="34" t="s">
        <v>2001</v>
      </c>
      <c r="E282" s="11" t="s">
        <v>37</v>
      </c>
    </row>
    <row r="283">
      <c r="B283" s="34" t="s">
        <v>1350</v>
      </c>
      <c r="C283" s="35" t="s">
        <v>239</v>
      </c>
      <c r="D283" s="34" t="s">
        <v>2126</v>
      </c>
      <c r="E283" s="11" t="s">
        <v>33</v>
      </c>
    </row>
    <row r="284">
      <c r="B284" s="34" t="s">
        <v>2124</v>
      </c>
      <c r="C284" s="35" t="s">
        <v>187</v>
      </c>
      <c r="D284" s="34" t="s">
        <v>2125</v>
      </c>
      <c r="E284" s="11" t="s">
        <v>37</v>
      </c>
    </row>
    <row r="285">
      <c r="B285" s="34" t="s">
        <v>2001</v>
      </c>
      <c r="C285" s="35" t="s">
        <v>81</v>
      </c>
      <c r="D285" s="34" t="s">
        <v>2126</v>
      </c>
      <c r="E285" s="11" t="s">
        <v>33</v>
      </c>
    </row>
    <row r="286">
      <c r="B286" s="34" t="s">
        <v>1350</v>
      </c>
      <c r="C286" s="35" t="s">
        <v>40</v>
      </c>
      <c r="D286" s="34" t="s">
        <v>2125</v>
      </c>
      <c r="E286" s="11" t="s">
        <v>37</v>
      </c>
    </row>
    <row r="287">
      <c r="B287" s="28" t="s">
        <v>2127</v>
      </c>
      <c r="C287" s="2"/>
      <c r="D287" s="3"/>
      <c r="E287" s="29"/>
      <c r="G287" s="36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34" t="s">
        <v>2128</v>
      </c>
      <c r="C289" s="35" t="s">
        <v>2129</v>
      </c>
      <c r="D289" s="34" t="s">
        <v>2130</v>
      </c>
      <c r="E289" s="11" t="s">
        <v>33</v>
      </c>
    </row>
    <row r="290">
      <c r="B290" s="34" t="s">
        <v>2131</v>
      </c>
      <c r="C290" s="35" t="s">
        <v>297</v>
      </c>
      <c r="D290" s="34" t="s">
        <v>2132</v>
      </c>
      <c r="E290" s="11" t="s">
        <v>37</v>
      </c>
    </row>
    <row r="291">
      <c r="B291" s="34" t="s">
        <v>1948</v>
      </c>
      <c r="C291" s="35" t="s">
        <v>14</v>
      </c>
      <c r="D291" s="34" t="s">
        <v>2128</v>
      </c>
      <c r="E291" s="11" t="s">
        <v>33</v>
      </c>
    </row>
    <row r="292">
      <c r="B292" s="34" t="s">
        <v>2131</v>
      </c>
      <c r="C292" s="35" t="s">
        <v>244</v>
      </c>
      <c r="D292" s="34" t="s">
        <v>2130</v>
      </c>
      <c r="E292" s="11" t="s">
        <v>37</v>
      </c>
    </row>
    <row r="293">
      <c r="B293" s="34" t="s">
        <v>1948</v>
      </c>
      <c r="C293" s="35" t="s">
        <v>195</v>
      </c>
      <c r="D293" s="34" t="s">
        <v>2132</v>
      </c>
      <c r="E293" s="11" t="s">
        <v>33</v>
      </c>
    </row>
    <row r="294">
      <c r="B294" s="34" t="s">
        <v>2131</v>
      </c>
      <c r="C294" s="35" t="s">
        <v>217</v>
      </c>
      <c r="D294" s="34" t="s">
        <v>2128</v>
      </c>
      <c r="E294" s="11" t="s">
        <v>37</v>
      </c>
    </row>
    <row r="295">
      <c r="B295" s="34" t="s">
        <v>1948</v>
      </c>
      <c r="C295" s="35" t="s">
        <v>533</v>
      </c>
      <c r="D295" s="34" t="s">
        <v>2130</v>
      </c>
      <c r="E295" s="11" t="s">
        <v>33</v>
      </c>
    </row>
    <row r="296">
      <c r="B296" s="34" t="s">
        <v>2132</v>
      </c>
      <c r="C296" s="35" t="s">
        <v>1728</v>
      </c>
      <c r="D296" s="34" t="s">
        <v>2128</v>
      </c>
      <c r="E296" s="11" t="s">
        <v>37</v>
      </c>
    </row>
    <row r="297">
      <c r="B297" s="34" t="s">
        <v>1948</v>
      </c>
      <c r="C297" s="35" t="s">
        <v>81</v>
      </c>
      <c r="D297" s="34" t="s">
        <v>2131</v>
      </c>
      <c r="E297" s="11" t="s">
        <v>33</v>
      </c>
    </row>
    <row r="298">
      <c r="B298" s="34" t="s">
        <v>2132</v>
      </c>
      <c r="C298" s="35" t="s">
        <v>307</v>
      </c>
      <c r="D298" s="34" t="s">
        <v>2130</v>
      </c>
      <c r="E298" s="11" t="s">
        <v>37</v>
      </c>
    </row>
    <row r="299">
      <c r="B299" s="34" t="s">
        <v>2130</v>
      </c>
      <c r="C299" s="35" t="s">
        <v>370</v>
      </c>
      <c r="D299" s="34" t="s">
        <v>2128</v>
      </c>
      <c r="E299" s="11" t="s">
        <v>33</v>
      </c>
    </row>
    <row r="300">
      <c r="B300" s="34" t="s">
        <v>2132</v>
      </c>
      <c r="C300" s="35" t="s">
        <v>218</v>
      </c>
      <c r="D300" s="34" t="s">
        <v>2131</v>
      </c>
      <c r="E300" s="11" t="s">
        <v>37</v>
      </c>
    </row>
    <row r="301">
      <c r="B301" s="34" t="s">
        <v>2128</v>
      </c>
      <c r="C301" s="35" t="s">
        <v>250</v>
      </c>
      <c r="D301" s="34" t="s">
        <v>1948</v>
      </c>
      <c r="E301" s="11" t="s">
        <v>33</v>
      </c>
    </row>
    <row r="302">
      <c r="B302" s="34" t="s">
        <v>2130</v>
      </c>
      <c r="C302" s="35" t="s">
        <v>44</v>
      </c>
      <c r="D302" s="34" t="s">
        <v>2131</v>
      </c>
      <c r="E302" s="11" t="s">
        <v>37</v>
      </c>
    </row>
    <row r="303">
      <c r="B303" s="34" t="s">
        <v>2132</v>
      </c>
      <c r="C303" s="35" t="s">
        <v>38</v>
      </c>
      <c r="D303" s="34" t="s">
        <v>1948</v>
      </c>
      <c r="E303" s="11" t="s">
        <v>33</v>
      </c>
    </row>
    <row r="304">
      <c r="B304" s="34" t="s">
        <v>2128</v>
      </c>
      <c r="C304" s="35" t="s">
        <v>72</v>
      </c>
      <c r="D304" s="34" t="s">
        <v>2131</v>
      </c>
      <c r="E304" s="11" t="s">
        <v>37</v>
      </c>
    </row>
    <row r="305">
      <c r="B305" s="34" t="s">
        <v>2130</v>
      </c>
      <c r="C305" s="35" t="s">
        <v>23</v>
      </c>
      <c r="D305" s="34" t="s">
        <v>1948</v>
      </c>
      <c r="E305" s="11" t="s">
        <v>33</v>
      </c>
    </row>
    <row r="306">
      <c r="B306" s="34" t="s">
        <v>2128</v>
      </c>
      <c r="C306" s="35" t="s">
        <v>62</v>
      </c>
      <c r="D306" s="34" t="s">
        <v>2132</v>
      </c>
      <c r="E306" s="11" t="s">
        <v>37</v>
      </c>
    </row>
    <row r="307">
      <c r="B307" s="34" t="s">
        <v>2131</v>
      </c>
      <c r="C307" s="35" t="s">
        <v>201</v>
      </c>
      <c r="D307" s="34" t="s">
        <v>1948</v>
      </c>
      <c r="E307" s="11" t="s">
        <v>33</v>
      </c>
    </row>
    <row r="308">
      <c r="B308" s="34" t="s">
        <v>2130</v>
      </c>
      <c r="C308" s="35" t="s">
        <v>19</v>
      </c>
      <c r="D308" s="34" t="s">
        <v>2132</v>
      </c>
      <c r="E308" s="11" t="s">
        <v>37</v>
      </c>
    </row>
    <row r="309">
      <c r="B309" s="28" t="s">
        <v>2133</v>
      </c>
      <c r="C309" s="2"/>
      <c r="D309" s="3"/>
      <c r="E309" s="2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34" t="s">
        <v>1333</v>
      </c>
      <c r="C311" s="33" t="s">
        <v>1953</v>
      </c>
      <c r="D311" s="34" t="s">
        <v>2134</v>
      </c>
      <c r="E311" s="11" t="s">
        <v>9</v>
      </c>
    </row>
    <row r="312">
      <c r="B312" s="34" t="s">
        <v>2135</v>
      </c>
      <c r="C312" s="33" t="s">
        <v>274</v>
      </c>
      <c r="D312" s="34" t="s">
        <v>1539</v>
      </c>
      <c r="E312" s="11" t="s">
        <v>13</v>
      </c>
    </row>
    <row r="313">
      <c r="B313" s="34" t="s">
        <v>1336</v>
      </c>
      <c r="C313" s="33" t="s">
        <v>26</v>
      </c>
      <c r="D313" s="34" t="s">
        <v>1333</v>
      </c>
      <c r="E313" s="11" t="s">
        <v>9</v>
      </c>
    </row>
    <row r="314">
      <c r="B314" s="34" t="s">
        <v>2135</v>
      </c>
      <c r="C314" s="33" t="s">
        <v>472</v>
      </c>
      <c r="D314" s="34" t="s">
        <v>2134</v>
      </c>
      <c r="E314" s="11" t="s">
        <v>13</v>
      </c>
    </row>
    <row r="315">
      <c r="B315" s="34" t="s">
        <v>1336</v>
      </c>
      <c r="C315" s="33" t="s">
        <v>49</v>
      </c>
      <c r="D315" s="34" t="s">
        <v>1539</v>
      </c>
      <c r="E315" s="11" t="s">
        <v>9</v>
      </c>
    </row>
    <row r="316">
      <c r="B316" s="34" t="s">
        <v>2135</v>
      </c>
      <c r="C316" s="33" t="s">
        <v>337</v>
      </c>
      <c r="D316" s="34" t="s">
        <v>1333</v>
      </c>
      <c r="E316" s="11" t="s">
        <v>13</v>
      </c>
    </row>
    <row r="317">
      <c r="B317" s="34" t="s">
        <v>1336</v>
      </c>
      <c r="C317" s="33" t="s">
        <v>446</v>
      </c>
      <c r="D317" s="34" t="s">
        <v>2134</v>
      </c>
      <c r="E317" s="11" t="s">
        <v>9</v>
      </c>
    </row>
    <row r="318">
      <c r="B318" s="34" t="s">
        <v>1539</v>
      </c>
      <c r="C318" s="33" t="s">
        <v>260</v>
      </c>
      <c r="D318" s="34" t="s">
        <v>1333</v>
      </c>
      <c r="E318" s="11" t="s">
        <v>13</v>
      </c>
    </row>
    <row r="319">
      <c r="B319" s="34" t="s">
        <v>1336</v>
      </c>
      <c r="C319" s="33" t="s">
        <v>69</v>
      </c>
      <c r="D319" s="34" t="s">
        <v>2135</v>
      </c>
      <c r="E319" s="11" t="s">
        <v>9</v>
      </c>
    </row>
    <row r="320">
      <c r="B320" s="34" t="s">
        <v>1539</v>
      </c>
      <c r="C320" s="33" t="s">
        <v>293</v>
      </c>
      <c r="D320" s="34" t="s">
        <v>2134</v>
      </c>
      <c r="E320" s="11" t="s">
        <v>13</v>
      </c>
    </row>
    <row r="321">
      <c r="B321" s="34" t="s">
        <v>2134</v>
      </c>
      <c r="C321" s="33" t="s">
        <v>58</v>
      </c>
      <c r="D321" s="34" t="s">
        <v>1333</v>
      </c>
      <c r="E321" s="11" t="s">
        <v>9</v>
      </c>
    </row>
    <row r="322">
      <c r="B322" s="34" t="s">
        <v>1539</v>
      </c>
      <c r="C322" s="33" t="s">
        <v>71</v>
      </c>
      <c r="D322" s="34" t="s">
        <v>2135</v>
      </c>
      <c r="E322" s="11" t="s">
        <v>13</v>
      </c>
    </row>
    <row r="323">
      <c r="B323" s="34" t="s">
        <v>1333</v>
      </c>
      <c r="C323" s="35" t="s">
        <v>68</v>
      </c>
      <c r="D323" s="34" t="s">
        <v>1336</v>
      </c>
      <c r="E323" s="11" t="s">
        <v>9</v>
      </c>
    </row>
    <row r="324">
      <c r="B324" s="34" t="s">
        <v>2134</v>
      </c>
      <c r="C324" s="35" t="s">
        <v>303</v>
      </c>
      <c r="D324" s="34" t="s">
        <v>2135</v>
      </c>
      <c r="E324" s="11" t="s">
        <v>13</v>
      </c>
    </row>
    <row r="325">
      <c r="B325" s="34" t="s">
        <v>1539</v>
      </c>
      <c r="C325" s="35" t="s">
        <v>45</v>
      </c>
      <c r="D325" s="34" t="s">
        <v>1336</v>
      </c>
      <c r="E325" s="11" t="s">
        <v>9</v>
      </c>
    </row>
    <row r="326">
      <c r="B326" s="34" t="s">
        <v>1333</v>
      </c>
      <c r="C326" s="35" t="s">
        <v>81</v>
      </c>
      <c r="D326" s="34" t="s">
        <v>2135</v>
      </c>
      <c r="E326" s="11" t="s">
        <v>13</v>
      </c>
    </row>
    <row r="327">
      <c r="B327" s="34" t="s">
        <v>2134</v>
      </c>
      <c r="C327" s="35" t="s">
        <v>302</v>
      </c>
      <c r="D327" s="34" t="s">
        <v>1336</v>
      </c>
      <c r="E327" s="11" t="s">
        <v>9</v>
      </c>
    </row>
    <row r="328">
      <c r="B328" s="34" t="s">
        <v>1333</v>
      </c>
      <c r="C328" s="35" t="s">
        <v>285</v>
      </c>
      <c r="D328" s="34" t="s">
        <v>1539</v>
      </c>
      <c r="E328" s="11" t="s">
        <v>13</v>
      </c>
    </row>
    <row r="329">
      <c r="B329" s="34" t="s">
        <v>2135</v>
      </c>
      <c r="C329" s="35" t="s">
        <v>62</v>
      </c>
      <c r="D329" s="34" t="s">
        <v>1336</v>
      </c>
      <c r="E329" s="11" t="s">
        <v>9</v>
      </c>
    </row>
    <row r="330">
      <c r="B330" s="34" t="s">
        <v>2134</v>
      </c>
      <c r="C330" s="35" t="s">
        <v>42</v>
      </c>
      <c r="D330" s="34" t="s">
        <v>1539</v>
      </c>
      <c r="E330" s="11" t="s">
        <v>13</v>
      </c>
    </row>
    <row r="331">
      <c r="B331" s="28" t="s">
        <v>2136</v>
      </c>
      <c r="C331" s="2"/>
      <c r="D331" s="3"/>
      <c r="E331" s="2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34" t="s">
        <v>2137</v>
      </c>
      <c r="C333" s="35" t="s">
        <v>872</v>
      </c>
      <c r="D333" s="34" t="s">
        <v>958</v>
      </c>
      <c r="E333" s="11" t="s">
        <v>33</v>
      </c>
    </row>
    <row r="334">
      <c r="B334" s="34" t="s">
        <v>2138</v>
      </c>
      <c r="C334" s="35" t="s">
        <v>239</v>
      </c>
      <c r="D334" s="34" t="s">
        <v>10</v>
      </c>
      <c r="E334" s="11" t="s">
        <v>37</v>
      </c>
    </row>
    <row r="335">
      <c r="B335" s="34" t="s">
        <v>2139</v>
      </c>
      <c r="C335" s="35" t="s">
        <v>197</v>
      </c>
      <c r="D335" s="34" t="s">
        <v>2137</v>
      </c>
      <c r="E335" s="11" t="s">
        <v>33</v>
      </c>
    </row>
    <row r="336">
      <c r="B336" s="34" t="s">
        <v>2138</v>
      </c>
      <c r="C336" s="35" t="s">
        <v>953</v>
      </c>
      <c r="D336" s="34" t="s">
        <v>958</v>
      </c>
      <c r="E336" s="11" t="s">
        <v>37</v>
      </c>
    </row>
    <row r="337">
      <c r="B337" s="34" t="s">
        <v>2139</v>
      </c>
      <c r="C337" s="35" t="s">
        <v>286</v>
      </c>
      <c r="D337" s="34" t="s">
        <v>10</v>
      </c>
      <c r="E337" s="11" t="s">
        <v>33</v>
      </c>
    </row>
    <row r="338">
      <c r="B338" s="34" t="s">
        <v>2138</v>
      </c>
      <c r="C338" s="35" t="s">
        <v>320</v>
      </c>
      <c r="D338" s="34" t="s">
        <v>2137</v>
      </c>
      <c r="E338" s="11" t="s">
        <v>37</v>
      </c>
    </row>
    <row r="339">
      <c r="B339" s="34" t="s">
        <v>2139</v>
      </c>
      <c r="C339" s="35" t="s">
        <v>196</v>
      </c>
      <c r="D339" s="34" t="s">
        <v>958</v>
      </c>
      <c r="E339" s="11" t="s">
        <v>33</v>
      </c>
    </row>
    <row r="340">
      <c r="B340" s="34" t="s">
        <v>10</v>
      </c>
      <c r="C340" s="35" t="s">
        <v>43</v>
      </c>
      <c r="D340" s="34" t="s">
        <v>2137</v>
      </c>
      <c r="E340" s="11" t="s">
        <v>37</v>
      </c>
    </row>
    <row r="341">
      <c r="B341" s="34" t="s">
        <v>2139</v>
      </c>
      <c r="C341" s="35" t="s">
        <v>16</v>
      </c>
      <c r="D341" s="34" t="s">
        <v>2138</v>
      </c>
      <c r="E341" s="11" t="s">
        <v>33</v>
      </c>
    </row>
    <row r="342">
      <c r="B342" s="34" t="s">
        <v>10</v>
      </c>
      <c r="C342" s="35" t="s">
        <v>43</v>
      </c>
      <c r="D342" s="34" t="s">
        <v>958</v>
      </c>
      <c r="E342" s="11" t="s">
        <v>37</v>
      </c>
    </row>
    <row r="343">
      <c r="B343" s="34" t="s">
        <v>958</v>
      </c>
      <c r="C343" s="35" t="s">
        <v>58</v>
      </c>
      <c r="D343" s="34" t="s">
        <v>2137</v>
      </c>
      <c r="E343" s="11" t="s">
        <v>33</v>
      </c>
      <c r="H343" s="36"/>
    </row>
    <row r="344">
      <c r="B344" s="34" t="s">
        <v>10</v>
      </c>
      <c r="C344" s="35" t="s">
        <v>506</v>
      </c>
      <c r="D344" s="34" t="s">
        <v>2138</v>
      </c>
      <c r="E344" s="11" t="s">
        <v>37</v>
      </c>
    </row>
    <row r="345">
      <c r="B345" s="34" t="s">
        <v>2137</v>
      </c>
      <c r="C345" s="35" t="s">
        <v>55</v>
      </c>
      <c r="D345" s="34" t="s">
        <v>2139</v>
      </c>
      <c r="E345" s="11" t="s">
        <v>33</v>
      </c>
    </row>
    <row r="346">
      <c r="B346" s="34" t="s">
        <v>958</v>
      </c>
      <c r="C346" s="35" t="s">
        <v>21</v>
      </c>
      <c r="D346" s="34" t="s">
        <v>2138</v>
      </c>
      <c r="E346" s="11" t="s">
        <v>37</v>
      </c>
    </row>
    <row r="347">
      <c r="B347" s="34" t="s">
        <v>10</v>
      </c>
      <c r="C347" s="35" t="s">
        <v>16</v>
      </c>
      <c r="D347" s="34" t="s">
        <v>2139</v>
      </c>
      <c r="E347" s="11" t="s">
        <v>33</v>
      </c>
    </row>
    <row r="348">
      <c r="B348" s="34" t="s">
        <v>2137</v>
      </c>
      <c r="C348" s="35" t="s">
        <v>231</v>
      </c>
      <c r="D348" s="34" t="s">
        <v>2138</v>
      </c>
      <c r="E348" s="11" t="s">
        <v>37</v>
      </c>
    </row>
    <row r="349">
      <c r="B349" s="34" t="s">
        <v>958</v>
      </c>
      <c r="C349" s="35" t="s">
        <v>88</v>
      </c>
      <c r="D349" s="34" t="s">
        <v>2139</v>
      </c>
      <c r="E349" s="11" t="s">
        <v>33</v>
      </c>
    </row>
    <row r="350">
      <c r="B350" s="34" t="s">
        <v>2137</v>
      </c>
      <c r="C350" s="35" t="s">
        <v>274</v>
      </c>
      <c r="D350" s="34" t="s">
        <v>10</v>
      </c>
      <c r="E350" s="11" t="s">
        <v>37</v>
      </c>
    </row>
    <row r="351">
      <c r="B351" s="34" t="s">
        <v>2138</v>
      </c>
      <c r="C351" s="35" t="s">
        <v>31</v>
      </c>
      <c r="D351" s="34" t="s">
        <v>2139</v>
      </c>
      <c r="E351" s="11" t="s">
        <v>33</v>
      </c>
    </row>
    <row r="352">
      <c r="B352" s="34" t="s">
        <v>958</v>
      </c>
      <c r="C352" s="35" t="s">
        <v>25</v>
      </c>
      <c r="D352" s="34" t="s">
        <v>10</v>
      </c>
      <c r="E352" s="11" t="s">
        <v>37</v>
      </c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61"/>
    <hyperlink r:id="rId142" ref="E162"/>
    <hyperlink r:id="rId143" ref="E163"/>
    <hyperlink r:id="rId144" ref="E164"/>
    <hyperlink r:id="rId145" ref="E165"/>
    <hyperlink r:id="rId146" ref="E166"/>
    <hyperlink r:id="rId147" ref="E167"/>
    <hyperlink r:id="rId148" ref="E168"/>
    <hyperlink r:id="rId149" ref="E169"/>
    <hyperlink r:id="rId150" ref="E170"/>
    <hyperlink r:id="rId151" ref="E171"/>
    <hyperlink r:id="rId152" ref="E172"/>
    <hyperlink r:id="rId153" ref="E173"/>
    <hyperlink r:id="rId154" ref="E174"/>
    <hyperlink r:id="rId155" ref="E175"/>
    <hyperlink r:id="rId156" ref="E176"/>
    <hyperlink r:id="rId157" ref="E179"/>
    <hyperlink r:id="rId158" ref="E180"/>
    <hyperlink r:id="rId159" ref="E181"/>
    <hyperlink r:id="rId160" ref="E182"/>
    <hyperlink r:id="rId161" ref="E183"/>
    <hyperlink r:id="rId162" ref="E184"/>
    <hyperlink r:id="rId163" ref="E185"/>
    <hyperlink r:id="rId164" ref="E186"/>
    <hyperlink r:id="rId165" ref="E191"/>
    <hyperlink r:id="rId166" ref="E192"/>
    <hyperlink r:id="rId167" ref="E193"/>
    <hyperlink r:id="rId168" ref="E194"/>
    <hyperlink r:id="rId169" ref="E195"/>
    <hyperlink r:id="rId170" ref="E196"/>
    <hyperlink r:id="rId171" ref="E197"/>
    <hyperlink r:id="rId172" ref="E198"/>
    <hyperlink r:id="rId173" ref="E201"/>
    <hyperlink r:id="rId174" ref="E202"/>
    <hyperlink r:id="rId175" ref="E203"/>
    <hyperlink r:id="rId176" ref="E204"/>
    <hyperlink r:id="rId177" ref="E205"/>
    <hyperlink r:id="rId178" ref="E206"/>
    <hyperlink r:id="rId179" ref="E207"/>
    <hyperlink r:id="rId180" ref="E208"/>
    <hyperlink r:id="rId181" ref="E209"/>
    <hyperlink r:id="rId182" ref="E210"/>
    <hyperlink r:id="rId183" ref="E211"/>
    <hyperlink r:id="rId184" ref="E212"/>
    <hyperlink r:id="rId185" ref="E213"/>
    <hyperlink r:id="rId186" ref="E214"/>
    <hyperlink r:id="rId187" ref="E215"/>
    <hyperlink r:id="rId188" ref="E216"/>
    <hyperlink r:id="rId189" ref="E217"/>
    <hyperlink r:id="rId190" ref="E218"/>
    <hyperlink r:id="rId191" ref="E219"/>
    <hyperlink r:id="rId192" ref="E220"/>
    <hyperlink r:id="rId193" ref="E223"/>
    <hyperlink r:id="rId194" ref="E224"/>
    <hyperlink r:id="rId195" ref="E225"/>
    <hyperlink r:id="rId196" ref="E226"/>
    <hyperlink r:id="rId197" ref="E227"/>
    <hyperlink r:id="rId198" ref="E228"/>
    <hyperlink r:id="rId199" ref="E229"/>
    <hyperlink r:id="rId200" ref="E230"/>
    <hyperlink r:id="rId201" ref="E231"/>
    <hyperlink r:id="rId202" ref="E232"/>
    <hyperlink r:id="rId203" ref="E233"/>
    <hyperlink r:id="rId204" ref="E234"/>
    <hyperlink r:id="rId205" ref="E235"/>
    <hyperlink r:id="rId206" ref="E236"/>
    <hyperlink r:id="rId207" ref="E237"/>
    <hyperlink r:id="rId208" ref="E238"/>
    <hyperlink r:id="rId209" ref="E239"/>
    <hyperlink r:id="rId210" ref="E240"/>
    <hyperlink r:id="rId211" ref="E241"/>
    <hyperlink r:id="rId212" ref="E242"/>
    <hyperlink r:id="rId213" ref="E245"/>
    <hyperlink r:id="rId214" ref="E246"/>
    <hyperlink r:id="rId215" ref="E247"/>
    <hyperlink r:id="rId216" ref="E248"/>
    <hyperlink r:id="rId217" ref="E249"/>
    <hyperlink r:id="rId218" ref="E250"/>
    <hyperlink r:id="rId219" ref="E251"/>
    <hyperlink r:id="rId220" ref="E252"/>
    <hyperlink r:id="rId221" ref="E253"/>
    <hyperlink r:id="rId222" ref="E254"/>
    <hyperlink r:id="rId223" ref="E255"/>
    <hyperlink r:id="rId224" ref="E256"/>
    <hyperlink r:id="rId225" ref="E257"/>
    <hyperlink r:id="rId226" ref="E258"/>
    <hyperlink r:id="rId227" ref="E259"/>
    <hyperlink r:id="rId228" ref="E260"/>
    <hyperlink r:id="rId229" ref="E261"/>
    <hyperlink r:id="rId230" ref="E262"/>
    <hyperlink r:id="rId231" ref="E263"/>
    <hyperlink r:id="rId232" ref="E264"/>
    <hyperlink r:id="rId233" ref="E267"/>
    <hyperlink r:id="rId234" ref="E268"/>
    <hyperlink r:id="rId235" ref="E269"/>
    <hyperlink r:id="rId236" ref="E270"/>
    <hyperlink r:id="rId237" ref="E271"/>
    <hyperlink r:id="rId238" ref="E272"/>
    <hyperlink r:id="rId239" ref="E273"/>
    <hyperlink r:id="rId240" ref="E274"/>
    <hyperlink r:id="rId241" ref="E275"/>
    <hyperlink r:id="rId242" ref="E276"/>
    <hyperlink r:id="rId243" ref="E277"/>
    <hyperlink r:id="rId244" ref="E278"/>
    <hyperlink r:id="rId245" ref="E279"/>
    <hyperlink r:id="rId246" ref="E280"/>
    <hyperlink r:id="rId247" ref="E281"/>
    <hyperlink r:id="rId248" ref="E282"/>
    <hyperlink r:id="rId249" ref="E283"/>
    <hyperlink r:id="rId250" ref="E284"/>
    <hyperlink r:id="rId251" ref="E285"/>
    <hyperlink r:id="rId252" ref="E286"/>
    <hyperlink r:id="rId253" ref="E289"/>
    <hyperlink r:id="rId254" ref="E290"/>
    <hyperlink r:id="rId255" ref="E291"/>
    <hyperlink r:id="rId256" ref="E292"/>
    <hyperlink r:id="rId257" ref="E293"/>
    <hyperlink r:id="rId258" ref="E294"/>
    <hyperlink r:id="rId259" ref="E295"/>
    <hyperlink r:id="rId260" ref="E296"/>
    <hyperlink r:id="rId261" ref="E297"/>
    <hyperlink r:id="rId262" ref="E298"/>
    <hyperlink r:id="rId263" ref="E299"/>
    <hyperlink r:id="rId264" ref="E300"/>
    <hyperlink r:id="rId265" ref="E301"/>
    <hyperlink r:id="rId266" ref="E302"/>
    <hyperlink r:id="rId267" ref="E303"/>
    <hyperlink r:id="rId268" ref="E304"/>
    <hyperlink r:id="rId269" ref="E305"/>
    <hyperlink r:id="rId270" ref="E306"/>
    <hyperlink r:id="rId271" ref="E307"/>
    <hyperlink r:id="rId272" ref="E308"/>
    <hyperlink r:id="rId273" ref="E311"/>
    <hyperlink r:id="rId274" ref="E312"/>
    <hyperlink r:id="rId275" ref="E313"/>
    <hyperlink r:id="rId276" ref="E314"/>
    <hyperlink r:id="rId277" ref="E315"/>
    <hyperlink r:id="rId278" ref="E316"/>
    <hyperlink r:id="rId279" ref="E317"/>
    <hyperlink r:id="rId280" ref="E318"/>
    <hyperlink r:id="rId281" ref="E319"/>
    <hyperlink r:id="rId282" ref="E320"/>
    <hyperlink r:id="rId283" ref="E321"/>
    <hyperlink r:id="rId284" ref="E322"/>
    <hyperlink r:id="rId285" ref="E323"/>
    <hyperlink r:id="rId286" ref="E324"/>
    <hyperlink r:id="rId287" ref="E325"/>
    <hyperlink r:id="rId288" ref="E326"/>
    <hyperlink r:id="rId289" ref="E327"/>
    <hyperlink r:id="rId290" ref="E328"/>
    <hyperlink r:id="rId291" ref="E329"/>
    <hyperlink r:id="rId292" ref="E330"/>
    <hyperlink r:id="rId293" ref="E333"/>
    <hyperlink r:id="rId294" ref="E334"/>
    <hyperlink r:id="rId295" ref="E335"/>
    <hyperlink r:id="rId296" ref="E336"/>
    <hyperlink r:id="rId297" ref="E337"/>
    <hyperlink r:id="rId298" ref="E338"/>
    <hyperlink r:id="rId299" ref="E339"/>
    <hyperlink r:id="rId300" ref="E340"/>
    <hyperlink r:id="rId301" ref="E341"/>
    <hyperlink r:id="rId302" ref="E342"/>
    <hyperlink r:id="rId303" ref="E343"/>
    <hyperlink r:id="rId304" ref="E344"/>
    <hyperlink r:id="rId305" ref="E345"/>
    <hyperlink r:id="rId306" ref="E346"/>
    <hyperlink r:id="rId307" ref="E347"/>
    <hyperlink r:id="rId308" ref="E348"/>
    <hyperlink r:id="rId309" ref="E349"/>
    <hyperlink r:id="rId310" ref="E350"/>
    <hyperlink r:id="rId311" ref="E351"/>
    <hyperlink r:id="rId312" ref="E352"/>
  </hyperlinks>
  <drawing r:id="rId313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/>
      <c r="B1" s="1" t="s">
        <v>2019</v>
      </c>
      <c r="C1" s="2"/>
      <c r="D1" s="3"/>
      <c r="E1" s="29"/>
    </row>
    <row r="2">
      <c r="A2" s="66"/>
      <c r="B2" s="6" t="s">
        <v>2</v>
      </c>
      <c r="C2" s="6" t="s">
        <v>3</v>
      </c>
      <c r="D2" s="6" t="s">
        <v>4</v>
      </c>
      <c r="E2" s="6" t="s">
        <v>5</v>
      </c>
    </row>
    <row r="3">
      <c r="A3" s="66"/>
      <c r="B3" s="32" t="s">
        <v>2140</v>
      </c>
      <c r="C3" s="33" t="s">
        <v>17</v>
      </c>
      <c r="D3" s="34" t="s">
        <v>939</v>
      </c>
      <c r="E3" s="11" t="s">
        <v>33</v>
      </c>
    </row>
    <row r="4">
      <c r="A4" s="66"/>
      <c r="B4" s="32" t="s">
        <v>2141</v>
      </c>
      <c r="C4" s="33" t="s">
        <v>190</v>
      </c>
      <c r="D4" s="32" t="s">
        <v>1898</v>
      </c>
      <c r="E4" s="11" t="s">
        <v>37</v>
      </c>
      <c r="G4" s="36"/>
    </row>
    <row r="5">
      <c r="A5" s="66"/>
      <c r="B5" s="34" t="s">
        <v>2142</v>
      </c>
      <c r="C5" s="33" t="s">
        <v>190</v>
      </c>
      <c r="D5" s="32" t="s">
        <v>2140</v>
      </c>
      <c r="E5" s="11" t="s">
        <v>33</v>
      </c>
    </row>
    <row r="6">
      <c r="A6" s="66"/>
      <c r="B6" s="32" t="s">
        <v>2141</v>
      </c>
      <c r="C6" s="33" t="s">
        <v>352</v>
      </c>
      <c r="D6" s="34" t="s">
        <v>939</v>
      </c>
      <c r="E6" s="11" t="s">
        <v>37</v>
      </c>
    </row>
    <row r="7">
      <c r="A7" s="66"/>
      <c r="B7" s="34" t="s">
        <v>2142</v>
      </c>
      <c r="C7" s="33" t="s">
        <v>52</v>
      </c>
      <c r="D7" s="32" t="s">
        <v>1898</v>
      </c>
      <c r="E7" s="11" t="s">
        <v>33</v>
      </c>
    </row>
    <row r="8">
      <c r="A8" s="66"/>
      <c r="B8" s="32" t="s">
        <v>2141</v>
      </c>
      <c r="C8" s="33" t="s">
        <v>43</v>
      </c>
      <c r="D8" s="32" t="s">
        <v>2140</v>
      </c>
      <c r="E8" s="11" t="s">
        <v>37</v>
      </c>
    </row>
    <row r="9">
      <c r="A9" s="66"/>
      <c r="B9" s="34" t="s">
        <v>2142</v>
      </c>
      <c r="C9" s="33" t="s">
        <v>28</v>
      </c>
      <c r="D9" s="34" t="s">
        <v>939</v>
      </c>
      <c r="E9" s="11" t="s">
        <v>33</v>
      </c>
    </row>
    <row r="10">
      <c r="A10" s="66"/>
      <c r="B10" s="32" t="s">
        <v>1898</v>
      </c>
      <c r="C10" s="33" t="s">
        <v>239</v>
      </c>
      <c r="D10" s="32" t="s">
        <v>2140</v>
      </c>
      <c r="E10" s="11" t="s">
        <v>37</v>
      </c>
    </row>
    <row r="11">
      <c r="A11" s="66"/>
      <c r="B11" s="34" t="s">
        <v>2142</v>
      </c>
      <c r="C11" s="33" t="s">
        <v>87</v>
      </c>
      <c r="D11" s="32" t="s">
        <v>2141</v>
      </c>
      <c r="E11" s="11" t="s">
        <v>33</v>
      </c>
    </row>
    <row r="12">
      <c r="A12" s="66"/>
      <c r="B12" s="32" t="s">
        <v>1898</v>
      </c>
      <c r="C12" s="33" t="s">
        <v>414</v>
      </c>
      <c r="D12" s="34" t="s">
        <v>939</v>
      </c>
      <c r="E12" s="11" t="s">
        <v>37</v>
      </c>
    </row>
    <row r="13">
      <c r="A13" s="66"/>
      <c r="B13" s="34" t="s">
        <v>939</v>
      </c>
      <c r="C13" s="33" t="s">
        <v>267</v>
      </c>
      <c r="D13" s="32" t="s">
        <v>2140</v>
      </c>
      <c r="E13" s="11" t="s">
        <v>33</v>
      </c>
    </row>
    <row r="14">
      <c r="A14" s="66"/>
      <c r="B14" s="32" t="s">
        <v>1898</v>
      </c>
      <c r="C14" s="33" t="s">
        <v>354</v>
      </c>
      <c r="D14" s="32" t="s">
        <v>2141</v>
      </c>
      <c r="E14" s="11" t="s">
        <v>37</v>
      </c>
    </row>
    <row r="15">
      <c r="A15" s="66"/>
      <c r="B15" s="32" t="s">
        <v>2140</v>
      </c>
      <c r="C15" s="33" t="s">
        <v>201</v>
      </c>
      <c r="D15" s="34" t="s">
        <v>2142</v>
      </c>
      <c r="E15" s="11" t="s">
        <v>33</v>
      </c>
    </row>
    <row r="16">
      <c r="A16" s="66"/>
      <c r="B16" s="34" t="s">
        <v>939</v>
      </c>
      <c r="C16" s="33" t="s">
        <v>62</v>
      </c>
      <c r="D16" s="32" t="s">
        <v>2141</v>
      </c>
      <c r="E16" s="11" t="s">
        <v>37</v>
      </c>
    </row>
    <row r="17">
      <c r="A17" s="66"/>
      <c r="B17" s="32" t="s">
        <v>1898</v>
      </c>
      <c r="C17" s="33" t="s">
        <v>26</v>
      </c>
      <c r="D17" s="34" t="s">
        <v>2142</v>
      </c>
      <c r="E17" s="11" t="s">
        <v>33</v>
      </c>
      <c r="J17" s="36"/>
    </row>
    <row r="18">
      <c r="A18" s="66"/>
      <c r="B18" s="32" t="s">
        <v>2140</v>
      </c>
      <c r="C18" s="33" t="s">
        <v>14</v>
      </c>
      <c r="D18" s="32" t="s">
        <v>2141</v>
      </c>
      <c r="E18" s="11" t="s">
        <v>37</v>
      </c>
    </row>
    <row r="19">
      <c r="A19" s="66"/>
      <c r="B19" s="34" t="s">
        <v>939</v>
      </c>
      <c r="C19" s="33" t="s">
        <v>297</v>
      </c>
      <c r="D19" s="34" t="s">
        <v>2142</v>
      </c>
      <c r="E19" s="11" t="s">
        <v>33</v>
      </c>
    </row>
    <row r="20">
      <c r="A20" s="66"/>
      <c r="B20" s="32" t="s">
        <v>2140</v>
      </c>
      <c r="C20" s="33" t="s">
        <v>45</v>
      </c>
      <c r="D20" s="32" t="s">
        <v>1898</v>
      </c>
      <c r="E20" s="11" t="s">
        <v>37</v>
      </c>
    </row>
    <row r="21">
      <c r="A21" s="66"/>
      <c r="B21" s="32" t="s">
        <v>2141</v>
      </c>
      <c r="C21" s="33" t="s">
        <v>197</v>
      </c>
      <c r="D21" s="34" t="s">
        <v>2142</v>
      </c>
      <c r="E21" s="11" t="s">
        <v>33</v>
      </c>
    </row>
    <row r="22">
      <c r="A22" s="66"/>
      <c r="B22" s="34" t="s">
        <v>939</v>
      </c>
      <c r="C22" s="33" t="s">
        <v>201</v>
      </c>
      <c r="D22" s="32" t="s">
        <v>1898</v>
      </c>
      <c r="E22" s="11" t="s">
        <v>37</v>
      </c>
    </row>
    <row r="23">
      <c r="A23" s="66"/>
      <c r="B23" s="1" t="s">
        <v>2143</v>
      </c>
      <c r="C23" s="2"/>
      <c r="D23" s="3"/>
      <c r="E23" s="48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1254</v>
      </c>
      <c r="C25" s="33" t="s">
        <v>337</v>
      </c>
      <c r="D25" s="34" t="s">
        <v>2144</v>
      </c>
      <c r="E25" s="11" t="s">
        <v>9</v>
      </c>
    </row>
    <row r="26">
      <c r="A26" s="66"/>
      <c r="B26" s="32" t="s">
        <v>1532</v>
      </c>
      <c r="C26" s="33" t="s">
        <v>545</v>
      </c>
      <c r="D26" s="32" t="s">
        <v>2145</v>
      </c>
      <c r="E26" s="11" t="s">
        <v>13</v>
      </c>
    </row>
    <row r="27">
      <c r="A27" s="66"/>
      <c r="B27" s="34" t="s">
        <v>1814</v>
      </c>
      <c r="C27" s="33" t="s">
        <v>466</v>
      </c>
      <c r="D27" s="34" t="s">
        <v>1254</v>
      </c>
      <c r="E27" s="11" t="s">
        <v>9</v>
      </c>
    </row>
    <row r="28">
      <c r="A28" s="66"/>
      <c r="B28" s="32" t="s">
        <v>1532</v>
      </c>
      <c r="C28" s="33" t="s">
        <v>201</v>
      </c>
      <c r="D28" s="34" t="s">
        <v>2144</v>
      </c>
      <c r="E28" s="11" t="s">
        <v>13</v>
      </c>
      <c r="O28" s="36" t="s">
        <v>663</v>
      </c>
    </row>
    <row r="29">
      <c r="A29" s="66"/>
      <c r="B29" s="34" t="s">
        <v>1814</v>
      </c>
      <c r="C29" s="33" t="s">
        <v>16</v>
      </c>
      <c r="D29" s="32" t="s">
        <v>2145</v>
      </c>
      <c r="E29" s="11" t="s">
        <v>9</v>
      </c>
    </row>
    <row r="30">
      <c r="A30" s="66"/>
      <c r="B30" s="32" t="s">
        <v>1532</v>
      </c>
      <c r="C30" s="33" t="s">
        <v>302</v>
      </c>
      <c r="D30" s="34" t="s">
        <v>1254</v>
      </c>
      <c r="E30" s="11" t="s">
        <v>13</v>
      </c>
    </row>
    <row r="31">
      <c r="A31" s="66"/>
      <c r="B31" s="34" t="s">
        <v>1814</v>
      </c>
      <c r="C31" s="33" t="s">
        <v>43</v>
      </c>
      <c r="D31" s="34" t="s">
        <v>2144</v>
      </c>
      <c r="E31" s="11" t="s">
        <v>9</v>
      </c>
    </row>
    <row r="32">
      <c r="A32" s="66"/>
      <c r="B32" s="32" t="s">
        <v>2145</v>
      </c>
      <c r="C32" s="33" t="s">
        <v>64</v>
      </c>
      <c r="D32" s="34" t="s">
        <v>1254</v>
      </c>
      <c r="E32" s="11" t="s">
        <v>13</v>
      </c>
    </row>
    <row r="33">
      <c r="A33" s="66"/>
      <c r="B33" s="34" t="s">
        <v>1814</v>
      </c>
      <c r="C33" s="33" t="s">
        <v>28</v>
      </c>
      <c r="D33" s="32" t="s">
        <v>1532</v>
      </c>
      <c r="E33" s="11" t="s">
        <v>9</v>
      </c>
    </row>
    <row r="34">
      <c r="A34" s="66"/>
      <c r="B34" s="32" t="s">
        <v>2145</v>
      </c>
      <c r="C34" s="33" t="s">
        <v>412</v>
      </c>
      <c r="D34" s="34" t="s">
        <v>2144</v>
      </c>
      <c r="E34" s="11" t="s">
        <v>13</v>
      </c>
    </row>
    <row r="35">
      <c r="A35" s="66"/>
      <c r="B35" s="34" t="s">
        <v>2144</v>
      </c>
      <c r="C35" s="33" t="s">
        <v>239</v>
      </c>
      <c r="D35" s="34" t="s">
        <v>1254</v>
      </c>
      <c r="E35" s="11" t="s">
        <v>9</v>
      </c>
    </row>
    <row r="36">
      <c r="A36" s="66"/>
      <c r="B36" s="32" t="s">
        <v>2145</v>
      </c>
      <c r="C36" s="33" t="s">
        <v>446</v>
      </c>
      <c r="D36" s="32" t="s">
        <v>1532</v>
      </c>
      <c r="E36" s="11" t="s">
        <v>13</v>
      </c>
    </row>
    <row r="37">
      <c r="A37" s="66"/>
      <c r="B37" s="34" t="s">
        <v>1254</v>
      </c>
      <c r="C37" s="33" t="s">
        <v>293</v>
      </c>
      <c r="D37" s="34" t="s">
        <v>1814</v>
      </c>
      <c r="E37" s="11" t="s">
        <v>9</v>
      </c>
    </row>
    <row r="38">
      <c r="A38" s="66"/>
      <c r="B38" s="34" t="s">
        <v>2144</v>
      </c>
      <c r="C38" s="33" t="s">
        <v>260</v>
      </c>
      <c r="D38" s="32" t="s">
        <v>1532</v>
      </c>
      <c r="E38" s="11" t="s">
        <v>13</v>
      </c>
    </row>
    <row r="39">
      <c r="A39" s="66"/>
      <c r="B39" s="32" t="s">
        <v>2145</v>
      </c>
      <c r="C39" s="33" t="s">
        <v>500</v>
      </c>
      <c r="D39" s="34" t="s">
        <v>1814</v>
      </c>
      <c r="E39" s="11" t="s">
        <v>9</v>
      </c>
    </row>
    <row r="40">
      <c r="A40" s="66"/>
      <c r="B40" s="34" t="s">
        <v>1254</v>
      </c>
      <c r="C40" s="33" t="s">
        <v>14</v>
      </c>
      <c r="D40" s="32" t="s">
        <v>1532</v>
      </c>
      <c r="E40" s="11" t="s">
        <v>13</v>
      </c>
    </row>
    <row r="41">
      <c r="A41" s="66"/>
      <c r="B41" s="34" t="s">
        <v>2144</v>
      </c>
      <c r="C41" s="33" t="s">
        <v>66</v>
      </c>
      <c r="D41" s="34" t="s">
        <v>1814</v>
      </c>
      <c r="E41" s="11" t="s">
        <v>9</v>
      </c>
    </row>
    <row r="42">
      <c r="A42" s="66"/>
      <c r="B42" s="34" t="s">
        <v>1254</v>
      </c>
      <c r="C42" s="33" t="s">
        <v>82</v>
      </c>
      <c r="D42" s="32" t="s">
        <v>2145</v>
      </c>
      <c r="E42" s="11" t="s">
        <v>13</v>
      </c>
    </row>
    <row r="43">
      <c r="A43" s="66"/>
      <c r="B43" s="32" t="s">
        <v>1532</v>
      </c>
      <c r="C43" s="33" t="s">
        <v>445</v>
      </c>
      <c r="D43" s="34" t="s">
        <v>1814</v>
      </c>
      <c r="E43" s="11" t="s">
        <v>9</v>
      </c>
    </row>
    <row r="44">
      <c r="A44" s="67"/>
      <c r="B44" s="34" t="s">
        <v>2144</v>
      </c>
      <c r="C44" s="33" t="s">
        <v>260</v>
      </c>
      <c r="D44" s="32" t="s">
        <v>2145</v>
      </c>
      <c r="E44" s="11" t="s">
        <v>13</v>
      </c>
    </row>
    <row r="45">
      <c r="B45" s="1" t="s">
        <v>1327</v>
      </c>
      <c r="C45" s="2"/>
      <c r="D45" s="3"/>
      <c r="E45" s="14"/>
    </row>
    <row r="46">
      <c r="B46" s="16" t="s">
        <v>2</v>
      </c>
      <c r="C46" s="16" t="s">
        <v>3</v>
      </c>
      <c r="D46" s="16" t="s">
        <v>4</v>
      </c>
      <c r="E46" s="16" t="s">
        <v>5</v>
      </c>
    </row>
    <row r="47">
      <c r="B47" s="32" t="s">
        <v>451</v>
      </c>
      <c r="C47" s="33" t="s">
        <v>87</v>
      </c>
      <c r="D47" s="32" t="s">
        <v>2146</v>
      </c>
      <c r="E47" s="11" t="s">
        <v>33</v>
      </c>
    </row>
    <row r="48">
      <c r="B48" s="32" t="s">
        <v>1590</v>
      </c>
      <c r="C48" s="33" t="s">
        <v>238</v>
      </c>
      <c r="D48" s="32" t="s">
        <v>2147</v>
      </c>
      <c r="E48" s="11" t="s">
        <v>37</v>
      </c>
    </row>
    <row r="49">
      <c r="B49" s="32" t="s">
        <v>1535</v>
      </c>
      <c r="C49" s="33" t="s">
        <v>886</v>
      </c>
      <c r="D49" s="32" t="s">
        <v>451</v>
      </c>
      <c r="E49" s="11" t="s">
        <v>33</v>
      </c>
    </row>
    <row r="50">
      <c r="B50" s="32" t="s">
        <v>1590</v>
      </c>
      <c r="C50" s="33" t="s">
        <v>7</v>
      </c>
      <c r="D50" s="32" t="s">
        <v>2146</v>
      </c>
      <c r="E50" s="11" t="s">
        <v>37</v>
      </c>
    </row>
    <row r="51">
      <c r="B51" s="32" t="s">
        <v>1535</v>
      </c>
      <c r="C51" s="33" t="s">
        <v>41</v>
      </c>
      <c r="D51" s="32" t="s">
        <v>2147</v>
      </c>
      <c r="E51" s="11" t="s">
        <v>33</v>
      </c>
    </row>
    <row r="52">
      <c r="B52" s="32" t="s">
        <v>1590</v>
      </c>
      <c r="C52" s="33" t="s">
        <v>286</v>
      </c>
      <c r="D52" s="32" t="s">
        <v>451</v>
      </c>
      <c r="E52" s="11" t="s">
        <v>37</v>
      </c>
    </row>
    <row r="53">
      <c r="B53" s="32" t="s">
        <v>1535</v>
      </c>
      <c r="C53" s="33" t="s">
        <v>352</v>
      </c>
      <c r="D53" s="32" t="s">
        <v>2146</v>
      </c>
      <c r="E53" s="11" t="s">
        <v>33</v>
      </c>
    </row>
    <row r="54">
      <c r="B54" s="32" t="s">
        <v>2147</v>
      </c>
      <c r="C54" s="33" t="s">
        <v>312</v>
      </c>
      <c r="D54" s="32" t="s">
        <v>451</v>
      </c>
      <c r="E54" s="11" t="s">
        <v>37</v>
      </c>
    </row>
    <row r="55">
      <c r="B55" s="32" t="s">
        <v>1535</v>
      </c>
      <c r="C55" s="33" t="s">
        <v>251</v>
      </c>
      <c r="D55" s="32" t="s">
        <v>1590</v>
      </c>
      <c r="E55" s="11" t="s">
        <v>33</v>
      </c>
    </row>
    <row r="56">
      <c r="B56" s="32" t="s">
        <v>2147</v>
      </c>
      <c r="C56" s="33" t="s">
        <v>218</v>
      </c>
      <c r="D56" s="32" t="s">
        <v>2146</v>
      </c>
      <c r="E56" s="11" t="s">
        <v>37</v>
      </c>
    </row>
    <row r="57">
      <c r="B57" s="32" t="s">
        <v>2146</v>
      </c>
      <c r="C57" s="33" t="s">
        <v>21</v>
      </c>
      <c r="D57" s="32" t="s">
        <v>451</v>
      </c>
      <c r="E57" s="11" t="s">
        <v>33</v>
      </c>
    </row>
    <row r="58">
      <c r="B58" s="32" t="s">
        <v>2147</v>
      </c>
      <c r="C58" s="33" t="s">
        <v>370</v>
      </c>
      <c r="D58" s="32" t="s">
        <v>1590</v>
      </c>
      <c r="E58" s="11" t="s">
        <v>37</v>
      </c>
    </row>
    <row r="59">
      <c r="B59" s="32" t="s">
        <v>451</v>
      </c>
      <c r="C59" s="33" t="s">
        <v>82</v>
      </c>
      <c r="D59" s="32" t="s">
        <v>1535</v>
      </c>
      <c r="E59" s="11" t="s">
        <v>33</v>
      </c>
    </row>
    <row r="60">
      <c r="B60" s="32" t="s">
        <v>2146</v>
      </c>
      <c r="C60" s="33" t="s">
        <v>363</v>
      </c>
      <c r="D60" s="32" t="s">
        <v>1590</v>
      </c>
      <c r="E60" s="11" t="s">
        <v>37</v>
      </c>
    </row>
    <row r="61">
      <c r="B61" s="32" t="s">
        <v>2147</v>
      </c>
      <c r="C61" s="33" t="s">
        <v>217</v>
      </c>
      <c r="D61" s="32" t="s">
        <v>1535</v>
      </c>
      <c r="E61" s="11" t="s">
        <v>33</v>
      </c>
    </row>
    <row r="62">
      <c r="B62" s="32" t="s">
        <v>451</v>
      </c>
      <c r="C62" s="33" t="s">
        <v>196</v>
      </c>
      <c r="D62" s="32" t="s">
        <v>1590</v>
      </c>
      <c r="E62" s="11" t="s">
        <v>37</v>
      </c>
    </row>
    <row r="63">
      <c r="B63" s="32" t="s">
        <v>2146</v>
      </c>
      <c r="C63" s="33" t="s">
        <v>2148</v>
      </c>
      <c r="D63" s="32" t="s">
        <v>1535</v>
      </c>
      <c r="E63" s="11" t="s">
        <v>33</v>
      </c>
    </row>
    <row r="64">
      <c r="B64" s="32" t="s">
        <v>451</v>
      </c>
      <c r="C64" s="33" t="s">
        <v>31</v>
      </c>
      <c r="D64" s="32" t="s">
        <v>2147</v>
      </c>
      <c r="E64" s="11" t="s">
        <v>37</v>
      </c>
    </row>
    <row r="65">
      <c r="B65" s="32" t="s">
        <v>1590</v>
      </c>
      <c r="C65" s="33" t="s">
        <v>22</v>
      </c>
      <c r="D65" s="32" t="s">
        <v>1535</v>
      </c>
      <c r="E65" s="11" t="s">
        <v>33</v>
      </c>
    </row>
    <row r="66">
      <c r="B66" s="32" t="s">
        <v>2146</v>
      </c>
      <c r="C66" s="33" t="s">
        <v>544</v>
      </c>
      <c r="D66" s="32" t="s">
        <v>2147</v>
      </c>
      <c r="E66" s="11" t="s">
        <v>37</v>
      </c>
    </row>
    <row r="67">
      <c r="B67" s="1" t="s">
        <v>2027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16" t="s">
        <v>5</v>
      </c>
    </row>
    <row r="69">
      <c r="B69" s="32" t="s">
        <v>2149</v>
      </c>
      <c r="C69" s="33" t="s">
        <v>239</v>
      </c>
      <c r="D69" s="32" t="s">
        <v>2150</v>
      </c>
      <c r="E69" s="11" t="s">
        <v>9</v>
      </c>
    </row>
    <row r="70">
      <c r="B70" s="32" t="s">
        <v>2151</v>
      </c>
      <c r="C70" s="33" t="s">
        <v>45</v>
      </c>
      <c r="D70" s="32" t="s">
        <v>2152</v>
      </c>
      <c r="E70" s="11" t="s">
        <v>13</v>
      </c>
    </row>
    <row r="71">
      <c r="B71" s="32" t="s">
        <v>1328</v>
      </c>
      <c r="C71" s="33" t="s">
        <v>72</v>
      </c>
      <c r="D71" s="32" t="s">
        <v>2149</v>
      </c>
      <c r="E71" s="11" t="s">
        <v>9</v>
      </c>
    </row>
    <row r="72">
      <c r="B72" s="32" t="s">
        <v>2151</v>
      </c>
      <c r="C72" s="33" t="s">
        <v>27</v>
      </c>
      <c r="D72" s="32" t="s">
        <v>2150</v>
      </c>
      <c r="E72" s="11" t="s">
        <v>13</v>
      </c>
    </row>
    <row r="73">
      <c r="B73" s="32" t="s">
        <v>1328</v>
      </c>
      <c r="C73" s="33" t="s">
        <v>542</v>
      </c>
      <c r="D73" s="32" t="s">
        <v>2152</v>
      </c>
      <c r="E73" s="11" t="s">
        <v>9</v>
      </c>
    </row>
    <row r="74">
      <c r="B74" s="32" t="s">
        <v>2151</v>
      </c>
      <c r="C74" s="33" t="s">
        <v>426</v>
      </c>
      <c r="D74" s="32" t="s">
        <v>2149</v>
      </c>
      <c r="E74" s="11" t="s">
        <v>13</v>
      </c>
    </row>
    <row r="75">
      <c r="B75" s="32" t="s">
        <v>1328</v>
      </c>
      <c r="C75" s="33" t="s">
        <v>578</v>
      </c>
      <c r="D75" s="32" t="s">
        <v>2150</v>
      </c>
      <c r="E75" s="11" t="s">
        <v>9</v>
      </c>
    </row>
    <row r="76">
      <c r="B76" s="32" t="s">
        <v>2152</v>
      </c>
      <c r="C76" s="33" t="s">
        <v>19</v>
      </c>
      <c r="D76" s="32" t="s">
        <v>2149</v>
      </c>
      <c r="E76" s="11" t="s">
        <v>13</v>
      </c>
    </row>
    <row r="77">
      <c r="B77" s="32" t="s">
        <v>1328</v>
      </c>
      <c r="C77" s="33" t="s">
        <v>534</v>
      </c>
      <c r="D77" s="32" t="s">
        <v>2151</v>
      </c>
      <c r="E77" s="11" t="s">
        <v>9</v>
      </c>
    </row>
    <row r="78">
      <c r="B78" s="32" t="s">
        <v>2152</v>
      </c>
      <c r="C78" s="33" t="s">
        <v>400</v>
      </c>
      <c r="D78" s="32" t="s">
        <v>2150</v>
      </c>
      <c r="E78" s="11" t="s">
        <v>13</v>
      </c>
    </row>
    <row r="79">
      <c r="B79" s="32" t="s">
        <v>2150</v>
      </c>
      <c r="C79" s="33" t="s">
        <v>195</v>
      </c>
      <c r="D79" s="32" t="s">
        <v>2149</v>
      </c>
      <c r="E79" s="11" t="s">
        <v>9</v>
      </c>
    </row>
    <row r="80">
      <c r="B80" s="32" t="s">
        <v>2152</v>
      </c>
      <c r="C80" s="33" t="s">
        <v>482</v>
      </c>
      <c r="D80" s="32" t="s">
        <v>2151</v>
      </c>
      <c r="E80" s="11" t="s">
        <v>13</v>
      </c>
    </row>
    <row r="81">
      <c r="B81" s="32" t="s">
        <v>2149</v>
      </c>
      <c r="C81" s="33" t="s">
        <v>86</v>
      </c>
      <c r="D81" s="32" t="s">
        <v>1328</v>
      </c>
      <c r="E81" s="11" t="s">
        <v>9</v>
      </c>
    </row>
    <row r="82">
      <c r="B82" s="32" t="s">
        <v>2150</v>
      </c>
      <c r="C82" s="33" t="s">
        <v>81</v>
      </c>
      <c r="D82" s="32" t="s">
        <v>2151</v>
      </c>
      <c r="E82" s="11" t="s">
        <v>13</v>
      </c>
    </row>
    <row r="83">
      <c r="B83" s="32" t="s">
        <v>2152</v>
      </c>
      <c r="C83" s="33" t="s">
        <v>2153</v>
      </c>
      <c r="D83" s="32" t="s">
        <v>1328</v>
      </c>
      <c r="E83" s="11" t="s">
        <v>9</v>
      </c>
    </row>
    <row r="84">
      <c r="B84" s="32" t="s">
        <v>2149</v>
      </c>
      <c r="C84" s="33" t="s">
        <v>836</v>
      </c>
      <c r="D84" s="32" t="s">
        <v>2151</v>
      </c>
      <c r="E84" s="11" t="s">
        <v>13</v>
      </c>
    </row>
    <row r="85">
      <c r="B85" s="32" t="s">
        <v>2150</v>
      </c>
      <c r="C85" s="33" t="s">
        <v>50</v>
      </c>
      <c r="D85" s="32" t="s">
        <v>1328</v>
      </c>
      <c r="E85" s="11" t="s">
        <v>9</v>
      </c>
    </row>
    <row r="86">
      <c r="B86" s="32" t="s">
        <v>2149</v>
      </c>
      <c r="C86" s="33" t="s">
        <v>232</v>
      </c>
      <c r="D86" s="32" t="s">
        <v>2152</v>
      </c>
      <c r="E86" s="11" t="s">
        <v>13</v>
      </c>
    </row>
    <row r="87">
      <c r="B87" s="32" t="s">
        <v>2151</v>
      </c>
      <c r="C87" s="33" t="s">
        <v>218</v>
      </c>
      <c r="D87" s="32" t="s">
        <v>1328</v>
      </c>
      <c r="E87" s="11" t="s">
        <v>9</v>
      </c>
    </row>
    <row r="88">
      <c r="B88" s="32" t="s">
        <v>2150</v>
      </c>
      <c r="C88" s="33" t="s">
        <v>770</v>
      </c>
      <c r="D88" s="32" t="s">
        <v>2152</v>
      </c>
      <c r="E88" s="11" t="s">
        <v>13</v>
      </c>
    </row>
    <row r="89">
      <c r="B89" s="1" t="s">
        <v>2154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16" t="s">
        <v>5</v>
      </c>
    </row>
    <row r="91">
      <c r="B91" s="32" t="s">
        <v>647</v>
      </c>
      <c r="C91" s="35" t="s">
        <v>197</v>
      </c>
      <c r="D91" s="32" t="s">
        <v>2155</v>
      </c>
      <c r="E91" s="11" t="s">
        <v>9</v>
      </c>
    </row>
    <row r="92">
      <c r="B92" s="32" t="s">
        <v>2156</v>
      </c>
      <c r="C92" s="35" t="s">
        <v>435</v>
      </c>
      <c r="D92" s="32" t="s">
        <v>2157</v>
      </c>
      <c r="E92" s="11" t="s">
        <v>13</v>
      </c>
    </row>
    <row r="93">
      <c r="B93" s="32" t="s">
        <v>903</v>
      </c>
      <c r="C93" s="35" t="s">
        <v>81</v>
      </c>
      <c r="D93" s="32" t="s">
        <v>647</v>
      </c>
      <c r="E93" s="11" t="s">
        <v>9</v>
      </c>
    </row>
    <row r="94">
      <c r="B94" s="32" t="s">
        <v>2156</v>
      </c>
      <c r="C94" s="35" t="s">
        <v>69</v>
      </c>
      <c r="D94" s="32" t="s">
        <v>2155</v>
      </c>
      <c r="E94" s="11" t="s">
        <v>13</v>
      </c>
    </row>
    <row r="95">
      <c r="B95" s="32" t="s">
        <v>903</v>
      </c>
      <c r="C95" s="35" t="s">
        <v>2158</v>
      </c>
      <c r="D95" s="32" t="s">
        <v>2157</v>
      </c>
      <c r="E95" s="11" t="s">
        <v>9</v>
      </c>
    </row>
    <row r="96">
      <c r="B96" s="32" t="s">
        <v>2156</v>
      </c>
      <c r="C96" s="35" t="s">
        <v>194</v>
      </c>
      <c r="D96" s="32" t="s">
        <v>647</v>
      </c>
      <c r="E96" s="11" t="s">
        <v>13</v>
      </c>
    </row>
    <row r="97">
      <c r="B97" s="32" t="s">
        <v>903</v>
      </c>
      <c r="C97" s="35" t="s">
        <v>22</v>
      </c>
      <c r="D97" s="32" t="s">
        <v>2155</v>
      </c>
      <c r="E97" s="11" t="s">
        <v>9</v>
      </c>
    </row>
    <row r="98">
      <c r="B98" s="32" t="s">
        <v>2157</v>
      </c>
      <c r="C98" s="35" t="s">
        <v>22</v>
      </c>
      <c r="D98" s="32" t="s">
        <v>647</v>
      </c>
      <c r="E98" s="11" t="s">
        <v>13</v>
      </c>
    </row>
    <row r="99">
      <c r="B99" s="32" t="s">
        <v>903</v>
      </c>
      <c r="C99" s="35" t="s">
        <v>28</v>
      </c>
      <c r="D99" s="32" t="s">
        <v>2156</v>
      </c>
      <c r="E99" s="11" t="s">
        <v>9</v>
      </c>
    </row>
    <row r="100">
      <c r="B100" s="32" t="s">
        <v>2157</v>
      </c>
      <c r="C100" s="35" t="s">
        <v>16</v>
      </c>
      <c r="D100" s="32" t="s">
        <v>2155</v>
      </c>
      <c r="E100" s="11" t="s">
        <v>13</v>
      </c>
    </row>
    <row r="101">
      <c r="B101" s="32" t="s">
        <v>2155</v>
      </c>
      <c r="C101" s="35" t="s">
        <v>31</v>
      </c>
      <c r="D101" s="32" t="s">
        <v>647</v>
      </c>
      <c r="E101" s="11" t="s">
        <v>9</v>
      </c>
    </row>
    <row r="102">
      <c r="B102" s="32" t="s">
        <v>2157</v>
      </c>
      <c r="C102" s="35" t="s">
        <v>35</v>
      </c>
      <c r="D102" s="32" t="s">
        <v>2156</v>
      </c>
      <c r="E102" s="11" t="s">
        <v>13</v>
      </c>
    </row>
    <row r="103">
      <c r="B103" s="32" t="s">
        <v>647</v>
      </c>
      <c r="C103" s="35" t="s">
        <v>22</v>
      </c>
      <c r="D103" s="32" t="s">
        <v>903</v>
      </c>
      <c r="E103" s="11" t="s">
        <v>9</v>
      </c>
    </row>
    <row r="104">
      <c r="B104" s="32" t="s">
        <v>2155</v>
      </c>
      <c r="C104" s="35" t="s">
        <v>23</v>
      </c>
      <c r="D104" s="32" t="s">
        <v>2156</v>
      </c>
      <c r="E104" s="11" t="s">
        <v>13</v>
      </c>
    </row>
    <row r="105">
      <c r="B105" s="32" t="s">
        <v>2157</v>
      </c>
      <c r="C105" s="35" t="s">
        <v>11</v>
      </c>
      <c r="D105" s="32" t="s">
        <v>903</v>
      </c>
      <c r="E105" s="11" t="s">
        <v>9</v>
      </c>
    </row>
    <row r="106">
      <c r="B106" s="32" t="s">
        <v>647</v>
      </c>
      <c r="C106" s="35" t="s">
        <v>68</v>
      </c>
      <c r="D106" s="32" t="s">
        <v>2156</v>
      </c>
      <c r="E106" s="11" t="s">
        <v>13</v>
      </c>
    </row>
    <row r="107">
      <c r="B107" s="32" t="s">
        <v>2155</v>
      </c>
      <c r="C107" s="35" t="s">
        <v>295</v>
      </c>
      <c r="D107" s="32" t="s">
        <v>903</v>
      </c>
      <c r="E107" s="11" t="s">
        <v>9</v>
      </c>
    </row>
    <row r="108">
      <c r="B108" s="32" t="s">
        <v>647</v>
      </c>
      <c r="C108" s="35" t="s">
        <v>41</v>
      </c>
      <c r="D108" s="32" t="s">
        <v>2157</v>
      </c>
      <c r="E108" s="11" t="s">
        <v>13</v>
      </c>
    </row>
    <row r="109">
      <c r="B109" s="32" t="s">
        <v>2156</v>
      </c>
      <c r="C109" s="35" t="s">
        <v>86</v>
      </c>
      <c r="D109" s="32" t="s">
        <v>903</v>
      </c>
      <c r="E109" s="11" t="s">
        <v>9</v>
      </c>
    </row>
    <row r="110">
      <c r="B110" s="32" t="s">
        <v>2155</v>
      </c>
      <c r="C110" s="35" t="s">
        <v>2159</v>
      </c>
      <c r="D110" s="32" t="s">
        <v>2157</v>
      </c>
      <c r="E110" s="11" t="s">
        <v>13</v>
      </c>
    </row>
    <row r="111">
      <c r="B111" s="1" t="s">
        <v>2160</v>
      </c>
      <c r="C111" s="2"/>
      <c r="D111" s="3"/>
      <c r="E111" s="4"/>
    </row>
    <row r="112"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B113" s="32" t="s">
        <v>2161</v>
      </c>
      <c r="C113" s="33" t="s">
        <v>87</v>
      </c>
      <c r="D113" s="32" t="s">
        <v>2162</v>
      </c>
      <c r="E113" s="11" t="s">
        <v>9</v>
      </c>
    </row>
    <row r="114">
      <c r="B114" s="32" t="s">
        <v>599</v>
      </c>
      <c r="C114" s="33" t="s">
        <v>43</v>
      </c>
      <c r="D114" s="32" t="s">
        <v>2163</v>
      </c>
      <c r="E114" s="11" t="s">
        <v>13</v>
      </c>
    </row>
    <row r="115">
      <c r="B115" s="32" t="s">
        <v>2164</v>
      </c>
      <c r="C115" s="33" t="s">
        <v>201</v>
      </c>
      <c r="D115" s="32" t="s">
        <v>2161</v>
      </c>
      <c r="E115" s="11" t="s">
        <v>9</v>
      </c>
    </row>
    <row r="116">
      <c r="B116" s="32" t="s">
        <v>599</v>
      </c>
      <c r="C116" s="33" t="s">
        <v>699</v>
      </c>
      <c r="D116" s="32" t="s">
        <v>2162</v>
      </c>
      <c r="E116" s="11" t="s">
        <v>13</v>
      </c>
    </row>
    <row r="117">
      <c r="B117" s="32" t="s">
        <v>2164</v>
      </c>
      <c r="C117" s="33" t="s">
        <v>87</v>
      </c>
      <c r="D117" s="32" t="s">
        <v>2163</v>
      </c>
      <c r="E117" s="11" t="s">
        <v>9</v>
      </c>
    </row>
    <row r="118">
      <c r="B118" s="32" t="s">
        <v>599</v>
      </c>
      <c r="C118" s="33" t="s">
        <v>66</v>
      </c>
      <c r="D118" s="32" t="s">
        <v>2161</v>
      </c>
      <c r="E118" s="11" t="s">
        <v>13</v>
      </c>
    </row>
    <row r="119">
      <c r="B119" s="32" t="s">
        <v>2164</v>
      </c>
      <c r="C119" s="33" t="s">
        <v>88</v>
      </c>
      <c r="D119" s="32" t="s">
        <v>2162</v>
      </c>
      <c r="E119" s="11" t="s">
        <v>9</v>
      </c>
    </row>
    <row r="120">
      <c r="B120" s="32" t="s">
        <v>2163</v>
      </c>
      <c r="C120" s="33" t="s">
        <v>1465</v>
      </c>
      <c r="D120" s="32" t="s">
        <v>2161</v>
      </c>
      <c r="E120" s="11" t="s">
        <v>13</v>
      </c>
    </row>
    <row r="121">
      <c r="B121" s="32" t="s">
        <v>2164</v>
      </c>
      <c r="C121" s="33" t="s">
        <v>67</v>
      </c>
      <c r="D121" s="32" t="s">
        <v>599</v>
      </c>
      <c r="E121" s="11" t="s">
        <v>9</v>
      </c>
    </row>
    <row r="122">
      <c r="B122" s="32" t="s">
        <v>2163</v>
      </c>
      <c r="C122" s="33" t="s">
        <v>31</v>
      </c>
      <c r="D122" s="32" t="s">
        <v>2162</v>
      </c>
      <c r="E122" s="11" t="s">
        <v>13</v>
      </c>
    </row>
    <row r="123">
      <c r="B123" s="32" t="s">
        <v>2162</v>
      </c>
      <c r="C123" s="33" t="s">
        <v>18</v>
      </c>
      <c r="D123" s="32" t="s">
        <v>2161</v>
      </c>
      <c r="E123" s="11" t="s">
        <v>9</v>
      </c>
    </row>
    <row r="124">
      <c r="B124" s="32" t="s">
        <v>2163</v>
      </c>
      <c r="C124" s="33" t="s">
        <v>11</v>
      </c>
      <c r="D124" s="32" t="s">
        <v>599</v>
      </c>
      <c r="E124" s="11" t="s">
        <v>13</v>
      </c>
    </row>
    <row r="125">
      <c r="B125" s="32" t="s">
        <v>2161</v>
      </c>
      <c r="C125" s="35" t="s">
        <v>17</v>
      </c>
      <c r="D125" s="32" t="s">
        <v>2164</v>
      </c>
      <c r="E125" s="11" t="s">
        <v>9</v>
      </c>
    </row>
    <row r="126">
      <c r="B126" s="32" t="s">
        <v>2162</v>
      </c>
      <c r="C126" s="35" t="s">
        <v>578</v>
      </c>
      <c r="D126" s="32" t="s">
        <v>599</v>
      </c>
      <c r="E126" s="11" t="s">
        <v>13</v>
      </c>
    </row>
    <row r="127">
      <c r="B127" s="32" t="s">
        <v>2163</v>
      </c>
      <c r="C127" s="35" t="s">
        <v>218</v>
      </c>
      <c r="D127" s="32" t="s">
        <v>2164</v>
      </c>
      <c r="E127" s="11" t="s">
        <v>9</v>
      </c>
    </row>
    <row r="128">
      <c r="B128" s="32" t="s">
        <v>2161</v>
      </c>
      <c r="C128" s="35" t="s">
        <v>82</v>
      </c>
      <c r="D128" s="32" t="s">
        <v>599</v>
      </c>
      <c r="E128" s="11" t="s">
        <v>13</v>
      </c>
    </row>
    <row r="129">
      <c r="B129" s="32" t="s">
        <v>2162</v>
      </c>
      <c r="C129" s="35" t="s">
        <v>68</v>
      </c>
      <c r="D129" s="32" t="s">
        <v>2164</v>
      </c>
      <c r="E129" s="11" t="s">
        <v>9</v>
      </c>
    </row>
    <row r="130">
      <c r="B130" s="32" t="s">
        <v>2161</v>
      </c>
      <c r="C130" s="35" t="s">
        <v>22</v>
      </c>
      <c r="D130" s="32" t="s">
        <v>2163</v>
      </c>
      <c r="E130" s="11" t="s">
        <v>13</v>
      </c>
    </row>
    <row r="131">
      <c r="B131" s="32" t="s">
        <v>599</v>
      </c>
      <c r="C131" s="35" t="s">
        <v>207</v>
      </c>
      <c r="D131" s="32" t="s">
        <v>2164</v>
      </c>
      <c r="E131" s="11" t="s">
        <v>9</v>
      </c>
    </row>
    <row r="132">
      <c r="B132" s="32" t="s">
        <v>2162</v>
      </c>
      <c r="C132" s="35" t="s">
        <v>400</v>
      </c>
      <c r="D132" s="32" t="s">
        <v>2163</v>
      </c>
      <c r="E132" s="11" t="s">
        <v>13</v>
      </c>
    </row>
    <row r="133">
      <c r="B133" s="72" t="s">
        <v>2165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32" t="s">
        <v>1269</v>
      </c>
      <c r="C135" s="33" t="s">
        <v>195</v>
      </c>
      <c r="D135" s="32" t="s">
        <v>2166</v>
      </c>
      <c r="E135" s="11" t="s">
        <v>33</v>
      </c>
    </row>
    <row r="136">
      <c r="B136" s="32" t="s">
        <v>661</v>
      </c>
      <c r="C136" s="33" t="s">
        <v>494</v>
      </c>
      <c r="D136" s="32" t="s">
        <v>894</v>
      </c>
      <c r="E136" s="11" t="s">
        <v>37</v>
      </c>
    </row>
    <row r="137">
      <c r="B137" s="32" t="s">
        <v>2167</v>
      </c>
      <c r="C137" s="33" t="s">
        <v>193</v>
      </c>
      <c r="D137" s="32" t="s">
        <v>1269</v>
      </c>
      <c r="E137" s="11" t="s">
        <v>33</v>
      </c>
    </row>
    <row r="138">
      <c r="B138" s="32" t="s">
        <v>661</v>
      </c>
      <c r="C138" s="33" t="s">
        <v>17</v>
      </c>
      <c r="D138" s="32" t="s">
        <v>2166</v>
      </c>
      <c r="E138" s="11" t="s">
        <v>37</v>
      </c>
    </row>
    <row r="139">
      <c r="B139" s="32" t="s">
        <v>2167</v>
      </c>
      <c r="C139" s="33" t="s">
        <v>22</v>
      </c>
      <c r="D139" s="32" t="s">
        <v>894</v>
      </c>
      <c r="E139" s="11" t="s">
        <v>33</v>
      </c>
    </row>
    <row r="140">
      <c r="B140" s="32" t="s">
        <v>661</v>
      </c>
      <c r="C140" s="33" t="s">
        <v>249</v>
      </c>
      <c r="D140" s="32" t="s">
        <v>1269</v>
      </c>
      <c r="E140" s="11" t="s">
        <v>37</v>
      </c>
    </row>
    <row r="141">
      <c r="B141" s="32" t="s">
        <v>2167</v>
      </c>
      <c r="C141" s="33" t="s">
        <v>842</v>
      </c>
      <c r="D141" s="32" t="s">
        <v>2166</v>
      </c>
      <c r="E141" s="11" t="s">
        <v>33</v>
      </c>
    </row>
    <row r="142">
      <c r="B142" s="32" t="s">
        <v>894</v>
      </c>
      <c r="C142" s="33" t="s">
        <v>52</v>
      </c>
      <c r="D142" s="32" t="s">
        <v>1269</v>
      </c>
      <c r="E142" s="11" t="s">
        <v>37</v>
      </c>
    </row>
    <row r="143">
      <c r="B143" s="32" t="s">
        <v>2167</v>
      </c>
      <c r="C143" s="33" t="s">
        <v>47</v>
      </c>
      <c r="D143" s="32" t="s">
        <v>661</v>
      </c>
      <c r="E143" s="11" t="s">
        <v>33</v>
      </c>
    </row>
    <row r="144">
      <c r="B144" s="32" t="s">
        <v>894</v>
      </c>
      <c r="C144" s="33" t="s">
        <v>684</v>
      </c>
      <c r="D144" s="32" t="s">
        <v>2166</v>
      </c>
      <c r="E144" s="11" t="s">
        <v>37</v>
      </c>
    </row>
    <row r="145">
      <c r="B145" s="32" t="s">
        <v>2166</v>
      </c>
      <c r="C145" s="33" t="s">
        <v>17</v>
      </c>
      <c r="D145" s="32" t="s">
        <v>1269</v>
      </c>
      <c r="E145" s="11" t="s">
        <v>33</v>
      </c>
    </row>
    <row r="146">
      <c r="B146" s="32" t="s">
        <v>894</v>
      </c>
      <c r="C146" s="33" t="s">
        <v>43</v>
      </c>
      <c r="D146" s="32" t="s">
        <v>661</v>
      </c>
      <c r="E146" s="11" t="s">
        <v>37</v>
      </c>
    </row>
    <row r="147">
      <c r="B147" s="32" t="s">
        <v>1269</v>
      </c>
      <c r="C147" s="35" t="s">
        <v>87</v>
      </c>
      <c r="D147" s="32" t="s">
        <v>2167</v>
      </c>
      <c r="E147" s="11" t="s">
        <v>33</v>
      </c>
    </row>
    <row r="148">
      <c r="B148" s="32" t="s">
        <v>2166</v>
      </c>
      <c r="C148" s="35" t="s">
        <v>239</v>
      </c>
      <c r="D148" s="32" t="s">
        <v>661</v>
      </c>
      <c r="E148" s="11" t="s">
        <v>37</v>
      </c>
    </row>
    <row r="149">
      <c r="B149" s="32" t="s">
        <v>894</v>
      </c>
      <c r="C149" s="35" t="s">
        <v>201</v>
      </c>
      <c r="D149" s="32" t="s">
        <v>2167</v>
      </c>
      <c r="E149" s="11" t="s">
        <v>33</v>
      </c>
    </row>
    <row r="150">
      <c r="B150" s="32" t="s">
        <v>1269</v>
      </c>
      <c r="C150" s="35" t="s">
        <v>260</v>
      </c>
      <c r="D150" s="32" t="s">
        <v>661</v>
      </c>
      <c r="E150" s="11" t="s">
        <v>37</v>
      </c>
    </row>
    <row r="151">
      <c r="B151" s="32" t="s">
        <v>2166</v>
      </c>
      <c r="C151" s="35" t="s">
        <v>389</v>
      </c>
      <c r="D151" s="32" t="s">
        <v>2167</v>
      </c>
      <c r="E151" s="11" t="s">
        <v>33</v>
      </c>
    </row>
    <row r="152">
      <c r="B152" s="32" t="s">
        <v>1269</v>
      </c>
      <c r="C152" s="35" t="s">
        <v>260</v>
      </c>
      <c r="D152" s="32" t="s">
        <v>894</v>
      </c>
      <c r="E152" s="11" t="s">
        <v>37</v>
      </c>
    </row>
    <row r="153">
      <c r="B153" s="32" t="s">
        <v>661</v>
      </c>
      <c r="C153" s="35" t="s">
        <v>87</v>
      </c>
      <c r="D153" s="32" t="s">
        <v>2167</v>
      </c>
      <c r="E153" s="11" t="s">
        <v>33</v>
      </c>
    </row>
    <row r="154">
      <c r="B154" s="32" t="s">
        <v>2166</v>
      </c>
      <c r="C154" s="35" t="s">
        <v>43</v>
      </c>
      <c r="D154" s="32" t="s">
        <v>894</v>
      </c>
      <c r="E154" s="11" t="s">
        <v>37</v>
      </c>
    </row>
    <row r="155">
      <c r="B155" s="1" t="s">
        <v>2041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B157" s="32" t="s">
        <v>2168</v>
      </c>
      <c r="C157" s="33" t="s">
        <v>196</v>
      </c>
      <c r="D157" s="32" t="s">
        <v>1432</v>
      </c>
      <c r="E157" s="11" t="s">
        <v>9</v>
      </c>
    </row>
    <row r="158">
      <c r="B158" s="32" t="s">
        <v>2169</v>
      </c>
      <c r="C158" s="33" t="s">
        <v>18</v>
      </c>
      <c r="D158" s="32" t="s">
        <v>2170</v>
      </c>
      <c r="E158" s="11" t="s">
        <v>13</v>
      </c>
    </row>
    <row r="159">
      <c r="B159" s="32" t="s">
        <v>95</v>
      </c>
      <c r="C159" s="33" t="s">
        <v>82</v>
      </c>
      <c r="D159" s="32" t="s">
        <v>2168</v>
      </c>
      <c r="E159" s="11" t="s">
        <v>9</v>
      </c>
    </row>
    <row r="160">
      <c r="B160" s="32" t="s">
        <v>2169</v>
      </c>
      <c r="C160" s="33" t="s">
        <v>260</v>
      </c>
      <c r="D160" s="32" t="s">
        <v>1432</v>
      </c>
      <c r="E160" s="11" t="s">
        <v>13</v>
      </c>
    </row>
    <row r="161">
      <c r="B161" s="32" t="s">
        <v>95</v>
      </c>
      <c r="C161" s="33" t="s">
        <v>195</v>
      </c>
      <c r="D161" s="32" t="s">
        <v>2170</v>
      </c>
      <c r="E161" s="11" t="s">
        <v>9</v>
      </c>
    </row>
    <row r="162">
      <c r="B162" s="32" t="s">
        <v>2169</v>
      </c>
      <c r="C162" s="33" t="s">
        <v>1068</v>
      </c>
      <c r="D162" s="32" t="s">
        <v>2168</v>
      </c>
      <c r="E162" s="11" t="s">
        <v>13</v>
      </c>
    </row>
    <row r="163">
      <c r="B163" s="32" t="s">
        <v>95</v>
      </c>
      <c r="C163" s="33" t="s">
        <v>19</v>
      </c>
      <c r="D163" s="32" t="s">
        <v>1432</v>
      </c>
      <c r="E163" s="11" t="s">
        <v>9</v>
      </c>
    </row>
    <row r="164">
      <c r="B164" s="32" t="s">
        <v>2170</v>
      </c>
      <c r="C164" s="33" t="s">
        <v>43</v>
      </c>
      <c r="D164" s="32" t="s">
        <v>2168</v>
      </c>
      <c r="E164" s="11" t="s">
        <v>13</v>
      </c>
    </row>
    <row r="165">
      <c r="B165" s="32" t="s">
        <v>95</v>
      </c>
      <c r="C165" s="33" t="s">
        <v>21</v>
      </c>
      <c r="D165" s="32" t="s">
        <v>2169</v>
      </c>
      <c r="E165" s="11" t="s">
        <v>9</v>
      </c>
    </row>
    <row r="166">
      <c r="B166" s="32" t="s">
        <v>2170</v>
      </c>
      <c r="C166" s="33" t="s">
        <v>87</v>
      </c>
      <c r="D166" s="32" t="s">
        <v>1432</v>
      </c>
      <c r="E166" s="11" t="s">
        <v>13</v>
      </c>
    </row>
    <row r="167">
      <c r="B167" s="32" t="s">
        <v>1432</v>
      </c>
      <c r="C167" s="33" t="s">
        <v>534</v>
      </c>
      <c r="D167" s="32" t="s">
        <v>2168</v>
      </c>
      <c r="E167" s="11" t="s">
        <v>9</v>
      </c>
    </row>
    <row r="168">
      <c r="B168" s="32" t="s">
        <v>2170</v>
      </c>
      <c r="C168" s="33" t="s">
        <v>218</v>
      </c>
      <c r="D168" s="32" t="s">
        <v>2169</v>
      </c>
      <c r="E168" s="11" t="s">
        <v>13</v>
      </c>
    </row>
    <row r="169">
      <c r="B169" s="32" t="s">
        <v>2168</v>
      </c>
      <c r="C169" s="35" t="s">
        <v>68</v>
      </c>
      <c r="D169" s="32" t="s">
        <v>95</v>
      </c>
      <c r="E169" s="11" t="s">
        <v>9</v>
      </c>
    </row>
    <row r="170">
      <c r="B170" s="32" t="s">
        <v>1432</v>
      </c>
      <c r="C170" s="35" t="s">
        <v>63</v>
      </c>
      <c r="D170" s="32" t="s">
        <v>2169</v>
      </c>
      <c r="E170" s="11" t="s">
        <v>13</v>
      </c>
    </row>
    <row r="171">
      <c r="B171" s="32" t="s">
        <v>2170</v>
      </c>
      <c r="C171" s="35" t="s">
        <v>857</v>
      </c>
      <c r="D171" s="32" t="s">
        <v>95</v>
      </c>
      <c r="E171" s="11" t="s">
        <v>9</v>
      </c>
    </row>
    <row r="172">
      <c r="B172" s="32" t="s">
        <v>2168</v>
      </c>
      <c r="C172" s="35" t="s">
        <v>28</v>
      </c>
      <c r="D172" s="32" t="s">
        <v>2169</v>
      </c>
      <c r="E172" s="11" t="s">
        <v>13</v>
      </c>
    </row>
    <row r="173">
      <c r="B173" s="32" t="s">
        <v>1432</v>
      </c>
      <c r="C173" s="35" t="s">
        <v>65</v>
      </c>
      <c r="D173" s="32" t="s">
        <v>95</v>
      </c>
      <c r="E173" s="11" t="s">
        <v>9</v>
      </c>
    </row>
    <row r="174">
      <c r="B174" s="32" t="s">
        <v>2168</v>
      </c>
      <c r="C174" s="35" t="s">
        <v>81</v>
      </c>
      <c r="D174" s="32" t="s">
        <v>2170</v>
      </c>
      <c r="E174" s="11" t="s">
        <v>13</v>
      </c>
    </row>
    <row r="175">
      <c r="B175" s="32" t="s">
        <v>2169</v>
      </c>
      <c r="C175" s="35" t="s">
        <v>11</v>
      </c>
      <c r="D175" s="32" t="s">
        <v>95</v>
      </c>
      <c r="E175" s="11" t="s">
        <v>9</v>
      </c>
    </row>
    <row r="176">
      <c r="B176" s="32" t="s">
        <v>1432</v>
      </c>
      <c r="C176" s="35" t="s">
        <v>283</v>
      </c>
      <c r="D176" s="32" t="s">
        <v>2170</v>
      </c>
      <c r="E176" s="11" t="s">
        <v>13</v>
      </c>
    </row>
    <row r="177">
      <c r="B177" s="72" t="s">
        <v>2171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B179" s="32" t="s">
        <v>2172</v>
      </c>
      <c r="C179" s="35" t="s">
        <v>66</v>
      </c>
      <c r="D179" s="32" t="s">
        <v>2173</v>
      </c>
      <c r="E179" s="11" t="s">
        <v>33</v>
      </c>
    </row>
    <row r="180">
      <c r="B180" s="32" t="s">
        <v>2174</v>
      </c>
      <c r="C180" s="35" t="s">
        <v>285</v>
      </c>
      <c r="D180" s="32" t="s">
        <v>2175</v>
      </c>
      <c r="E180" s="11" t="s">
        <v>37</v>
      </c>
    </row>
    <row r="181">
      <c r="B181" s="32" t="s">
        <v>2176</v>
      </c>
      <c r="C181" s="35" t="s">
        <v>72</v>
      </c>
      <c r="D181" s="32" t="s">
        <v>2172</v>
      </c>
      <c r="E181" s="11" t="s">
        <v>33</v>
      </c>
    </row>
    <row r="182">
      <c r="B182" s="32" t="s">
        <v>2174</v>
      </c>
      <c r="C182" s="35" t="s">
        <v>193</v>
      </c>
      <c r="D182" s="32" t="s">
        <v>2173</v>
      </c>
      <c r="E182" s="11" t="s">
        <v>37</v>
      </c>
    </row>
    <row r="183">
      <c r="B183" s="32" t="s">
        <v>2176</v>
      </c>
      <c r="C183" s="35" t="s">
        <v>68</v>
      </c>
      <c r="D183" s="32" t="s">
        <v>2175</v>
      </c>
      <c r="E183" s="11" t="s">
        <v>33</v>
      </c>
    </row>
    <row r="184">
      <c r="B184" s="32" t="s">
        <v>2174</v>
      </c>
      <c r="C184" s="35" t="s">
        <v>45</v>
      </c>
      <c r="D184" s="32" t="s">
        <v>2172</v>
      </c>
      <c r="E184" s="11" t="s">
        <v>37</v>
      </c>
    </row>
    <row r="185">
      <c r="B185" s="32" t="s">
        <v>2176</v>
      </c>
      <c r="C185" s="35" t="s">
        <v>297</v>
      </c>
      <c r="D185" s="32" t="s">
        <v>2173</v>
      </c>
      <c r="E185" s="11" t="s">
        <v>33</v>
      </c>
    </row>
    <row r="186">
      <c r="B186" s="32" t="s">
        <v>2175</v>
      </c>
      <c r="C186" s="35" t="s">
        <v>87</v>
      </c>
      <c r="D186" s="32" t="s">
        <v>2172</v>
      </c>
      <c r="E186" s="11" t="s">
        <v>37</v>
      </c>
    </row>
    <row r="187">
      <c r="B187" s="32" t="s">
        <v>2176</v>
      </c>
      <c r="C187" s="35" t="s">
        <v>2177</v>
      </c>
      <c r="D187" s="32" t="s">
        <v>2174</v>
      </c>
      <c r="E187" s="11" t="s">
        <v>33</v>
      </c>
    </row>
    <row r="188">
      <c r="B188" s="32" t="s">
        <v>2175</v>
      </c>
      <c r="C188" s="35" t="s">
        <v>218</v>
      </c>
      <c r="D188" s="32" t="s">
        <v>2173</v>
      </c>
      <c r="E188" s="11" t="s">
        <v>37</v>
      </c>
    </row>
    <row r="189">
      <c r="B189" s="32" t="s">
        <v>2173</v>
      </c>
      <c r="C189" s="35" t="s">
        <v>354</v>
      </c>
      <c r="D189" s="32" t="s">
        <v>2172</v>
      </c>
      <c r="E189" s="11" t="s">
        <v>33</v>
      </c>
    </row>
    <row r="190">
      <c r="B190" s="32" t="s">
        <v>2175</v>
      </c>
      <c r="C190" s="35" t="s">
        <v>250</v>
      </c>
      <c r="D190" s="32" t="s">
        <v>2174</v>
      </c>
      <c r="E190" s="11" t="s">
        <v>37</v>
      </c>
    </row>
    <row r="191">
      <c r="B191" s="32" t="s">
        <v>2172</v>
      </c>
      <c r="C191" s="35" t="s">
        <v>20</v>
      </c>
      <c r="D191" s="32" t="s">
        <v>2176</v>
      </c>
      <c r="E191" s="11" t="s">
        <v>33</v>
      </c>
    </row>
    <row r="192">
      <c r="B192" s="32" t="s">
        <v>2173</v>
      </c>
      <c r="C192" s="35" t="s">
        <v>65</v>
      </c>
      <c r="D192" s="32" t="s">
        <v>2174</v>
      </c>
      <c r="E192" s="11" t="s">
        <v>37</v>
      </c>
    </row>
    <row r="193">
      <c r="B193" s="32" t="s">
        <v>2175</v>
      </c>
      <c r="C193" s="35" t="s">
        <v>38</v>
      </c>
      <c r="D193" s="32" t="s">
        <v>2176</v>
      </c>
      <c r="E193" s="11" t="s">
        <v>33</v>
      </c>
    </row>
    <row r="194">
      <c r="B194" s="32" t="s">
        <v>2172</v>
      </c>
      <c r="C194" s="35" t="s">
        <v>195</v>
      </c>
      <c r="D194" s="32" t="s">
        <v>2174</v>
      </c>
      <c r="E194" s="11" t="s">
        <v>37</v>
      </c>
    </row>
    <row r="195">
      <c r="B195" s="32" t="s">
        <v>2173</v>
      </c>
      <c r="C195" s="35" t="s">
        <v>362</v>
      </c>
      <c r="D195" s="32" t="s">
        <v>2176</v>
      </c>
      <c r="E195" s="11" t="s">
        <v>33</v>
      </c>
    </row>
    <row r="196">
      <c r="B196" s="32" t="s">
        <v>2172</v>
      </c>
      <c r="C196" s="35" t="s">
        <v>64</v>
      </c>
      <c r="D196" s="32" t="s">
        <v>2175</v>
      </c>
      <c r="E196" s="11" t="s">
        <v>37</v>
      </c>
    </row>
    <row r="197">
      <c r="B197" s="32" t="s">
        <v>2174</v>
      </c>
      <c r="C197" s="35" t="s">
        <v>81</v>
      </c>
      <c r="D197" s="32" t="s">
        <v>2176</v>
      </c>
      <c r="E197" s="11" t="s">
        <v>33</v>
      </c>
    </row>
    <row r="198">
      <c r="B198" s="32" t="s">
        <v>2173</v>
      </c>
      <c r="C198" s="35" t="s">
        <v>28</v>
      </c>
      <c r="D198" s="32" t="s">
        <v>2175</v>
      </c>
      <c r="E198" s="11" t="s">
        <v>37</v>
      </c>
    </row>
    <row r="199">
      <c r="B199" s="72" t="s">
        <v>2178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B201" s="32" t="s">
        <v>1571</v>
      </c>
      <c r="C201" s="35" t="s">
        <v>218</v>
      </c>
      <c r="D201" s="32" t="s">
        <v>2179</v>
      </c>
      <c r="E201" s="11" t="s">
        <v>33</v>
      </c>
    </row>
    <row r="202">
      <c r="B202" s="32" t="s">
        <v>1574</v>
      </c>
      <c r="C202" s="35" t="s">
        <v>19</v>
      </c>
      <c r="D202" s="32" t="s">
        <v>1499</v>
      </c>
      <c r="E202" s="11" t="s">
        <v>37</v>
      </c>
    </row>
    <row r="203">
      <c r="B203" s="32" t="s">
        <v>2180</v>
      </c>
      <c r="C203" s="35" t="s">
        <v>87</v>
      </c>
      <c r="D203" s="32" t="s">
        <v>1571</v>
      </c>
      <c r="E203" s="11" t="s">
        <v>33</v>
      </c>
    </row>
    <row r="204">
      <c r="B204" s="32" t="s">
        <v>1574</v>
      </c>
      <c r="C204" s="35" t="s">
        <v>72</v>
      </c>
      <c r="D204" s="32" t="s">
        <v>2179</v>
      </c>
      <c r="E204" s="11" t="s">
        <v>37</v>
      </c>
    </row>
    <row r="205">
      <c r="B205" s="32" t="s">
        <v>2180</v>
      </c>
      <c r="C205" s="35" t="s">
        <v>16</v>
      </c>
      <c r="D205" s="32" t="s">
        <v>1499</v>
      </c>
      <c r="E205" s="11" t="s">
        <v>33</v>
      </c>
    </row>
    <row r="206">
      <c r="B206" s="32" t="s">
        <v>1574</v>
      </c>
      <c r="C206" s="35" t="s">
        <v>62</v>
      </c>
      <c r="D206" s="32" t="s">
        <v>1571</v>
      </c>
      <c r="E206" s="11" t="s">
        <v>37</v>
      </c>
    </row>
    <row r="207">
      <c r="B207" s="32" t="s">
        <v>2180</v>
      </c>
      <c r="C207" s="35" t="s">
        <v>260</v>
      </c>
      <c r="D207" s="32" t="s">
        <v>2179</v>
      </c>
      <c r="E207" s="11" t="s">
        <v>33</v>
      </c>
    </row>
    <row r="208">
      <c r="B208" s="32" t="s">
        <v>1499</v>
      </c>
      <c r="C208" s="35" t="s">
        <v>16</v>
      </c>
      <c r="D208" s="32" t="s">
        <v>1571</v>
      </c>
      <c r="E208" s="11" t="s">
        <v>37</v>
      </c>
    </row>
    <row r="209">
      <c r="B209" s="32" t="s">
        <v>2180</v>
      </c>
      <c r="C209" s="35" t="s">
        <v>2181</v>
      </c>
      <c r="D209" s="32" t="s">
        <v>1574</v>
      </c>
      <c r="E209" s="11" t="s">
        <v>33</v>
      </c>
    </row>
    <row r="210">
      <c r="B210" s="32" t="s">
        <v>1499</v>
      </c>
      <c r="C210" s="35" t="s">
        <v>286</v>
      </c>
      <c r="D210" s="32" t="s">
        <v>2179</v>
      </c>
      <c r="E210" s="11" t="s">
        <v>37</v>
      </c>
    </row>
    <row r="211">
      <c r="B211" s="32" t="s">
        <v>2179</v>
      </c>
      <c r="C211" s="35" t="s">
        <v>289</v>
      </c>
      <c r="D211" s="32" t="s">
        <v>1571</v>
      </c>
      <c r="E211" s="11" t="s">
        <v>33</v>
      </c>
    </row>
    <row r="212">
      <c r="B212" s="32" t="s">
        <v>1499</v>
      </c>
      <c r="C212" s="35" t="s">
        <v>201</v>
      </c>
      <c r="D212" s="32" t="s">
        <v>1574</v>
      </c>
      <c r="E212" s="11" t="s">
        <v>37</v>
      </c>
    </row>
    <row r="213">
      <c r="B213" s="32" t="s">
        <v>1571</v>
      </c>
      <c r="C213" s="35" t="s">
        <v>81</v>
      </c>
      <c r="D213" s="32" t="s">
        <v>2180</v>
      </c>
      <c r="E213" s="11" t="s">
        <v>33</v>
      </c>
    </row>
    <row r="214">
      <c r="B214" s="32" t="s">
        <v>2179</v>
      </c>
      <c r="C214" s="35" t="s">
        <v>65</v>
      </c>
      <c r="D214" s="32" t="s">
        <v>1574</v>
      </c>
      <c r="E214" s="11" t="s">
        <v>37</v>
      </c>
    </row>
    <row r="215">
      <c r="B215" s="32" t="s">
        <v>1499</v>
      </c>
      <c r="C215" s="35" t="s">
        <v>81</v>
      </c>
      <c r="D215" s="32" t="s">
        <v>2180</v>
      </c>
      <c r="E215" s="11" t="s">
        <v>33</v>
      </c>
    </row>
    <row r="216">
      <c r="B216" s="32" t="s">
        <v>1571</v>
      </c>
      <c r="C216" s="35" t="s">
        <v>488</v>
      </c>
      <c r="D216" s="32" t="s">
        <v>1574</v>
      </c>
      <c r="E216" s="11" t="s">
        <v>37</v>
      </c>
    </row>
    <row r="217">
      <c r="B217" s="32" t="s">
        <v>2179</v>
      </c>
      <c r="C217" s="35" t="s">
        <v>201</v>
      </c>
      <c r="D217" s="32" t="s">
        <v>2180</v>
      </c>
      <c r="E217" s="11" t="s">
        <v>33</v>
      </c>
    </row>
    <row r="218">
      <c r="B218" s="32" t="s">
        <v>1571</v>
      </c>
      <c r="C218" s="35" t="s">
        <v>218</v>
      </c>
      <c r="D218" s="32" t="s">
        <v>1499</v>
      </c>
      <c r="E218" s="11" t="s">
        <v>37</v>
      </c>
    </row>
    <row r="219">
      <c r="B219" s="32" t="s">
        <v>1574</v>
      </c>
      <c r="C219" s="35" t="s">
        <v>64</v>
      </c>
      <c r="D219" s="32" t="s">
        <v>2180</v>
      </c>
      <c r="E219" s="11" t="s">
        <v>33</v>
      </c>
    </row>
    <row r="220">
      <c r="B220" s="32" t="s">
        <v>2179</v>
      </c>
      <c r="C220" s="35" t="s">
        <v>751</v>
      </c>
      <c r="D220" s="32" t="s">
        <v>1499</v>
      </c>
      <c r="E220" s="11" t="s">
        <v>37</v>
      </c>
    </row>
    <row r="221">
      <c r="B221" s="28" t="s">
        <v>1685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34" t="s">
        <v>1071</v>
      </c>
      <c r="C223" s="33" t="s">
        <v>201</v>
      </c>
      <c r="D223" s="34" t="s">
        <v>2182</v>
      </c>
      <c r="E223" s="11" t="s">
        <v>9</v>
      </c>
    </row>
    <row r="224">
      <c r="B224" s="34" t="s">
        <v>1072</v>
      </c>
      <c r="C224" s="33" t="s">
        <v>11</v>
      </c>
      <c r="D224" s="34" t="s">
        <v>2183</v>
      </c>
      <c r="E224" s="11" t="s">
        <v>13</v>
      </c>
    </row>
    <row r="225">
      <c r="B225" s="34" t="s">
        <v>2184</v>
      </c>
      <c r="C225" s="33" t="s">
        <v>270</v>
      </c>
      <c r="D225" s="34" t="s">
        <v>1071</v>
      </c>
      <c r="E225" s="11" t="s">
        <v>9</v>
      </c>
    </row>
    <row r="226">
      <c r="B226" s="34" t="s">
        <v>1072</v>
      </c>
      <c r="C226" s="33" t="s">
        <v>494</v>
      </c>
      <c r="D226" s="34" t="s">
        <v>2182</v>
      </c>
      <c r="E226" s="11" t="s">
        <v>13</v>
      </c>
    </row>
    <row r="227">
      <c r="B227" s="34" t="s">
        <v>2184</v>
      </c>
      <c r="C227" s="33" t="s">
        <v>28</v>
      </c>
      <c r="D227" s="34" t="s">
        <v>2183</v>
      </c>
      <c r="E227" s="11" t="s">
        <v>9</v>
      </c>
    </row>
    <row r="228">
      <c r="B228" s="34" t="s">
        <v>1072</v>
      </c>
      <c r="C228" s="33" t="s">
        <v>196</v>
      </c>
      <c r="D228" s="34" t="s">
        <v>1071</v>
      </c>
      <c r="E228" s="11" t="s">
        <v>13</v>
      </c>
    </row>
    <row r="229">
      <c r="B229" s="34" t="s">
        <v>2184</v>
      </c>
      <c r="C229" s="33" t="s">
        <v>81</v>
      </c>
      <c r="D229" s="34" t="s">
        <v>2182</v>
      </c>
      <c r="E229" s="11" t="s">
        <v>9</v>
      </c>
    </row>
    <row r="230">
      <c r="B230" s="34" t="s">
        <v>2183</v>
      </c>
      <c r="C230" s="33" t="s">
        <v>291</v>
      </c>
      <c r="D230" s="34" t="s">
        <v>1071</v>
      </c>
      <c r="E230" s="11" t="s">
        <v>13</v>
      </c>
    </row>
    <row r="231">
      <c r="B231" s="34" t="s">
        <v>2184</v>
      </c>
      <c r="C231" s="33" t="s">
        <v>260</v>
      </c>
      <c r="D231" s="34" t="s">
        <v>1072</v>
      </c>
      <c r="E231" s="11" t="s">
        <v>9</v>
      </c>
    </row>
    <row r="232">
      <c r="B232" s="34" t="s">
        <v>2183</v>
      </c>
      <c r="C232" s="33" t="s">
        <v>87</v>
      </c>
      <c r="D232" s="34" t="s">
        <v>2182</v>
      </c>
      <c r="E232" s="11" t="s">
        <v>13</v>
      </c>
    </row>
    <row r="233">
      <c r="B233" s="34" t="s">
        <v>2182</v>
      </c>
      <c r="C233" s="33" t="s">
        <v>83</v>
      </c>
      <c r="D233" s="34" t="s">
        <v>1071</v>
      </c>
      <c r="E233" s="11" t="s">
        <v>9</v>
      </c>
    </row>
    <row r="234">
      <c r="B234" s="34" t="s">
        <v>2183</v>
      </c>
      <c r="C234" s="33" t="s">
        <v>260</v>
      </c>
      <c r="D234" s="34" t="s">
        <v>1072</v>
      </c>
      <c r="E234" s="11" t="s">
        <v>13</v>
      </c>
    </row>
    <row r="235">
      <c r="B235" s="34" t="s">
        <v>1071</v>
      </c>
      <c r="C235" s="35" t="s">
        <v>43</v>
      </c>
      <c r="D235" s="34" t="s">
        <v>2184</v>
      </c>
      <c r="E235" s="11" t="s">
        <v>9</v>
      </c>
    </row>
    <row r="236">
      <c r="B236" s="34" t="s">
        <v>2182</v>
      </c>
      <c r="C236" s="35" t="s">
        <v>193</v>
      </c>
      <c r="D236" s="34" t="s">
        <v>1072</v>
      </c>
      <c r="E236" s="11" t="s">
        <v>13</v>
      </c>
    </row>
    <row r="237">
      <c r="B237" s="34" t="s">
        <v>2183</v>
      </c>
      <c r="C237" s="35" t="s">
        <v>41</v>
      </c>
      <c r="D237" s="34" t="s">
        <v>2184</v>
      </c>
      <c r="E237" s="11" t="s">
        <v>9</v>
      </c>
    </row>
    <row r="238">
      <c r="B238" s="34" t="s">
        <v>1071</v>
      </c>
      <c r="C238" s="35" t="s">
        <v>87</v>
      </c>
      <c r="D238" s="34" t="s">
        <v>1072</v>
      </c>
      <c r="E238" s="11" t="s">
        <v>13</v>
      </c>
    </row>
    <row r="239">
      <c r="B239" s="34" t="s">
        <v>2182</v>
      </c>
      <c r="C239" s="35" t="s">
        <v>543</v>
      </c>
      <c r="D239" s="34" t="s">
        <v>2184</v>
      </c>
      <c r="E239" s="11" t="s">
        <v>9</v>
      </c>
    </row>
    <row r="240">
      <c r="B240" s="34" t="s">
        <v>1071</v>
      </c>
      <c r="C240" s="35" t="s">
        <v>81</v>
      </c>
      <c r="D240" s="34" t="s">
        <v>2183</v>
      </c>
      <c r="E240" s="11" t="s">
        <v>13</v>
      </c>
    </row>
    <row r="241">
      <c r="B241" s="34" t="s">
        <v>1072</v>
      </c>
      <c r="C241" s="35" t="s">
        <v>239</v>
      </c>
      <c r="D241" s="34" t="s">
        <v>2184</v>
      </c>
      <c r="E241" s="11" t="s">
        <v>9</v>
      </c>
    </row>
    <row r="242">
      <c r="B242" s="34" t="s">
        <v>2182</v>
      </c>
      <c r="C242" s="35" t="s">
        <v>28</v>
      </c>
      <c r="D242" s="34" t="s">
        <v>2183</v>
      </c>
      <c r="E242" s="11" t="s">
        <v>13</v>
      </c>
    </row>
    <row r="243">
      <c r="B243" s="28" t="s">
        <v>1441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34" t="s">
        <v>2185</v>
      </c>
      <c r="C245" s="35" t="s">
        <v>11</v>
      </c>
      <c r="D245" s="34" t="s">
        <v>2186</v>
      </c>
      <c r="E245" s="11" t="s">
        <v>9</v>
      </c>
    </row>
    <row r="246">
      <c r="B246" s="34" t="s">
        <v>1569</v>
      </c>
      <c r="C246" s="35" t="s">
        <v>58</v>
      </c>
      <c r="D246" s="34" t="s">
        <v>2187</v>
      </c>
      <c r="E246" s="11" t="s">
        <v>13</v>
      </c>
    </row>
    <row r="247">
      <c r="B247" s="34" t="s">
        <v>2188</v>
      </c>
      <c r="C247" s="35" t="s">
        <v>22</v>
      </c>
      <c r="D247" s="34" t="s">
        <v>2185</v>
      </c>
      <c r="E247" s="11" t="s">
        <v>9</v>
      </c>
    </row>
    <row r="248">
      <c r="B248" s="34" t="s">
        <v>1569</v>
      </c>
      <c r="C248" s="35" t="s">
        <v>24</v>
      </c>
      <c r="D248" s="34" t="s">
        <v>2186</v>
      </c>
      <c r="E248" s="11" t="s">
        <v>13</v>
      </c>
    </row>
    <row r="249">
      <c r="B249" s="34" t="s">
        <v>2188</v>
      </c>
      <c r="C249" s="35" t="s">
        <v>201</v>
      </c>
      <c r="D249" s="34" t="s">
        <v>2187</v>
      </c>
      <c r="E249" s="11" t="s">
        <v>9</v>
      </c>
    </row>
    <row r="250">
      <c r="B250" s="34" t="s">
        <v>1569</v>
      </c>
      <c r="C250" s="35" t="s">
        <v>215</v>
      </c>
      <c r="D250" s="34" t="s">
        <v>2185</v>
      </c>
      <c r="E250" s="11" t="s">
        <v>13</v>
      </c>
    </row>
    <row r="251">
      <c r="B251" s="34" t="s">
        <v>2188</v>
      </c>
      <c r="C251" s="35" t="s">
        <v>43</v>
      </c>
      <c r="D251" s="34" t="s">
        <v>2186</v>
      </c>
      <c r="E251" s="11" t="s">
        <v>9</v>
      </c>
    </row>
    <row r="252">
      <c r="B252" s="34" t="s">
        <v>2187</v>
      </c>
      <c r="C252" s="35" t="s">
        <v>220</v>
      </c>
      <c r="D252" s="34" t="s">
        <v>2185</v>
      </c>
      <c r="E252" s="11" t="s">
        <v>13</v>
      </c>
    </row>
    <row r="253">
      <c r="B253" s="34" t="s">
        <v>2188</v>
      </c>
      <c r="C253" s="35" t="s">
        <v>11</v>
      </c>
      <c r="D253" s="34" t="s">
        <v>1569</v>
      </c>
      <c r="E253" s="11" t="s">
        <v>9</v>
      </c>
    </row>
    <row r="254">
      <c r="B254" s="34" t="s">
        <v>2187</v>
      </c>
      <c r="C254" s="35" t="s">
        <v>282</v>
      </c>
      <c r="D254" s="34" t="s">
        <v>2186</v>
      </c>
      <c r="E254" s="11" t="s">
        <v>13</v>
      </c>
    </row>
    <row r="255">
      <c r="B255" s="34" t="s">
        <v>2186</v>
      </c>
      <c r="C255" s="35" t="s">
        <v>259</v>
      </c>
      <c r="D255" s="34" t="s">
        <v>2185</v>
      </c>
      <c r="E255" s="11" t="s">
        <v>9</v>
      </c>
    </row>
    <row r="256">
      <c r="B256" s="34" t="s">
        <v>2187</v>
      </c>
      <c r="C256" s="35" t="s">
        <v>428</v>
      </c>
      <c r="D256" s="34" t="s">
        <v>1569</v>
      </c>
      <c r="E256" s="11" t="s">
        <v>13</v>
      </c>
    </row>
    <row r="257">
      <c r="B257" s="34" t="s">
        <v>2185</v>
      </c>
      <c r="C257" s="35" t="s">
        <v>87</v>
      </c>
      <c r="D257" s="34" t="s">
        <v>2188</v>
      </c>
      <c r="E257" s="11" t="s">
        <v>9</v>
      </c>
    </row>
    <row r="258">
      <c r="B258" s="34" t="s">
        <v>2186</v>
      </c>
      <c r="C258" s="35" t="s">
        <v>2189</v>
      </c>
      <c r="D258" s="34" t="s">
        <v>1569</v>
      </c>
      <c r="E258" s="11" t="s">
        <v>13</v>
      </c>
    </row>
    <row r="259">
      <c r="B259" s="34" t="s">
        <v>2187</v>
      </c>
      <c r="C259" s="35" t="s">
        <v>16</v>
      </c>
      <c r="D259" s="34" t="s">
        <v>2188</v>
      </c>
      <c r="E259" s="11" t="s">
        <v>9</v>
      </c>
    </row>
    <row r="260">
      <c r="B260" s="34" t="s">
        <v>2185</v>
      </c>
      <c r="C260" s="35" t="s">
        <v>328</v>
      </c>
      <c r="D260" s="34" t="s">
        <v>1569</v>
      </c>
      <c r="E260" s="11" t="s">
        <v>13</v>
      </c>
    </row>
    <row r="261">
      <c r="B261" s="34" t="s">
        <v>2186</v>
      </c>
      <c r="C261" s="35" t="s">
        <v>215</v>
      </c>
      <c r="D261" s="34" t="s">
        <v>2188</v>
      </c>
      <c r="E261" s="11" t="s">
        <v>9</v>
      </c>
    </row>
    <row r="262">
      <c r="B262" s="34" t="s">
        <v>2185</v>
      </c>
      <c r="C262" s="35" t="s">
        <v>7</v>
      </c>
      <c r="D262" s="34" t="s">
        <v>2187</v>
      </c>
      <c r="E262" s="11" t="s">
        <v>13</v>
      </c>
    </row>
    <row r="263">
      <c r="B263" s="34" t="s">
        <v>1569</v>
      </c>
      <c r="C263" s="35" t="s">
        <v>270</v>
      </c>
      <c r="D263" s="34" t="s">
        <v>2188</v>
      </c>
      <c r="E263" s="11" t="s">
        <v>9</v>
      </c>
    </row>
    <row r="264">
      <c r="B264" s="34" t="s">
        <v>2186</v>
      </c>
      <c r="C264" s="35" t="s">
        <v>770</v>
      </c>
      <c r="D264" s="34" t="s">
        <v>2187</v>
      </c>
      <c r="E264" s="11" t="s">
        <v>13</v>
      </c>
    </row>
    <row r="265">
      <c r="B265" s="28" t="s">
        <v>2190</v>
      </c>
      <c r="C265" s="2"/>
      <c r="D265" s="3"/>
      <c r="E265" s="2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34" t="s">
        <v>2191</v>
      </c>
      <c r="C267" s="35" t="s">
        <v>43</v>
      </c>
      <c r="D267" s="34" t="s">
        <v>2192</v>
      </c>
      <c r="E267" s="11" t="s">
        <v>33</v>
      </c>
    </row>
    <row r="268">
      <c r="B268" s="34" t="s">
        <v>1678</v>
      </c>
      <c r="C268" s="35" t="s">
        <v>282</v>
      </c>
      <c r="D268" s="34" t="s">
        <v>1894</v>
      </c>
      <c r="E268" s="11" t="s">
        <v>37</v>
      </c>
    </row>
    <row r="269">
      <c r="B269" s="34" t="s">
        <v>2193</v>
      </c>
      <c r="C269" s="35" t="s">
        <v>212</v>
      </c>
      <c r="D269" s="34" t="s">
        <v>2191</v>
      </c>
      <c r="E269" s="11" t="s">
        <v>33</v>
      </c>
    </row>
    <row r="270">
      <c r="B270" s="34" t="s">
        <v>1678</v>
      </c>
      <c r="C270" s="35" t="s">
        <v>238</v>
      </c>
      <c r="D270" s="34" t="s">
        <v>2192</v>
      </c>
      <c r="E270" s="11" t="s">
        <v>37</v>
      </c>
    </row>
    <row r="271">
      <c r="B271" s="34" t="s">
        <v>2193</v>
      </c>
      <c r="C271" s="35" t="s">
        <v>249</v>
      </c>
      <c r="D271" s="34" t="s">
        <v>1894</v>
      </c>
      <c r="E271" s="11" t="s">
        <v>33</v>
      </c>
    </row>
    <row r="272">
      <c r="B272" s="34" t="s">
        <v>1678</v>
      </c>
      <c r="C272" s="35" t="s">
        <v>24</v>
      </c>
      <c r="D272" s="34" t="s">
        <v>2191</v>
      </c>
      <c r="E272" s="11" t="s">
        <v>37</v>
      </c>
    </row>
    <row r="273">
      <c r="B273" s="34" t="s">
        <v>2193</v>
      </c>
      <c r="C273" s="35" t="s">
        <v>45</v>
      </c>
      <c r="D273" s="34" t="s">
        <v>2192</v>
      </c>
      <c r="E273" s="11" t="s">
        <v>33</v>
      </c>
    </row>
    <row r="274">
      <c r="B274" s="34" t="s">
        <v>1894</v>
      </c>
      <c r="C274" s="35" t="s">
        <v>41</v>
      </c>
      <c r="D274" s="34" t="s">
        <v>2191</v>
      </c>
      <c r="E274" s="11" t="s">
        <v>37</v>
      </c>
    </row>
    <row r="275">
      <c r="B275" s="34" t="s">
        <v>2193</v>
      </c>
      <c r="C275" s="35" t="s">
        <v>321</v>
      </c>
      <c r="D275" s="34" t="s">
        <v>1678</v>
      </c>
      <c r="E275" s="11" t="s">
        <v>33</v>
      </c>
    </row>
    <row r="276">
      <c r="B276" s="34" t="s">
        <v>1894</v>
      </c>
      <c r="C276" s="35" t="s">
        <v>321</v>
      </c>
      <c r="D276" s="34" t="s">
        <v>2192</v>
      </c>
      <c r="E276" s="11" t="s">
        <v>37</v>
      </c>
    </row>
    <row r="277">
      <c r="B277" s="34" t="s">
        <v>2192</v>
      </c>
      <c r="C277" s="35" t="s">
        <v>63</v>
      </c>
      <c r="D277" s="34" t="s">
        <v>2191</v>
      </c>
      <c r="E277" s="11" t="s">
        <v>33</v>
      </c>
    </row>
    <row r="278">
      <c r="B278" s="34" t="s">
        <v>1894</v>
      </c>
      <c r="C278" s="35" t="s">
        <v>83</v>
      </c>
      <c r="D278" s="34" t="s">
        <v>1678</v>
      </c>
      <c r="E278" s="11" t="s">
        <v>37</v>
      </c>
    </row>
    <row r="279">
      <c r="B279" s="34" t="s">
        <v>2191</v>
      </c>
      <c r="C279" s="35" t="s">
        <v>64</v>
      </c>
      <c r="D279" s="34" t="s">
        <v>2193</v>
      </c>
      <c r="E279" s="11" t="s">
        <v>33</v>
      </c>
    </row>
    <row r="280">
      <c r="B280" s="34" t="s">
        <v>2192</v>
      </c>
      <c r="C280" s="35" t="s">
        <v>283</v>
      </c>
      <c r="D280" s="34" t="s">
        <v>1678</v>
      </c>
      <c r="E280" s="11" t="s">
        <v>37</v>
      </c>
    </row>
    <row r="281">
      <c r="B281" s="34" t="s">
        <v>1894</v>
      </c>
      <c r="C281" s="35" t="s">
        <v>82</v>
      </c>
      <c r="D281" s="34" t="s">
        <v>2193</v>
      </c>
      <c r="E281" s="11" t="s">
        <v>33</v>
      </c>
    </row>
    <row r="282">
      <c r="B282" s="34" t="s">
        <v>2191</v>
      </c>
      <c r="C282" s="35" t="s">
        <v>260</v>
      </c>
      <c r="D282" s="34" t="s">
        <v>1678</v>
      </c>
      <c r="E282" s="11" t="s">
        <v>37</v>
      </c>
    </row>
    <row r="283">
      <c r="B283" s="34" t="s">
        <v>2192</v>
      </c>
      <c r="C283" s="35" t="s">
        <v>81</v>
      </c>
      <c r="D283" s="34" t="s">
        <v>2193</v>
      </c>
      <c r="E283" s="11" t="s">
        <v>33</v>
      </c>
    </row>
    <row r="284">
      <c r="B284" s="34" t="s">
        <v>2191</v>
      </c>
      <c r="C284" s="35" t="s">
        <v>201</v>
      </c>
      <c r="D284" s="34" t="s">
        <v>1894</v>
      </c>
      <c r="E284" s="11" t="s">
        <v>37</v>
      </c>
    </row>
    <row r="285">
      <c r="B285" s="34" t="s">
        <v>1678</v>
      </c>
      <c r="C285" s="35" t="s">
        <v>76</v>
      </c>
      <c r="D285" s="34" t="s">
        <v>2193</v>
      </c>
      <c r="E285" s="11" t="s">
        <v>33</v>
      </c>
    </row>
    <row r="286">
      <c r="B286" s="34" t="s">
        <v>2192</v>
      </c>
      <c r="C286" s="35" t="s">
        <v>87</v>
      </c>
      <c r="D286" s="34" t="s">
        <v>1894</v>
      </c>
      <c r="E286" s="11" t="s">
        <v>37</v>
      </c>
    </row>
    <row r="287">
      <c r="B287" s="28" t="s">
        <v>2194</v>
      </c>
      <c r="C287" s="2"/>
      <c r="D287" s="3"/>
      <c r="E287" s="2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34" t="s">
        <v>2195</v>
      </c>
      <c r="C289" s="35" t="s">
        <v>81</v>
      </c>
      <c r="D289" s="34" t="s">
        <v>2196</v>
      </c>
      <c r="E289" s="11" t="s">
        <v>33</v>
      </c>
    </row>
    <row r="290">
      <c r="B290" s="34" t="s">
        <v>2197</v>
      </c>
      <c r="C290" s="35" t="s">
        <v>31</v>
      </c>
      <c r="D290" s="34" t="s">
        <v>2198</v>
      </c>
      <c r="E290" s="11" t="s">
        <v>37</v>
      </c>
    </row>
    <row r="291">
      <c r="B291" s="34" t="s">
        <v>2199</v>
      </c>
      <c r="C291" s="35" t="s">
        <v>19</v>
      </c>
      <c r="D291" s="34" t="s">
        <v>2195</v>
      </c>
      <c r="E291" s="11" t="s">
        <v>33</v>
      </c>
    </row>
    <row r="292">
      <c r="B292" s="34" t="s">
        <v>2197</v>
      </c>
      <c r="C292" s="35" t="s">
        <v>244</v>
      </c>
      <c r="D292" s="34" t="s">
        <v>2196</v>
      </c>
      <c r="E292" s="11" t="s">
        <v>37</v>
      </c>
    </row>
    <row r="293">
      <c r="B293" s="34" t="s">
        <v>2199</v>
      </c>
      <c r="C293" s="35" t="s">
        <v>566</v>
      </c>
      <c r="D293" s="34" t="s">
        <v>2198</v>
      </c>
      <c r="E293" s="11" t="s">
        <v>33</v>
      </c>
    </row>
    <row r="294">
      <c r="B294" s="34" t="s">
        <v>2197</v>
      </c>
      <c r="C294" s="35" t="s">
        <v>43</v>
      </c>
      <c r="D294" s="34" t="s">
        <v>2195</v>
      </c>
      <c r="E294" s="11" t="s">
        <v>37</v>
      </c>
    </row>
    <row r="295">
      <c r="B295" s="34" t="s">
        <v>2199</v>
      </c>
      <c r="C295" s="35" t="s">
        <v>45</v>
      </c>
      <c r="D295" s="34" t="s">
        <v>2196</v>
      </c>
      <c r="E295" s="11" t="s">
        <v>33</v>
      </c>
    </row>
    <row r="296">
      <c r="B296" s="34" t="s">
        <v>2198</v>
      </c>
      <c r="C296" s="35" t="s">
        <v>19</v>
      </c>
      <c r="D296" s="34" t="s">
        <v>2195</v>
      </c>
      <c r="E296" s="11" t="s">
        <v>37</v>
      </c>
    </row>
    <row r="297">
      <c r="B297" s="34" t="s">
        <v>2199</v>
      </c>
      <c r="C297" s="35" t="s">
        <v>194</v>
      </c>
      <c r="D297" s="34" t="s">
        <v>2197</v>
      </c>
      <c r="E297" s="11" t="s">
        <v>33</v>
      </c>
    </row>
    <row r="298">
      <c r="B298" s="34" t="s">
        <v>2198</v>
      </c>
      <c r="C298" s="35" t="s">
        <v>17</v>
      </c>
      <c r="D298" s="34" t="s">
        <v>2196</v>
      </c>
      <c r="E298" s="11" t="s">
        <v>37</v>
      </c>
    </row>
    <row r="299">
      <c r="B299" s="34" t="s">
        <v>2196</v>
      </c>
      <c r="C299" s="35" t="s">
        <v>16</v>
      </c>
      <c r="D299" s="34" t="s">
        <v>2195</v>
      </c>
      <c r="E299" s="11" t="s">
        <v>33</v>
      </c>
    </row>
    <row r="300">
      <c r="B300" s="34" t="s">
        <v>2198</v>
      </c>
      <c r="C300" s="35" t="s">
        <v>684</v>
      </c>
      <c r="D300" s="34" t="s">
        <v>2197</v>
      </c>
      <c r="E300" s="11" t="s">
        <v>37</v>
      </c>
    </row>
    <row r="301">
      <c r="B301" s="34" t="s">
        <v>2195</v>
      </c>
      <c r="C301" s="35" t="s">
        <v>55</v>
      </c>
      <c r="D301" s="34" t="s">
        <v>2199</v>
      </c>
      <c r="E301" s="11" t="s">
        <v>33</v>
      </c>
    </row>
    <row r="302">
      <c r="B302" s="34" t="s">
        <v>2196</v>
      </c>
      <c r="C302" s="35" t="s">
        <v>62</v>
      </c>
      <c r="D302" s="34" t="s">
        <v>2197</v>
      </c>
      <c r="E302" s="11" t="s">
        <v>37</v>
      </c>
    </row>
    <row r="303">
      <c r="B303" s="34" t="s">
        <v>2198</v>
      </c>
      <c r="C303" s="35" t="s">
        <v>444</v>
      </c>
      <c r="D303" s="34" t="s">
        <v>2199</v>
      </c>
      <c r="E303" s="11" t="s">
        <v>33</v>
      </c>
    </row>
    <row r="304">
      <c r="B304" s="34" t="s">
        <v>2195</v>
      </c>
      <c r="C304" s="35" t="s">
        <v>64</v>
      </c>
      <c r="D304" s="34" t="s">
        <v>2197</v>
      </c>
      <c r="E304" s="11" t="s">
        <v>37</v>
      </c>
    </row>
    <row r="305">
      <c r="B305" s="34" t="s">
        <v>2196</v>
      </c>
      <c r="C305" s="35" t="s">
        <v>23</v>
      </c>
      <c r="D305" s="34" t="s">
        <v>2199</v>
      </c>
      <c r="E305" s="11" t="s">
        <v>33</v>
      </c>
    </row>
    <row r="306">
      <c r="B306" s="34" t="s">
        <v>2195</v>
      </c>
      <c r="C306" s="35" t="s">
        <v>16</v>
      </c>
      <c r="D306" s="34" t="s">
        <v>2198</v>
      </c>
      <c r="E306" s="11" t="s">
        <v>37</v>
      </c>
    </row>
    <row r="307">
      <c r="B307" s="34" t="s">
        <v>2197</v>
      </c>
      <c r="C307" s="35" t="s">
        <v>1310</v>
      </c>
      <c r="D307" s="34" t="s">
        <v>2199</v>
      </c>
      <c r="E307" s="11" t="s">
        <v>33</v>
      </c>
    </row>
    <row r="308">
      <c r="B308" s="34" t="s">
        <v>2196</v>
      </c>
      <c r="C308" s="35" t="s">
        <v>7</v>
      </c>
      <c r="D308" s="34" t="s">
        <v>2198</v>
      </c>
      <c r="E308" s="11" t="s">
        <v>37</v>
      </c>
    </row>
    <row r="309">
      <c r="B309" s="28" t="s">
        <v>2200</v>
      </c>
      <c r="C309" s="2"/>
      <c r="D309" s="3"/>
      <c r="E309" s="2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34" t="s">
        <v>2201</v>
      </c>
      <c r="C311" s="35" t="s">
        <v>28</v>
      </c>
      <c r="D311" s="34" t="s">
        <v>2202</v>
      </c>
      <c r="E311" s="11" t="s">
        <v>9</v>
      </c>
    </row>
    <row r="312">
      <c r="B312" s="34" t="s">
        <v>2203</v>
      </c>
      <c r="C312" s="35" t="s">
        <v>354</v>
      </c>
      <c r="D312" s="34" t="s">
        <v>2204</v>
      </c>
      <c r="E312" s="11" t="s">
        <v>13</v>
      </c>
    </row>
    <row r="313">
      <c r="B313" s="34" t="s">
        <v>2205</v>
      </c>
      <c r="C313" s="35" t="s">
        <v>25</v>
      </c>
      <c r="D313" s="34" t="s">
        <v>2201</v>
      </c>
      <c r="E313" s="11" t="s">
        <v>9</v>
      </c>
    </row>
    <row r="314">
      <c r="B314" s="34" t="s">
        <v>2203</v>
      </c>
      <c r="C314" s="35" t="s">
        <v>16</v>
      </c>
      <c r="D314" s="34" t="s">
        <v>2202</v>
      </c>
      <c r="E314" s="11" t="s">
        <v>13</v>
      </c>
    </row>
    <row r="315">
      <c r="B315" s="34" t="s">
        <v>2205</v>
      </c>
      <c r="C315" s="35" t="s">
        <v>68</v>
      </c>
      <c r="D315" s="34" t="s">
        <v>2204</v>
      </c>
      <c r="E315" s="11" t="s">
        <v>9</v>
      </c>
    </row>
    <row r="316">
      <c r="B316" s="34" t="s">
        <v>2203</v>
      </c>
      <c r="C316" s="35" t="s">
        <v>193</v>
      </c>
      <c r="D316" s="34" t="s">
        <v>2201</v>
      </c>
      <c r="E316" s="11" t="s">
        <v>13</v>
      </c>
    </row>
    <row r="317">
      <c r="B317" s="34" t="s">
        <v>2205</v>
      </c>
      <c r="C317" s="35" t="s">
        <v>218</v>
      </c>
      <c r="D317" s="34" t="s">
        <v>2202</v>
      </c>
      <c r="E317" s="11" t="s">
        <v>9</v>
      </c>
    </row>
    <row r="318">
      <c r="B318" s="34" t="s">
        <v>2204</v>
      </c>
      <c r="C318" s="35" t="s">
        <v>232</v>
      </c>
      <c r="D318" s="34" t="s">
        <v>2201</v>
      </c>
      <c r="E318" s="11" t="s">
        <v>13</v>
      </c>
    </row>
    <row r="319">
      <c r="B319" s="34" t="s">
        <v>2205</v>
      </c>
      <c r="C319" s="35" t="s">
        <v>416</v>
      </c>
      <c r="D319" s="34" t="s">
        <v>2203</v>
      </c>
      <c r="E319" s="11" t="s">
        <v>9</v>
      </c>
    </row>
    <row r="320">
      <c r="B320" s="34" t="s">
        <v>2204</v>
      </c>
      <c r="C320" s="35" t="s">
        <v>18</v>
      </c>
      <c r="D320" s="34" t="s">
        <v>2202</v>
      </c>
      <c r="E320" s="11" t="s">
        <v>13</v>
      </c>
    </row>
    <row r="321">
      <c r="B321" s="34" t="s">
        <v>2202</v>
      </c>
      <c r="C321" s="35" t="s">
        <v>81</v>
      </c>
      <c r="D321" s="34" t="s">
        <v>2201</v>
      </c>
      <c r="E321" s="11" t="s">
        <v>9</v>
      </c>
    </row>
    <row r="322">
      <c r="B322" s="34" t="s">
        <v>2204</v>
      </c>
      <c r="C322" s="35" t="s">
        <v>239</v>
      </c>
      <c r="D322" s="34" t="s">
        <v>2203</v>
      </c>
      <c r="E322" s="21" t="s">
        <v>13</v>
      </c>
    </row>
    <row r="323">
      <c r="B323" s="34" t="s">
        <v>2201</v>
      </c>
      <c r="C323" s="35" t="s">
        <v>66</v>
      </c>
      <c r="D323" s="34" t="s">
        <v>2205</v>
      </c>
      <c r="E323" s="11" t="s">
        <v>9</v>
      </c>
    </row>
    <row r="324">
      <c r="B324" s="34" t="s">
        <v>2202</v>
      </c>
      <c r="C324" s="35" t="s">
        <v>232</v>
      </c>
      <c r="D324" s="34" t="s">
        <v>2203</v>
      </c>
      <c r="E324" s="11" t="s">
        <v>13</v>
      </c>
    </row>
    <row r="325">
      <c r="B325" s="34" t="s">
        <v>2204</v>
      </c>
      <c r="C325" s="35" t="s">
        <v>87</v>
      </c>
      <c r="D325" s="34" t="s">
        <v>2205</v>
      </c>
      <c r="E325" s="11" t="s">
        <v>9</v>
      </c>
    </row>
    <row r="326">
      <c r="B326" s="34" t="s">
        <v>2201</v>
      </c>
      <c r="C326" s="35" t="s">
        <v>45</v>
      </c>
      <c r="D326" s="34" t="s">
        <v>2203</v>
      </c>
      <c r="E326" s="11" t="s">
        <v>13</v>
      </c>
    </row>
    <row r="327">
      <c r="B327" s="34" t="s">
        <v>2202</v>
      </c>
      <c r="C327" s="35" t="s">
        <v>35</v>
      </c>
      <c r="D327" s="34" t="s">
        <v>2205</v>
      </c>
      <c r="E327" s="11" t="s">
        <v>9</v>
      </c>
    </row>
    <row r="328">
      <c r="B328" s="34" t="s">
        <v>2201</v>
      </c>
      <c r="C328" s="35" t="s">
        <v>66</v>
      </c>
      <c r="D328" s="34" t="s">
        <v>2204</v>
      </c>
      <c r="E328" s="11" t="s">
        <v>13</v>
      </c>
    </row>
    <row r="329">
      <c r="B329" s="34" t="s">
        <v>2203</v>
      </c>
      <c r="C329" s="35" t="s">
        <v>260</v>
      </c>
      <c r="D329" s="34" t="s">
        <v>2205</v>
      </c>
      <c r="E329" s="11" t="s">
        <v>9</v>
      </c>
    </row>
    <row r="330">
      <c r="B330" s="34" t="s">
        <v>2202</v>
      </c>
      <c r="C330" s="35" t="s">
        <v>87</v>
      </c>
      <c r="D330" s="34" t="s">
        <v>2204</v>
      </c>
      <c r="E330" s="11" t="s">
        <v>13</v>
      </c>
    </row>
    <row r="331">
      <c r="B331" s="28" t="s">
        <v>2074</v>
      </c>
      <c r="C331" s="2"/>
      <c r="D331" s="3"/>
      <c r="E331" s="2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34" t="s">
        <v>1275</v>
      </c>
      <c r="C333" s="35" t="s">
        <v>426</v>
      </c>
      <c r="D333" s="34" t="s">
        <v>2206</v>
      </c>
      <c r="E333" s="11" t="s">
        <v>33</v>
      </c>
    </row>
    <row r="334">
      <c r="B334" s="34" t="s">
        <v>2207</v>
      </c>
      <c r="C334" s="35" t="s">
        <v>70</v>
      </c>
      <c r="D334" s="34" t="s">
        <v>744</v>
      </c>
      <c r="E334" s="11" t="s">
        <v>37</v>
      </c>
    </row>
    <row r="335">
      <c r="B335" s="34" t="s">
        <v>2208</v>
      </c>
      <c r="C335" s="35" t="s">
        <v>71</v>
      </c>
      <c r="D335" s="34" t="s">
        <v>1275</v>
      </c>
      <c r="E335" s="11" t="s">
        <v>33</v>
      </c>
    </row>
    <row r="336">
      <c r="B336" s="34" t="s">
        <v>2207</v>
      </c>
      <c r="C336" s="35" t="s">
        <v>790</v>
      </c>
      <c r="D336" s="34" t="s">
        <v>2206</v>
      </c>
      <c r="E336" s="11" t="s">
        <v>37</v>
      </c>
    </row>
    <row r="337">
      <c r="B337" s="34" t="s">
        <v>2208</v>
      </c>
      <c r="C337" s="35" t="s">
        <v>87</v>
      </c>
      <c r="D337" s="34" t="s">
        <v>744</v>
      </c>
      <c r="E337" s="11" t="s">
        <v>33</v>
      </c>
    </row>
    <row r="338">
      <c r="B338" s="34" t="s">
        <v>2207</v>
      </c>
      <c r="C338" s="35" t="s">
        <v>201</v>
      </c>
      <c r="D338" s="34" t="s">
        <v>1275</v>
      </c>
      <c r="E338" s="11" t="s">
        <v>37</v>
      </c>
    </row>
    <row r="339">
      <c r="B339" s="34" t="s">
        <v>2208</v>
      </c>
      <c r="C339" s="35" t="s">
        <v>215</v>
      </c>
      <c r="D339" s="34" t="s">
        <v>2206</v>
      </c>
      <c r="E339" s="11" t="s">
        <v>33</v>
      </c>
    </row>
    <row r="340">
      <c r="B340" s="34" t="s">
        <v>744</v>
      </c>
      <c r="C340" s="35" t="s">
        <v>86</v>
      </c>
      <c r="D340" s="34" t="s">
        <v>1275</v>
      </c>
      <c r="E340" s="11" t="s">
        <v>37</v>
      </c>
    </row>
    <row r="341">
      <c r="B341" s="34" t="s">
        <v>2208</v>
      </c>
      <c r="C341" s="35" t="s">
        <v>283</v>
      </c>
      <c r="D341" s="34" t="s">
        <v>2207</v>
      </c>
      <c r="E341" s="11" t="s">
        <v>33</v>
      </c>
    </row>
    <row r="342">
      <c r="B342" s="34" t="s">
        <v>744</v>
      </c>
      <c r="C342" s="35" t="s">
        <v>269</v>
      </c>
      <c r="D342" s="34" t="s">
        <v>2206</v>
      </c>
      <c r="E342" s="11" t="s">
        <v>37</v>
      </c>
    </row>
    <row r="343">
      <c r="B343" s="34" t="s">
        <v>2206</v>
      </c>
      <c r="C343" s="35" t="s">
        <v>22</v>
      </c>
      <c r="D343" s="34" t="s">
        <v>1275</v>
      </c>
      <c r="E343" s="11" t="s">
        <v>33</v>
      </c>
    </row>
    <row r="344">
      <c r="B344" s="34" t="s">
        <v>744</v>
      </c>
      <c r="C344" s="35" t="s">
        <v>83</v>
      </c>
      <c r="D344" s="34" t="s">
        <v>2207</v>
      </c>
      <c r="E344" s="11" t="s">
        <v>37</v>
      </c>
    </row>
    <row r="345">
      <c r="B345" s="34" t="s">
        <v>1275</v>
      </c>
      <c r="C345" s="35" t="s">
        <v>354</v>
      </c>
      <c r="D345" s="34" t="s">
        <v>2208</v>
      </c>
      <c r="E345" s="11" t="s">
        <v>33</v>
      </c>
    </row>
    <row r="346">
      <c r="B346" s="34" t="s">
        <v>2206</v>
      </c>
      <c r="C346" s="35" t="s">
        <v>217</v>
      </c>
      <c r="D346" s="34" t="s">
        <v>2207</v>
      </c>
      <c r="E346" s="11" t="s">
        <v>37</v>
      </c>
    </row>
    <row r="347">
      <c r="B347" s="34" t="s">
        <v>744</v>
      </c>
      <c r="C347" s="35" t="s">
        <v>22</v>
      </c>
      <c r="D347" s="34" t="s">
        <v>2208</v>
      </c>
      <c r="E347" s="11" t="s">
        <v>33</v>
      </c>
    </row>
    <row r="348">
      <c r="B348" s="34" t="s">
        <v>1275</v>
      </c>
      <c r="C348" s="35" t="s">
        <v>22</v>
      </c>
      <c r="D348" s="34" t="s">
        <v>2207</v>
      </c>
      <c r="E348" s="11" t="s">
        <v>37</v>
      </c>
    </row>
    <row r="349">
      <c r="B349" s="34" t="s">
        <v>2206</v>
      </c>
      <c r="C349" s="35" t="s">
        <v>231</v>
      </c>
      <c r="D349" s="34" t="s">
        <v>2208</v>
      </c>
      <c r="E349" s="11" t="s">
        <v>33</v>
      </c>
    </row>
    <row r="350">
      <c r="B350" s="34" t="s">
        <v>1275</v>
      </c>
      <c r="C350" s="35" t="s">
        <v>18</v>
      </c>
      <c r="D350" s="34" t="s">
        <v>744</v>
      </c>
      <c r="E350" s="11" t="s">
        <v>37</v>
      </c>
    </row>
    <row r="351">
      <c r="B351" s="34" t="s">
        <v>2207</v>
      </c>
      <c r="C351" s="35" t="s">
        <v>218</v>
      </c>
      <c r="D351" s="34" t="s">
        <v>2208</v>
      </c>
      <c r="E351" s="11" t="s">
        <v>33</v>
      </c>
    </row>
    <row r="352">
      <c r="B352" s="34" t="s">
        <v>2206</v>
      </c>
      <c r="C352" s="35" t="s">
        <v>64</v>
      </c>
      <c r="D352" s="34" t="s">
        <v>744</v>
      </c>
      <c r="E352" s="11" t="s">
        <v>37</v>
      </c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</hyperlinks>
  <drawing r:id="rId320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/>
      <c r="B1" s="1" t="s">
        <v>2019</v>
      </c>
      <c r="C1" s="2"/>
      <c r="D1" s="3"/>
      <c r="E1" s="29"/>
    </row>
    <row r="2">
      <c r="A2" s="66"/>
      <c r="B2" s="6" t="s">
        <v>2</v>
      </c>
      <c r="C2" s="6" t="s">
        <v>3</v>
      </c>
      <c r="D2" s="6" t="s">
        <v>4</v>
      </c>
      <c r="E2" s="6" t="s">
        <v>5</v>
      </c>
    </row>
    <row r="3">
      <c r="A3" s="66"/>
      <c r="B3" s="32" t="s">
        <v>593</v>
      </c>
      <c r="C3" s="33" t="s">
        <v>544</v>
      </c>
      <c r="D3" s="34" t="s">
        <v>2209</v>
      </c>
      <c r="E3" s="11" t="s">
        <v>33</v>
      </c>
    </row>
    <row r="4">
      <c r="A4" s="66"/>
      <c r="B4" s="32" t="s">
        <v>2210</v>
      </c>
      <c r="C4" s="33" t="s">
        <v>190</v>
      </c>
      <c r="D4" s="32" t="s">
        <v>1898</v>
      </c>
      <c r="E4" s="11" t="s">
        <v>37</v>
      </c>
    </row>
    <row r="5">
      <c r="A5" s="66"/>
      <c r="B5" s="34" t="s">
        <v>2211</v>
      </c>
      <c r="C5" s="33" t="s">
        <v>43</v>
      </c>
      <c r="D5" s="32" t="s">
        <v>593</v>
      </c>
      <c r="E5" s="11" t="s">
        <v>33</v>
      </c>
    </row>
    <row r="6">
      <c r="A6" s="66"/>
      <c r="B6" s="32" t="s">
        <v>2210</v>
      </c>
      <c r="C6" s="33" t="s">
        <v>481</v>
      </c>
      <c r="D6" s="34" t="s">
        <v>2209</v>
      </c>
      <c r="E6" s="11" t="s">
        <v>37</v>
      </c>
    </row>
    <row r="7">
      <c r="A7" s="66"/>
      <c r="B7" s="34" t="s">
        <v>2211</v>
      </c>
      <c r="C7" s="33" t="s">
        <v>286</v>
      </c>
      <c r="D7" s="32" t="s">
        <v>1898</v>
      </c>
      <c r="E7" s="11" t="s">
        <v>33</v>
      </c>
      <c r="J7" s="36" t="s">
        <v>663</v>
      </c>
      <c r="M7" s="36" t="s">
        <v>663</v>
      </c>
    </row>
    <row r="8">
      <c r="A8" s="66"/>
      <c r="B8" s="32" t="s">
        <v>2210</v>
      </c>
      <c r="C8" s="33" t="s">
        <v>283</v>
      </c>
      <c r="D8" s="32" t="s">
        <v>593</v>
      </c>
      <c r="E8" s="11" t="s">
        <v>37</v>
      </c>
    </row>
    <row r="9">
      <c r="A9" s="66"/>
      <c r="B9" s="34" t="s">
        <v>2211</v>
      </c>
      <c r="C9" s="33" t="s">
        <v>201</v>
      </c>
      <c r="D9" s="34" t="s">
        <v>2209</v>
      </c>
      <c r="E9" s="11" t="s">
        <v>33</v>
      </c>
    </row>
    <row r="10">
      <c r="A10" s="66"/>
      <c r="B10" s="32" t="s">
        <v>1898</v>
      </c>
      <c r="C10" s="33" t="s">
        <v>81</v>
      </c>
      <c r="D10" s="32" t="s">
        <v>593</v>
      </c>
      <c r="E10" s="11" t="s">
        <v>37</v>
      </c>
    </row>
    <row r="11">
      <c r="A11" s="66"/>
      <c r="B11" s="34" t="s">
        <v>2211</v>
      </c>
      <c r="C11" s="33" t="s">
        <v>390</v>
      </c>
      <c r="D11" s="32" t="s">
        <v>2210</v>
      </c>
      <c r="E11" s="11" t="s">
        <v>33</v>
      </c>
    </row>
    <row r="12">
      <c r="A12" s="66"/>
      <c r="B12" s="32" t="s">
        <v>1898</v>
      </c>
      <c r="C12" s="33" t="s">
        <v>497</v>
      </c>
      <c r="D12" s="34" t="s">
        <v>2209</v>
      </c>
      <c r="E12" s="11" t="s">
        <v>37</v>
      </c>
    </row>
    <row r="13">
      <c r="A13" s="66"/>
      <c r="B13" s="34" t="s">
        <v>2209</v>
      </c>
      <c r="C13" s="33" t="s">
        <v>289</v>
      </c>
      <c r="D13" s="32" t="s">
        <v>593</v>
      </c>
      <c r="E13" s="11" t="s">
        <v>33</v>
      </c>
    </row>
    <row r="14">
      <c r="A14" s="66"/>
      <c r="B14" s="32" t="s">
        <v>1898</v>
      </c>
      <c r="C14" s="33" t="s">
        <v>319</v>
      </c>
      <c r="D14" s="32" t="s">
        <v>2210</v>
      </c>
      <c r="E14" s="11" t="s">
        <v>37</v>
      </c>
    </row>
    <row r="15">
      <c r="A15" s="66"/>
      <c r="B15" s="32" t="s">
        <v>593</v>
      </c>
      <c r="C15" s="33" t="s">
        <v>17</v>
      </c>
      <c r="D15" s="34" t="s">
        <v>2211</v>
      </c>
      <c r="E15" s="11" t="s">
        <v>33</v>
      </c>
    </row>
    <row r="16">
      <c r="A16" s="66"/>
      <c r="B16" s="34" t="s">
        <v>2209</v>
      </c>
      <c r="C16" s="33" t="s">
        <v>488</v>
      </c>
      <c r="D16" s="32" t="s">
        <v>2210</v>
      </c>
      <c r="E16" s="11" t="s">
        <v>37</v>
      </c>
    </row>
    <row r="17">
      <c r="A17" s="66"/>
      <c r="B17" s="32" t="s">
        <v>1898</v>
      </c>
      <c r="C17" s="33" t="s">
        <v>220</v>
      </c>
      <c r="D17" s="34" t="s">
        <v>2211</v>
      </c>
      <c r="E17" s="11" t="s">
        <v>33</v>
      </c>
    </row>
    <row r="18">
      <c r="A18" s="66"/>
      <c r="B18" s="32" t="s">
        <v>593</v>
      </c>
      <c r="C18" s="33" t="s">
        <v>267</v>
      </c>
      <c r="D18" s="32" t="s">
        <v>2210</v>
      </c>
      <c r="E18" s="11" t="s">
        <v>37</v>
      </c>
    </row>
    <row r="19">
      <c r="A19" s="66"/>
      <c r="B19" s="34" t="s">
        <v>2209</v>
      </c>
      <c r="C19" s="33" t="s">
        <v>55</v>
      </c>
      <c r="D19" s="34" t="s">
        <v>2211</v>
      </c>
      <c r="E19" s="11" t="s">
        <v>33</v>
      </c>
    </row>
    <row r="20">
      <c r="A20" s="66"/>
      <c r="B20" s="32" t="s">
        <v>593</v>
      </c>
      <c r="C20" s="33" t="s">
        <v>506</v>
      </c>
      <c r="D20" s="32" t="s">
        <v>1898</v>
      </c>
      <c r="E20" s="11" t="s">
        <v>37</v>
      </c>
    </row>
    <row r="21">
      <c r="A21" s="66"/>
      <c r="B21" s="32" t="s">
        <v>2210</v>
      </c>
      <c r="C21" s="33" t="s">
        <v>196</v>
      </c>
      <c r="D21" s="34" t="s">
        <v>2211</v>
      </c>
      <c r="E21" s="11" t="s">
        <v>33</v>
      </c>
    </row>
    <row r="22">
      <c r="A22" s="66"/>
      <c r="B22" s="34" t="s">
        <v>2209</v>
      </c>
      <c r="C22" s="33" t="s">
        <v>190</v>
      </c>
      <c r="D22" s="32" t="s">
        <v>1898</v>
      </c>
      <c r="E22" s="11" t="s">
        <v>37</v>
      </c>
    </row>
    <row r="23">
      <c r="A23" s="66"/>
      <c r="B23" s="1" t="s">
        <v>2212</v>
      </c>
      <c r="C23" s="2"/>
      <c r="D23" s="3"/>
      <c r="E23" s="48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2213</v>
      </c>
      <c r="C25" s="33" t="s">
        <v>87</v>
      </c>
      <c r="D25" s="34" t="s">
        <v>2214</v>
      </c>
      <c r="E25" s="11" t="s">
        <v>9</v>
      </c>
    </row>
    <row r="26">
      <c r="A26" s="66"/>
      <c r="B26" s="32" t="s">
        <v>2029</v>
      </c>
      <c r="C26" s="33" t="s">
        <v>426</v>
      </c>
      <c r="D26" s="32" t="s">
        <v>2215</v>
      </c>
      <c r="E26" s="11" t="s">
        <v>13</v>
      </c>
    </row>
    <row r="27">
      <c r="A27" s="66"/>
      <c r="B27" s="34" t="s">
        <v>2030</v>
      </c>
      <c r="C27" s="33" t="s">
        <v>240</v>
      </c>
      <c r="D27" s="34" t="s">
        <v>2213</v>
      </c>
      <c r="E27" s="11" t="s">
        <v>9</v>
      </c>
    </row>
    <row r="28">
      <c r="A28" s="66"/>
      <c r="B28" s="32" t="s">
        <v>2029</v>
      </c>
      <c r="C28" s="33" t="s">
        <v>17</v>
      </c>
      <c r="D28" s="34" t="s">
        <v>2214</v>
      </c>
      <c r="E28" s="11" t="s">
        <v>13</v>
      </c>
    </row>
    <row r="29">
      <c r="A29" s="66"/>
      <c r="B29" s="34" t="s">
        <v>2030</v>
      </c>
      <c r="C29" s="33" t="s">
        <v>25</v>
      </c>
      <c r="D29" s="32" t="s">
        <v>2215</v>
      </c>
      <c r="E29" s="11" t="s">
        <v>9</v>
      </c>
    </row>
    <row r="30">
      <c r="A30" s="66"/>
      <c r="B30" s="32" t="s">
        <v>2029</v>
      </c>
      <c r="C30" s="33" t="s">
        <v>190</v>
      </c>
      <c r="D30" s="34" t="s">
        <v>2213</v>
      </c>
      <c r="E30" s="11" t="s">
        <v>13</v>
      </c>
    </row>
    <row r="31">
      <c r="A31" s="66"/>
      <c r="B31" s="34" t="s">
        <v>2030</v>
      </c>
      <c r="C31" s="33" t="s">
        <v>17</v>
      </c>
      <c r="D31" s="34" t="s">
        <v>2214</v>
      </c>
      <c r="E31" s="11" t="s">
        <v>9</v>
      </c>
    </row>
    <row r="32">
      <c r="A32" s="66"/>
      <c r="B32" s="32" t="s">
        <v>2215</v>
      </c>
      <c r="C32" s="33" t="s">
        <v>64</v>
      </c>
      <c r="D32" s="34" t="s">
        <v>2213</v>
      </c>
      <c r="E32" s="11" t="s">
        <v>13</v>
      </c>
    </row>
    <row r="33">
      <c r="A33" s="66"/>
      <c r="B33" s="34" t="s">
        <v>2030</v>
      </c>
      <c r="C33" s="33" t="s">
        <v>260</v>
      </c>
      <c r="D33" s="32" t="s">
        <v>2029</v>
      </c>
      <c r="E33" s="11" t="s">
        <v>9</v>
      </c>
    </row>
    <row r="34">
      <c r="A34" s="66"/>
      <c r="B34" s="32" t="s">
        <v>2215</v>
      </c>
      <c r="C34" s="33" t="s">
        <v>282</v>
      </c>
      <c r="D34" s="34" t="s">
        <v>2214</v>
      </c>
      <c r="E34" s="11" t="s">
        <v>13</v>
      </c>
    </row>
    <row r="35">
      <c r="A35" s="66"/>
      <c r="B35" s="34" t="s">
        <v>2214</v>
      </c>
      <c r="C35" s="33" t="s">
        <v>58</v>
      </c>
      <c r="D35" s="34" t="s">
        <v>2213</v>
      </c>
      <c r="E35" s="11" t="s">
        <v>9</v>
      </c>
    </row>
    <row r="36">
      <c r="A36" s="66"/>
      <c r="B36" s="32" t="s">
        <v>2215</v>
      </c>
      <c r="C36" s="33" t="s">
        <v>1283</v>
      </c>
      <c r="D36" s="32" t="s">
        <v>2029</v>
      </c>
      <c r="E36" s="11" t="s">
        <v>13</v>
      </c>
    </row>
    <row r="37">
      <c r="A37" s="66"/>
      <c r="B37" s="34" t="s">
        <v>2213</v>
      </c>
      <c r="C37" s="33" t="s">
        <v>83</v>
      </c>
      <c r="D37" s="34" t="s">
        <v>2030</v>
      </c>
      <c r="E37" s="11" t="s">
        <v>9</v>
      </c>
    </row>
    <row r="38">
      <c r="A38" s="66"/>
      <c r="B38" s="34" t="s">
        <v>2214</v>
      </c>
      <c r="C38" s="33" t="s">
        <v>218</v>
      </c>
      <c r="D38" s="32" t="s">
        <v>2029</v>
      </c>
      <c r="E38" s="11" t="s">
        <v>13</v>
      </c>
    </row>
    <row r="39">
      <c r="A39" s="66"/>
      <c r="B39" s="32" t="s">
        <v>2215</v>
      </c>
      <c r="C39" s="33" t="s">
        <v>44</v>
      </c>
      <c r="D39" s="34" t="s">
        <v>2030</v>
      </c>
      <c r="E39" s="11" t="s">
        <v>9</v>
      </c>
    </row>
    <row r="40">
      <c r="A40" s="66"/>
      <c r="B40" s="34" t="s">
        <v>2213</v>
      </c>
      <c r="C40" s="33" t="s">
        <v>285</v>
      </c>
      <c r="D40" s="32" t="s">
        <v>2029</v>
      </c>
      <c r="E40" s="11" t="s">
        <v>13</v>
      </c>
    </row>
    <row r="41">
      <c r="A41" s="66"/>
      <c r="B41" s="34" t="s">
        <v>2214</v>
      </c>
      <c r="C41" s="33" t="s">
        <v>41</v>
      </c>
      <c r="D41" s="34" t="s">
        <v>2030</v>
      </c>
      <c r="E41" s="11" t="s">
        <v>9</v>
      </c>
    </row>
    <row r="42">
      <c r="A42" s="66"/>
      <c r="B42" s="34" t="s">
        <v>2213</v>
      </c>
      <c r="C42" s="33" t="s">
        <v>17</v>
      </c>
      <c r="D42" s="32" t="s">
        <v>2215</v>
      </c>
      <c r="E42" s="11" t="s">
        <v>13</v>
      </c>
    </row>
    <row r="43">
      <c r="A43" s="66"/>
      <c r="B43" s="32" t="s">
        <v>2029</v>
      </c>
      <c r="C43" s="33" t="s">
        <v>190</v>
      </c>
      <c r="D43" s="34" t="s">
        <v>2030</v>
      </c>
      <c r="E43" s="11" t="s">
        <v>9</v>
      </c>
    </row>
    <row r="44">
      <c r="A44" s="67"/>
      <c r="B44" s="34" t="s">
        <v>2214</v>
      </c>
      <c r="C44" s="33" t="s">
        <v>68</v>
      </c>
      <c r="D44" s="32" t="s">
        <v>2215</v>
      </c>
      <c r="E44" s="11" t="s">
        <v>13</v>
      </c>
    </row>
    <row r="45">
      <c r="B45" s="1" t="s">
        <v>2216</v>
      </c>
      <c r="C45" s="2"/>
      <c r="D45" s="3"/>
      <c r="E45" s="14"/>
    </row>
    <row r="46">
      <c r="B46" s="16" t="s">
        <v>2</v>
      </c>
      <c r="C46" s="16" t="s">
        <v>3</v>
      </c>
      <c r="D46" s="16" t="s">
        <v>4</v>
      </c>
      <c r="E46" s="16" t="s">
        <v>5</v>
      </c>
    </row>
    <row r="47">
      <c r="B47" s="32" t="s">
        <v>2217</v>
      </c>
      <c r="C47" s="33" t="s">
        <v>243</v>
      </c>
      <c r="D47" s="32" t="s">
        <v>1899</v>
      </c>
      <c r="E47" s="11" t="s">
        <v>33</v>
      </c>
    </row>
    <row r="48">
      <c r="B48" s="32" t="s">
        <v>1587</v>
      </c>
      <c r="C48" s="33" t="s">
        <v>231</v>
      </c>
      <c r="D48" s="32" t="s">
        <v>2218</v>
      </c>
      <c r="E48" s="11" t="s">
        <v>37</v>
      </c>
    </row>
    <row r="49">
      <c r="B49" s="32" t="s">
        <v>2219</v>
      </c>
      <c r="C49" s="33" t="s">
        <v>43</v>
      </c>
      <c r="D49" s="32" t="s">
        <v>2217</v>
      </c>
      <c r="E49" s="11" t="s">
        <v>33</v>
      </c>
    </row>
    <row r="50">
      <c r="B50" s="32" t="s">
        <v>1587</v>
      </c>
      <c r="C50" s="33" t="s">
        <v>297</v>
      </c>
      <c r="D50" s="32" t="s">
        <v>1899</v>
      </c>
      <c r="E50" s="11" t="s">
        <v>37</v>
      </c>
    </row>
    <row r="51">
      <c r="B51" s="32" t="s">
        <v>2219</v>
      </c>
      <c r="C51" s="33" t="s">
        <v>193</v>
      </c>
      <c r="D51" s="32" t="s">
        <v>2218</v>
      </c>
      <c r="E51" s="11" t="s">
        <v>33</v>
      </c>
    </row>
    <row r="52">
      <c r="B52" s="32" t="s">
        <v>1587</v>
      </c>
      <c r="C52" s="33" t="s">
        <v>270</v>
      </c>
      <c r="D52" s="32" t="s">
        <v>2217</v>
      </c>
      <c r="E52" s="11" t="s">
        <v>37</v>
      </c>
    </row>
    <row r="53">
      <c r="B53" s="32" t="s">
        <v>2219</v>
      </c>
      <c r="C53" s="33" t="s">
        <v>62</v>
      </c>
      <c r="D53" s="32" t="s">
        <v>1899</v>
      </c>
      <c r="E53" s="11" t="s">
        <v>33</v>
      </c>
    </row>
    <row r="54">
      <c r="B54" s="32" t="s">
        <v>2218</v>
      </c>
      <c r="C54" s="33" t="s">
        <v>260</v>
      </c>
      <c r="D54" s="32" t="s">
        <v>2217</v>
      </c>
      <c r="E54" s="11" t="s">
        <v>37</v>
      </c>
    </row>
    <row r="55">
      <c r="B55" s="32" t="s">
        <v>2219</v>
      </c>
      <c r="C55" s="33" t="s">
        <v>47</v>
      </c>
      <c r="D55" s="32" t="s">
        <v>1587</v>
      </c>
      <c r="E55" s="11" t="s">
        <v>33</v>
      </c>
    </row>
    <row r="56">
      <c r="B56" s="32" t="s">
        <v>2218</v>
      </c>
      <c r="C56" s="33" t="s">
        <v>378</v>
      </c>
      <c r="D56" s="32" t="s">
        <v>1899</v>
      </c>
      <c r="E56" s="11" t="s">
        <v>37</v>
      </c>
    </row>
    <row r="57">
      <c r="B57" s="32" t="s">
        <v>1899</v>
      </c>
      <c r="C57" s="33" t="s">
        <v>232</v>
      </c>
      <c r="D57" s="32" t="s">
        <v>2217</v>
      </c>
      <c r="E57" s="11" t="s">
        <v>33</v>
      </c>
    </row>
    <row r="58">
      <c r="B58" s="32" t="s">
        <v>2218</v>
      </c>
      <c r="C58" s="33" t="s">
        <v>239</v>
      </c>
      <c r="D58" s="32" t="s">
        <v>1587</v>
      </c>
      <c r="E58" s="11" t="s">
        <v>37</v>
      </c>
    </row>
    <row r="59">
      <c r="B59" s="32" t="s">
        <v>2217</v>
      </c>
      <c r="C59" s="35" t="s">
        <v>792</v>
      </c>
      <c r="D59" s="32" t="s">
        <v>2219</v>
      </c>
      <c r="E59" s="11" t="s">
        <v>33</v>
      </c>
      <c r="K59" s="36"/>
    </row>
    <row r="60">
      <c r="B60" s="32" t="s">
        <v>1899</v>
      </c>
      <c r="C60" s="35" t="s">
        <v>370</v>
      </c>
      <c r="D60" s="32" t="s">
        <v>1587</v>
      </c>
      <c r="E60" s="11" t="s">
        <v>37</v>
      </c>
    </row>
    <row r="61">
      <c r="B61" s="32" t="s">
        <v>2218</v>
      </c>
      <c r="C61" s="35" t="s">
        <v>55</v>
      </c>
      <c r="D61" s="32" t="s">
        <v>2219</v>
      </c>
      <c r="E61" s="11" t="s">
        <v>33</v>
      </c>
      <c r="M61" s="36" t="s">
        <v>242</v>
      </c>
    </row>
    <row r="62">
      <c r="B62" s="32" t="s">
        <v>2217</v>
      </c>
      <c r="C62" s="35" t="s">
        <v>196</v>
      </c>
      <c r="D62" s="32" t="s">
        <v>1587</v>
      </c>
      <c r="E62" s="11" t="s">
        <v>37</v>
      </c>
    </row>
    <row r="63">
      <c r="B63" s="32" t="s">
        <v>1899</v>
      </c>
      <c r="C63" s="35" t="s">
        <v>733</v>
      </c>
      <c r="D63" s="32" t="s">
        <v>2219</v>
      </c>
      <c r="E63" s="11" t="s">
        <v>33</v>
      </c>
    </row>
    <row r="64">
      <c r="B64" s="32" t="s">
        <v>2217</v>
      </c>
      <c r="C64" s="35" t="s">
        <v>404</v>
      </c>
      <c r="D64" s="32" t="s">
        <v>2218</v>
      </c>
      <c r="E64" s="11" t="s">
        <v>37</v>
      </c>
    </row>
    <row r="65">
      <c r="B65" s="32" t="s">
        <v>1587</v>
      </c>
      <c r="C65" s="35" t="s">
        <v>76</v>
      </c>
      <c r="D65" s="32" t="s">
        <v>2219</v>
      </c>
      <c r="E65" s="11" t="s">
        <v>33</v>
      </c>
    </row>
    <row r="66">
      <c r="B66" s="32" t="s">
        <v>1899</v>
      </c>
      <c r="C66" s="35" t="s">
        <v>286</v>
      </c>
      <c r="D66" s="32" t="s">
        <v>2218</v>
      </c>
      <c r="E66" s="11" t="s">
        <v>37</v>
      </c>
    </row>
    <row r="67">
      <c r="B67" s="1" t="s">
        <v>2220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16" t="s">
        <v>5</v>
      </c>
    </row>
    <row r="69">
      <c r="B69" s="32" t="s">
        <v>2221</v>
      </c>
      <c r="C69" s="33" t="s">
        <v>589</v>
      </c>
      <c r="D69" s="32" t="s">
        <v>2222</v>
      </c>
      <c r="E69" s="11" t="s">
        <v>9</v>
      </c>
    </row>
    <row r="70">
      <c r="B70" s="32" t="s">
        <v>1246</v>
      </c>
      <c r="C70" s="33" t="s">
        <v>651</v>
      </c>
      <c r="D70" s="32" t="s">
        <v>2223</v>
      </c>
      <c r="E70" s="11" t="s">
        <v>13</v>
      </c>
    </row>
    <row r="71">
      <c r="B71" s="32" t="s">
        <v>2224</v>
      </c>
      <c r="C71" s="33" t="s">
        <v>87</v>
      </c>
      <c r="D71" s="32" t="s">
        <v>2221</v>
      </c>
      <c r="E71" s="11" t="s">
        <v>9</v>
      </c>
    </row>
    <row r="72">
      <c r="B72" s="32" t="s">
        <v>1246</v>
      </c>
      <c r="C72" s="33" t="s">
        <v>72</v>
      </c>
      <c r="D72" s="32" t="s">
        <v>2222</v>
      </c>
      <c r="E72" s="11" t="s">
        <v>13</v>
      </c>
    </row>
    <row r="73">
      <c r="B73" s="32" t="s">
        <v>2224</v>
      </c>
      <c r="C73" s="33" t="s">
        <v>363</v>
      </c>
      <c r="D73" s="32" t="s">
        <v>2223</v>
      </c>
      <c r="E73" s="11" t="s">
        <v>9</v>
      </c>
    </row>
    <row r="74">
      <c r="B74" s="32" t="s">
        <v>1246</v>
      </c>
      <c r="C74" s="33" t="s">
        <v>435</v>
      </c>
      <c r="D74" s="32" t="s">
        <v>2221</v>
      </c>
      <c r="E74" s="11" t="s">
        <v>13</v>
      </c>
    </row>
    <row r="75">
      <c r="B75" s="32" t="s">
        <v>2224</v>
      </c>
      <c r="C75" s="33" t="s">
        <v>19</v>
      </c>
      <c r="D75" s="32" t="s">
        <v>2222</v>
      </c>
      <c r="E75" s="11" t="s">
        <v>9</v>
      </c>
    </row>
    <row r="76">
      <c r="B76" s="32" t="s">
        <v>2223</v>
      </c>
      <c r="C76" s="33" t="s">
        <v>631</v>
      </c>
      <c r="D76" s="32" t="s">
        <v>2221</v>
      </c>
      <c r="E76" s="11" t="s">
        <v>13</v>
      </c>
    </row>
    <row r="77">
      <c r="B77" s="32" t="s">
        <v>2224</v>
      </c>
      <c r="C77" s="33" t="s">
        <v>197</v>
      </c>
      <c r="D77" s="32" t="s">
        <v>1246</v>
      </c>
      <c r="E77" s="11" t="s">
        <v>9</v>
      </c>
    </row>
    <row r="78">
      <c r="B78" s="32" t="s">
        <v>2223</v>
      </c>
      <c r="C78" s="33" t="s">
        <v>22</v>
      </c>
      <c r="D78" s="32" t="s">
        <v>2222</v>
      </c>
      <c r="E78" s="11" t="s">
        <v>13</v>
      </c>
    </row>
    <row r="79">
      <c r="B79" s="32" t="s">
        <v>2222</v>
      </c>
      <c r="C79" s="33" t="s">
        <v>239</v>
      </c>
      <c r="D79" s="32" t="s">
        <v>2221</v>
      </c>
      <c r="E79" s="11" t="s">
        <v>9</v>
      </c>
    </row>
    <row r="80">
      <c r="B80" s="32" t="s">
        <v>2223</v>
      </c>
      <c r="C80" s="33" t="s">
        <v>329</v>
      </c>
      <c r="D80" s="32" t="s">
        <v>1246</v>
      </c>
      <c r="E80" s="11" t="s">
        <v>13</v>
      </c>
    </row>
    <row r="81">
      <c r="B81" s="32" t="s">
        <v>2221</v>
      </c>
      <c r="C81" s="33" t="s">
        <v>190</v>
      </c>
      <c r="D81" s="32" t="s">
        <v>2224</v>
      </c>
      <c r="E81" s="11" t="s">
        <v>9</v>
      </c>
    </row>
    <row r="82">
      <c r="B82" s="32" t="s">
        <v>2222</v>
      </c>
      <c r="C82" s="33" t="s">
        <v>197</v>
      </c>
      <c r="D82" s="32" t="s">
        <v>1246</v>
      </c>
      <c r="E82" s="11" t="s">
        <v>13</v>
      </c>
    </row>
    <row r="83">
      <c r="B83" s="32" t="s">
        <v>2223</v>
      </c>
      <c r="C83" s="33" t="s">
        <v>197</v>
      </c>
      <c r="D83" s="32" t="s">
        <v>2224</v>
      </c>
      <c r="E83" s="11" t="s">
        <v>9</v>
      </c>
    </row>
    <row r="84">
      <c r="B84" s="32" t="s">
        <v>2221</v>
      </c>
      <c r="C84" s="33" t="s">
        <v>81</v>
      </c>
      <c r="D84" s="32" t="s">
        <v>1246</v>
      </c>
      <c r="E84" s="11" t="s">
        <v>13</v>
      </c>
    </row>
    <row r="85">
      <c r="B85" s="32" t="s">
        <v>2222</v>
      </c>
      <c r="C85" s="33" t="s">
        <v>23</v>
      </c>
      <c r="D85" s="32" t="s">
        <v>2224</v>
      </c>
      <c r="E85" s="11" t="s">
        <v>9</v>
      </c>
    </row>
    <row r="86">
      <c r="B86" s="32" t="s">
        <v>2221</v>
      </c>
      <c r="C86" s="33" t="s">
        <v>207</v>
      </c>
      <c r="D86" s="32" t="s">
        <v>2223</v>
      </c>
      <c r="E86" s="11" t="s">
        <v>13</v>
      </c>
    </row>
    <row r="87">
      <c r="B87" s="32" t="s">
        <v>1246</v>
      </c>
      <c r="C87" s="33" t="s">
        <v>68</v>
      </c>
      <c r="D87" s="32" t="s">
        <v>2224</v>
      </c>
      <c r="E87" s="11" t="s">
        <v>9</v>
      </c>
    </row>
    <row r="88">
      <c r="B88" s="32" t="s">
        <v>2222</v>
      </c>
      <c r="C88" s="33" t="s">
        <v>11</v>
      </c>
      <c r="D88" s="32" t="s">
        <v>2223</v>
      </c>
      <c r="E88" s="11" t="s">
        <v>13</v>
      </c>
    </row>
    <row r="89">
      <c r="B89" s="1" t="s">
        <v>1400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16" t="s">
        <v>5</v>
      </c>
    </row>
    <row r="91">
      <c r="B91" s="32" t="s">
        <v>732</v>
      </c>
      <c r="C91" s="35" t="s">
        <v>363</v>
      </c>
      <c r="D91" s="32" t="s">
        <v>731</v>
      </c>
      <c r="E91" s="11" t="s">
        <v>9</v>
      </c>
    </row>
    <row r="92">
      <c r="B92" s="32" t="s">
        <v>2042</v>
      </c>
      <c r="C92" s="35" t="s">
        <v>536</v>
      </c>
      <c r="D92" s="32" t="s">
        <v>388</v>
      </c>
      <c r="E92" s="11" t="s">
        <v>13</v>
      </c>
    </row>
    <row r="93">
      <c r="B93" s="32" t="s">
        <v>2225</v>
      </c>
      <c r="C93" s="35" t="s">
        <v>87</v>
      </c>
      <c r="D93" s="32" t="s">
        <v>732</v>
      </c>
      <c r="E93" s="11" t="s">
        <v>9</v>
      </c>
    </row>
    <row r="94">
      <c r="B94" s="32" t="s">
        <v>2042</v>
      </c>
      <c r="C94" s="35" t="s">
        <v>285</v>
      </c>
      <c r="D94" s="32" t="s">
        <v>731</v>
      </c>
      <c r="E94" s="11" t="s">
        <v>13</v>
      </c>
    </row>
    <row r="95">
      <c r="B95" s="32" t="s">
        <v>2225</v>
      </c>
      <c r="C95" s="35" t="s">
        <v>45</v>
      </c>
      <c r="D95" s="32" t="s">
        <v>388</v>
      </c>
      <c r="E95" s="11" t="s">
        <v>9</v>
      </c>
    </row>
    <row r="96">
      <c r="B96" s="32" t="s">
        <v>2042</v>
      </c>
      <c r="C96" s="35" t="s">
        <v>260</v>
      </c>
      <c r="D96" s="32" t="s">
        <v>732</v>
      </c>
      <c r="E96" s="11" t="s">
        <v>13</v>
      </c>
    </row>
    <row r="97">
      <c r="B97" s="32" t="s">
        <v>2225</v>
      </c>
      <c r="C97" s="35" t="s">
        <v>193</v>
      </c>
      <c r="D97" s="32" t="s">
        <v>731</v>
      </c>
      <c r="E97" s="11" t="s">
        <v>9</v>
      </c>
    </row>
    <row r="98">
      <c r="B98" s="32" t="s">
        <v>388</v>
      </c>
      <c r="C98" s="35" t="s">
        <v>7</v>
      </c>
      <c r="D98" s="32" t="s">
        <v>732</v>
      </c>
      <c r="E98" s="11" t="s">
        <v>13</v>
      </c>
    </row>
    <row r="99">
      <c r="B99" s="32" t="s">
        <v>2225</v>
      </c>
      <c r="C99" s="35" t="s">
        <v>190</v>
      </c>
      <c r="D99" s="32" t="s">
        <v>2042</v>
      </c>
      <c r="E99" s="11" t="s">
        <v>9</v>
      </c>
    </row>
    <row r="100">
      <c r="B100" s="32" t="s">
        <v>388</v>
      </c>
      <c r="C100" s="35" t="s">
        <v>295</v>
      </c>
      <c r="D100" s="32" t="s">
        <v>731</v>
      </c>
      <c r="E100" s="11" t="s">
        <v>13</v>
      </c>
    </row>
    <row r="101">
      <c r="B101" s="32" t="s">
        <v>731</v>
      </c>
      <c r="C101" s="35" t="s">
        <v>28</v>
      </c>
      <c r="D101" s="32" t="s">
        <v>732</v>
      </c>
      <c r="E101" s="11" t="s">
        <v>9</v>
      </c>
    </row>
    <row r="102">
      <c r="B102" s="32" t="s">
        <v>388</v>
      </c>
      <c r="C102" s="35" t="s">
        <v>190</v>
      </c>
      <c r="D102" s="32" t="s">
        <v>2042</v>
      </c>
      <c r="E102" s="11" t="s">
        <v>13</v>
      </c>
    </row>
    <row r="103">
      <c r="B103" s="32" t="s">
        <v>732</v>
      </c>
      <c r="C103" s="35" t="s">
        <v>68</v>
      </c>
      <c r="D103" s="32" t="s">
        <v>2225</v>
      </c>
      <c r="E103" s="11" t="s">
        <v>9</v>
      </c>
    </row>
    <row r="104">
      <c r="B104" s="32" t="s">
        <v>731</v>
      </c>
      <c r="C104" s="35" t="s">
        <v>43</v>
      </c>
      <c r="D104" s="32" t="s">
        <v>2042</v>
      </c>
      <c r="E104" s="11" t="s">
        <v>13</v>
      </c>
    </row>
    <row r="105">
      <c r="B105" s="32" t="s">
        <v>388</v>
      </c>
      <c r="C105" s="35" t="s">
        <v>81</v>
      </c>
      <c r="D105" s="32" t="s">
        <v>2225</v>
      </c>
      <c r="E105" s="11" t="s">
        <v>9</v>
      </c>
    </row>
    <row r="106">
      <c r="B106" s="32" t="s">
        <v>732</v>
      </c>
      <c r="C106" s="35" t="s">
        <v>1025</v>
      </c>
      <c r="D106" s="32" t="s">
        <v>2042</v>
      </c>
      <c r="E106" s="11" t="s">
        <v>13</v>
      </c>
    </row>
    <row r="107">
      <c r="B107" s="32" t="s">
        <v>731</v>
      </c>
      <c r="C107" s="35" t="s">
        <v>87</v>
      </c>
      <c r="D107" s="32" t="s">
        <v>2225</v>
      </c>
      <c r="E107" s="11" t="s">
        <v>9</v>
      </c>
    </row>
    <row r="108">
      <c r="B108" s="32" t="s">
        <v>732</v>
      </c>
      <c r="C108" s="35" t="s">
        <v>488</v>
      </c>
      <c r="D108" s="32" t="s">
        <v>388</v>
      </c>
      <c r="E108" s="11" t="s">
        <v>13</v>
      </c>
    </row>
    <row r="109">
      <c r="B109" s="32" t="s">
        <v>2042</v>
      </c>
      <c r="C109" s="35" t="s">
        <v>260</v>
      </c>
      <c r="D109" s="32" t="s">
        <v>2225</v>
      </c>
      <c r="E109" s="11" t="s">
        <v>9</v>
      </c>
    </row>
    <row r="110">
      <c r="B110" s="32" t="s">
        <v>731</v>
      </c>
      <c r="C110" s="35" t="s">
        <v>22</v>
      </c>
      <c r="D110" s="32" t="s">
        <v>388</v>
      </c>
      <c r="E110" s="11" t="s">
        <v>13</v>
      </c>
    </row>
    <row r="111">
      <c r="B111" s="1" t="s">
        <v>2226</v>
      </c>
      <c r="C111" s="2"/>
      <c r="D111" s="3"/>
      <c r="E111" s="14"/>
    </row>
    <row r="112"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B113" s="32" t="s">
        <v>2227</v>
      </c>
      <c r="C113" s="33" t="s">
        <v>25</v>
      </c>
      <c r="D113" s="32" t="s">
        <v>2228</v>
      </c>
      <c r="E113" s="11" t="s">
        <v>33</v>
      </c>
    </row>
    <row r="114">
      <c r="B114" s="32" t="s">
        <v>987</v>
      </c>
      <c r="C114" s="33" t="s">
        <v>196</v>
      </c>
      <c r="D114" s="32" t="s">
        <v>2229</v>
      </c>
      <c r="E114" s="11" t="s">
        <v>37</v>
      </c>
    </row>
    <row r="115">
      <c r="B115" s="32" t="s">
        <v>2230</v>
      </c>
      <c r="C115" s="33" t="s">
        <v>23</v>
      </c>
      <c r="D115" s="32" t="s">
        <v>2227</v>
      </c>
      <c r="E115" s="11" t="s">
        <v>33</v>
      </c>
    </row>
    <row r="116">
      <c r="B116" s="32" t="s">
        <v>987</v>
      </c>
      <c r="C116" s="33" t="s">
        <v>243</v>
      </c>
      <c r="D116" s="32" t="s">
        <v>2228</v>
      </c>
      <c r="E116" s="11" t="s">
        <v>37</v>
      </c>
    </row>
    <row r="117">
      <c r="B117" s="32" t="s">
        <v>2230</v>
      </c>
      <c r="C117" s="33" t="s">
        <v>62</v>
      </c>
      <c r="D117" s="32" t="s">
        <v>2229</v>
      </c>
      <c r="E117" s="11" t="s">
        <v>33</v>
      </c>
    </row>
    <row r="118">
      <c r="B118" s="32" t="s">
        <v>987</v>
      </c>
      <c r="C118" s="33" t="s">
        <v>270</v>
      </c>
      <c r="D118" s="32" t="s">
        <v>2227</v>
      </c>
      <c r="E118" s="11" t="s">
        <v>37</v>
      </c>
    </row>
    <row r="119">
      <c r="B119" s="32" t="s">
        <v>2230</v>
      </c>
      <c r="C119" s="33" t="s">
        <v>509</v>
      </c>
      <c r="D119" s="32" t="s">
        <v>2228</v>
      </c>
      <c r="E119" s="11" t="s">
        <v>33</v>
      </c>
    </row>
    <row r="120">
      <c r="B120" s="32" t="s">
        <v>2229</v>
      </c>
      <c r="C120" s="33" t="s">
        <v>16</v>
      </c>
      <c r="D120" s="32" t="s">
        <v>2227</v>
      </c>
      <c r="E120" s="11" t="s">
        <v>37</v>
      </c>
    </row>
    <row r="121">
      <c r="B121" s="32" t="s">
        <v>2230</v>
      </c>
      <c r="C121" s="33" t="s">
        <v>82</v>
      </c>
      <c r="D121" s="32" t="s">
        <v>987</v>
      </c>
      <c r="E121" s="11" t="s">
        <v>33</v>
      </c>
    </row>
    <row r="122">
      <c r="B122" s="32" t="s">
        <v>2229</v>
      </c>
      <c r="C122" s="33" t="s">
        <v>466</v>
      </c>
      <c r="D122" s="32" t="s">
        <v>2228</v>
      </c>
      <c r="E122" s="11" t="s">
        <v>37</v>
      </c>
    </row>
    <row r="123">
      <c r="B123" s="32" t="s">
        <v>2228</v>
      </c>
      <c r="C123" s="33" t="s">
        <v>936</v>
      </c>
      <c r="D123" s="32" t="s">
        <v>2227</v>
      </c>
      <c r="E123" s="11" t="s">
        <v>33</v>
      </c>
    </row>
    <row r="124">
      <c r="B124" s="32" t="s">
        <v>2229</v>
      </c>
      <c r="C124" s="33" t="s">
        <v>520</v>
      </c>
      <c r="D124" s="32" t="s">
        <v>987</v>
      </c>
      <c r="E124" s="11" t="s">
        <v>37</v>
      </c>
    </row>
    <row r="125">
      <c r="B125" s="32" t="s">
        <v>2227</v>
      </c>
      <c r="C125" s="35" t="s">
        <v>7</v>
      </c>
      <c r="D125" s="32" t="s">
        <v>2230</v>
      </c>
      <c r="E125" s="11" t="s">
        <v>33</v>
      </c>
    </row>
    <row r="126">
      <c r="B126" s="32" t="s">
        <v>2228</v>
      </c>
      <c r="C126" s="35" t="s">
        <v>297</v>
      </c>
      <c r="D126" s="32" t="s">
        <v>987</v>
      </c>
      <c r="E126" s="11" t="s">
        <v>37</v>
      </c>
    </row>
    <row r="127">
      <c r="B127" s="32" t="s">
        <v>2229</v>
      </c>
      <c r="C127" s="35" t="s">
        <v>827</v>
      </c>
      <c r="D127" s="32" t="s">
        <v>2230</v>
      </c>
      <c r="E127" s="11" t="s">
        <v>33</v>
      </c>
    </row>
    <row r="128">
      <c r="B128" s="32" t="s">
        <v>2227</v>
      </c>
      <c r="C128" s="35" t="s">
        <v>215</v>
      </c>
      <c r="D128" s="32" t="s">
        <v>987</v>
      </c>
      <c r="E128" s="11" t="s">
        <v>37</v>
      </c>
    </row>
    <row r="129">
      <c r="B129" s="32" t="s">
        <v>2228</v>
      </c>
      <c r="C129" s="35" t="s">
        <v>488</v>
      </c>
      <c r="D129" s="32" t="s">
        <v>2230</v>
      </c>
      <c r="E129" s="11" t="s">
        <v>33</v>
      </c>
    </row>
    <row r="130">
      <c r="B130" s="32" t="s">
        <v>2227</v>
      </c>
      <c r="C130" s="35" t="s">
        <v>22</v>
      </c>
      <c r="D130" s="32" t="s">
        <v>2229</v>
      </c>
      <c r="E130" s="11" t="s">
        <v>37</v>
      </c>
    </row>
    <row r="131">
      <c r="B131" s="32" t="s">
        <v>987</v>
      </c>
      <c r="C131" s="35" t="s">
        <v>20</v>
      </c>
      <c r="D131" s="32" t="s">
        <v>2230</v>
      </c>
      <c r="E131" s="11" t="s">
        <v>33</v>
      </c>
    </row>
    <row r="132">
      <c r="B132" s="32" t="s">
        <v>2228</v>
      </c>
      <c r="C132" s="35" t="s">
        <v>197</v>
      </c>
      <c r="D132" s="32" t="s">
        <v>2229</v>
      </c>
      <c r="E132" s="11" t="s">
        <v>37</v>
      </c>
    </row>
    <row r="133">
      <c r="B133" s="1" t="s">
        <v>2231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32" t="s">
        <v>2232</v>
      </c>
      <c r="C135" s="33" t="s">
        <v>58</v>
      </c>
      <c r="D135" s="32" t="s">
        <v>2233</v>
      </c>
      <c r="E135" s="11" t="s">
        <v>9</v>
      </c>
    </row>
    <row r="136">
      <c r="B136" s="32" t="s">
        <v>2234</v>
      </c>
      <c r="C136" s="33" t="s">
        <v>195</v>
      </c>
      <c r="D136" s="32" t="s">
        <v>2235</v>
      </c>
      <c r="E136" s="11" t="s">
        <v>13</v>
      </c>
    </row>
    <row r="137">
      <c r="B137" s="32" t="s">
        <v>2236</v>
      </c>
      <c r="C137" s="33" t="s">
        <v>196</v>
      </c>
      <c r="D137" s="32" t="s">
        <v>2232</v>
      </c>
      <c r="E137" s="11" t="s">
        <v>9</v>
      </c>
    </row>
    <row r="138">
      <c r="B138" s="32" t="s">
        <v>2234</v>
      </c>
      <c r="C138" s="33" t="s">
        <v>87</v>
      </c>
      <c r="D138" s="32" t="s">
        <v>2233</v>
      </c>
      <c r="E138" s="11" t="s">
        <v>13</v>
      </c>
    </row>
    <row r="139">
      <c r="B139" s="32" t="s">
        <v>2236</v>
      </c>
      <c r="C139" s="33" t="s">
        <v>446</v>
      </c>
      <c r="D139" s="32" t="s">
        <v>2235</v>
      </c>
      <c r="E139" s="11" t="s">
        <v>9</v>
      </c>
    </row>
    <row r="140">
      <c r="B140" s="32" t="s">
        <v>2234</v>
      </c>
      <c r="C140" s="33" t="s">
        <v>58</v>
      </c>
      <c r="D140" s="32" t="s">
        <v>2232</v>
      </c>
      <c r="E140" s="11" t="s">
        <v>13</v>
      </c>
    </row>
    <row r="141">
      <c r="B141" s="32" t="s">
        <v>2236</v>
      </c>
      <c r="C141" s="33" t="s">
        <v>261</v>
      </c>
      <c r="D141" s="32" t="s">
        <v>2233</v>
      </c>
      <c r="E141" s="11" t="s">
        <v>9</v>
      </c>
    </row>
    <row r="142">
      <c r="B142" s="32" t="s">
        <v>2235</v>
      </c>
      <c r="C142" s="33" t="s">
        <v>286</v>
      </c>
      <c r="D142" s="32" t="s">
        <v>2232</v>
      </c>
      <c r="E142" s="11" t="s">
        <v>13</v>
      </c>
    </row>
    <row r="143">
      <c r="B143" s="32" t="s">
        <v>2236</v>
      </c>
      <c r="C143" s="33" t="s">
        <v>693</v>
      </c>
      <c r="D143" s="32" t="s">
        <v>2234</v>
      </c>
      <c r="E143" s="11" t="s">
        <v>9</v>
      </c>
    </row>
    <row r="144">
      <c r="B144" s="32" t="s">
        <v>2235</v>
      </c>
      <c r="C144" s="33" t="s">
        <v>22</v>
      </c>
      <c r="D144" s="32" t="s">
        <v>2233</v>
      </c>
      <c r="E144" s="11" t="s">
        <v>13</v>
      </c>
    </row>
    <row r="145">
      <c r="B145" s="32" t="s">
        <v>2233</v>
      </c>
      <c r="C145" s="33" t="s">
        <v>17</v>
      </c>
      <c r="D145" s="32" t="s">
        <v>2232</v>
      </c>
      <c r="E145" s="11" t="s">
        <v>9</v>
      </c>
    </row>
    <row r="146">
      <c r="B146" s="32" t="s">
        <v>2235</v>
      </c>
      <c r="C146" s="33" t="s">
        <v>270</v>
      </c>
      <c r="D146" s="32" t="s">
        <v>2234</v>
      </c>
      <c r="E146" s="11" t="s">
        <v>13</v>
      </c>
    </row>
    <row r="147">
      <c r="B147" s="32" t="s">
        <v>2232</v>
      </c>
      <c r="C147" s="35" t="s">
        <v>378</v>
      </c>
      <c r="D147" s="32" t="s">
        <v>2236</v>
      </c>
      <c r="E147" s="11" t="s">
        <v>9</v>
      </c>
    </row>
    <row r="148">
      <c r="B148" s="32" t="s">
        <v>2233</v>
      </c>
      <c r="C148" s="35" t="s">
        <v>193</v>
      </c>
      <c r="D148" s="32" t="s">
        <v>2234</v>
      </c>
      <c r="E148" s="11" t="s">
        <v>13</v>
      </c>
    </row>
    <row r="149">
      <c r="B149" s="32" t="s">
        <v>2235</v>
      </c>
      <c r="C149" s="35" t="s">
        <v>88</v>
      </c>
      <c r="D149" s="32" t="s">
        <v>2236</v>
      </c>
      <c r="E149" s="11" t="s">
        <v>9</v>
      </c>
    </row>
    <row r="150">
      <c r="B150" s="32" t="s">
        <v>2232</v>
      </c>
      <c r="C150" s="35" t="s">
        <v>291</v>
      </c>
      <c r="D150" s="32" t="s">
        <v>2234</v>
      </c>
      <c r="E150" s="11" t="s">
        <v>13</v>
      </c>
    </row>
    <row r="151">
      <c r="B151" s="32" t="s">
        <v>2233</v>
      </c>
      <c r="C151" s="35" t="s">
        <v>43</v>
      </c>
      <c r="D151" s="32" t="s">
        <v>2236</v>
      </c>
      <c r="E151" s="11" t="s">
        <v>9</v>
      </c>
    </row>
    <row r="152">
      <c r="B152" s="32" t="s">
        <v>2232</v>
      </c>
      <c r="C152" s="35" t="s">
        <v>460</v>
      </c>
      <c r="D152" s="32" t="s">
        <v>2235</v>
      </c>
      <c r="E152" s="11" t="s">
        <v>13</v>
      </c>
    </row>
    <row r="153">
      <c r="B153" s="32" t="s">
        <v>2234</v>
      </c>
      <c r="C153" s="35" t="s">
        <v>293</v>
      </c>
      <c r="D153" s="32" t="s">
        <v>2236</v>
      </c>
      <c r="E153" s="11" t="s">
        <v>9</v>
      </c>
    </row>
    <row r="154">
      <c r="B154" s="32" t="s">
        <v>2233</v>
      </c>
      <c r="C154" s="35" t="s">
        <v>28</v>
      </c>
      <c r="D154" s="32" t="s">
        <v>2235</v>
      </c>
      <c r="E154" s="11" t="s">
        <v>13</v>
      </c>
    </row>
    <row r="155">
      <c r="B155" s="1" t="s">
        <v>2237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B157" s="32" t="s">
        <v>2238</v>
      </c>
      <c r="C157" s="33" t="s">
        <v>283</v>
      </c>
      <c r="D157" s="32" t="s">
        <v>2239</v>
      </c>
      <c r="E157" s="11" t="s">
        <v>33</v>
      </c>
    </row>
    <row r="158">
      <c r="B158" s="32" t="s">
        <v>2240</v>
      </c>
      <c r="C158" s="33" t="s">
        <v>205</v>
      </c>
      <c r="D158" s="32" t="s">
        <v>2241</v>
      </c>
      <c r="E158" s="11" t="s">
        <v>37</v>
      </c>
    </row>
    <row r="159">
      <c r="B159" s="32" t="s">
        <v>2242</v>
      </c>
      <c r="C159" s="33" t="s">
        <v>243</v>
      </c>
      <c r="D159" s="32" t="s">
        <v>2238</v>
      </c>
      <c r="E159" s="11" t="s">
        <v>33</v>
      </c>
    </row>
    <row r="160">
      <c r="B160" s="32" t="s">
        <v>2240</v>
      </c>
      <c r="C160" s="33" t="s">
        <v>52</v>
      </c>
      <c r="D160" s="32" t="s">
        <v>2239</v>
      </c>
      <c r="E160" s="11" t="s">
        <v>37</v>
      </c>
    </row>
    <row r="161">
      <c r="B161" s="32" t="s">
        <v>2242</v>
      </c>
      <c r="C161" s="33" t="s">
        <v>283</v>
      </c>
      <c r="D161" s="32" t="s">
        <v>2241</v>
      </c>
      <c r="E161" s="11" t="s">
        <v>33</v>
      </c>
    </row>
    <row r="162">
      <c r="B162" s="32" t="s">
        <v>2240</v>
      </c>
      <c r="C162" s="33" t="s">
        <v>19</v>
      </c>
      <c r="D162" s="32" t="s">
        <v>2238</v>
      </c>
      <c r="E162" s="11" t="s">
        <v>37</v>
      </c>
    </row>
    <row r="163">
      <c r="B163" s="32" t="s">
        <v>2242</v>
      </c>
      <c r="C163" s="33" t="s">
        <v>50</v>
      </c>
      <c r="D163" s="32" t="s">
        <v>2239</v>
      </c>
      <c r="E163" s="11" t="s">
        <v>33</v>
      </c>
    </row>
    <row r="164">
      <c r="B164" s="32" t="s">
        <v>2241</v>
      </c>
      <c r="C164" s="33" t="s">
        <v>243</v>
      </c>
      <c r="D164" s="32" t="s">
        <v>2238</v>
      </c>
      <c r="E164" s="11" t="s">
        <v>37</v>
      </c>
    </row>
    <row r="165">
      <c r="B165" s="32" t="s">
        <v>2242</v>
      </c>
      <c r="C165" s="33" t="s">
        <v>411</v>
      </c>
      <c r="D165" s="32" t="s">
        <v>2240</v>
      </c>
      <c r="E165" s="11" t="s">
        <v>33</v>
      </c>
    </row>
    <row r="166">
      <c r="B166" s="32" t="s">
        <v>2241</v>
      </c>
      <c r="C166" s="33" t="s">
        <v>88</v>
      </c>
      <c r="D166" s="32" t="s">
        <v>2239</v>
      </c>
      <c r="E166" s="11" t="s">
        <v>37</v>
      </c>
    </row>
    <row r="167">
      <c r="B167" s="32" t="s">
        <v>2239</v>
      </c>
      <c r="C167" s="33" t="s">
        <v>72</v>
      </c>
      <c r="D167" s="32" t="s">
        <v>2238</v>
      </c>
      <c r="E167" s="11" t="s">
        <v>33</v>
      </c>
    </row>
    <row r="168">
      <c r="B168" s="32" t="s">
        <v>2241</v>
      </c>
      <c r="C168" s="33" t="s">
        <v>328</v>
      </c>
      <c r="D168" s="32" t="s">
        <v>2240</v>
      </c>
      <c r="E168" s="11" t="s">
        <v>37</v>
      </c>
    </row>
    <row r="169">
      <c r="B169" s="32" t="s">
        <v>2238</v>
      </c>
      <c r="C169" s="35" t="s">
        <v>16</v>
      </c>
      <c r="D169" s="32" t="s">
        <v>2242</v>
      </c>
      <c r="E169" s="11" t="s">
        <v>33</v>
      </c>
    </row>
    <row r="170">
      <c r="B170" s="32" t="s">
        <v>2239</v>
      </c>
      <c r="C170" s="35" t="s">
        <v>400</v>
      </c>
      <c r="D170" s="32" t="s">
        <v>2240</v>
      </c>
      <c r="E170" s="11" t="s">
        <v>37</v>
      </c>
    </row>
    <row r="171">
      <c r="B171" s="32" t="s">
        <v>2241</v>
      </c>
      <c r="C171" s="35" t="s">
        <v>285</v>
      </c>
      <c r="D171" s="32" t="s">
        <v>2242</v>
      </c>
      <c r="E171" s="11" t="s">
        <v>33</v>
      </c>
    </row>
    <row r="172">
      <c r="B172" s="32" t="s">
        <v>2238</v>
      </c>
      <c r="C172" s="35" t="s">
        <v>329</v>
      </c>
      <c r="D172" s="32" t="s">
        <v>2240</v>
      </c>
      <c r="E172" s="11" t="s">
        <v>37</v>
      </c>
    </row>
    <row r="173">
      <c r="B173" s="32" t="s">
        <v>2239</v>
      </c>
      <c r="C173" s="35" t="s">
        <v>49</v>
      </c>
      <c r="D173" s="32" t="s">
        <v>2242</v>
      </c>
      <c r="E173" s="11" t="s">
        <v>33</v>
      </c>
    </row>
    <row r="174">
      <c r="B174" s="32" t="s">
        <v>2238</v>
      </c>
      <c r="C174" s="35" t="s">
        <v>196</v>
      </c>
      <c r="D174" s="32" t="s">
        <v>2241</v>
      </c>
      <c r="E174" s="11" t="s">
        <v>37</v>
      </c>
    </row>
    <row r="175">
      <c r="B175" s="32" t="s">
        <v>2240</v>
      </c>
      <c r="C175" s="35" t="s">
        <v>751</v>
      </c>
      <c r="D175" s="32" t="s">
        <v>2242</v>
      </c>
      <c r="E175" s="11" t="s">
        <v>33</v>
      </c>
    </row>
    <row r="176">
      <c r="B176" s="32" t="s">
        <v>2239</v>
      </c>
      <c r="C176" s="35" t="s">
        <v>403</v>
      </c>
      <c r="D176" s="32" t="s">
        <v>2241</v>
      </c>
      <c r="E176" s="11" t="s">
        <v>37</v>
      </c>
    </row>
    <row r="177">
      <c r="B177" s="1" t="s">
        <v>1419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B179" s="32" t="s">
        <v>1959</v>
      </c>
      <c r="C179" s="33" t="s">
        <v>815</v>
      </c>
      <c r="D179" s="32" t="s">
        <v>2243</v>
      </c>
      <c r="E179" s="11" t="s">
        <v>9</v>
      </c>
    </row>
    <row r="180">
      <c r="B180" s="32" t="s">
        <v>2244</v>
      </c>
      <c r="C180" s="33" t="s">
        <v>194</v>
      </c>
      <c r="D180" s="32" t="s">
        <v>1006</v>
      </c>
      <c r="E180" s="11" t="s">
        <v>13</v>
      </c>
    </row>
    <row r="181">
      <c r="B181" s="32" t="s">
        <v>2245</v>
      </c>
      <c r="C181" s="33" t="s">
        <v>651</v>
      </c>
      <c r="D181" s="32" t="s">
        <v>1959</v>
      </c>
      <c r="E181" s="11" t="s">
        <v>9</v>
      </c>
    </row>
    <row r="182">
      <c r="B182" s="32" t="s">
        <v>2244</v>
      </c>
      <c r="C182" s="33" t="s">
        <v>260</v>
      </c>
      <c r="D182" s="32" t="s">
        <v>2243</v>
      </c>
      <c r="E182" s="11" t="s">
        <v>13</v>
      </c>
    </row>
    <row r="183">
      <c r="B183" s="32" t="s">
        <v>2245</v>
      </c>
      <c r="C183" s="33" t="s">
        <v>11</v>
      </c>
      <c r="D183" s="32" t="s">
        <v>1006</v>
      </c>
      <c r="E183" s="11" t="s">
        <v>9</v>
      </c>
    </row>
    <row r="184">
      <c r="B184" s="32" t="s">
        <v>2244</v>
      </c>
      <c r="C184" s="33" t="s">
        <v>289</v>
      </c>
      <c r="D184" s="32" t="s">
        <v>1959</v>
      </c>
      <c r="E184" s="11" t="s">
        <v>13</v>
      </c>
    </row>
    <row r="185">
      <c r="B185" s="32" t="s">
        <v>2245</v>
      </c>
      <c r="C185" s="33" t="s">
        <v>993</v>
      </c>
      <c r="D185" s="32" t="s">
        <v>2243</v>
      </c>
      <c r="E185" s="11" t="s">
        <v>9</v>
      </c>
    </row>
    <row r="186">
      <c r="B186" s="32" t="s">
        <v>1006</v>
      </c>
      <c r="C186" s="33" t="s">
        <v>217</v>
      </c>
      <c r="D186" s="45" t="s">
        <v>1959</v>
      </c>
      <c r="E186" s="11" t="s">
        <v>13</v>
      </c>
    </row>
    <row r="187">
      <c r="B187" s="32" t="s">
        <v>2245</v>
      </c>
      <c r="C187" s="33" t="s">
        <v>400</v>
      </c>
      <c r="D187" s="32" t="s">
        <v>2244</v>
      </c>
      <c r="E187" s="11" t="s">
        <v>9</v>
      </c>
    </row>
    <row r="188">
      <c r="B188" s="32" t="s">
        <v>1006</v>
      </c>
      <c r="C188" s="33" t="s">
        <v>414</v>
      </c>
      <c r="D188" s="32" t="s">
        <v>2243</v>
      </c>
      <c r="E188" s="11" t="s">
        <v>13</v>
      </c>
    </row>
    <row r="189">
      <c r="B189" s="32" t="s">
        <v>2243</v>
      </c>
      <c r="C189" s="33" t="s">
        <v>83</v>
      </c>
      <c r="D189" s="32" t="s">
        <v>1959</v>
      </c>
      <c r="E189" s="11" t="s">
        <v>9</v>
      </c>
    </row>
    <row r="190">
      <c r="B190" s="32" t="s">
        <v>1006</v>
      </c>
      <c r="C190" s="33" t="s">
        <v>83</v>
      </c>
      <c r="D190" s="32" t="s">
        <v>2244</v>
      </c>
      <c r="E190" s="11" t="s">
        <v>13</v>
      </c>
    </row>
    <row r="191">
      <c r="B191" s="32" t="s">
        <v>1959</v>
      </c>
      <c r="C191" s="35" t="s">
        <v>853</v>
      </c>
      <c r="D191" s="32" t="s">
        <v>2245</v>
      </c>
      <c r="E191" s="11" t="s">
        <v>9</v>
      </c>
    </row>
    <row r="192">
      <c r="B192" s="32" t="s">
        <v>2243</v>
      </c>
      <c r="C192" s="35" t="s">
        <v>291</v>
      </c>
      <c r="D192" s="32" t="s">
        <v>2244</v>
      </c>
      <c r="E192" s="11" t="s">
        <v>13</v>
      </c>
    </row>
    <row r="193">
      <c r="B193" s="32" t="s">
        <v>1006</v>
      </c>
      <c r="C193" s="35" t="s">
        <v>62</v>
      </c>
      <c r="D193" s="32" t="s">
        <v>2245</v>
      </c>
      <c r="E193" s="11" t="s">
        <v>9</v>
      </c>
    </row>
    <row r="194">
      <c r="B194" s="32" t="s">
        <v>1959</v>
      </c>
      <c r="C194" s="35" t="s">
        <v>42</v>
      </c>
      <c r="D194" s="32" t="s">
        <v>2244</v>
      </c>
      <c r="E194" s="11" t="s">
        <v>13</v>
      </c>
    </row>
    <row r="195">
      <c r="B195" s="32" t="s">
        <v>2243</v>
      </c>
      <c r="C195" s="35" t="s">
        <v>71</v>
      </c>
      <c r="D195" s="32" t="s">
        <v>2245</v>
      </c>
      <c r="E195" s="11" t="s">
        <v>9</v>
      </c>
    </row>
    <row r="196">
      <c r="B196" s="32" t="s">
        <v>1959</v>
      </c>
      <c r="C196" s="35" t="s">
        <v>286</v>
      </c>
      <c r="D196" s="32" t="s">
        <v>1006</v>
      </c>
      <c r="E196" s="11" t="s">
        <v>13</v>
      </c>
    </row>
    <row r="197">
      <c r="B197" s="32" t="s">
        <v>2244</v>
      </c>
      <c r="C197" s="35" t="s">
        <v>1283</v>
      </c>
      <c r="D197" s="32" t="s">
        <v>2245</v>
      </c>
      <c r="E197" s="11" t="s">
        <v>9</v>
      </c>
    </row>
    <row r="198">
      <c r="B198" s="32" t="s">
        <v>2243</v>
      </c>
      <c r="C198" s="35" t="s">
        <v>363</v>
      </c>
      <c r="D198" s="32" t="s">
        <v>1006</v>
      </c>
      <c r="E198" s="11" t="s">
        <v>13</v>
      </c>
    </row>
    <row r="199">
      <c r="B199" s="1" t="s">
        <v>2246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B201" s="32" t="s">
        <v>2247</v>
      </c>
      <c r="C201" s="33" t="s">
        <v>289</v>
      </c>
      <c r="D201" s="32" t="s">
        <v>2248</v>
      </c>
      <c r="E201" s="11" t="s">
        <v>33</v>
      </c>
    </row>
    <row r="202">
      <c r="B202" s="32" t="s">
        <v>2067</v>
      </c>
      <c r="C202" s="35" t="s">
        <v>950</v>
      </c>
      <c r="D202" s="32" t="s">
        <v>635</v>
      </c>
      <c r="E202" s="11" t="s">
        <v>37</v>
      </c>
    </row>
    <row r="203">
      <c r="B203" s="32" t="s">
        <v>2249</v>
      </c>
      <c r="C203" s="35" t="s">
        <v>72</v>
      </c>
      <c r="D203" s="32" t="s">
        <v>2247</v>
      </c>
      <c r="E203" s="11" t="s">
        <v>33</v>
      </c>
    </row>
    <row r="204">
      <c r="B204" s="32" t="s">
        <v>2067</v>
      </c>
      <c r="C204" s="35" t="s">
        <v>190</v>
      </c>
      <c r="D204" s="32" t="s">
        <v>2248</v>
      </c>
      <c r="E204" s="11" t="s">
        <v>37</v>
      </c>
    </row>
    <row r="205">
      <c r="B205" s="32" t="s">
        <v>2249</v>
      </c>
      <c r="C205" s="35" t="s">
        <v>62</v>
      </c>
      <c r="D205" s="32" t="s">
        <v>635</v>
      </c>
      <c r="E205" s="11" t="s">
        <v>33</v>
      </c>
    </row>
    <row r="206">
      <c r="B206" s="32" t="s">
        <v>2067</v>
      </c>
      <c r="C206" s="35" t="s">
        <v>70</v>
      </c>
      <c r="D206" s="32" t="s">
        <v>2247</v>
      </c>
      <c r="E206" s="11" t="s">
        <v>37</v>
      </c>
    </row>
    <row r="207">
      <c r="B207" s="32" t="s">
        <v>2249</v>
      </c>
      <c r="C207" s="35" t="s">
        <v>44</v>
      </c>
      <c r="D207" s="32" t="s">
        <v>2248</v>
      </c>
      <c r="E207" s="11" t="s">
        <v>33</v>
      </c>
    </row>
    <row r="208">
      <c r="B208" s="32" t="s">
        <v>635</v>
      </c>
      <c r="C208" s="35" t="s">
        <v>267</v>
      </c>
      <c r="D208" s="32" t="s">
        <v>2247</v>
      </c>
      <c r="E208" s="11" t="s">
        <v>37</v>
      </c>
    </row>
    <row r="209">
      <c r="B209" s="32" t="s">
        <v>2249</v>
      </c>
      <c r="C209" s="35" t="s">
        <v>21</v>
      </c>
      <c r="D209" s="32" t="s">
        <v>2067</v>
      </c>
      <c r="E209" s="11" t="s">
        <v>33</v>
      </c>
    </row>
    <row r="210">
      <c r="B210" s="32" t="s">
        <v>635</v>
      </c>
      <c r="C210" s="35" t="s">
        <v>52</v>
      </c>
      <c r="D210" s="32" t="s">
        <v>2248</v>
      </c>
      <c r="E210" s="11" t="s">
        <v>37</v>
      </c>
    </row>
    <row r="211">
      <c r="B211" s="32" t="s">
        <v>2248</v>
      </c>
      <c r="C211" s="35" t="s">
        <v>47</v>
      </c>
      <c r="D211" s="32" t="s">
        <v>2247</v>
      </c>
      <c r="E211" s="11" t="s">
        <v>33</v>
      </c>
    </row>
    <row r="212">
      <c r="B212" s="32" t="s">
        <v>635</v>
      </c>
      <c r="C212" s="35" t="s">
        <v>319</v>
      </c>
      <c r="D212" s="32" t="s">
        <v>2067</v>
      </c>
      <c r="E212" s="11" t="s">
        <v>37</v>
      </c>
    </row>
    <row r="213">
      <c r="B213" s="32" t="s">
        <v>2247</v>
      </c>
      <c r="C213" s="35" t="s">
        <v>259</v>
      </c>
      <c r="D213" s="32" t="s">
        <v>2249</v>
      </c>
      <c r="E213" s="11" t="s">
        <v>33</v>
      </c>
    </row>
    <row r="214">
      <c r="B214" s="32" t="s">
        <v>2248</v>
      </c>
      <c r="C214" s="35" t="s">
        <v>17</v>
      </c>
      <c r="D214" s="32" t="s">
        <v>2067</v>
      </c>
      <c r="E214" s="11" t="s">
        <v>37</v>
      </c>
    </row>
    <row r="215">
      <c r="B215" s="32" t="s">
        <v>635</v>
      </c>
      <c r="C215" s="35" t="s">
        <v>11</v>
      </c>
      <c r="D215" s="32" t="s">
        <v>2249</v>
      </c>
      <c r="E215" s="11" t="s">
        <v>33</v>
      </c>
    </row>
    <row r="216">
      <c r="B216" s="32" t="s">
        <v>2247</v>
      </c>
      <c r="C216" s="35" t="s">
        <v>885</v>
      </c>
      <c r="D216" s="32" t="s">
        <v>2067</v>
      </c>
      <c r="E216" s="11" t="s">
        <v>37</v>
      </c>
    </row>
    <row r="217">
      <c r="B217" s="32" t="s">
        <v>2248</v>
      </c>
      <c r="C217" s="35" t="s">
        <v>370</v>
      </c>
      <c r="D217" s="32" t="s">
        <v>2249</v>
      </c>
      <c r="E217" s="11" t="s">
        <v>33</v>
      </c>
    </row>
    <row r="218">
      <c r="B218" s="32" t="s">
        <v>2247</v>
      </c>
      <c r="C218" s="35" t="s">
        <v>578</v>
      </c>
      <c r="D218" s="32" t="s">
        <v>635</v>
      </c>
      <c r="E218" s="11" t="s">
        <v>37</v>
      </c>
    </row>
    <row r="219">
      <c r="B219" s="32" t="s">
        <v>2067</v>
      </c>
      <c r="C219" s="35" t="s">
        <v>261</v>
      </c>
      <c r="D219" s="32" t="s">
        <v>2249</v>
      </c>
      <c r="E219" s="11" t="s">
        <v>33</v>
      </c>
    </row>
    <row r="220">
      <c r="B220" s="32" t="s">
        <v>2248</v>
      </c>
      <c r="C220" s="35" t="s">
        <v>31</v>
      </c>
      <c r="D220" s="32" t="s">
        <v>635</v>
      </c>
      <c r="E220" s="11" t="s">
        <v>37</v>
      </c>
    </row>
    <row r="221">
      <c r="B221" s="28" t="s">
        <v>123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34" t="s">
        <v>1737</v>
      </c>
      <c r="C223" s="35" t="s">
        <v>22</v>
      </c>
      <c r="D223" s="34" t="s">
        <v>2250</v>
      </c>
      <c r="E223" s="11" t="s">
        <v>33</v>
      </c>
    </row>
    <row r="224">
      <c r="B224" s="34" t="s">
        <v>2251</v>
      </c>
      <c r="C224" s="35" t="s">
        <v>68</v>
      </c>
      <c r="D224" s="34" t="s">
        <v>1570</v>
      </c>
      <c r="E224" s="11" t="s">
        <v>37</v>
      </c>
    </row>
    <row r="225">
      <c r="B225" s="34" t="s">
        <v>279</v>
      </c>
      <c r="C225" s="35" t="s">
        <v>72</v>
      </c>
      <c r="D225" s="34" t="s">
        <v>1737</v>
      </c>
      <c r="E225" s="11" t="s">
        <v>33</v>
      </c>
    </row>
    <row r="226">
      <c r="B226" s="34" t="s">
        <v>2251</v>
      </c>
      <c r="C226" s="35" t="s">
        <v>16</v>
      </c>
      <c r="D226" s="34" t="s">
        <v>2250</v>
      </c>
      <c r="E226" s="11" t="s">
        <v>37</v>
      </c>
    </row>
    <row r="227">
      <c r="B227" s="34" t="s">
        <v>279</v>
      </c>
      <c r="C227" s="35" t="s">
        <v>17</v>
      </c>
      <c r="D227" s="34" t="s">
        <v>1570</v>
      </c>
      <c r="E227" s="11" t="s">
        <v>33</v>
      </c>
    </row>
    <row r="228">
      <c r="B228" s="34" t="s">
        <v>2251</v>
      </c>
      <c r="C228" s="35" t="s">
        <v>21</v>
      </c>
      <c r="D228" s="34" t="s">
        <v>1737</v>
      </c>
      <c r="E228" s="11" t="s">
        <v>37</v>
      </c>
    </row>
    <row r="229">
      <c r="B229" s="34" t="s">
        <v>279</v>
      </c>
      <c r="C229" s="35" t="s">
        <v>261</v>
      </c>
      <c r="D229" s="34" t="s">
        <v>2250</v>
      </c>
      <c r="E229" s="11" t="s">
        <v>33</v>
      </c>
    </row>
    <row r="230">
      <c r="B230" s="34" t="s">
        <v>1570</v>
      </c>
      <c r="C230" s="35" t="s">
        <v>21</v>
      </c>
      <c r="D230" s="34" t="s">
        <v>1737</v>
      </c>
      <c r="E230" s="11" t="s">
        <v>37</v>
      </c>
    </row>
    <row r="231">
      <c r="B231" s="34" t="s">
        <v>279</v>
      </c>
      <c r="C231" s="35" t="s">
        <v>16</v>
      </c>
      <c r="D231" s="34" t="s">
        <v>2251</v>
      </c>
      <c r="E231" s="11" t="s">
        <v>33</v>
      </c>
    </row>
    <row r="232">
      <c r="B232" s="34" t="s">
        <v>1570</v>
      </c>
      <c r="C232" s="35" t="s">
        <v>187</v>
      </c>
      <c r="D232" s="34" t="s">
        <v>2250</v>
      </c>
      <c r="E232" s="11" t="s">
        <v>37</v>
      </c>
    </row>
    <row r="233">
      <c r="B233" s="34" t="s">
        <v>2250</v>
      </c>
      <c r="C233" s="35" t="s">
        <v>201</v>
      </c>
      <c r="D233" s="34" t="s">
        <v>1737</v>
      </c>
      <c r="E233" s="11" t="s">
        <v>33</v>
      </c>
    </row>
    <row r="234">
      <c r="B234" s="34" t="s">
        <v>1570</v>
      </c>
      <c r="C234" s="35" t="s">
        <v>83</v>
      </c>
      <c r="D234" s="34" t="s">
        <v>2251</v>
      </c>
      <c r="E234" s="11" t="s">
        <v>37</v>
      </c>
    </row>
    <row r="235">
      <c r="B235" s="34" t="s">
        <v>1737</v>
      </c>
      <c r="C235" s="35" t="s">
        <v>71</v>
      </c>
      <c r="D235" s="34" t="s">
        <v>279</v>
      </c>
      <c r="E235" s="11" t="s">
        <v>33</v>
      </c>
    </row>
    <row r="236">
      <c r="B236" s="34" t="s">
        <v>2250</v>
      </c>
      <c r="C236" s="35" t="s">
        <v>239</v>
      </c>
      <c r="D236" s="34" t="s">
        <v>2251</v>
      </c>
      <c r="E236" s="11" t="s">
        <v>37</v>
      </c>
    </row>
    <row r="237">
      <c r="B237" s="34" t="s">
        <v>1570</v>
      </c>
      <c r="C237" s="35" t="s">
        <v>2252</v>
      </c>
      <c r="D237" s="34" t="s">
        <v>279</v>
      </c>
      <c r="E237" s="11" t="s">
        <v>33</v>
      </c>
    </row>
    <row r="238">
      <c r="B238" s="34" t="s">
        <v>1737</v>
      </c>
      <c r="C238" s="35" t="s">
        <v>285</v>
      </c>
      <c r="D238" s="34" t="s">
        <v>2251</v>
      </c>
      <c r="E238" s="11" t="s">
        <v>37</v>
      </c>
    </row>
    <row r="239">
      <c r="B239" s="34" t="s">
        <v>2250</v>
      </c>
      <c r="C239" s="35" t="s">
        <v>231</v>
      </c>
      <c r="D239" s="34" t="s">
        <v>279</v>
      </c>
      <c r="E239" s="11" t="s">
        <v>33</v>
      </c>
    </row>
    <row r="240">
      <c r="B240" s="34" t="s">
        <v>1737</v>
      </c>
      <c r="C240" s="35" t="s">
        <v>404</v>
      </c>
      <c r="D240" s="34" t="s">
        <v>1570</v>
      </c>
      <c r="E240" s="11" t="s">
        <v>37</v>
      </c>
    </row>
    <row r="241">
      <c r="B241" s="34" t="s">
        <v>2251</v>
      </c>
      <c r="C241" s="35" t="s">
        <v>215</v>
      </c>
      <c r="D241" s="34" t="s">
        <v>279</v>
      </c>
      <c r="E241" s="11" t="s">
        <v>33</v>
      </c>
    </row>
    <row r="242">
      <c r="B242" s="34" t="s">
        <v>2250</v>
      </c>
      <c r="C242" s="35" t="s">
        <v>190</v>
      </c>
      <c r="D242" s="34" t="s">
        <v>1570</v>
      </c>
      <c r="E242" s="11" t="s">
        <v>37</v>
      </c>
    </row>
    <row r="243">
      <c r="B243" s="28" t="s">
        <v>1685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34" t="s">
        <v>1733</v>
      </c>
      <c r="C245" s="33" t="s">
        <v>950</v>
      </c>
      <c r="D245" s="34" t="s">
        <v>2253</v>
      </c>
      <c r="E245" s="11" t="s">
        <v>9</v>
      </c>
    </row>
    <row r="246">
      <c r="B246" s="34" t="s">
        <v>2254</v>
      </c>
      <c r="C246" s="33" t="s">
        <v>363</v>
      </c>
      <c r="D246" s="34" t="s">
        <v>2235</v>
      </c>
      <c r="E246" s="11" t="s">
        <v>13</v>
      </c>
    </row>
    <row r="247">
      <c r="B247" s="34" t="s">
        <v>2255</v>
      </c>
      <c r="C247" s="33" t="s">
        <v>282</v>
      </c>
      <c r="D247" s="34" t="s">
        <v>1733</v>
      </c>
      <c r="E247" s="11" t="s">
        <v>9</v>
      </c>
    </row>
    <row r="248">
      <c r="B248" s="34" t="s">
        <v>2254</v>
      </c>
      <c r="C248" s="33" t="s">
        <v>21</v>
      </c>
      <c r="D248" s="34" t="s">
        <v>2253</v>
      </c>
      <c r="E248" s="11" t="s">
        <v>13</v>
      </c>
    </row>
    <row r="249">
      <c r="B249" s="34" t="s">
        <v>2255</v>
      </c>
      <c r="C249" s="33" t="s">
        <v>16</v>
      </c>
      <c r="D249" s="34" t="s">
        <v>2235</v>
      </c>
      <c r="E249" s="11" t="s">
        <v>9</v>
      </c>
    </row>
    <row r="250">
      <c r="B250" s="34" t="s">
        <v>2254</v>
      </c>
      <c r="C250" s="33" t="s">
        <v>318</v>
      </c>
      <c r="D250" s="34" t="s">
        <v>1733</v>
      </c>
      <c r="E250" s="11" t="s">
        <v>13</v>
      </c>
    </row>
    <row r="251">
      <c r="B251" s="34" t="s">
        <v>2255</v>
      </c>
      <c r="C251" s="33" t="s">
        <v>19</v>
      </c>
      <c r="D251" s="34" t="s">
        <v>2253</v>
      </c>
      <c r="E251" s="11" t="s">
        <v>9</v>
      </c>
    </row>
    <row r="252">
      <c r="B252" s="34" t="s">
        <v>2235</v>
      </c>
      <c r="C252" s="33" t="s">
        <v>2256</v>
      </c>
      <c r="D252" s="34" t="s">
        <v>1733</v>
      </c>
      <c r="E252" s="11" t="s">
        <v>13</v>
      </c>
    </row>
    <row r="253">
      <c r="B253" s="34" t="s">
        <v>2255</v>
      </c>
      <c r="C253" s="33" t="s">
        <v>286</v>
      </c>
      <c r="D253" s="34" t="s">
        <v>2254</v>
      </c>
      <c r="E253" s="11" t="s">
        <v>9</v>
      </c>
    </row>
    <row r="254">
      <c r="B254" s="34" t="s">
        <v>2235</v>
      </c>
      <c r="C254" s="33" t="s">
        <v>21</v>
      </c>
      <c r="D254" s="34" t="s">
        <v>2253</v>
      </c>
      <c r="E254" s="11" t="s">
        <v>13</v>
      </c>
    </row>
    <row r="255">
      <c r="B255" s="34" t="s">
        <v>2253</v>
      </c>
      <c r="C255" s="33" t="s">
        <v>66</v>
      </c>
      <c r="D255" s="34" t="s">
        <v>1733</v>
      </c>
      <c r="E255" s="11" t="s">
        <v>9</v>
      </c>
    </row>
    <row r="256">
      <c r="B256" s="34" t="s">
        <v>2235</v>
      </c>
      <c r="C256" s="33" t="s">
        <v>52</v>
      </c>
      <c r="D256" s="34" t="s">
        <v>2254</v>
      </c>
      <c r="E256" s="11" t="s">
        <v>13</v>
      </c>
    </row>
    <row r="257">
      <c r="B257" s="34" t="s">
        <v>1733</v>
      </c>
      <c r="C257" s="35" t="s">
        <v>190</v>
      </c>
      <c r="D257" s="34" t="s">
        <v>2255</v>
      </c>
      <c r="E257" s="11" t="s">
        <v>9</v>
      </c>
    </row>
    <row r="258">
      <c r="B258" s="34" t="s">
        <v>2253</v>
      </c>
      <c r="C258" s="35" t="s">
        <v>249</v>
      </c>
      <c r="D258" s="34" t="s">
        <v>2254</v>
      </c>
      <c r="E258" s="11" t="s">
        <v>13</v>
      </c>
    </row>
    <row r="259">
      <c r="B259" s="34" t="s">
        <v>2235</v>
      </c>
      <c r="C259" s="35" t="s">
        <v>7</v>
      </c>
      <c r="D259" s="34" t="s">
        <v>2255</v>
      </c>
      <c r="E259" s="11" t="s">
        <v>9</v>
      </c>
    </row>
    <row r="260">
      <c r="B260" s="34" t="s">
        <v>1733</v>
      </c>
      <c r="C260" s="35" t="s">
        <v>81</v>
      </c>
      <c r="D260" s="34" t="s">
        <v>2254</v>
      </c>
      <c r="E260" s="11" t="s">
        <v>13</v>
      </c>
    </row>
    <row r="261">
      <c r="B261" s="34" t="s">
        <v>2253</v>
      </c>
      <c r="C261" s="35" t="s">
        <v>295</v>
      </c>
      <c r="D261" s="34" t="s">
        <v>2255</v>
      </c>
      <c r="E261" s="11" t="s">
        <v>9</v>
      </c>
    </row>
    <row r="262">
      <c r="B262" s="34" t="s">
        <v>1733</v>
      </c>
      <c r="C262" s="35" t="s">
        <v>195</v>
      </c>
      <c r="D262" s="34" t="s">
        <v>2235</v>
      </c>
      <c r="E262" s="11" t="s">
        <v>13</v>
      </c>
    </row>
    <row r="263">
      <c r="B263" s="34" t="s">
        <v>2254</v>
      </c>
      <c r="C263" s="35" t="s">
        <v>719</v>
      </c>
      <c r="D263" s="34" t="s">
        <v>2255</v>
      </c>
      <c r="E263" s="11" t="s">
        <v>9</v>
      </c>
    </row>
    <row r="264">
      <c r="B264" s="34" t="s">
        <v>2253</v>
      </c>
      <c r="C264" s="35" t="s">
        <v>41</v>
      </c>
      <c r="D264" s="34" t="s">
        <v>2235</v>
      </c>
      <c r="E264" s="11" t="s">
        <v>13</v>
      </c>
    </row>
    <row r="265">
      <c r="B265" s="28" t="s">
        <v>2055</v>
      </c>
      <c r="C265" s="2"/>
      <c r="D265" s="3"/>
      <c r="E265" s="2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34" t="s">
        <v>2257</v>
      </c>
      <c r="C267" s="35" t="s">
        <v>58</v>
      </c>
      <c r="D267" s="34" t="s">
        <v>2258</v>
      </c>
      <c r="E267" s="11" t="s">
        <v>9</v>
      </c>
    </row>
    <row r="268">
      <c r="B268" s="34" t="s">
        <v>2259</v>
      </c>
      <c r="C268" s="35" t="s">
        <v>268</v>
      </c>
      <c r="D268" s="34" t="s">
        <v>2260</v>
      </c>
      <c r="E268" s="11" t="s">
        <v>13</v>
      </c>
    </row>
    <row r="269">
      <c r="B269" s="34" t="s">
        <v>2261</v>
      </c>
      <c r="C269" s="35" t="s">
        <v>81</v>
      </c>
      <c r="D269" s="34" t="s">
        <v>2257</v>
      </c>
      <c r="E269" s="11" t="s">
        <v>9</v>
      </c>
    </row>
    <row r="270">
      <c r="B270" s="34" t="s">
        <v>2259</v>
      </c>
      <c r="C270" s="35" t="s">
        <v>751</v>
      </c>
      <c r="D270" s="34" t="s">
        <v>2258</v>
      </c>
      <c r="E270" s="11" t="s">
        <v>13</v>
      </c>
    </row>
    <row r="271">
      <c r="B271" s="34" t="s">
        <v>2261</v>
      </c>
      <c r="C271" s="35" t="s">
        <v>17</v>
      </c>
      <c r="D271" s="34" t="s">
        <v>2260</v>
      </c>
      <c r="E271" s="11" t="s">
        <v>9</v>
      </c>
    </row>
    <row r="272">
      <c r="B272" s="34" t="s">
        <v>2259</v>
      </c>
      <c r="C272" s="35" t="s">
        <v>43</v>
      </c>
      <c r="D272" s="34" t="s">
        <v>2257</v>
      </c>
      <c r="E272" s="11" t="s">
        <v>13</v>
      </c>
    </row>
    <row r="273">
      <c r="B273" s="34" t="s">
        <v>2261</v>
      </c>
      <c r="C273" s="35" t="s">
        <v>43</v>
      </c>
      <c r="D273" s="34" t="s">
        <v>2258</v>
      </c>
      <c r="E273" s="11" t="s">
        <v>9</v>
      </c>
    </row>
    <row r="274">
      <c r="B274" s="34" t="s">
        <v>2260</v>
      </c>
      <c r="C274" s="35" t="s">
        <v>71</v>
      </c>
      <c r="D274" s="34" t="s">
        <v>2257</v>
      </c>
      <c r="E274" s="11" t="s">
        <v>13</v>
      </c>
    </row>
    <row r="275">
      <c r="B275" s="34" t="s">
        <v>2261</v>
      </c>
      <c r="C275" s="35" t="s">
        <v>22</v>
      </c>
      <c r="D275" s="34" t="s">
        <v>2259</v>
      </c>
      <c r="E275" s="11" t="s">
        <v>9</v>
      </c>
    </row>
    <row r="276">
      <c r="B276" s="34" t="s">
        <v>2260</v>
      </c>
      <c r="C276" s="35" t="s">
        <v>218</v>
      </c>
      <c r="D276" s="34" t="s">
        <v>2258</v>
      </c>
      <c r="E276" s="11" t="s">
        <v>13</v>
      </c>
    </row>
    <row r="277">
      <c r="B277" s="34" t="s">
        <v>2258</v>
      </c>
      <c r="C277" s="35" t="s">
        <v>195</v>
      </c>
      <c r="D277" s="34" t="s">
        <v>2257</v>
      </c>
      <c r="E277" s="11" t="s">
        <v>9</v>
      </c>
    </row>
    <row r="278">
      <c r="B278" s="34" t="s">
        <v>2260</v>
      </c>
      <c r="C278" s="35" t="s">
        <v>67</v>
      </c>
      <c r="D278" s="34" t="s">
        <v>2259</v>
      </c>
      <c r="E278" s="11" t="s">
        <v>13</v>
      </c>
    </row>
    <row r="279">
      <c r="B279" s="34" t="s">
        <v>2257</v>
      </c>
      <c r="C279" s="35" t="s">
        <v>190</v>
      </c>
      <c r="D279" s="34" t="s">
        <v>2261</v>
      </c>
      <c r="E279" s="11" t="s">
        <v>9</v>
      </c>
    </row>
    <row r="280">
      <c r="B280" s="34" t="s">
        <v>2258</v>
      </c>
      <c r="C280" s="35" t="s">
        <v>68</v>
      </c>
      <c r="D280" s="34" t="s">
        <v>2259</v>
      </c>
      <c r="E280" s="11" t="s">
        <v>13</v>
      </c>
    </row>
    <row r="281">
      <c r="B281" s="34" t="s">
        <v>2260</v>
      </c>
      <c r="C281" s="35" t="s">
        <v>43</v>
      </c>
      <c r="D281" s="34" t="s">
        <v>2261</v>
      </c>
      <c r="E281" s="11" t="s">
        <v>9</v>
      </c>
    </row>
    <row r="282">
      <c r="B282" s="34" t="s">
        <v>2257</v>
      </c>
      <c r="C282" s="35" t="s">
        <v>836</v>
      </c>
      <c r="D282" s="34" t="s">
        <v>2259</v>
      </c>
      <c r="E282" s="11" t="s">
        <v>13</v>
      </c>
    </row>
    <row r="283">
      <c r="B283" s="34" t="s">
        <v>2258</v>
      </c>
      <c r="C283" s="35" t="s">
        <v>45</v>
      </c>
      <c r="D283" s="34" t="s">
        <v>2261</v>
      </c>
      <c r="E283" s="11" t="s">
        <v>9</v>
      </c>
    </row>
    <row r="284">
      <c r="B284" s="34" t="s">
        <v>2257</v>
      </c>
      <c r="C284" s="35" t="s">
        <v>48</v>
      </c>
      <c r="D284" s="34" t="s">
        <v>2260</v>
      </c>
      <c r="E284" s="11" t="s">
        <v>13</v>
      </c>
    </row>
    <row r="285">
      <c r="B285" s="34" t="s">
        <v>2259</v>
      </c>
      <c r="C285" s="35" t="s">
        <v>282</v>
      </c>
      <c r="D285" s="34" t="s">
        <v>2261</v>
      </c>
      <c r="E285" s="11" t="s">
        <v>9</v>
      </c>
    </row>
    <row r="286">
      <c r="B286" s="34" t="s">
        <v>2258</v>
      </c>
      <c r="C286" s="35" t="s">
        <v>62</v>
      </c>
      <c r="D286" s="34" t="s">
        <v>2260</v>
      </c>
      <c r="E286" s="11" t="s">
        <v>13</v>
      </c>
    </row>
    <row r="287">
      <c r="B287" s="28" t="s">
        <v>2262</v>
      </c>
      <c r="C287" s="2"/>
      <c r="D287" s="3"/>
      <c r="E287" s="2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34" t="s">
        <v>1882</v>
      </c>
      <c r="C289" s="35" t="s">
        <v>11</v>
      </c>
      <c r="D289" s="34" t="s">
        <v>2263</v>
      </c>
      <c r="E289" s="11" t="s">
        <v>33</v>
      </c>
    </row>
    <row r="290">
      <c r="B290" s="34" t="s">
        <v>2264</v>
      </c>
      <c r="C290" s="35" t="s">
        <v>249</v>
      </c>
      <c r="D290" s="34" t="s">
        <v>1879</v>
      </c>
      <c r="E290" s="11" t="s">
        <v>37</v>
      </c>
    </row>
    <row r="291">
      <c r="B291" s="34" t="s">
        <v>2013</v>
      </c>
      <c r="C291" s="35" t="s">
        <v>270</v>
      </c>
      <c r="D291" s="34" t="s">
        <v>1882</v>
      </c>
      <c r="E291" s="11" t="s">
        <v>33</v>
      </c>
    </row>
    <row r="292">
      <c r="B292" s="34" t="s">
        <v>2264</v>
      </c>
      <c r="C292" s="35" t="s">
        <v>718</v>
      </c>
      <c r="D292" s="34" t="s">
        <v>2263</v>
      </c>
      <c r="E292" s="11" t="s">
        <v>37</v>
      </c>
    </row>
    <row r="293">
      <c r="B293" s="34" t="s">
        <v>2013</v>
      </c>
      <c r="C293" s="35" t="s">
        <v>390</v>
      </c>
      <c r="D293" s="34" t="s">
        <v>1879</v>
      </c>
      <c r="E293" s="11" t="s">
        <v>33</v>
      </c>
    </row>
    <row r="294">
      <c r="B294" s="34" t="s">
        <v>2264</v>
      </c>
      <c r="C294" s="35" t="s">
        <v>72</v>
      </c>
      <c r="D294" s="34" t="s">
        <v>1882</v>
      </c>
      <c r="E294" s="11" t="s">
        <v>37</v>
      </c>
    </row>
    <row r="295">
      <c r="B295" s="34" t="s">
        <v>2013</v>
      </c>
      <c r="C295" s="35" t="s">
        <v>23</v>
      </c>
      <c r="D295" s="34" t="s">
        <v>2263</v>
      </c>
      <c r="E295" s="11" t="s">
        <v>33</v>
      </c>
    </row>
    <row r="296">
      <c r="B296" s="34" t="s">
        <v>1879</v>
      </c>
      <c r="C296" s="35" t="s">
        <v>87</v>
      </c>
      <c r="D296" s="34" t="s">
        <v>1882</v>
      </c>
      <c r="E296" s="11" t="s">
        <v>37</v>
      </c>
    </row>
    <row r="297">
      <c r="B297" s="34" t="s">
        <v>2013</v>
      </c>
      <c r="C297" s="35" t="s">
        <v>434</v>
      </c>
      <c r="D297" s="34" t="s">
        <v>2264</v>
      </c>
      <c r="E297" s="11" t="s">
        <v>33</v>
      </c>
    </row>
    <row r="298">
      <c r="B298" s="34" t="s">
        <v>1879</v>
      </c>
      <c r="C298" s="35" t="s">
        <v>239</v>
      </c>
      <c r="D298" s="34" t="s">
        <v>2263</v>
      </c>
      <c r="E298" s="11" t="s">
        <v>37</v>
      </c>
    </row>
    <row r="299">
      <c r="B299" s="34" t="s">
        <v>2263</v>
      </c>
      <c r="C299" s="35" t="s">
        <v>190</v>
      </c>
      <c r="D299" s="34" t="s">
        <v>1882</v>
      </c>
      <c r="E299" s="11" t="s">
        <v>33</v>
      </c>
    </row>
    <row r="300">
      <c r="B300" s="34" t="s">
        <v>1879</v>
      </c>
      <c r="C300" s="35" t="s">
        <v>378</v>
      </c>
      <c r="D300" s="34" t="s">
        <v>2264</v>
      </c>
      <c r="E300" s="11" t="s">
        <v>37</v>
      </c>
    </row>
    <row r="301">
      <c r="B301" s="34" t="s">
        <v>1882</v>
      </c>
      <c r="C301" s="35" t="s">
        <v>2265</v>
      </c>
      <c r="D301" s="34" t="s">
        <v>2013</v>
      </c>
      <c r="E301" s="11" t="s">
        <v>33</v>
      </c>
    </row>
    <row r="302">
      <c r="B302" s="34" t="s">
        <v>2263</v>
      </c>
      <c r="C302" s="35" t="s">
        <v>390</v>
      </c>
      <c r="D302" s="34" t="s">
        <v>2264</v>
      </c>
      <c r="E302" s="11" t="s">
        <v>37</v>
      </c>
    </row>
    <row r="303">
      <c r="B303" s="34" t="s">
        <v>1879</v>
      </c>
      <c r="C303" s="35" t="s">
        <v>2266</v>
      </c>
      <c r="D303" s="34" t="s">
        <v>2013</v>
      </c>
      <c r="E303" s="11" t="s">
        <v>33</v>
      </c>
    </row>
    <row r="304">
      <c r="B304" s="34" t="s">
        <v>1882</v>
      </c>
      <c r="C304" s="35" t="s">
        <v>82</v>
      </c>
      <c r="D304" s="34" t="s">
        <v>2264</v>
      </c>
      <c r="E304" s="11" t="s">
        <v>37</v>
      </c>
    </row>
    <row r="305">
      <c r="B305" s="34" t="s">
        <v>2263</v>
      </c>
      <c r="C305" s="35" t="s">
        <v>444</v>
      </c>
      <c r="D305" s="34" t="s">
        <v>2013</v>
      </c>
      <c r="E305" s="11" t="s">
        <v>33</v>
      </c>
    </row>
    <row r="306">
      <c r="B306" s="34" t="s">
        <v>1882</v>
      </c>
      <c r="C306" s="35" t="s">
        <v>82</v>
      </c>
      <c r="D306" s="34" t="s">
        <v>1879</v>
      </c>
      <c r="E306" s="11" t="s">
        <v>37</v>
      </c>
    </row>
    <row r="307">
      <c r="B307" s="34" t="s">
        <v>2264</v>
      </c>
      <c r="C307" s="35" t="s">
        <v>291</v>
      </c>
      <c r="D307" s="34" t="s">
        <v>2013</v>
      </c>
      <c r="E307" s="11" t="s">
        <v>33</v>
      </c>
    </row>
    <row r="308">
      <c r="B308" s="34" t="s">
        <v>2263</v>
      </c>
      <c r="C308" s="35" t="s">
        <v>193</v>
      </c>
      <c r="D308" s="34" t="s">
        <v>1879</v>
      </c>
      <c r="E308" s="11" t="s">
        <v>37</v>
      </c>
    </row>
    <row r="309">
      <c r="B309" s="28" t="s">
        <v>2267</v>
      </c>
      <c r="C309" s="2"/>
      <c r="D309" s="3"/>
      <c r="E309" s="2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34" t="s">
        <v>2268</v>
      </c>
      <c r="C311" s="35" t="s">
        <v>218</v>
      </c>
      <c r="D311" s="34" t="s">
        <v>2173</v>
      </c>
      <c r="E311" s="11" t="s">
        <v>33</v>
      </c>
    </row>
    <row r="312">
      <c r="B312" s="34" t="s">
        <v>2269</v>
      </c>
      <c r="C312" s="35" t="s">
        <v>2270</v>
      </c>
      <c r="D312" s="34" t="s">
        <v>1706</v>
      </c>
      <c r="E312" s="11" t="s">
        <v>37</v>
      </c>
    </row>
    <row r="313">
      <c r="B313" s="34" t="s">
        <v>2271</v>
      </c>
      <c r="C313" s="35" t="s">
        <v>195</v>
      </c>
      <c r="D313" s="34" t="s">
        <v>2268</v>
      </c>
      <c r="E313" s="11" t="s">
        <v>33</v>
      </c>
    </row>
    <row r="314">
      <c r="B314" s="34" t="s">
        <v>2269</v>
      </c>
      <c r="C314" s="35" t="s">
        <v>274</v>
      </c>
      <c r="D314" s="34" t="s">
        <v>2173</v>
      </c>
      <c r="E314" s="11" t="s">
        <v>37</v>
      </c>
    </row>
    <row r="315">
      <c r="B315" s="34" t="s">
        <v>2271</v>
      </c>
      <c r="C315" s="35" t="s">
        <v>72</v>
      </c>
      <c r="D315" s="34" t="s">
        <v>1706</v>
      </c>
      <c r="E315" s="11" t="s">
        <v>33</v>
      </c>
    </row>
    <row r="316">
      <c r="B316" s="34" t="s">
        <v>2269</v>
      </c>
      <c r="C316" s="35" t="s">
        <v>48</v>
      </c>
      <c r="D316" s="34" t="s">
        <v>2268</v>
      </c>
      <c r="E316" s="11" t="s">
        <v>37</v>
      </c>
    </row>
    <row r="317">
      <c r="B317" s="34" t="s">
        <v>2271</v>
      </c>
      <c r="C317" s="35" t="s">
        <v>1205</v>
      </c>
      <c r="D317" s="34" t="s">
        <v>2173</v>
      </c>
      <c r="E317" s="11" t="s">
        <v>33</v>
      </c>
    </row>
    <row r="318">
      <c r="B318" s="34" t="s">
        <v>1706</v>
      </c>
      <c r="C318" s="35" t="s">
        <v>19</v>
      </c>
      <c r="D318" s="34" t="s">
        <v>2268</v>
      </c>
      <c r="E318" s="11" t="s">
        <v>37</v>
      </c>
    </row>
    <row r="319">
      <c r="B319" s="34" t="s">
        <v>2271</v>
      </c>
      <c r="C319" s="35" t="s">
        <v>765</v>
      </c>
      <c r="D319" s="34" t="s">
        <v>2269</v>
      </c>
      <c r="E319" s="11" t="s">
        <v>33</v>
      </c>
    </row>
    <row r="320">
      <c r="B320" s="34" t="s">
        <v>1706</v>
      </c>
      <c r="C320" s="35" t="s">
        <v>875</v>
      </c>
      <c r="D320" s="34" t="s">
        <v>2173</v>
      </c>
      <c r="E320" s="11" t="s">
        <v>37</v>
      </c>
    </row>
    <row r="321">
      <c r="B321" s="34" t="s">
        <v>2173</v>
      </c>
      <c r="C321" s="35" t="s">
        <v>68</v>
      </c>
      <c r="D321" s="34" t="s">
        <v>2268</v>
      </c>
      <c r="E321" s="11" t="s">
        <v>33</v>
      </c>
    </row>
    <row r="322">
      <c r="B322" s="34" t="s">
        <v>1706</v>
      </c>
      <c r="C322" s="35" t="s">
        <v>220</v>
      </c>
      <c r="D322" s="34" t="s">
        <v>2269</v>
      </c>
      <c r="E322" s="11" t="s">
        <v>37</v>
      </c>
    </row>
    <row r="323">
      <c r="B323" s="34" t="s">
        <v>2268</v>
      </c>
      <c r="C323" s="35" t="s">
        <v>197</v>
      </c>
      <c r="D323" s="34" t="s">
        <v>2271</v>
      </c>
      <c r="E323" s="11" t="s">
        <v>33</v>
      </c>
    </row>
    <row r="324">
      <c r="B324" s="34" t="s">
        <v>2173</v>
      </c>
      <c r="C324" s="35" t="s">
        <v>197</v>
      </c>
      <c r="D324" s="34" t="s">
        <v>2269</v>
      </c>
      <c r="E324" s="11" t="s">
        <v>37</v>
      </c>
    </row>
    <row r="325">
      <c r="B325" s="34" t="s">
        <v>1706</v>
      </c>
      <c r="C325" s="35" t="s">
        <v>14</v>
      </c>
      <c r="D325" s="34" t="s">
        <v>2271</v>
      </c>
      <c r="E325" s="11" t="s">
        <v>33</v>
      </c>
    </row>
    <row r="326">
      <c r="B326" s="34" t="s">
        <v>2268</v>
      </c>
      <c r="C326" s="35" t="s">
        <v>25</v>
      </c>
      <c r="D326" s="34" t="s">
        <v>2269</v>
      </c>
      <c r="E326" s="11" t="s">
        <v>37</v>
      </c>
    </row>
    <row r="327">
      <c r="B327" s="34" t="s">
        <v>2173</v>
      </c>
      <c r="C327" s="35" t="s">
        <v>81</v>
      </c>
      <c r="D327" s="34" t="s">
        <v>2271</v>
      </c>
      <c r="E327" s="11" t="s">
        <v>33</v>
      </c>
    </row>
    <row r="328">
      <c r="B328" s="34" t="s">
        <v>2268</v>
      </c>
      <c r="C328" s="35" t="s">
        <v>355</v>
      </c>
      <c r="D328" s="34" t="s">
        <v>1706</v>
      </c>
      <c r="E328" s="11" t="s">
        <v>37</v>
      </c>
    </row>
    <row r="329">
      <c r="B329" s="34" t="s">
        <v>2269</v>
      </c>
      <c r="C329" s="35" t="s">
        <v>536</v>
      </c>
      <c r="D329" s="34" t="s">
        <v>2271</v>
      </c>
      <c r="E329" s="11" t="s">
        <v>33</v>
      </c>
    </row>
    <row r="330">
      <c r="B330" s="34" t="s">
        <v>2173</v>
      </c>
      <c r="C330" s="35" t="s">
        <v>58</v>
      </c>
      <c r="D330" s="34" t="s">
        <v>1706</v>
      </c>
      <c r="E330" s="11" t="s">
        <v>37</v>
      </c>
    </row>
    <row r="331">
      <c r="B331" s="28" t="s">
        <v>2272</v>
      </c>
      <c r="C331" s="2"/>
      <c r="D331" s="3"/>
      <c r="E331" s="2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34" t="s">
        <v>2273</v>
      </c>
      <c r="C333" s="35" t="s">
        <v>64</v>
      </c>
      <c r="D333" s="34" t="s">
        <v>2274</v>
      </c>
      <c r="E333" s="11" t="s">
        <v>9</v>
      </c>
    </row>
    <row r="334">
      <c r="B334" s="34" t="s">
        <v>2275</v>
      </c>
      <c r="C334" s="35" t="s">
        <v>2276</v>
      </c>
      <c r="D334" s="34" t="s">
        <v>2277</v>
      </c>
      <c r="E334" s="11" t="s">
        <v>13</v>
      </c>
    </row>
    <row r="335">
      <c r="B335" s="34" t="s">
        <v>2278</v>
      </c>
      <c r="C335" s="35" t="s">
        <v>21</v>
      </c>
      <c r="D335" s="34" t="s">
        <v>2273</v>
      </c>
      <c r="E335" s="11" t="s">
        <v>9</v>
      </c>
    </row>
    <row r="336">
      <c r="B336" s="34" t="s">
        <v>2275</v>
      </c>
      <c r="C336" s="35" t="s">
        <v>2279</v>
      </c>
      <c r="D336" s="34" t="s">
        <v>2274</v>
      </c>
      <c r="E336" s="11" t="s">
        <v>13</v>
      </c>
    </row>
    <row r="337">
      <c r="B337" s="34" t="s">
        <v>2278</v>
      </c>
      <c r="C337" s="35" t="s">
        <v>270</v>
      </c>
      <c r="D337" s="34" t="s">
        <v>2277</v>
      </c>
      <c r="E337" s="11" t="s">
        <v>9</v>
      </c>
    </row>
    <row r="338">
      <c r="B338" s="34" t="s">
        <v>2275</v>
      </c>
      <c r="C338" s="35" t="s">
        <v>190</v>
      </c>
      <c r="D338" s="34" t="s">
        <v>2273</v>
      </c>
      <c r="E338" s="11" t="s">
        <v>13</v>
      </c>
    </row>
    <row r="339">
      <c r="B339" s="34" t="s">
        <v>2278</v>
      </c>
      <c r="C339" s="35" t="s">
        <v>566</v>
      </c>
      <c r="D339" s="34" t="s">
        <v>2274</v>
      </c>
      <c r="E339" s="11" t="s">
        <v>9</v>
      </c>
    </row>
    <row r="340">
      <c r="B340" s="34" t="s">
        <v>2277</v>
      </c>
      <c r="C340" s="35" t="s">
        <v>42</v>
      </c>
      <c r="D340" s="34" t="s">
        <v>2273</v>
      </c>
      <c r="E340" s="11" t="s">
        <v>13</v>
      </c>
    </row>
    <row r="341">
      <c r="B341" s="34" t="s">
        <v>2278</v>
      </c>
      <c r="C341" s="35" t="s">
        <v>49</v>
      </c>
      <c r="D341" s="34" t="s">
        <v>2275</v>
      </c>
      <c r="E341" s="11" t="s">
        <v>9</v>
      </c>
    </row>
    <row r="342">
      <c r="B342" s="34" t="s">
        <v>2277</v>
      </c>
      <c r="C342" s="35" t="s">
        <v>306</v>
      </c>
      <c r="D342" s="34" t="s">
        <v>2274</v>
      </c>
      <c r="E342" s="11" t="s">
        <v>13</v>
      </c>
    </row>
    <row r="343">
      <c r="B343" s="34" t="s">
        <v>2274</v>
      </c>
      <c r="C343" s="35" t="s">
        <v>72</v>
      </c>
      <c r="D343" s="34" t="s">
        <v>2273</v>
      </c>
      <c r="E343" s="11" t="s">
        <v>9</v>
      </c>
    </row>
    <row r="344">
      <c r="B344" s="34" t="s">
        <v>2277</v>
      </c>
      <c r="C344" s="35" t="s">
        <v>827</v>
      </c>
      <c r="D344" s="34" t="s">
        <v>2275</v>
      </c>
      <c r="E344" s="11" t="s">
        <v>13</v>
      </c>
    </row>
    <row r="345">
      <c r="B345" s="34" t="s">
        <v>2273</v>
      </c>
      <c r="C345" s="35" t="s">
        <v>286</v>
      </c>
      <c r="D345" s="34" t="s">
        <v>2278</v>
      </c>
      <c r="E345" s="11" t="s">
        <v>9</v>
      </c>
    </row>
    <row r="346">
      <c r="B346" s="34" t="s">
        <v>2274</v>
      </c>
      <c r="C346" s="35" t="s">
        <v>251</v>
      </c>
      <c r="D346" s="34" t="s">
        <v>2275</v>
      </c>
      <c r="E346" s="11" t="s">
        <v>13</v>
      </c>
    </row>
    <row r="347">
      <c r="B347" s="34" t="s">
        <v>2277</v>
      </c>
      <c r="C347" s="35" t="s">
        <v>22</v>
      </c>
      <c r="D347" s="34" t="s">
        <v>2278</v>
      </c>
      <c r="E347" s="11" t="s">
        <v>9</v>
      </c>
    </row>
    <row r="348">
      <c r="B348" s="34" t="s">
        <v>2273</v>
      </c>
      <c r="C348" s="35" t="s">
        <v>533</v>
      </c>
      <c r="D348" s="34" t="s">
        <v>2275</v>
      </c>
      <c r="E348" s="11" t="s">
        <v>13</v>
      </c>
      <c r="L348" s="36" t="s">
        <v>663</v>
      </c>
    </row>
    <row r="349">
      <c r="B349" s="34" t="s">
        <v>2274</v>
      </c>
      <c r="C349" s="35" t="s">
        <v>11</v>
      </c>
      <c r="D349" s="34" t="s">
        <v>2278</v>
      </c>
      <c r="E349" s="11" t="s">
        <v>9</v>
      </c>
    </row>
    <row r="350">
      <c r="B350" s="34" t="s">
        <v>2273</v>
      </c>
      <c r="C350" s="35" t="s">
        <v>11</v>
      </c>
      <c r="D350" s="34" t="s">
        <v>2277</v>
      </c>
      <c r="E350" s="11" t="s">
        <v>13</v>
      </c>
    </row>
    <row r="351">
      <c r="B351" s="34" t="s">
        <v>2275</v>
      </c>
      <c r="C351" s="35" t="s">
        <v>42</v>
      </c>
      <c r="D351" s="34" t="s">
        <v>2278</v>
      </c>
      <c r="E351" s="11" t="s">
        <v>9</v>
      </c>
    </row>
    <row r="352">
      <c r="B352" s="34" t="s">
        <v>2274</v>
      </c>
      <c r="C352" s="35" t="s">
        <v>83</v>
      </c>
      <c r="D352" s="34" t="s">
        <v>2277</v>
      </c>
      <c r="E352" s="11" t="s">
        <v>13</v>
      </c>
    </row>
    <row r="353">
      <c r="B353" s="28" t="s">
        <v>2280</v>
      </c>
      <c r="C353" s="2"/>
      <c r="D353" s="3"/>
      <c r="E353" s="29"/>
    </row>
    <row r="354">
      <c r="B354" s="6" t="s">
        <v>2</v>
      </c>
      <c r="C354" s="6" t="s">
        <v>3</v>
      </c>
      <c r="D354" s="6" t="s">
        <v>4</v>
      </c>
      <c r="E354" s="6" t="s">
        <v>5</v>
      </c>
    </row>
    <row r="355">
      <c r="B355" s="34" t="s">
        <v>2281</v>
      </c>
      <c r="C355" s="35" t="s">
        <v>196</v>
      </c>
      <c r="D355" s="34" t="s">
        <v>368</v>
      </c>
      <c r="E355" s="11" t="s">
        <v>33</v>
      </c>
    </row>
    <row r="356">
      <c r="B356" s="34" t="s">
        <v>1124</v>
      </c>
      <c r="C356" s="35" t="s">
        <v>87</v>
      </c>
      <c r="D356" s="34" t="s">
        <v>1845</v>
      </c>
      <c r="E356" s="11" t="s">
        <v>37</v>
      </c>
    </row>
    <row r="357">
      <c r="B357" s="34" t="s">
        <v>8</v>
      </c>
      <c r="C357" s="35" t="s">
        <v>58</v>
      </c>
      <c r="D357" s="34" t="s">
        <v>2281</v>
      </c>
      <c r="E357" s="11" t="s">
        <v>33</v>
      </c>
    </row>
    <row r="358">
      <c r="B358" s="34" t="s">
        <v>1124</v>
      </c>
      <c r="C358" s="35" t="s">
        <v>17</v>
      </c>
      <c r="D358" s="34" t="s">
        <v>368</v>
      </c>
      <c r="E358" s="11" t="s">
        <v>37</v>
      </c>
    </row>
    <row r="359">
      <c r="B359" s="34" t="s">
        <v>8</v>
      </c>
      <c r="C359" s="35" t="s">
        <v>320</v>
      </c>
      <c r="D359" s="34" t="s">
        <v>1845</v>
      </c>
      <c r="E359" s="11" t="s">
        <v>33</v>
      </c>
    </row>
    <row r="360">
      <c r="B360" s="34" t="s">
        <v>1124</v>
      </c>
      <c r="C360" s="35" t="s">
        <v>196</v>
      </c>
      <c r="D360" s="34" t="s">
        <v>2281</v>
      </c>
      <c r="E360" s="11" t="s">
        <v>37</v>
      </c>
    </row>
    <row r="361">
      <c r="B361" s="34" t="s">
        <v>8</v>
      </c>
      <c r="C361" s="35" t="s">
        <v>2282</v>
      </c>
      <c r="D361" s="34" t="s">
        <v>368</v>
      </c>
      <c r="E361" s="11" t="s">
        <v>33</v>
      </c>
    </row>
    <row r="362">
      <c r="B362" s="34" t="s">
        <v>1845</v>
      </c>
      <c r="C362" s="35" t="s">
        <v>22</v>
      </c>
      <c r="D362" s="34" t="s">
        <v>2281</v>
      </c>
      <c r="E362" s="11" t="s">
        <v>37</v>
      </c>
    </row>
    <row r="363">
      <c r="B363" s="34" t="s">
        <v>8</v>
      </c>
      <c r="C363" s="35" t="s">
        <v>43</v>
      </c>
      <c r="D363" s="34" t="s">
        <v>1124</v>
      </c>
      <c r="E363" s="11" t="s">
        <v>33</v>
      </c>
    </row>
    <row r="364">
      <c r="B364" s="34" t="s">
        <v>1845</v>
      </c>
      <c r="C364" s="35" t="s">
        <v>218</v>
      </c>
      <c r="D364" s="34" t="s">
        <v>368</v>
      </c>
      <c r="E364" s="11" t="s">
        <v>37</v>
      </c>
    </row>
    <row r="365">
      <c r="B365" s="34" t="s">
        <v>368</v>
      </c>
      <c r="C365" s="35" t="s">
        <v>196</v>
      </c>
      <c r="D365" s="34" t="s">
        <v>2281</v>
      </c>
      <c r="E365" s="11" t="s">
        <v>33</v>
      </c>
    </row>
    <row r="366">
      <c r="B366" s="34" t="s">
        <v>1845</v>
      </c>
      <c r="C366" s="35" t="s">
        <v>43</v>
      </c>
      <c r="D366" s="34" t="s">
        <v>1124</v>
      </c>
      <c r="E366" s="11" t="s">
        <v>37</v>
      </c>
    </row>
    <row r="367">
      <c r="B367" s="34" t="s">
        <v>2281</v>
      </c>
      <c r="C367" s="35" t="s">
        <v>47</v>
      </c>
      <c r="D367" s="34" t="s">
        <v>8</v>
      </c>
      <c r="E367" s="11" t="s">
        <v>33</v>
      </c>
    </row>
    <row r="368">
      <c r="B368" s="34" t="s">
        <v>368</v>
      </c>
      <c r="C368" s="35" t="s">
        <v>81</v>
      </c>
      <c r="D368" s="34" t="s">
        <v>1124</v>
      </c>
      <c r="E368" s="11" t="s">
        <v>37</v>
      </c>
    </row>
    <row r="369">
      <c r="B369" s="34" t="s">
        <v>1845</v>
      </c>
      <c r="C369" s="35" t="s">
        <v>2283</v>
      </c>
      <c r="D369" s="34" t="s">
        <v>8</v>
      </c>
      <c r="E369" s="11" t="s">
        <v>33</v>
      </c>
    </row>
    <row r="370">
      <c r="B370" s="34" t="s">
        <v>2281</v>
      </c>
      <c r="C370" s="35" t="s">
        <v>195</v>
      </c>
      <c r="D370" s="34" t="s">
        <v>1124</v>
      </c>
      <c r="E370" s="11" t="s">
        <v>37</v>
      </c>
    </row>
    <row r="371">
      <c r="B371" s="34" t="s">
        <v>368</v>
      </c>
      <c r="C371" s="35" t="s">
        <v>194</v>
      </c>
      <c r="D371" s="34" t="s">
        <v>8</v>
      </c>
      <c r="E371" s="11" t="s">
        <v>33</v>
      </c>
    </row>
    <row r="372">
      <c r="B372" s="34" t="s">
        <v>2281</v>
      </c>
      <c r="C372" s="35" t="s">
        <v>43</v>
      </c>
      <c r="D372" s="34" t="s">
        <v>1845</v>
      </c>
      <c r="E372" s="11" t="s">
        <v>37</v>
      </c>
    </row>
    <row r="373">
      <c r="B373" s="34" t="s">
        <v>1124</v>
      </c>
      <c r="C373" s="35" t="s">
        <v>328</v>
      </c>
      <c r="D373" s="34" t="s">
        <v>8</v>
      </c>
      <c r="E373" s="11" t="s">
        <v>33</v>
      </c>
    </row>
    <row r="374">
      <c r="B374" s="34" t="s">
        <v>368</v>
      </c>
      <c r="C374" s="35" t="s">
        <v>72</v>
      </c>
      <c r="D374" s="34" t="s">
        <v>1845</v>
      </c>
      <c r="E374" s="11" t="s">
        <v>37</v>
      </c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</hyperlinks>
  <drawing r:id="rId34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/>
      <c r="B1" s="1" t="s">
        <v>2284</v>
      </c>
      <c r="C1" s="2"/>
      <c r="D1" s="3"/>
      <c r="E1" s="29"/>
    </row>
    <row r="2">
      <c r="A2" s="66"/>
      <c r="B2" s="6" t="s">
        <v>2</v>
      </c>
      <c r="C2" s="6" t="s">
        <v>3</v>
      </c>
      <c r="D2" s="6" t="s">
        <v>4</v>
      </c>
      <c r="E2" s="6" t="s">
        <v>5</v>
      </c>
    </row>
    <row r="3">
      <c r="A3" s="66"/>
      <c r="B3" s="32" t="s">
        <v>1080</v>
      </c>
      <c r="C3" s="33" t="s">
        <v>196</v>
      </c>
      <c r="D3" s="34" t="s">
        <v>2285</v>
      </c>
      <c r="E3" s="11" t="s">
        <v>33</v>
      </c>
    </row>
    <row r="4">
      <c r="A4" s="66"/>
      <c r="B4" s="32" t="s">
        <v>2286</v>
      </c>
      <c r="C4" s="33" t="s">
        <v>190</v>
      </c>
      <c r="D4" s="32" t="s">
        <v>2287</v>
      </c>
      <c r="E4" s="11" t="s">
        <v>37</v>
      </c>
    </row>
    <row r="5">
      <c r="A5" s="66"/>
      <c r="B5" s="34" t="s">
        <v>2288</v>
      </c>
      <c r="C5" s="33" t="s">
        <v>64</v>
      </c>
      <c r="D5" s="32" t="s">
        <v>1080</v>
      </c>
      <c r="E5" s="11" t="s">
        <v>33</v>
      </c>
    </row>
    <row r="6">
      <c r="A6" s="66"/>
      <c r="B6" s="32" t="s">
        <v>2286</v>
      </c>
      <c r="C6" s="33" t="s">
        <v>550</v>
      </c>
      <c r="D6" s="34" t="s">
        <v>2285</v>
      </c>
      <c r="E6" s="11" t="s">
        <v>37</v>
      </c>
    </row>
    <row r="7">
      <c r="A7" s="66"/>
      <c r="B7" s="34" t="s">
        <v>2288</v>
      </c>
      <c r="C7" s="33" t="s">
        <v>17</v>
      </c>
      <c r="D7" s="32" t="s">
        <v>2287</v>
      </c>
      <c r="E7" s="11" t="s">
        <v>33</v>
      </c>
    </row>
    <row r="8">
      <c r="A8" s="66"/>
      <c r="B8" s="32" t="s">
        <v>2286</v>
      </c>
      <c r="C8" s="33" t="s">
        <v>22</v>
      </c>
      <c r="D8" s="32" t="s">
        <v>1080</v>
      </c>
      <c r="E8" s="11" t="s">
        <v>37</v>
      </c>
    </row>
    <row r="9">
      <c r="A9" s="66"/>
      <c r="B9" s="34" t="s">
        <v>2288</v>
      </c>
      <c r="C9" s="33" t="s">
        <v>282</v>
      </c>
      <c r="D9" s="34" t="s">
        <v>2285</v>
      </c>
      <c r="E9" s="11" t="s">
        <v>33</v>
      </c>
    </row>
    <row r="10">
      <c r="A10" s="66"/>
      <c r="B10" s="32" t="s">
        <v>2287</v>
      </c>
      <c r="C10" s="33" t="s">
        <v>88</v>
      </c>
      <c r="D10" s="32" t="s">
        <v>1080</v>
      </c>
      <c r="E10" s="11" t="s">
        <v>37</v>
      </c>
      <c r="F10" s="74"/>
    </row>
    <row r="11">
      <c r="A11" s="66"/>
      <c r="B11" s="34" t="s">
        <v>2288</v>
      </c>
      <c r="C11" s="33" t="s">
        <v>836</v>
      </c>
      <c r="D11" s="32" t="s">
        <v>2286</v>
      </c>
      <c r="E11" s="11" t="s">
        <v>33</v>
      </c>
    </row>
    <row r="12">
      <c r="A12" s="66"/>
      <c r="B12" s="32" t="s">
        <v>2287</v>
      </c>
      <c r="C12" s="33" t="s">
        <v>270</v>
      </c>
      <c r="D12" s="34" t="s">
        <v>2285</v>
      </c>
      <c r="E12" s="11" t="s">
        <v>37</v>
      </c>
    </row>
    <row r="13">
      <c r="A13" s="66"/>
      <c r="B13" s="34" t="s">
        <v>2285</v>
      </c>
      <c r="C13" s="33" t="s">
        <v>35</v>
      </c>
      <c r="D13" s="32" t="s">
        <v>1080</v>
      </c>
      <c r="E13" s="11" t="s">
        <v>33</v>
      </c>
    </row>
    <row r="14">
      <c r="A14" s="66"/>
      <c r="B14" s="32" t="s">
        <v>2287</v>
      </c>
      <c r="C14" s="33" t="s">
        <v>412</v>
      </c>
      <c r="D14" s="32" t="s">
        <v>2286</v>
      </c>
      <c r="E14" s="11" t="s">
        <v>37</v>
      </c>
    </row>
    <row r="15">
      <c r="A15" s="66"/>
      <c r="B15" s="32" t="s">
        <v>1080</v>
      </c>
      <c r="C15" s="35" t="s">
        <v>195</v>
      </c>
      <c r="D15" s="34" t="s">
        <v>2288</v>
      </c>
      <c r="E15" s="11" t="s">
        <v>33</v>
      </c>
    </row>
    <row r="16">
      <c r="A16" s="66"/>
      <c r="B16" s="34" t="s">
        <v>2285</v>
      </c>
      <c r="C16" s="35" t="s">
        <v>68</v>
      </c>
      <c r="D16" s="32" t="s">
        <v>2286</v>
      </c>
      <c r="E16" s="11" t="s">
        <v>37</v>
      </c>
    </row>
    <row r="17">
      <c r="A17" s="66"/>
      <c r="B17" s="32" t="s">
        <v>2287</v>
      </c>
      <c r="C17" s="35" t="s">
        <v>260</v>
      </c>
      <c r="D17" s="34" t="s">
        <v>2288</v>
      </c>
      <c r="E17" s="11" t="s">
        <v>33</v>
      </c>
    </row>
    <row r="18">
      <c r="A18" s="66"/>
      <c r="B18" s="32" t="s">
        <v>1080</v>
      </c>
      <c r="C18" s="35" t="s">
        <v>28</v>
      </c>
      <c r="D18" s="32" t="s">
        <v>2286</v>
      </c>
      <c r="E18" s="11" t="s">
        <v>37</v>
      </c>
    </row>
    <row r="19">
      <c r="A19" s="66"/>
      <c r="B19" s="34" t="s">
        <v>2285</v>
      </c>
      <c r="C19" s="35" t="s">
        <v>83</v>
      </c>
      <c r="D19" s="34" t="s">
        <v>2288</v>
      </c>
      <c r="E19" s="11" t="s">
        <v>33</v>
      </c>
    </row>
    <row r="20">
      <c r="A20" s="66"/>
      <c r="B20" s="32" t="s">
        <v>1080</v>
      </c>
      <c r="C20" s="35" t="s">
        <v>87</v>
      </c>
      <c r="D20" s="32" t="s">
        <v>2287</v>
      </c>
      <c r="E20" s="11" t="s">
        <v>37</v>
      </c>
    </row>
    <row r="21">
      <c r="A21" s="66"/>
      <c r="B21" s="32" t="s">
        <v>2286</v>
      </c>
      <c r="C21" s="35" t="s">
        <v>43</v>
      </c>
      <c r="D21" s="34" t="s">
        <v>2288</v>
      </c>
      <c r="E21" s="11" t="s">
        <v>33</v>
      </c>
    </row>
    <row r="22">
      <c r="A22" s="66"/>
      <c r="B22" s="34" t="s">
        <v>2285</v>
      </c>
      <c r="C22" s="35" t="s">
        <v>270</v>
      </c>
      <c r="D22" s="32" t="s">
        <v>2287</v>
      </c>
      <c r="E22" s="11" t="s">
        <v>37</v>
      </c>
    </row>
    <row r="23">
      <c r="A23" s="66"/>
      <c r="B23" s="1" t="s">
        <v>2289</v>
      </c>
      <c r="C23" s="2"/>
      <c r="D23" s="3"/>
      <c r="E23" s="48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2290</v>
      </c>
      <c r="C25" s="33" t="s">
        <v>87</v>
      </c>
      <c r="D25" s="34" t="s">
        <v>2291</v>
      </c>
      <c r="E25" s="11" t="s">
        <v>9</v>
      </c>
    </row>
    <row r="26">
      <c r="A26" s="66"/>
      <c r="B26" s="32" t="s">
        <v>2292</v>
      </c>
      <c r="C26" s="33" t="s">
        <v>48</v>
      </c>
      <c r="D26" s="32" t="s">
        <v>2293</v>
      </c>
      <c r="E26" s="11" t="s">
        <v>13</v>
      </c>
    </row>
    <row r="27">
      <c r="A27" s="66"/>
      <c r="B27" s="34" t="s">
        <v>595</v>
      </c>
      <c r="C27" s="33" t="s">
        <v>22</v>
      </c>
      <c r="D27" s="34" t="s">
        <v>2290</v>
      </c>
      <c r="E27" s="11" t="s">
        <v>9</v>
      </c>
    </row>
    <row r="28">
      <c r="A28" s="66"/>
      <c r="B28" s="32" t="s">
        <v>2292</v>
      </c>
      <c r="C28" s="33" t="s">
        <v>426</v>
      </c>
      <c r="D28" s="34" t="s">
        <v>2291</v>
      </c>
      <c r="E28" s="11" t="s">
        <v>13</v>
      </c>
    </row>
    <row r="29">
      <c r="A29" s="66"/>
      <c r="B29" s="34" t="s">
        <v>595</v>
      </c>
      <c r="C29" s="33" t="s">
        <v>21</v>
      </c>
      <c r="D29" s="32" t="s">
        <v>2293</v>
      </c>
      <c r="E29" s="11" t="s">
        <v>9</v>
      </c>
    </row>
    <row r="30">
      <c r="A30" s="66"/>
      <c r="B30" s="32" t="s">
        <v>2292</v>
      </c>
      <c r="C30" s="33" t="s">
        <v>81</v>
      </c>
      <c r="D30" s="34" t="s">
        <v>2290</v>
      </c>
      <c r="E30" s="11" t="s">
        <v>13</v>
      </c>
    </row>
    <row r="31">
      <c r="A31" s="66"/>
      <c r="B31" s="34" t="s">
        <v>595</v>
      </c>
      <c r="C31" s="33" t="s">
        <v>45</v>
      </c>
      <c r="D31" s="34" t="s">
        <v>2291</v>
      </c>
      <c r="E31" s="11" t="s">
        <v>9</v>
      </c>
    </row>
    <row r="32">
      <c r="A32" s="66"/>
      <c r="B32" s="32" t="s">
        <v>2293</v>
      </c>
      <c r="C32" s="33" t="s">
        <v>17</v>
      </c>
      <c r="D32" s="34" t="s">
        <v>2290</v>
      </c>
      <c r="E32" s="11" t="s">
        <v>13</v>
      </c>
    </row>
    <row r="33">
      <c r="A33" s="66"/>
      <c r="B33" s="34" t="s">
        <v>595</v>
      </c>
      <c r="C33" s="33" t="s">
        <v>250</v>
      </c>
      <c r="D33" s="32" t="s">
        <v>2292</v>
      </c>
      <c r="E33" s="11" t="s">
        <v>9</v>
      </c>
    </row>
    <row r="34">
      <c r="A34" s="66"/>
      <c r="B34" s="32" t="s">
        <v>2293</v>
      </c>
      <c r="C34" s="33" t="s">
        <v>28</v>
      </c>
      <c r="D34" s="34" t="s">
        <v>2291</v>
      </c>
      <c r="E34" s="11" t="s">
        <v>13</v>
      </c>
    </row>
    <row r="35">
      <c r="A35" s="66"/>
      <c r="B35" s="34" t="s">
        <v>2291</v>
      </c>
      <c r="C35" s="33" t="s">
        <v>78</v>
      </c>
      <c r="D35" s="34" t="s">
        <v>2290</v>
      </c>
      <c r="E35" s="11" t="s">
        <v>9</v>
      </c>
    </row>
    <row r="36">
      <c r="A36" s="66"/>
      <c r="B36" s="32" t="s">
        <v>2293</v>
      </c>
      <c r="C36" s="33" t="s">
        <v>58</v>
      </c>
      <c r="D36" s="32" t="s">
        <v>2292</v>
      </c>
      <c r="E36" s="11" t="s">
        <v>13</v>
      </c>
    </row>
    <row r="37">
      <c r="A37" s="66"/>
      <c r="B37" s="34" t="s">
        <v>2290</v>
      </c>
      <c r="C37" s="35" t="s">
        <v>71</v>
      </c>
      <c r="D37" s="34" t="s">
        <v>595</v>
      </c>
      <c r="E37" s="11" t="s">
        <v>9</v>
      </c>
    </row>
    <row r="38">
      <c r="A38" s="66"/>
      <c r="B38" s="34" t="s">
        <v>2291</v>
      </c>
      <c r="C38" s="35" t="s">
        <v>48</v>
      </c>
      <c r="D38" s="32" t="s">
        <v>2292</v>
      </c>
      <c r="E38" s="11" t="s">
        <v>13</v>
      </c>
    </row>
    <row r="39">
      <c r="A39" s="66"/>
      <c r="B39" s="32" t="s">
        <v>2293</v>
      </c>
      <c r="C39" s="35" t="s">
        <v>78</v>
      </c>
      <c r="D39" s="34" t="s">
        <v>595</v>
      </c>
      <c r="E39" s="11" t="s">
        <v>9</v>
      </c>
    </row>
    <row r="40">
      <c r="A40" s="66"/>
      <c r="B40" s="34" t="s">
        <v>2290</v>
      </c>
      <c r="C40" s="35" t="s">
        <v>31</v>
      </c>
      <c r="D40" s="32" t="s">
        <v>2292</v>
      </c>
      <c r="E40" s="11" t="s">
        <v>13</v>
      </c>
    </row>
    <row r="41">
      <c r="A41" s="66"/>
      <c r="B41" s="34" t="s">
        <v>2291</v>
      </c>
      <c r="C41" s="35" t="s">
        <v>2294</v>
      </c>
      <c r="D41" s="34" t="s">
        <v>595</v>
      </c>
      <c r="E41" s="11" t="s">
        <v>9</v>
      </c>
    </row>
    <row r="42">
      <c r="A42" s="66"/>
      <c r="B42" s="34" t="s">
        <v>2290</v>
      </c>
      <c r="C42" s="35" t="s">
        <v>28</v>
      </c>
      <c r="D42" s="32" t="s">
        <v>2293</v>
      </c>
      <c r="E42" s="11" t="s">
        <v>13</v>
      </c>
    </row>
    <row r="43">
      <c r="A43" s="66"/>
      <c r="B43" s="32" t="s">
        <v>2292</v>
      </c>
      <c r="C43" s="35" t="s">
        <v>55</v>
      </c>
      <c r="D43" s="34" t="s">
        <v>595</v>
      </c>
      <c r="E43" s="11" t="s">
        <v>9</v>
      </c>
    </row>
    <row r="44">
      <c r="A44" s="67"/>
      <c r="B44" s="34" t="s">
        <v>2291</v>
      </c>
      <c r="C44" s="35" t="s">
        <v>64</v>
      </c>
      <c r="D44" s="32" t="s">
        <v>2293</v>
      </c>
      <c r="E44" s="11" t="s">
        <v>13</v>
      </c>
    </row>
    <row r="45">
      <c r="B45" s="1" t="s">
        <v>2295</v>
      </c>
      <c r="C45" s="2"/>
      <c r="D45" s="3"/>
      <c r="E45" s="14"/>
    </row>
    <row r="46">
      <c r="B46" s="16" t="s">
        <v>2</v>
      </c>
      <c r="C46" s="16" t="s">
        <v>3</v>
      </c>
      <c r="D46" s="16" t="s">
        <v>4</v>
      </c>
      <c r="E46" s="16" t="s">
        <v>5</v>
      </c>
    </row>
    <row r="47">
      <c r="B47" s="32" t="s">
        <v>2296</v>
      </c>
      <c r="C47" s="33" t="s">
        <v>195</v>
      </c>
      <c r="D47" s="32" t="s">
        <v>2297</v>
      </c>
      <c r="E47" s="11" t="s">
        <v>33</v>
      </c>
    </row>
    <row r="48">
      <c r="B48" s="32" t="s">
        <v>2298</v>
      </c>
      <c r="C48" s="33" t="s">
        <v>52</v>
      </c>
      <c r="D48" s="32" t="s">
        <v>1559</v>
      </c>
      <c r="E48" s="11" t="s">
        <v>37</v>
      </c>
    </row>
    <row r="49">
      <c r="B49" s="32" t="s">
        <v>8</v>
      </c>
      <c r="C49" s="33" t="s">
        <v>72</v>
      </c>
      <c r="D49" s="32" t="s">
        <v>2296</v>
      </c>
      <c r="E49" s="11" t="s">
        <v>33</v>
      </c>
    </row>
    <row r="50">
      <c r="B50" s="32" t="s">
        <v>2298</v>
      </c>
      <c r="C50" s="33" t="s">
        <v>22</v>
      </c>
      <c r="D50" s="32" t="s">
        <v>2297</v>
      </c>
      <c r="E50" s="11" t="s">
        <v>37</v>
      </c>
    </row>
    <row r="51">
      <c r="B51" s="32" t="s">
        <v>8</v>
      </c>
      <c r="C51" s="33" t="s">
        <v>67</v>
      </c>
      <c r="D51" s="32" t="s">
        <v>1559</v>
      </c>
      <c r="E51" s="11" t="s">
        <v>33</v>
      </c>
    </row>
    <row r="52">
      <c r="B52" s="32" t="s">
        <v>2298</v>
      </c>
      <c r="C52" s="33" t="s">
        <v>81</v>
      </c>
      <c r="D52" s="32" t="s">
        <v>2296</v>
      </c>
      <c r="E52" s="11" t="s">
        <v>37</v>
      </c>
    </row>
    <row r="53">
      <c r="B53" s="32" t="s">
        <v>8</v>
      </c>
      <c r="C53" s="33" t="s">
        <v>196</v>
      </c>
      <c r="D53" s="32" t="s">
        <v>2297</v>
      </c>
      <c r="E53" s="11" t="s">
        <v>33</v>
      </c>
    </row>
    <row r="54">
      <c r="B54" s="32" t="s">
        <v>1559</v>
      </c>
      <c r="C54" s="33" t="s">
        <v>28</v>
      </c>
      <c r="D54" s="32" t="s">
        <v>2296</v>
      </c>
      <c r="E54" s="11" t="s">
        <v>37</v>
      </c>
    </row>
    <row r="55">
      <c r="B55" s="32" t="s">
        <v>8</v>
      </c>
      <c r="C55" s="33" t="s">
        <v>17</v>
      </c>
      <c r="D55" s="32" t="s">
        <v>2298</v>
      </c>
      <c r="E55" s="11" t="s">
        <v>33</v>
      </c>
    </row>
    <row r="56">
      <c r="B56" s="32" t="s">
        <v>1559</v>
      </c>
      <c r="C56" s="33" t="s">
        <v>66</v>
      </c>
      <c r="D56" s="32" t="s">
        <v>2297</v>
      </c>
      <c r="E56" s="11" t="s">
        <v>37</v>
      </c>
    </row>
    <row r="57">
      <c r="B57" s="32" t="s">
        <v>2297</v>
      </c>
      <c r="C57" s="33" t="s">
        <v>22</v>
      </c>
      <c r="D57" s="32" t="s">
        <v>2296</v>
      </c>
      <c r="E57" s="11" t="s">
        <v>33</v>
      </c>
    </row>
    <row r="58">
      <c r="B58" s="32" t="s">
        <v>1559</v>
      </c>
      <c r="C58" s="33" t="s">
        <v>43</v>
      </c>
      <c r="D58" s="32" t="s">
        <v>2298</v>
      </c>
      <c r="E58" s="11" t="s">
        <v>37</v>
      </c>
    </row>
    <row r="59">
      <c r="B59" s="32" t="s">
        <v>2296</v>
      </c>
      <c r="C59" s="35" t="s">
        <v>66</v>
      </c>
      <c r="D59" s="32" t="s">
        <v>8</v>
      </c>
      <c r="E59" s="11" t="s">
        <v>33</v>
      </c>
    </row>
    <row r="60">
      <c r="B60" s="32" t="s">
        <v>2297</v>
      </c>
      <c r="C60" s="35" t="s">
        <v>25</v>
      </c>
      <c r="D60" s="32" t="s">
        <v>2298</v>
      </c>
      <c r="E60" s="11" t="s">
        <v>37</v>
      </c>
    </row>
    <row r="61">
      <c r="B61" s="32" t="s">
        <v>1559</v>
      </c>
      <c r="C61" s="35" t="s">
        <v>48</v>
      </c>
      <c r="D61" s="32" t="s">
        <v>8</v>
      </c>
      <c r="E61" s="11" t="s">
        <v>33</v>
      </c>
    </row>
    <row r="62">
      <c r="B62" s="32" t="s">
        <v>2296</v>
      </c>
      <c r="C62" s="35" t="s">
        <v>43</v>
      </c>
      <c r="D62" s="32" t="s">
        <v>2298</v>
      </c>
      <c r="E62" s="11" t="s">
        <v>37</v>
      </c>
    </row>
    <row r="63">
      <c r="B63" s="32" t="s">
        <v>2297</v>
      </c>
      <c r="C63" s="35" t="s">
        <v>197</v>
      </c>
      <c r="D63" s="32" t="s">
        <v>8</v>
      </c>
      <c r="E63" s="11" t="s">
        <v>33</v>
      </c>
    </row>
    <row r="64">
      <c r="B64" s="32" t="s">
        <v>2296</v>
      </c>
      <c r="C64" s="35" t="s">
        <v>45</v>
      </c>
      <c r="D64" s="32" t="s">
        <v>1559</v>
      </c>
      <c r="E64" s="11" t="s">
        <v>37</v>
      </c>
    </row>
    <row r="65">
      <c r="B65" s="32" t="s">
        <v>2298</v>
      </c>
      <c r="C65" s="35" t="s">
        <v>19</v>
      </c>
      <c r="D65" s="32" t="s">
        <v>8</v>
      </c>
      <c r="E65" s="11" t="s">
        <v>33</v>
      </c>
    </row>
    <row r="66">
      <c r="B66" s="32" t="s">
        <v>2297</v>
      </c>
      <c r="C66" s="35" t="s">
        <v>354</v>
      </c>
      <c r="D66" s="32" t="s">
        <v>1559</v>
      </c>
      <c r="E66" s="11" t="s">
        <v>37</v>
      </c>
    </row>
    <row r="67">
      <c r="B67" s="1" t="s">
        <v>1331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16" t="s">
        <v>5</v>
      </c>
    </row>
    <row r="69">
      <c r="B69" s="32" t="s">
        <v>2299</v>
      </c>
      <c r="C69" s="33" t="s">
        <v>43</v>
      </c>
      <c r="D69" s="32" t="s">
        <v>256</v>
      </c>
      <c r="E69" s="11" t="s">
        <v>9</v>
      </c>
    </row>
    <row r="70">
      <c r="B70" s="32" t="s">
        <v>1390</v>
      </c>
      <c r="C70" s="33" t="s">
        <v>719</v>
      </c>
      <c r="D70" s="32" t="s">
        <v>1951</v>
      </c>
      <c r="E70" s="11" t="s">
        <v>13</v>
      </c>
    </row>
    <row r="71">
      <c r="B71" s="32" t="s">
        <v>2300</v>
      </c>
      <c r="C71" s="33" t="s">
        <v>270</v>
      </c>
      <c r="D71" s="32" t="s">
        <v>2299</v>
      </c>
      <c r="E71" s="11" t="s">
        <v>9</v>
      </c>
    </row>
    <row r="72">
      <c r="B72" s="32" t="s">
        <v>1390</v>
      </c>
      <c r="C72" s="33" t="s">
        <v>193</v>
      </c>
      <c r="D72" s="32" t="s">
        <v>256</v>
      </c>
      <c r="E72" s="11" t="s">
        <v>13</v>
      </c>
    </row>
    <row r="73">
      <c r="B73" s="32" t="s">
        <v>2300</v>
      </c>
      <c r="C73" s="33" t="s">
        <v>63</v>
      </c>
      <c r="D73" s="32" t="s">
        <v>1951</v>
      </c>
      <c r="E73" s="11" t="s">
        <v>9</v>
      </c>
    </row>
    <row r="74">
      <c r="B74" s="32" t="s">
        <v>1390</v>
      </c>
      <c r="C74" s="33" t="s">
        <v>446</v>
      </c>
      <c r="D74" s="32" t="s">
        <v>2299</v>
      </c>
      <c r="E74" s="11" t="s">
        <v>13</v>
      </c>
    </row>
    <row r="75">
      <c r="B75" s="32" t="s">
        <v>2300</v>
      </c>
      <c r="C75" s="33" t="s">
        <v>2301</v>
      </c>
      <c r="D75" s="32" t="s">
        <v>256</v>
      </c>
      <c r="E75" s="11" t="s">
        <v>9</v>
      </c>
    </row>
    <row r="76">
      <c r="B76" s="32" t="s">
        <v>1951</v>
      </c>
      <c r="C76" s="33" t="s">
        <v>2302</v>
      </c>
      <c r="D76" s="32" t="s">
        <v>2299</v>
      </c>
      <c r="E76" s="11" t="s">
        <v>13</v>
      </c>
    </row>
    <row r="77">
      <c r="B77" s="32" t="s">
        <v>2300</v>
      </c>
      <c r="C77" s="33" t="s">
        <v>1102</v>
      </c>
      <c r="D77" s="32" t="s">
        <v>1390</v>
      </c>
      <c r="E77" s="11" t="s">
        <v>9</v>
      </c>
    </row>
    <row r="78">
      <c r="B78" s="32" t="s">
        <v>1951</v>
      </c>
      <c r="C78" s="33" t="s">
        <v>27</v>
      </c>
      <c r="D78" s="32" t="s">
        <v>256</v>
      </c>
      <c r="E78" s="11" t="s">
        <v>13</v>
      </c>
    </row>
    <row r="79">
      <c r="B79" s="32" t="s">
        <v>256</v>
      </c>
      <c r="C79" s="33" t="s">
        <v>197</v>
      </c>
      <c r="D79" s="32" t="s">
        <v>2299</v>
      </c>
      <c r="E79" s="11" t="s">
        <v>9</v>
      </c>
    </row>
    <row r="80">
      <c r="B80" s="32" t="s">
        <v>1951</v>
      </c>
      <c r="C80" s="33" t="s">
        <v>285</v>
      </c>
      <c r="D80" s="32" t="s">
        <v>1390</v>
      </c>
      <c r="E80" s="11" t="s">
        <v>13</v>
      </c>
    </row>
    <row r="81">
      <c r="B81" s="32" t="s">
        <v>2299</v>
      </c>
      <c r="C81" s="35" t="s">
        <v>363</v>
      </c>
      <c r="D81" s="32" t="s">
        <v>2300</v>
      </c>
      <c r="E81" s="11" t="s">
        <v>9</v>
      </c>
    </row>
    <row r="82">
      <c r="B82" s="32" t="s">
        <v>256</v>
      </c>
      <c r="C82" s="35" t="s">
        <v>239</v>
      </c>
      <c r="D82" s="32" t="s">
        <v>1390</v>
      </c>
      <c r="E82" s="11" t="s">
        <v>13</v>
      </c>
    </row>
    <row r="83">
      <c r="B83" s="32" t="s">
        <v>1951</v>
      </c>
      <c r="C83" s="35" t="s">
        <v>217</v>
      </c>
      <c r="D83" s="32" t="s">
        <v>2300</v>
      </c>
      <c r="E83" s="11" t="s">
        <v>9</v>
      </c>
    </row>
    <row r="84">
      <c r="B84" s="32" t="s">
        <v>2299</v>
      </c>
      <c r="C84" s="35" t="s">
        <v>815</v>
      </c>
      <c r="D84" s="32" t="s">
        <v>1390</v>
      </c>
      <c r="E84" s="11" t="s">
        <v>13</v>
      </c>
    </row>
    <row r="85">
      <c r="B85" s="32" t="s">
        <v>256</v>
      </c>
      <c r="C85" s="35" t="s">
        <v>81</v>
      </c>
      <c r="D85" s="32" t="s">
        <v>2300</v>
      </c>
      <c r="E85" s="11" t="s">
        <v>9</v>
      </c>
    </row>
    <row r="86">
      <c r="B86" s="32" t="s">
        <v>2299</v>
      </c>
      <c r="C86" s="35" t="s">
        <v>245</v>
      </c>
      <c r="D86" s="32" t="s">
        <v>1951</v>
      </c>
      <c r="E86" s="11" t="s">
        <v>13</v>
      </c>
    </row>
    <row r="87">
      <c r="B87" s="32" t="s">
        <v>1390</v>
      </c>
      <c r="C87" s="35" t="s">
        <v>276</v>
      </c>
      <c r="D87" s="32" t="s">
        <v>2300</v>
      </c>
      <c r="E87" s="11" t="s">
        <v>9</v>
      </c>
    </row>
    <row r="88">
      <c r="B88" s="32" t="s">
        <v>256</v>
      </c>
      <c r="C88" s="35" t="s">
        <v>35</v>
      </c>
      <c r="D88" s="32" t="s">
        <v>1951</v>
      </c>
      <c r="E88" s="11" t="s">
        <v>13</v>
      </c>
    </row>
    <row r="89">
      <c r="B89" s="1" t="s">
        <v>2154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16" t="s">
        <v>5</v>
      </c>
    </row>
    <row r="91">
      <c r="B91" s="32" t="s">
        <v>105</v>
      </c>
      <c r="C91" s="35" t="s">
        <v>25</v>
      </c>
      <c r="D91" s="32" t="s">
        <v>2303</v>
      </c>
      <c r="E91" s="11" t="s">
        <v>9</v>
      </c>
    </row>
    <row r="92">
      <c r="B92" s="32" t="s">
        <v>1922</v>
      </c>
      <c r="C92" s="35" t="s">
        <v>25</v>
      </c>
      <c r="D92" s="32" t="s">
        <v>2304</v>
      </c>
      <c r="E92" s="11" t="s">
        <v>13</v>
      </c>
    </row>
    <row r="93">
      <c r="B93" s="32" t="s">
        <v>2236</v>
      </c>
      <c r="C93" s="35" t="s">
        <v>578</v>
      </c>
      <c r="D93" s="32" t="s">
        <v>105</v>
      </c>
      <c r="E93" s="11" t="s">
        <v>9</v>
      </c>
    </row>
    <row r="94">
      <c r="B94" s="32" t="s">
        <v>1922</v>
      </c>
      <c r="C94" s="35" t="s">
        <v>87</v>
      </c>
      <c r="D94" s="45" t="s">
        <v>2303</v>
      </c>
      <c r="E94" s="11" t="s">
        <v>13</v>
      </c>
    </row>
    <row r="95">
      <c r="B95" s="32" t="s">
        <v>2236</v>
      </c>
      <c r="C95" s="35" t="s">
        <v>43</v>
      </c>
      <c r="D95" s="32" t="s">
        <v>2304</v>
      </c>
      <c r="E95" s="11" t="s">
        <v>9</v>
      </c>
    </row>
    <row r="96">
      <c r="B96" s="32" t="s">
        <v>1922</v>
      </c>
      <c r="C96" s="35" t="s">
        <v>319</v>
      </c>
      <c r="D96" s="32" t="s">
        <v>105</v>
      </c>
      <c r="E96" s="11" t="s">
        <v>13</v>
      </c>
    </row>
    <row r="97">
      <c r="B97" s="32" t="s">
        <v>2236</v>
      </c>
      <c r="C97" s="35" t="s">
        <v>66</v>
      </c>
      <c r="D97" s="32" t="s">
        <v>2303</v>
      </c>
      <c r="E97" s="11" t="s">
        <v>9</v>
      </c>
    </row>
    <row r="98">
      <c r="B98" s="32" t="s">
        <v>2304</v>
      </c>
      <c r="C98" s="35" t="s">
        <v>62</v>
      </c>
      <c r="D98" s="32" t="s">
        <v>105</v>
      </c>
      <c r="E98" s="11" t="s">
        <v>13</v>
      </c>
    </row>
    <row r="99">
      <c r="B99" s="32" t="s">
        <v>2236</v>
      </c>
      <c r="C99" s="35" t="s">
        <v>1019</v>
      </c>
      <c r="D99" s="32" t="s">
        <v>1922</v>
      </c>
      <c r="E99" s="11" t="s">
        <v>9</v>
      </c>
    </row>
    <row r="100">
      <c r="B100" s="32" t="s">
        <v>2304</v>
      </c>
      <c r="C100" s="35" t="s">
        <v>14</v>
      </c>
      <c r="D100" s="32" t="s">
        <v>2303</v>
      </c>
      <c r="E100" s="11" t="s">
        <v>13</v>
      </c>
    </row>
    <row r="101">
      <c r="B101" s="32" t="s">
        <v>2303</v>
      </c>
      <c r="C101" s="35" t="s">
        <v>58</v>
      </c>
      <c r="D101" s="32" t="s">
        <v>105</v>
      </c>
      <c r="E101" s="11" t="s">
        <v>9</v>
      </c>
    </row>
    <row r="102">
      <c r="B102" s="32" t="s">
        <v>2304</v>
      </c>
      <c r="C102" s="35" t="s">
        <v>193</v>
      </c>
      <c r="D102" s="32" t="s">
        <v>1922</v>
      </c>
      <c r="E102" s="11" t="s">
        <v>13</v>
      </c>
    </row>
    <row r="103">
      <c r="B103" s="32" t="s">
        <v>105</v>
      </c>
      <c r="C103" s="35" t="s">
        <v>64</v>
      </c>
      <c r="D103" s="32" t="s">
        <v>2236</v>
      </c>
      <c r="E103" s="11" t="s">
        <v>9</v>
      </c>
    </row>
    <row r="104">
      <c r="B104" s="32" t="s">
        <v>2303</v>
      </c>
      <c r="C104" s="35" t="s">
        <v>43</v>
      </c>
      <c r="D104" s="32" t="s">
        <v>1922</v>
      </c>
      <c r="E104" s="11" t="s">
        <v>13</v>
      </c>
    </row>
    <row r="105">
      <c r="B105" s="32" t="s">
        <v>2304</v>
      </c>
      <c r="C105" s="35" t="s">
        <v>87</v>
      </c>
      <c r="D105" s="32" t="s">
        <v>2236</v>
      </c>
      <c r="E105" s="11" t="s">
        <v>9</v>
      </c>
    </row>
    <row r="106">
      <c r="B106" s="32" t="s">
        <v>105</v>
      </c>
      <c r="C106" s="35" t="s">
        <v>239</v>
      </c>
      <c r="D106" s="32" t="s">
        <v>1922</v>
      </c>
      <c r="E106" s="11" t="s">
        <v>13</v>
      </c>
    </row>
    <row r="107">
      <c r="B107" s="32" t="s">
        <v>2303</v>
      </c>
      <c r="C107" s="35" t="s">
        <v>1477</v>
      </c>
      <c r="D107" s="32" t="s">
        <v>2236</v>
      </c>
      <c r="E107" s="11" t="s">
        <v>9</v>
      </c>
    </row>
    <row r="108">
      <c r="B108" s="32" t="s">
        <v>105</v>
      </c>
      <c r="C108" s="35" t="s">
        <v>699</v>
      </c>
      <c r="D108" s="32" t="s">
        <v>2304</v>
      </c>
      <c r="E108" s="11" t="s">
        <v>13</v>
      </c>
    </row>
    <row r="109">
      <c r="B109" s="32" t="s">
        <v>1922</v>
      </c>
      <c r="C109" s="35" t="s">
        <v>947</v>
      </c>
      <c r="D109" s="32" t="s">
        <v>2236</v>
      </c>
      <c r="E109" s="11" t="s">
        <v>9</v>
      </c>
    </row>
    <row r="110">
      <c r="B110" s="32" t="s">
        <v>2303</v>
      </c>
      <c r="C110" s="35" t="s">
        <v>81</v>
      </c>
      <c r="D110" s="32" t="s">
        <v>2304</v>
      </c>
      <c r="E110" s="11" t="s">
        <v>13</v>
      </c>
    </row>
    <row r="111">
      <c r="B111" s="72" t="s">
        <v>2305</v>
      </c>
      <c r="C111" s="2"/>
      <c r="D111" s="3"/>
      <c r="E111" s="14"/>
    </row>
    <row r="112"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B113" s="32" t="s">
        <v>104</v>
      </c>
      <c r="C113" s="35" t="s">
        <v>684</v>
      </c>
      <c r="D113" s="32" t="s">
        <v>2228</v>
      </c>
      <c r="E113" s="11" t="s">
        <v>33</v>
      </c>
    </row>
    <row r="114">
      <c r="B114" s="32" t="s">
        <v>2306</v>
      </c>
      <c r="C114" s="35" t="s">
        <v>21</v>
      </c>
      <c r="D114" s="32" t="s">
        <v>2307</v>
      </c>
      <c r="E114" s="11" t="s">
        <v>37</v>
      </c>
    </row>
    <row r="115">
      <c r="B115" s="32" t="s">
        <v>1143</v>
      </c>
      <c r="C115" s="35" t="s">
        <v>194</v>
      </c>
      <c r="D115" s="32" t="s">
        <v>104</v>
      </c>
      <c r="E115" s="11" t="s">
        <v>33</v>
      </c>
    </row>
    <row r="116">
      <c r="B116" s="32" t="s">
        <v>2306</v>
      </c>
      <c r="C116" s="35" t="s">
        <v>2302</v>
      </c>
      <c r="D116" s="32" t="s">
        <v>2228</v>
      </c>
      <c r="E116" s="11" t="s">
        <v>37</v>
      </c>
    </row>
    <row r="117">
      <c r="B117" s="32" t="s">
        <v>1143</v>
      </c>
      <c r="C117" s="35" t="s">
        <v>426</v>
      </c>
      <c r="D117" s="32" t="s">
        <v>2307</v>
      </c>
      <c r="E117" s="11" t="s">
        <v>33</v>
      </c>
    </row>
    <row r="118">
      <c r="B118" s="32" t="s">
        <v>2306</v>
      </c>
      <c r="C118" s="35" t="s">
        <v>58</v>
      </c>
      <c r="D118" s="32" t="s">
        <v>104</v>
      </c>
      <c r="E118" s="11" t="s">
        <v>37</v>
      </c>
    </row>
    <row r="119">
      <c r="B119" s="32" t="s">
        <v>1143</v>
      </c>
      <c r="C119" s="35" t="s">
        <v>853</v>
      </c>
      <c r="D119" s="32" t="s">
        <v>2228</v>
      </c>
      <c r="E119" s="11" t="s">
        <v>33</v>
      </c>
    </row>
    <row r="120">
      <c r="B120" s="32" t="s">
        <v>2307</v>
      </c>
      <c r="C120" s="35" t="s">
        <v>197</v>
      </c>
      <c r="D120" s="32" t="s">
        <v>104</v>
      </c>
      <c r="E120" s="11" t="s">
        <v>37</v>
      </c>
    </row>
    <row r="121">
      <c r="B121" s="32" t="s">
        <v>1143</v>
      </c>
      <c r="C121" s="35" t="s">
        <v>190</v>
      </c>
      <c r="D121" s="32" t="s">
        <v>2306</v>
      </c>
      <c r="E121" s="11" t="s">
        <v>33</v>
      </c>
    </row>
    <row r="122">
      <c r="B122" s="32" t="s">
        <v>2307</v>
      </c>
      <c r="C122" s="35" t="s">
        <v>41</v>
      </c>
      <c r="D122" s="32" t="s">
        <v>2228</v>
      </c>
      <c r="E122" s="11" t="s">
        <v>37</v>
      </c>
    </row>
    <row r="123">
      <c r="B123" s="32" t="s">
        <v>2228</v>
      </c>
      <c r="C123" s="35" t="s">
        <v>86</v>
      </c>
      <c r="D123" s="32" t="s">
        <v>104</v>
      </c>
      <c r="E123" s="11" t="s">
        <v>33</v>
      </c>
    </row>
    <row r="124">
      <c r="B124" s="32" t="s">
        <v>2307</v>
      </c>
      <c r="C124" s="35" t="s">
        <v>220</v>
      </c>
      <c r="D124" s="32" t="s">
        <v>2306</v>
      </c>
      <c r="E124" s="11" t="s">
        <v>37</v>
      </c>
    </row>
    <row r="125">
      <c r="B125" s="32" t="s">
        <v>104</v>
      </c>
      <c r="C125" s="35" t="s">
        <v>190</v>
      </c>
      <c r="D125" s="32" t="s">
        <v>1143</v>
      </c>
      <c r="E125" s="11" t="s">
        <v>33</v>
      </c>
    </row>
    <row r="126">
      <c r="B126" s="32" t="s">
        <v>2228</v>
      </c>
      <c r="C126" s="35" t="s">
        <v>88</v>
      </c>
      <c r="D126" s="32" t="s">
        <v>2306</v>
      </c>
      <c r="E126" s="11" t="s">
        <v>37</v>
      </c>
    </row>
    <row r="127">
      <c r="B127" s="32" t="s">
        <v>2307</v>
      </c>
      <c r="C127" s="35" t="s">
        <v>66</v>
      </c>
      <c r="D127" s="32" t="s">
        <v>1143</v>
      </c>
      <c r="E127" s="11" t="s">
        <v>33</v>
      </c>
    </row>
    <row r="128">
      <c r="B128" s="32" t="s">
        <v>104</v>
      </c>
      <c r="C128" s="35" t="s">
        <v>28</v>
      </c>
      <c r="D128" s="32" t="s">
        <v>2306</v>
      </c>
      <c r="E128" s="11" t="s">
        <v>37</v>
      </c>
    </row>
    <row r="129">
      <c r="B129" s="32" t="s">
        <v>2228</v>
      </c>
      <c r="C129" s="35" t="s">
        <v>494</v>
      </c>
      <c r="D129" s="32" t="s">
        <v>1143</v>
      </c>
      <c r="E129" s="11" t="s">
        <v>33</v>
      </c>
    </row>
    <row r="130">
      <c r="B130" s="32" t="s">
        <v>104</v>
      </c>
      <c r="C130" s="35" t="s">
        <v>45</v>
      </c>
      <c r="D130" s="32" t="s">
        <v>2307</v>
      </c>
      <c r="E130" s="11" t="s">
        <v>37</v>
      </c>
    </row>
    <row r="131">
      <c r="B131" s="32" t="s">
        <v>2306</v>
      </c>
      <c r="C131" s="35" t="s">
        <v>197</v>
      </c>
      <c r="D131" s="32" t="s">
        <v>1143</v>
      </c>
      <c r="E131" s="11" t="s">
        <v>33</v>
      </c>
    </row>
    <row r="132">
      <c r="B132" s="32" t="s">
        <v>2228</v>
      </c>
      <c r="C132" s="35" t="s">
        <v>267</v>
      </c>
      <c r="D132" s="32" t="s">
        <v>2307</v>
      </c>
      <c r="E132" s="11" t="s">
        <v>37</v>
      </c>
    </row>
    <row r="133">
      <c r="B133" s="1" t="s">
        <v>2308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32" t="s">
        <v>2309</v>
      </c>
      <c r="C135" s="33" t="s">
        <v>11</v>
      </c>
      <c r="D135" s="32" t="s">
        <v>2168</v>
      </c>
      <c r="E135" s="11" t="s">
        <v>9</v>
      </c>
    </row>
    <row r="136">
      <c r="B136" s="32" t="s">
        <v>2169</v>
      </c>
      <c r="C136" s="33" t="s">
        <v>614</v>
      </c>
      <c r="D136" s="32" t="s">
        <v>91</v>
      </c>
      <c r="E136" s="11" t="s">
        <v>13</v>
      </c>
    </row>
    <row r="137">
      <c r="B137" s="32" t="s">
        <v>2310</v>
      </c>
      <c r="C137" s="33" t="s">
        <v>18</v>
      </c>
      <c r="D137" s="32" t="s">
        <v>2309</v>
      </c>
      <c r="E137" s="11" t="s">
        <v>9</v>
      </c>
    </row>
    <row r="138">
      <c r="B138" s="32" t="s">
        <v>2169</v>
      </c>
      <c r="C138" s="33" t="s">
        <v>22</v>
      </c>
      <c r="D138" s="32" t="s">
        <v>2168</v>
      </c>
      <c r="E138" s="11" t="s">
        <v>13</v>
      </c>
    </row>
    <row r="139">
      <c r="B139" s="32" t="s">
        <v>2310</v>
      </c>
      <c r="C139" s="33" t="s">
        <v>28</v>
      </c>
      <c r="D139" s="32" t="s">
        <v>91</v>
      </c>
      <c r="E139" s="11" t="s">
        <v>9</v>
      </c>
    </row>
    <row r="140">
      <c r="B140" s="32" t="s">
        <v>2169</v>
      </c>
      <c r="C140" s="33" t="s">
        <v>414</v>
      </c>
      <c r="D140" s="32" t="s">
        <v>2309</v>
      </c>
      <c r="E140" s="11" t="s">
        <v>13</v>
      </c>
    </row>
    <row r="141">
      <c r="B141" s="32" t="s">
        <v>2310</v>
      </c>
      <c r="C141" s="33" t="s">
        <v>363</v>
      </c>
      <c r="D141" s="32" t="s">
        <v>2168</v>
      </c>
      <c r="E141" s="11" t="s">
        <v>9</v>
      </c>
    </row>
    <row r="142">
      <c r="B142" s="32" t="s">
        <v>91</v>
      </c>
      <c r="C142" s="33" t="s">
        <v>81</v>
      </c>
      <c r="D142" s="32" t="s">
        <v>2309</v>
      </c>
      <c r="E142" s="11" t="s">
        <v>13</v>
      </c>
    </row>
    <row r="143">
      <c r="B143" s="32" t="s">
        <v>2310</v>
      </c>
      <c r="C143" s="33" t="s">
        <v>267</v>
      </c>
      <c r="D143" s="32" t="s">
        <v>2169</v>
      </c>
      <c r="E143" s="11" t="s">
        <v>9</v>
      </c>
    </row>
    <row r="144">
      <c r="B144" s="32" t="s">
        <v>91</v>
      </c>
      <c r="C144" s="33" t="s">
        <v>19</v>
      </c>
      <c r="D144" s="32" t="s">
        <v>2168</v>
      </c>
      <c r="E144" s="11" t="s">
        <v>13</v>
      </c>
    </row>
    <row r="145">
      <c r="B145" s="32" t="s">
        <v>2168</v>
      </c>
      <c r="C145" s="33" t="s">
        <v>20</v>
      </c>
      <c r="D145" s="32" t="s">
        <v>2309</v>
      </c>
      <c r="E145" s="11" t="s">
        <v>9</v>
      </c>
    </row>
    <row r="146">
      <c r="B146" s="32" t="s">
        <v>91</v>
      </c>
      <c r="C146" s="33" t="s">
        <v>62</v>
      </c>
      <c r="D146" s="32" t="s">
        <v>2169</v>
      </c>
      <c r="E146" s="11" t="s">
        <v>13</v>
      </c>
    </row>
    <row r="147">
      <c r="B147" s="32" t="s">
        <v>2309</v>
      </c>
      <c r="C147" s="35" t="s">
        <v>41</v>
      </c>
      <c r="D147" s="32" t="s">
        <v>2310</v>
      </c>
      <c r="E147" s="11" t="s">
        <v>9</v>
      </c>
    </row>
    <row r="148">
      <c r="B148" s="32" t="s">
        <v>2168</v>
      </c>
      <c r="C148" s="35" t="s">
        <v>722</v>
      </c>
      <c r="D148" s="32" t="s">
        <v>2169</v>
      </c>
      <c r="E148" s="11" t="s">
        <v>13</v>
      </c>
    </row>
    <row r="149">
      <c r="B149" s="32" t="s">
        <v>91</v>
      </c>
      <c r="C149" s="35" t="s">
        <v>1748</v>
      </c>
      <c r="D149" s="32" t="s">
        <v>2310</v>
      </c>
      <c r="E149" s="11" t="s">
        <v>9</v>
      </c>
    </row>
    <row r="150">
      <c r="B150" s="32" t="s">
        <v>2309</v>
      </c>
      <c r="C150" s="35" t="s">
        <v>72</v>
      </c>
      <c r="D150" s="32" t="s">
        <v>2169</v>
      </c>
      <c r="E150" s="11" t="s">
        <v>13</v>
      </c>
    </row>
    <row r="151">
      <c r="B151" s="32" t="s">
        <v>2168</v>
      </c>
      <c r="C151" s="35" t="s">
        <v>857</v>
      </c>
      <c r="D151" s="32" t="s">
        <v>2310</v>
      </c>
      <c r="E151" s="11" t="s">
        <v>9</v>
      </c>
    </row>
    <row r="152">
      <c r="B152" s="32" t="s">
        <v>2309</v>
      </c>
      <c r="C152" s="35" t="s">
        <v>19</v>
      </c>
      <c r="D152" s="32" t="s">
        <v>91</v>
      </c>
      <c r="E152" s="11" t="s">
        <v>13</v>
      </c>
    </row>
    <row r="153">
      <c r="B153" s="32" t="s">
        <v>2169</v>
      </c>
      <c r="C153" s="35" t="s">
        <v>201</v>
      </c>
      <c r="D153" s="32" t="s">
        <v>2310</v>
      </c>
      <c r="E153" s="11" t="s">
        <v>9</v>
      </c>
    </row>
    <row r="154">
      <c r="B154" s="32" t="s">
        <v>2168</v>
      </c>
      <c r="C154" s="35" t="s">
        <v>285</v>
      </c>
      <c r="D154" s="32" t="s">
        <v>91</v>
      </c>
      <c r="E154" s="11" t="s">
        <v>13</v>
      </c>
    </row>
    <row r="155">
      <c r="B155" s="72" t="s">
        <v>2311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B157" s="32" t="s">
        <v>1926</v>
      </c>
      <c r="C157" s="35" t="s">
        <v>824</v>
      </c>
      <c r="D157" s="32" t="s">
        <v>139</v>
      </c>
      <c r="E157" s="11" t="s">
        <v>33</v>
      </c>
    </row>
    <row r="158">
      <c r="B158" s="32" t="s">
        <v>2312</v>
      </c>
      <c r="C158" s="35" t="s">
        <v>201</v>
      </c>
      <c r="D158" s="32" t="s">
        <v>2313</v>
      </c>
      <c r="E158" s="11" t="s">
        <v>37</v>
      </c>
    </row>
    <row r="159">
      <c r="B159" s="32" t="s">
        <v>299</v>
      </c>
      <c r="C159" s="35" t="s">
        <v>35</v>
      </c>
      <c r="D159" s="32" t="s">
        <v>1926</v>
      </c>
      <c r="E159" s="11" t="s">
        <v>33</v>
      </c>
    </row>
    <row r="160">
      <c r="B160" s="32" t="s">
        <v>2312</v>
      </c>
      <c r="C160" s="35" t="s">
        <v>544</v>
      </c>
      <c r="D160" s="32" t="s">
        <v>139</v>
      </c>
      <c r="E160" s="11" t="s">
        <v>37</v>
      </c>
    </row>
    <row r="161">
      <c r="B161" s="32" t="s">
        <v>299</v>
      </c>
      <c r="C161" s="35" t="s">
        <v>72</v>
      </c>
      <c r="D161" s="32" t="s">
        <v>2313</v>
      </c>
      <c r="E161" s="11" t="s">
        <v>33</v>
      </c>
    </row>
    <row r="162">
      <c r="B162" s="32" t="s">
        <v>2312</v>
      </c>
      <c r="C162" s="35" t="s">
        <v>78</v>
      </c>
      <c r="D162" s="32" t="s">
        <v>1926</v>
      </c>
      <c r="E162" s="11" t="s">
        <v>37</v>
      </c>
    </row>
    <row r="163">
      <c r="B163" s="32" t="s">
        <v>299</v>
      </c>
      <c r="C163" s="35" t="s">
        <v>2314</v>
      </c>
      <c r="D163" s="32" t="s">
        <v>139</v>
      </c>
      <c r="E163" s="11" t="s">
        <v>33</v>
      </c>
    </row>
    <row r="164">
      <c r="B164" s="32" t="s">
        <v>2313</v>
      </c>
      <c r="C164" s="35" t="s">
        <v>259</v>
      </c>
      <c r="D164" s="32" t="s">
        <v>1926</v>
      </c>
      <c r="E164" s="11" t="s">
        <v>37</v>
      </c>
    </row>
    <row r="165">
      <c r="B165" s="32" t="s">
        <v>299</v>
      </c>
      <c r="C165" s="35" t="s">
        <v>353</v>
      </c>
      <c r="D165" s="32" t="s">
        <v>2312</v>
      </c>
      <c r="E165" s="11" t="s">
        <v>33</v>
      </c>
    </row>
    <row r="166">
      <c r="B166" s="32" t="s">
        <v>2313</v>
      </c>
      <c r="C166" s="35" t="s">
        <v>743</v>
      </c>
      <c r="D166" s="32" t="s">
        <v>139</v>
      </c>
      <c r="E166" s="11" t="s">
        <v>37</v>
      </c>
    </row>
    <row r="167">
      <c r="B167" s="32" t="s">
        <v>139</v>
      </c>
      <c r="C167" s="35" t="s">
        <v>81</v>
      </c>
      <c r="D167" s="32" t="s">
        <v>1926</v>
      </c>
      <c r="E167" s="11" t="s">
        <v>33</v>
      </c>
    </row>
    <row r="168">
      <c r="B168" s="32" t="s">
        <v>2313</v>
      </c>
      <c r="C168" s="35" t="s">
        <v>66</v>
      </c>
      <c r="D168" s="32" t="s">
        <v>2312</v>
      </c>
      <c r="E168" s="11" t="s">
        <v>37</v>
      </c>
    </row>
    <row r="169">
      <c r="B169" s="32" t="s">
        <v>1926</v>
      </c>
      <c r="C169" s="35" t="s">
        <v>351</v>
      </c>
      <c r="D169" s="32" t="s">
        <v>299</v>
      </c>
      <c r="E169" s="11" t="s">
        <v>33</v>
      </c>
    </row>
    <row r="170">
      <c r="B170" s="32" t="s">
        <v>139</v>
      </c>
      <c r="C170" s="35" t="s">
        <v>488</v>
      </c>
      <c r="D170" s="32" t="s">
        <v>2312</v>
      </c>
      <c r="E170" s="11" t="s">
        <v>37</v>
      </c>
    </row>
    <row r="171">
      <c r="B171" s="32" t="s">
        <v>2313</v>
      </c>
      <c r="C171" s="35" t="s">
        <v>197</v>
      </c>
      <c r="D171" s="32" t="s">
        <v>299</v>
      </c>
      <c r="E171" s="11" t="s">
        <v>33</v>
      </c>
    </row>
    <row r="172">
      <c r="B172" s="32" t="s">
        <v>1926</v>
      </c>
      <c r="C172" s="35" t="s">
        <v>43</v>
      </c>
      <c r="D172" s="32" t="s">
        <v>2312</v>
      </c>
      <c r="E172" s="11" t="s">
        <v>37</v>
      </c>
    </row>
    <row r="173">
      <c r="B173" s="32" t="s">
        <v>139</v>
      </c>
      <c r="C173" s="35" t="s">
        <v>89</v>
      </c>
      <c r="D173" s="32" t="s">
        <v>299</v>
      </c>
      <c r="E173" s="11" t="s">
        <v>33</v>
      </c>
    </row>
    <row r="174">
      <c r="B174" s="32" t="s">
        <v>1926</v>
      </c>
      <c r="C174" s="35" t="s">
        <v>724</v>
      </c>
      <c r="D174" s="32" t="s">
        <v>2313</v>
      </c>
      <c r="E174" s="11" t="s">
        <v>37</v>
      </c>
    </row>
    <row r="175">
      <c r="B175" s="32" t="s">
        <v>2312</v>
      </c>
      <c r="C175" s="35" t="s">
        <v>2315</v>
      </c>
      <c r="D175" s="32" t="s">
        <v>299</v>
      </c>
      <c r="E175" s="11" t="s">
        <v>33</v>
      </c>
    </row>
    <row r="176">
      <c r="B176" s="32" t="s">
        <v>139</v>
      </c>
      <c r="C176" s="35" t="s">
        <v>797</v>
      </c>
      <c r="D176" s="32" t="s">
        <v>2313</v>
      </c>
      <c r="E176" s="11" t="s">
        <v>37</v>
      </c>
    </row>
    <row r="177">
      <c r="B177" s="1" t="s">
        <v>2316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B179" s="32" t="s">
        <v>2317</v>
      </c>
      <c r="C179" s="33" t="s">
        <v>78</v>
      </c>
      <c r="D179" s="32" t="s">
        <v>2318</v>
      </c>
      <c r="E179" s="11" t="s">
        <v>9</v>
      </c>
    </row>
    <row r="180">
      <c r="B180" s="32" t="s">
        <v>1968</v>
      </c>
      <c r="C180" s="57" t="s">
        <v>449</v>
      </c>
      <c r="D180" s="32" t="s">
        <v>2319</v>
      </c>
      <c r="E180" s="24" t="s">
        <v>13</v>
      </c>
    </row>
    <row r="181">
      <c r="B181" s="32" t="s">
        <v>2320</v>
      </c>
      <c r="C181" s="33" t="s">
        <v>196</v>
      </c>
      <c r="D181" s="32" t="s">
        <v>2317</v>
      </c>
      <c r="E181" s="11" t="s">
        <v>9</v>
      </c>
    </row>
    <row r="182">
      <c r="B182" s="32" t="s">
        <v>1968</v>
      </c>
      <c r="C182" s="57" t="s">
        <v>449</v>
      </c>
      <c r="D182" s="32" t="s">
        <v>2318</v>
      </c>
      <c r="E182" s="24" t="s">
        <v>13</v>
      </c>
    </row>
    <row r="183">
      <c r="B183" s="32" t="s">
        <v>2320</v>
      </c>
      <c r="C183" s="33" t="s">
        <v>658</v>
      </c>
      <c r="D183" s="32" t="s">
        <v>2319</v>
      </c>
      <c r="E183" s="11" t="s">
        <v>9</v>
      </c>
    </row>
    <row r="184">
      <c r="B184" s="32" t="s">
        <v>1968</v>
      </c>
      <c r="C184" s="57" t="s">
        <v>449</v>
      </c>
      <c r="D184" s="32" t="s">
        <v>2317</v>
      </c>
      <c r="E184" s="24" t="s">
        <v>13</v>
      </c>
    </row>
    <row r="185">
      <c r="B185" s="32" t="s">
        <v>2320</v>
      </c>
      <c r="C185" s="33" t="s">
        <v>52</v>
      </c>
      <c r="D185" s="32" t="s">
        <v>2318</v>
      </c>
      <c r="E185" s="11" t="s">
        <v>9</v>
      </c>
    </row>
    <row r="186">
      <c r="B186" s="32" t="s">
        <v>2319</v>
      </c>
      <c r="C186" s="33" t="s">
        <v>1465</v>
      </c>
      <c r="D186" s="32" t="s">
        <v>2317</v>
      </c>
      <c r="E186" s="11" t="s">
        <v>13</v>
      </c>
    </row>
    <row r="187">
      <c r="B187" s="32" t="s">
        <v>2320</v>
      </c>
      <c r="C187" s="42" t="s">
        <v>449</v>
      </c>
      <c r="D187" s="32" t="s">
        <v>1968</v>
      </c>
      <c r="E187" s="24" t="s">
        <v>9</v>
      </c>
    </row>
    <row r="188">
      <c r="A188" s="75"/>
      <c r="B188" s="32" t="s">
        <v>2319</v>
      </c>
      <c r="C188" s="33" t="s">
        <v>81</v>
      </c>
      <c r="D188" s="32" t="s">
        <v>2318</v>
      </c>
      <c r="E188" s="11" t="s">
        <v>13</v>
      </c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</row>
    <row r="189">
      <c r="B189" s="32" t="s">
        <v>2318</v>
      </c>
      <c r="C189" s="33" t="s">
        <v>285</v>
      </c>
      <c r="D189" s="32" t="s">
        <v>2317</v>
      </c>
      <c r="E189" s="11" t="s">
        <v>9</v>
      </c>
    </row>
    <row r="190">
      <c r="B190" s="32" t="s">
        <v>2319</v>
      </c>
      <c r="C190" s="57" t="s">
        <v>449</v>
      </c>
      <c r="D190" s="32" t="s">
        <v>1968</v>
      </c>
      <c r="E190" s="24" t="s">
        <v>13</v>
      </c>
    </row>
    <row r="191">
      <c r="B191" s="32" t="s">
        <v>2317</v>
      </c>
      <c r="C191" s="35" t="s">
        <v>578</v>
      </c>
      <c r="D191" s="32" t="s">
        <v>2320</v>
      </c>
      <c r="E191" s="11" t="s">
        <v>9</v>
      </c>
    </row>
    <row r="192">
      <c r="B192" s="32" t="s">
        <v>2318</v>
      </c>
      <c r="C192" s="42" t="s">
        <v>449</v>
      </c>
      <c r="D192" s="32" t="s">
        <v>1968</v>
      </c>
      <c r="E192" s="24" t="s">
        <v>13</v>
      </c>
    </row>
    <row r="193">
      <c r="B193" s="32" t="s">
        <v>2319</v>
      </c>
      <c r="C193" s="35" t="s">
        <v>400</v>
      </c>
      <c r="D193" s="32" t="s">
        <v>2320</v>
      </c>
      <c r="E193" s="11" t="s">
        <v>9</v>
      </c>
    </row>
    <row r="194">
      <c r="B194" s="32" t="s">
        <v>2317</v>
      </c>
      <c r="C194" s="57" t="s">
        <v>449</v>
      </c>
      <c r="D194" s="32" t="s">
        <v>1968</v>
      </c>
      <c r="E194" s="24" t="s">
        <v>13</v>
      </c>
    </row>
    <row r="195">
      <c r="B195" s="32" t="s">
        <v>2318</v>
      </c>
      <c r="C195" s="35" t="s">
        <v>26</v>
      </c>
      <c r="D195" s="32" t="s">
        <v>2320</v>
      </c>
      <c r="E195" s="11" t="s">
        <v>9</v>
      </c>
    </row>
    <row r="196">
      <c r="B196" s="32" t="s">
        <v>2317</v>
      </c>
      <c r="C196" s="35" t="s">
        <v>218</v>
      </c>
      <c r="D196" s="32" t="s">
        <v>2319</v>
      </c>
      <c r="E196" s="11" t="s">
        <v>13</v>
      </c>
    </row>
    <row r="197">
      <c r="B197" s="32" t="s">
        <v>1968</v>
      </c>
      <c r="C197" s="42" t="s">
        <v>449</v>
      </c>
      <c r="D197" s="32" t="s">
        <v>2320</v>
      </c>
      <c r="E197" s="24" t="s">
        <v>9</v>
      </c>
    </row>
    <row r="198">
      <c r="B198" s="32" t="s">
        <v>2318</v>
      </c>
      <c r="C198" s="35" t="s">
        <v>18</v>
      </c>
      <c r="D198" s="32" t="s">
        <v>2319</v>
      </c>
      <c r="E198" s="11" t="s">
        <v>13</v>
      </c>
    </row>
    <row r="199">
      <c r="B199" s="72" t="s">
        <v>2321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B201" s="32" t="s">
        <v>2322</v>
      </c>
      <c r="C201" s="35" t="s">
        <v>82</v>
      </c>
      <c r="D201" s="32" t="s">
        <v>2323</v>
      </c>
      <c r="E201" s="11" t="s">
        <v>33</v>
      </c>
    </row>
    <row r="202">
      <c r="B202" s="32" t="s">
        <v>2324</v>
      </c>
      <c r="C202" s="35" t="s">
        <v>913</v>
      </c>
      <c r="D202" s="32" t="s">
        <v>1819</v>
      </c>
      <c r="E202" s="11" t="s">
        <v>37</v>
      </c>
    </row>
    <row r="203">
      <c r="B203" s="32" t="s">
        <v>476</v>
      </c>
      <c r="C203" s="35" t="s">
        <v>49</v>
      </c>
      <c r="D203" s="32" t="s">
        <v>2322</v>
      </c>
      <c r="E203" s="11" t="s">
        <v>33</v>
      </c>
    </row>
    <row r="204">
      <c r="B204" s="32" t="s">
        <v>2324</v>
      </c>
      <c r="C204" s="35" t="s">
        <v>52</v>
      </c>
      <c r="D204" s="32" t="s">
        <v>2323</v>
      </c>
      <c r="E204" s="11" t="s">
        <v>37</v>
      </c>
    </row>
    <row r="205">
      <c r="B205" s="32" t="s">
        <v>476</v>
      </c>
      <c r="C205" s="35" t="s">
        <v>589</v>
      </c>
      <c r="D205" s="32" t="s">
        <v>1819</v>
      </c>
      <c r="E205" s="11" t="s">
        <v>33</v>
      </c>
    </row>
    <row r="206">
      <c r="B206" s="32" t="s">
        <v>2324</v>
      </c>
      <c r="C206" s="35" t="s">
        <v>1068</v>
      </c>
      <c r="D206" s="32" t="s">
        <v>2322</v>
      </c>
      <c r="E206" s="11" t="s">
        <v>37</v>
      </c>
    </row>
    <row r="207">
      <c r="B207" s="32" t="s">
        <v>476</v>
      </c>
      <c r="C207" s="35" t="s">
        <v>466</v>
      </c>
      <c r="D207" s="32" t="s">
        <v>2323</v>
      </c>
      <c r="E207" s="11" t="s">
        <v>33</v>
      </c>
    </row>
    <row r="208">
      <c r="B208" s="32" t="s">
        <v>1819</v>
      </c>
      <c r="C208" s="35" t="s">
        <v>217</v>
      </c>
      <c r="D208" s="32" t="s">
        <v>2322</v>
      </c>
      <c r="E208" s="11" t="s">
        <v>37</v>
      </c>
    </row>
    <row r="209">
      <c r="B209" s="32" t="s">
        <v>476</v>
      </c>
      <c r="C209" s="35" t="s">
        <v>614</v>
      </c>
      <c r="D209" s="32" t="s">
        <v>2324</v>
      </c>
      <c r="E209" s="11" t="s">
        <v>33</v>
      </c>
    </row>
    <row r="210">
      <c r="B210" s="32" t="s">
        <v>1819</v>
      </c>
      <c r="C210" s="35" t="s">
        <v>217</v>
      </c>
      <c r="D210" s="32" t="s">
        <v>2323</v>
      </c>
      <c r="E210" s="11" t="s">
        <v>37</v>
      </c>
    </row>
    <row r="211">
      <c r="B211" s="32" t="s">
        <v>2323</v>
      </c>
      <c r="C211" s="35" t="s">
        <v>76</v>
      </c>
      <c r="D211" s="32" t="s">
        <v>2322</v>
      </c>
      <c r="E211" s="11" t="s">
        <v>33</v>
      </c>
    </row>
    <row r="212">
      <c r="B212" s="32" t="s">
        <v>1819</v>
      </c>
      <c r="C212" s="35" t="s">
        <v>232</v>
      </c>
      <c r="D212" s="32" t="s">
        <v>2324</v>
      </c>
      <c r="E212" s="11" t="s">
        <v>37</v>
      </c>
    </row>
    <row r="213">
      <c r="B213" s="32" t="s">
        <v>2322</v>
      </c>
      <c r="C213" s="35" t="s">
        <v>21</v>
      </c>
      <c r="D213" s="32" t="s">
        <v>476</v>
      </c>
      <c r="E213" s="11" t="s">
        <v>33</v>
      </c>
    </row>
    <row r="214">
      <c r="B214" s="32" t="s">
        <v>2323</v>
      </c>
      <c r="C214" s="35" t="s">
        <v>212</v>
      </c>
      <c r="D214" s="32" t="s">
        <v>2324</v>
      </c>
      <c r="E214" s="11" t="s">
        <v>37</v>
      </c>
    </row>
    <row r="215">
      <c r="B215" s="32" t="s">
        <v>1819</v>
      </c>
      <c r="C215" s="35" t="s">
        <v>81</v>
      </c>
      <c r="D215" s="32" t="s">
        <v>476</v>
      </c>
      <c r="E215" s="11" t="s">
        <v>33</v>
      </c>
    </row>
    <row r="216">
      <c r="B216" s="32" t="s">
        <v>2322</v>
      </c>
      <c r="C216" s="35" t="s">
        <v>2325</v>
      </c>
      <c r="D216" s="32" t="s">
        <v>2324</v>
      </c>
      <c r="E216" s="11" t="s">
        <v>37</v>
      </c>
    </row>
    <row r="217">
      <c r="B217" s="32" t="s">
        <v>2323</v>
      </c>
      <c r="C217" s="35" t="s">
        <v>2326</v>
      </c>
      <c r="D217" s="32" t="s">
        <v>476</v>
      </c>
      <c r="E217" s="11" t="s">
        <v>33</v>
      </c>
    </row>
    <row r="218">
      <c r="B218" s="32" t="s">
        <v>2322</v>
      </c>
      <c r="C218" s="35" t="s">
        <v>302</v>
      </c>
      <c r="D218" s="32" t="s">
        <v>1819</v>
      </c>
      <c r="E218" s="11" t="s">
        <v>37</v>
      </c>
    </row>
    <row r="219">
      <c r="B219" s="32" t="s">
        <v>2324</v>
      </c>
      <c r="C219" s="35" t="s">
        <v>197</v>
      </c>
      <c r="D219" s="32" t="s">
        <v>476</v>
      </c>
      <c r="E219" s="11" t="s">
        <v>33</v>
      </c>
    </row>
    <row r="220">
      <c r="B220" s="32" t="s">
        <v>2323</v>
      </c>
      <c r="C220" s="35" t="s">
        <v>25</v>
      </c>
      <c r="D220" s="32" t="s">
        <v>1819</v>
      </c>
      <c r="E220" s="11" t="s">
        <v>37</v>
      </c>
    </row>
    <row r="221">
      <c r="B221" s="28" t="s">
        <v>2327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34" t="s">
        <v>1571</v>
      </c>
      <c r="C223" s="35" t="s">
        <v>412</v>
      </c>
      <c r="D223" s="34" t="s">
        <v>2173</v>
      </c>
      <c r="E223" s="11" t="s">
        <v>33</v>
      </c>
    </row>
    <row r="224">
      <c r="B224" s="34" t="s">
        <v>2328</v>
      </c>
      <c r="C224" s="35" t="s">
        <v>285</v>
      </c>
      <c r="D224" s="34" t="s">
        <v>2329</v>
      </c>
      <c r="E224" s="11" t="s">
        <v>37</v>
      </c>
    </row>
    <row r="225">
      <c r="B225" s="34" t="s">
        <v>2330</v>
      </c>
      <c r="C225" s="35" t="s">
        <v>42</v>
      </c>
      <c r="D225" s="34" t="s">
        <v>1571</v>
      </c>
      <c r="E225" s="51" t="str">
        <f>HYPERLINK("https://youtu.be/ChoZCkyrVEM?t=905","channel 3")</f>
        <v>channel 3</v>
      </c>
    </row>
    <row r="226">
      <c r="B226" s="34" t="s">
        <v>2328</v>
      </c>
      <c r="C226" s="35" t="s">
        <v>28</v>
      </c>
      <c r="D226" s="34" t="s">
        <v>2173</v>
      </c>
      <c r="E226" s="11" t="s">
        <v>37</v>
      </c>
    </row>
    <row r="227">
      <c r="B227" s="34" t="s">
        <v>2330</v>
      </c>
      <c r="C227" s="35" t="s">
        <v>20</v>
      </c>
      <c r="D227" s="34" t="s">
        <v>2329</v>
      </c>
      <c r="E227" s="11" t="s">
        <v>33</v>
      </c>
    </row>
    <row r="228">
      <c r="B228" s="34" t="s">
        <v>2328</v>
      </c>
      <c r="C228" s="35" t="s">
        <v>352</v>
      </c>
      <c r="D228" s="34" t="s">
        <v>1571</v>
      </c>
      <c r="E228" s="11" t="s">
        <v>37</v>
      </c>
    </row>
    <row r="229">
      <c r="B229" s="34" t="s">
        <v>2330</v>
      </c>
      <c r="C229" s="35" t="s">
        <v>244</v>
      </c>
      <c r="D229" s="34" t="s">
        <v>2173</v>
      </c>
      <c r="E229" s="11" t="s">
        <v>33</v>
      </c>
    </row>
    <row r="230">
      <c r="B230" s="34" t="s">
        <v>2329</v>
      </c>
      <c r="C230" s="35" t="s">
        <v>45</v>
      </c>
      <c r="D230" s="34" t="s">
        <v>1571</v>
      </c>
      <c r="E230" s="11" t="s">
        <v>37</v>
      </c>
    </row>
    <row r="231">
      <c r="B231" s="34" t="s">
        <v>2330</v>
      </c>
      <c r="C231" s="35" t="s">
        <v>88</v>
      </c>
      <c r="D231" s="34" t="s">
        <v>2328</v>
      </c>
      <c r="E231" s="11" t="s">
        <v>33</v>
      </c>
    </row>
    <row r="232">
      <c r="B232" s="34" t="s">
        <v>2329</v>
      </c>
      <c r="C232" s="35" t="s">
        <v>21</v>
      </c>
      <c r="D232" s="34" t="s">
        <v>2173</v>
      </c>
      <c r="E232" s="11" t="s">
        <v>37</v>
      </c>
    </row>
    <row r="233">
      <c r="B233" s="34" t="s">
        <v>2173</v>
      </c>
      <c r="C233" s="35" t="s">
        <v>239</v>
      </c>
      <c r="D233" s="34" t="s">
        <v>1571</v>
      </c>
      <c r="E233" s="11" t="s">
        <v>33</v>
      </c>
    </row>
    <row r="234">
      <c r="B234" s="34" t="s">
        <v>2329</v>
      </c>
      <c r="C234" s="35" t="s">
        <v>43</v>
      </c>
      <c r="D234" s="34" t="s">
        <v>2328</v>
      </c>
      <c r="E234" s="11" t="s">
        <v>37</v>
      </c>
    </row>
    <row r="235">
      <c r="B235" s="34" t="s">
        <v>1571</v>
      </c>
      <c r="C235" s="35" t="s">
        <v>81</v>
      </c>
      <c r="D235" s="34" t="s">
        <v>2330</v>
      </c>
      <c r="E235" s="11" t="s">
        <v>33</v>
      </c>
    </row>
    <row r="236">
      <c r="B236" s="34" t="s">
        <v>2173</v>
      </c>
      <c r="C236" s="35" t="s">
        <v>20</v>
      </c>
      <c r="D236" s="34" t="s">
        <v>2328</v>
      </c>
      <c r="E236" s="11" t="s">
        <v>37</v>
      </c>
    </row>
    <row r="237">
      <c r="B237" s="34" t="s">
        <v>2329</v>
      </c>
      <c r="C237" s="35" t="s">
        <v>81</v>
      </c>
      <c r="D237" s="34" t="s">
        <v>2330</v>
      </c>
      <c r="E237" s="11" t="s">
        <v>33</v>
      </c>
    </row>
    <row r="238">
      <c r="B238" s="34" t="s">
        <v>1571</v>
      </c>
      <c r="C238" s="35" t="s">
        <v>197</v>
      </c>
      <c r="D238" s="34" t="s">
        <v>2328</v>
      </c>
      <c r="E238" s="11" t="s">
        <v>37</v>
      </c>
    </row>
    <row r="239">
      <c r="B239" s="34" t="s">
        <v>2173</v>
      </c>
      <c r="C239" s="35" t="s">
        <v>20</v>
      </c>
      <c r="D239" s="34" t="s">
        <v>2330</v>
      </c>
      <c r="E239" s="11" t="s">
        <v>33</v>
      </c>
    </row>
    <row r="240">
      <c r="B240" s="34" t="s">
        <v>1571</v>
      </c>
      <c r="C240" s="35" t="s">
        <v>370</v>
      </c>
      <c r="D240" s="34" t="s">
        <v>2329</v>
      </c>
      <c r="E240" s="11" t="s">
        <v>37</v>
      </c>
    </row>
    <row r="241">
      <c r="B241" s="34" t="s">
        <v>2328</v>
      </c>
      <c r="C241" s="35" t="s">
        <v>238</v>
      </c>
      <c r="D241" s="34" t="s">
        <v>2330</v>
      </c>
      <c r="E241" s="11" t="s">
        <v>33</v>
      </c>
    </row>
    <row r="242">
      <c r="B242" s="34" t="s">
        <v>2173</v>
      </c>
      <c r="C242" s="35" t="s">
        <v>2331</v>
      </c>
      <c r="D242" s="34" t="s">
        <v>2329</v>
      </c>
      <c r="E242" s="11" t="s">
        <v>37</v>
      </c>
    </row>
    <row r="243">
      <c r="B243" s="28" t="s">
        <v>1435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34" t="s">
        <v>2332</v>
      </c>
      <c r="C245" s="33" t="s">
        <v>21</v>
      </c>
      <c r="D245" s="34" t="s">
        <v>1145</v>
      </c>
      <c r="E245" s="11" t="s">
        <v>9</v>
      </c>
    </row>
    <row r="246">
      <c r="B246" s="34" t="s">
        <v>2333</v>
      </c>
      <c r="C246" s="57" t="s">
        <v>449</v>
      </c>
      <c r="D246" s="34" t="s">
        <v>973</v>
      </c>
      <c r="E246" s="21" t="s">
        <v>13</v>
      </c>
    </row>
    <row r="247">
      <c r="B247" s="34" t="s">
        <v>2053</v>
      </c>
      <c r="C247" s="33" t="s">
        <v>43</v>
      </c>
      <c r="D247" s="34" t="s">
        <v>2332</v>
      </c>
      <c r="E247" s="11" t="s">
        <v>9</v>
      </c>
    </row>
    <row r="248">
      <c r="B248" s="34" t="s">
        <v>2333</v>
      </c>
      <c r="C248" s="57" t="s">
        <v>449</v>
      </c>
      <c r="D248" s="34" t="s">
        <v>1145</v>
      </c>
      <c r="E248" s="21" t="s">
        <v>13</v>
      </c>
    </row>
    <row r="249">
      <c r="B249" s="34" t="s">
        <v>2053</v>
      </c>
      <c r="C249" s="33" t="s">
        <v>55</v>
      </c>
      <c r="D249" s="34" t="s">
        <v>973</v>
      </c>
      <c r="E249" s="11" t="s">
        <v>9</v>
      </c>
    </row>
    <row r="250">
      <c r="B250" s="34" t="s">
        <v>2333</v>
      </c>
      <c r="C250" s="57" t="s">
        <v>449</v>
      </c>
      <c r="D250" s="34" t="s">
        <v>2332</v>
      </c>
      <c r="E250" s="21" t="s">
        <v>13</v>
      </c>
    </row>
    <row r="251">
      <c r="B251" s="34" t="s">
        <v>2053</v>
      </c>
      <c r="C251" s="33" t="s">
        <v>190</v>
      </c>
      <c r="D251" s="34" t="s">
        <v>1145</v>
      </c>
      <c r="E251" s="11" t="s">
        <v>9</v>
      </c>
    </row>
    <row r="252">
      <c r="B252" s="34" t="s">
        <v>973</v>
      </c>
      <c r="C252" s="33" t="s">
        <v>354</v>
      </c>
      <c r="D252" s="34" t="s">
        <v>2332</v>
      </c>
      <c r="E252" s="11" t="s">
        <v>13</v>
      </c>
    </row>
    <row r="253">
      <c r="B253" s="34" t="s">
        <v>2053</v>
      </c>
      <c r="C253" s="57" t="s">
        <v>449</v>
      </c>
      <c r="D253" s="34" t="s">
        <v>2333</v>
      </c>
      <c r="E253" s="21" t="s">
        <v>9</v>
      </c>
    </row>
    <row r="254">
      <c r="B254" s="34" t="s">
        <v>973</v>
      </c>
      <c r="C254" s="33" t="s">
        <v>751</v>
      </c>
      <c r="D254" s="34" t="s">
        <v>1145</v>
      </c>
      <c r="E254" s="11" t="s">
        <v>13</v>
      </c>
    </row>
    <row r="255">
      <c r="B255" s="34" t="s">
        <v>1145</v>
      </c>
      <c r="C255" s="33" t="s">
        <v>82</v>
      </c>
      <c r="D255" s="34" t="s">
        <v>2332</v>
      </c>
      <c r="E255" s="11" t="s">
        <v>9</v>
      </c>
    </row>
    <row r="256">
      <c r="B256" s="34" t="s">
        <v>973</v>
      </c>
      <c r="C256" s="57" t="s">
        <v>449</v>
      </c>
      <c r="D256" s="34" t="s">
        <v>2333</v>
      </c>
      <c r="E256" s="21" t="s">
        <v>13</v>
      </c>
    </row>
    <row r="257">
      <c r="B257" s="34" t="s">
        <v>2332</v>
      </c>
      <c r="C257" s="35" t="s">
        <v>544</v>
      </c>
      <c r="D257" s="34" t="s">
        <v>2053</v>
      </c>
      <c r="E257" s="11" t="s">
        <v>9</v>
      </c>
    </row>
    <row r="258">
      <c r="B258" s="34" t="s">
        <v>1145</v>
      </c>
      <c r="C258" s="57" t="s">
        <v>449</v>
      </c>
      <c r="D258" s="34" t="s">
        <v>2333</v>
      </c>
      <c r="E258" s="21" t="s">
        <v>13</v>
      </c>
    </row>
    <row r="259">
      <c r="B259" s="34" t="s">
        <v>973</v>
      </c>
      <c r="C259" s="35" t="s">
        <v>201</v>
      </c>
      <c r="D259" s="34" t="s">
        <v>2053</v>
      </c>
      <c r="E259" s="11" t="s">
        <v>9</v>
      </c>
    </row>
    <row r="260">
      <c r="B260" s="34" t="s">
        <v>2332</v>
      </c>
      <c r="C260" s="57" t="s">
        <v>449</v>
      </c>
      <c r="D260" s="34" t="s">
        <v>2333</v>
      </c>
      <c r="E260" s="21" t="s">
        <v>13</v>
      </c>
    </row>
    <row r="261">
      <c r="B261" s="34" t="s">
        <v>1145</v>
      </c>
      <c r="C261" s="35" t="s">
        <v>412</v>
      </c>
      <c r="D261" s="34" t="s">
        <v>2053</v>
      </c>
      <c r="E261" s="11" t="s">
        <v>9</v>
      </c>
    </row>
    <row r="262">
      <c r="B262" s="34" t="s">
        <v>2332</v>
      </c>
      <c r="C262" s="35" t="s">
        <v>190</v>
      </c>
      <c r="D262" s="34" t="s">
        <v>973</v>
      </c>
      <c r="E262" s="11" t="s">
        <v>13</v>
      </c>
    </row>
    <row r="263">
      <c r="B263" s="34" t="s">
        <v>2333</v>
      </c>
      <c r="C263" s="57" t="s">
        <v>449</v>
      </c>
      <c r="D263" s="34" t="s">
        <v>2053</v>
      </c>
      <c r="E263" s="21" t="s">
        <v>9</v>
      </c>
    </row>
    <row r="264">
      <c r="B264" s="34" t="s">
        <v>1145</v>
      </c>
      <c r="C264" s="35" t="s">
        <v>31</v>
      </c>
      <c r="D264" s="34" t="s">
        <v>973</v>
      </c>
      <c r="E264" s="11" t="s">
        <v>13</v>
      </c>
    </row>
    <row r="265">
      <c r="B265" s="28" t="s">
        <v>2055</v>
      </c>
      <c r="C265" s="2"/>
      <c r="D265" s="3"/>
      <c r="E265" s="2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34" t="s">
        <v>311</v>
      </c>
      <c r="C267" s="35" t="s">
        <v>64</v>
      </c>
      <c r="D267" s="34" t="s">
        <v>2334</v>
      </c>
      <c r="E267" s="11" t="s">
        <v>9</v>
      </c>
    </row>
    <row r="268">
      <c r="B268" s="34" t="s">
        <v>2214</v>
      </c>
      <c r="C268" s="35" t="s">
        <v>520</v>
      </c>
      <c r="D268" s="34" t="s">
        <v>2335</v>
      </c>
      <c r="E268" s="11" t="s">
        <v>13</v>
      </c>
    </row>
    <row r="269">
      <c r="B269" s="34" t="s">
        <v>2336</v>
      </c>
      <c r="C269" s="35" t="s">
        <v>195</v>
      </c>
      <c r="D269" s="34" t="s">
        <v>311</v>
      </c>
      <c r="E269" s="11" t="s">
        <v>9</v>
      </c>
    </row>
    <row r="270">
      <c r="B270" s="34" t="s">
        <v>2214</v>
      </c>
      <c r="C270" s="35" t="s">
        <v>239</v>
      </c>
      <c r="D270" s="34" t="s">
        <v>2334</v>
      </c>
      <c r="E270" s="11" t="s">
        <v>13</v>
      </c>
    </row>
    <row r="271">
      <c r="B271" s="34" t="s">
        <v>2336</v>
      </c>
      <c r="C271" s="35" t="s">
        <v>69</v>
      </c>
      <c r="D271" s="34" t="s">
        <v>2335</v>
      </c>
      <c r="E271" s="11" t="s">
        <v>9</v>
      </c>
    </row>
    <row r="272">
      <c r="B272" s="34" t="s">
        <v>2214</v>
      </c>
      <c r="C272" s="35" t="s">
        <v>293</v>
      </c>
      <c r="D272" s="34" t="s">
        <v>311</v>
      </c>
      <c r="E272" s="11" t="s">
        <v>13</v>
      </c>
    </row>
    <row r="273">
      <c r="B273" s="34" t="s">
        <v>2336</v>
      </c>
      <c r="C273" s="35" t="s">
        <v>197</v>
      </c>
      <c r="D273" s="34" t="s">
        <v>2334</v>
      </c>
      <c r="E273" s="11" t="s">
        <v>9</v>
      </c>
    </row>
    <row r="274">
      <c r="B274" s="34" t="s">
        <v>2335</v>
      </c>
      <c r="C274" s="35" t="s">
        <v>83</v>
      </c>
      <c r="D274" s="34" t="s">
        <v>311</v>
      </c>
      <c r="E274" s="11" t="s">
        <v>13</v>
      </c>
    </row>
    <row r="275">
      <c r="B275" s="34" t="s">
        <v>2336</v>
      </c>
      <c r="C275" s="35" t="s">
        <v>270</v>
      </c>
      <c r="D275" s="34" t="s">
        <v>2214</v>
      </c>
      <c r="E275" s="11" t="s">
        <v>9</v>
      </c>
    </row>
    <row r="276">
      <c r="B276" s="34" t="s">
        <v>2335</v>
      </c>
      <c r="C276" s="35" t="s">
        <v>699</v>
      </c>
      <c r="D276" s="34" t="s">
        <v>2334</v>
      </c>
      <c r="E276" s="11" t="s">
        <v>13</v>
      </c>
    </row>
    <row r="277">
      <c r="B277" s="34" t="s">
        <v>2334</v>
      </c>
      <c r="C277" s="35" t="s">
        <v>875</v>
      </c>
      <c r="D277" s="34" t="s">
        <v>311</v>
      </c>
      <c r="E277" s="11" t="s">
        <v>9</v>
      </c>
    </row>
    <row r="278">
      <c r="B278" s="34" t="s">
        <v>2335</v>
      </c>
      <c r="C278" s="35" t="s">
        <v>355</v>
      </c>
      <c r="D278" s="34" t="s">
        <v>2214</v>
      </c>
      <c r="E278" s="11" t="s">
        <v>13</v>
      </c>
    </row>
    <row r="279">
      <c r="B279" s="34" t="s">
        <v>311</v>
      </c>
      <c r="C279" s="35" t="s">
        <v>31</v>
      </c>
      <c r="D279" s="34" t="s">
        <v>2336</v>
      </c>
      <c r="E279" s="11" t="s">
        <v>9</v>
      </c>
    </row>
    <row r="280">
      <c r="B280" s="34" t="s">
        <v>2334</v>
      </c>
      <c r="C280" s="35" t="s">
        <v>190</v>
      </c>
      <c r="D280" s="34" t="s">
        <v>2214</v>
      </c>
      <c r="E280" s="11" t="s">
        <v>13</v>
      </c>
    </row>
    <row r="281">
      <c r="B281" s="34" t="s">
        <v>2335</v>
      </c>
      <c r="C281" s="35" t="s">
        <v>218</v>
      </c>
      <c r="D281" s="34" t="s">
        <v>2336</v>
      </c>
      <c r="E281" s="11" t="s">
        <v>9</v>
      </c>
    </row>
    <row r="282">
      <c r="B282" s="34" t="s">
        <v>311</v>
      </c>
      <c r="C282" s="35" t="s">
        <v>18</v>
      </c>
      <c r="D282" s="34" t="s">
        <v>2214</v>
      </c>
      <c r="E282" s="11" t="s">
        <v>13</v>
      </c>
    </row>
    <row r="283">
      <c r="B283" s="34" t="s">
        <v>2334</v>
      </c>
      <c r="C283" s="35" t="s">
        <v>24</v>
      </c>
      <c r="D283" s="34" t="s">
        <v>2336</v>
      </c>
      <c r="E283" s="11" t="s">
        <v>9</v>
      </c>
    </row>
    <row r="284">
      <c r="B284" s="34" t="s">
        <v>311</v>
      </c>
      <c r="C284" s="35" t="s">
        <v>534</v>
      </c>
      <c r="D284" s="34" t="s">
        <v>2335</v>
      </c>
      <c r="E284" s="11" t="s">
        <v>13</v>
      </c>
    </row>
    <row r="285">
      <c r="B285" s="34" t="s">
        <v>2214</v>
      </c>
      <c r="C285" s="35" t="s">
        <v>67</v>
      </c>
      <c r="D285" s="34" t="s">
        <v>2336</v>
      </c>
      <c r="E285" s="11" t="s">
        <v>9</v>
      </c>
    </row>
    <row r="286">
      <c r="B286" s="34" t="s">
        <v>2334</v>
      </c>
      <c r="C286" s="35" t="s">
        <v>2337</v>
      </c>
      <c r="D286" s="34" t="s">
        <v>2335</v>
      </c>
      <c r="E286" s="11" t="s">
        <v>13</v>
      </c>
    </row>
    <row r="287">
      <c r="B287" s="28" t="s">
        <v>134</v>
      </c>
      <c r="C287" s="2"/>
      <c r="D287" s="3"/>
      <c r="E287" s="2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34" t="s">
        <v>2338</v>
      </c>
      <c r="C289" s="35" t="s">
        <v>260</v>
      </c>
      <c r="D289" s="34" t="s">
        <v>2339</v>
      </c>
      <c r="E289" s="11" t="s">
        <v>33</v>
      </c>
    </row>
    <row r="290">
      <c r="B290" s="34" t="s">
        <v>2340</v>
      </c>
      <c r="C290" s="35" t="s">
        <v>48</v>
      </c>
      <c r="D290" s="34" t="s">
        <v>2341</v>
      </c>
      <c r="E290" s="11" t="s">
        <v>37</v>
      </c>
    </row>
    <row r="291">
      <c r="B291" s="34" t="s">
        <v>2342</v>
      </c>
      <c r="C291" s="35" t="s">
        <v>446</v>
      </c>
      <c r="D291" s="34" t="s">
        <v>2338</v>
      </c>
      <c r="E291" s="11" t="s">
        <v>33</v>
      </c>
      <c r="J291" s="36"/>
    </row>
    <row r="292">
      <c r="B292" s="34" t="s">
        <v>2340</v>
      </c>
      <c r="C292" s="35" t="s">
        <v>201</v>
      </c>
      <c r="D292" s="34" t="s">
        <v>2339</v>
      </c>
      <c r="E292" s="11" t="s">
        <v>37</v>
      </c>
    </row>
    <row r="293">
      <c r="B293" s="34" t="s">
        <v>2342</v>
      </c>
      <c r="C293" s="35" t="s">
        <v>353</v>
      </c>
      <c r="D293" s="34" t="s">
        <v>2341</v>
      </c>
      <c r="E293" s="11" t="s">
        <v>33</v>
      </c>
    </row>
    <row r="294">
      <c r="B294" s="34" t="s">
        <v>2340</v>
      </c>
      <c r="C294" s="35" t="s">
        <v>68</v>
      </c>
      <c r="D294" s="34" t="s">
        <v>2338</v>
      </c>
      <c r="E294" s="11" t="s">
        <v>37</v>
      </c>
    </row>
    <row r="295">
      <c r="B295" s="34" t="s">
        <v>2342</v>
      </c>
      <c r="C295" s="35" t="s">
        <v>2343</v>
      </c>
      <c r="D295" s="34" t="s">
        <v>2339</v>
      </c>
      <c r="E295" s="11" t="s">
        <v>33</v>
      </c>
    </row>
    <row r="296">
      <c r="B296" s="34" t="s">
        <v>2341</v>
      </c>
      <c r="C296" s="35" t="s">
        <v>201</v>
      </c>
      <c r="D296" s="34" t="s">
        <v>2338</v>
      </c>
      <c r="E296" s="11" t="s">
        <v>37</v>
      </c>
    </row>
    <row r="297">
      <c r="B297" s="34" t="s">
        <v>2342</v>
      </c>
      <c r="C297" s="35" t="s">
        <v>62</v>
      </c>
      <c r="D297" s="34" t="s">
        <v>2340</v>
      </c>
      <c r="E297" s="11" t="s">
        <v>33</v>
      </c>
    </row>
    <row r="298">
      <c r="B298" s="34" t="s">
        <v>2341</v>
      </c>
      <c r="C298" s="35" t="s">
        <v>81</v>
      </c>
      <c r="D298" s="34" t="s">
        <v>2339</v>
      </c>
      <c r="E298" s="11" t="s">
        <v>37</v>
      </c>
    </row>
    <row r="299">
      <c r="B299" s="34" t="s">
        <v>2339</v>
      </c>
      <c r="C299" s="35" t="s">
        <v>68</v>
      </c>
      <c r="D299" s="34" t="s">
        <v>2338</v>
      </c>
      <c r="E299" s="11" t="s">
        <v>33</v>
      </c>
    </row>
    <row r="300">
      <c r="B300" s="34" t="s">
        <v>2341</v>
      </c>
      <c r="C300" s="35" t="s">
        <v>48</v>
      </c>
      <c r="D300" s="34" t="s">
        <v>2340</v>
      </c>
      <c r="E300" s="11" t="s">
        <v>37</v>
      </c>
    </row>
    <row r="301">
      <c r="B301" s="34" t="s">
        <v>2338</v>
      </c>
      <c r="C301" s="35" t="s">
        <v>18</v>
      </c>
      <c r="D301" s="34" t="s">
        <v>2342</v>
      </c>
      <c r="E301" s="11" t="s">
        <v>33</v>
      </c>
    </row>
    <row r="302">
      <c r="B302" s="34" t="s">
        <v>2339</v>
      </c>
      <c r="C302" s="35" t="s">
        <v>187</v>
      </c>
      <c r="D302" s="34" t="s">
        <v>2340</v>
      </c>
      <c r="E302" s="11" t="s">
        <v>37</v>
      </c>
    </row>
    <row r="303">
      <c r="B303" s="34" t="s">
        <v>2341</v>
      </c>
      <c r="C303" s="35" t="s">
        <v>31</v>
      </c>
      <c r="D303" s="34" t="s">
        <v>2342</v>
      </c>
      <c r="E303" s="11" t="s">
        <v>33</v>
      </c>
      <c r="I303" s="36"/>
    </row>
    <row r="304">
      <c r="B304" s="34" t="s">
        <v>2338</v>
      </c>
      <c r="C304" s="35" t="s">
        <v>289</v>
      </c>
      <c r="D304" s="34" t="s">
        <v>2340</v>
      </c>
      <c r="E304" s="11" t="s">
        <v>37</v>
      </c>
    </row>
    <row r="305">
      <c r="B305" s="34" t="s">
        <v>2339</v>
      </c>
      <c r="C305" s="35" t="s">
        <v>81</v>
      </c>
      <c r="D305" s="34" t="s">
        <v>2342</v>
      </c>
      <c r="E305" s="11" t="s">
        <v>33</v>
      </c>
    </row>
    <row r="306">
      <c r="B306" s="34" t="s">
        <v>2338</v>
      </c>
      <c r="C306" s="35" t="s">
        <v>20</v>
      </c>
      <c r="D306" s="34" t="s">
        <v>2341</v>
      </c>
      <c r="E306" s="11" t="s">
        <v>37</v>
      </c>
    </row>
    <row r="307">
      <c r="B307" s="34" t="s">
        <v>2340</v>
      </c>
      <c r="C307" s="35" t="s">
        <v>494</v>
      </c>
      <c r="D307" s="34" t="s">
        <v>2342</v>
      </c>
      <c r="E307" s="11" t="s">
        <v>33</v>
      </c>
      <c r="J307" s="36"/>
    </row>
    <row r="308">
      <c r="B308" s="34" t="s">
        <v>2339</v>
      </c>
      <c r="C308" s="35" t="s">
        <v>64</v>
      </c>
      <c r="D308" s="34" t="s">
        <v>2341</v>
      </c>
      <c r="E308" s="11" t="s">
        <v>37</v>
      </c>
    </row>
    <row r="309">
      <c r="B309" s="28" t="s">
        <v>2267</v>
      </c>
      <c r="C309" s="2"/>
      <c r="D309" s="3"/>
      <c r="E309" s="2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34" t="s">
        <v>2344</v>
      </c>
      <c r="C311" s="35" t="s">
        <v>81</v>
      </c>
      <c r="D311" s="34" t="s">
        <v>2345</v>
      </c>
      <c r="E311" s="11" t="s">
        <v>33</v>
      </c>
    </row>
    <row r="312">
      <c r="B312" s="34" t="s">
        <v>2346</v>
      </c>
      <c r="C312" s="35" t="s">
        <v>479</v>
      </c>
      <c r="D312" s="34" t="s">
        <v>2347</v>
      </c>
      <c r="E312" s="11" t="s">
        <v>37</v>
      </c>
    </row>
    <row r="313">
      <c r="B313" s="34" t="s">
        <v>2348</v>
      </c>
      <c r="C313" s="35" t="s">
        <v>24</v>
      </c>
      <c r="D313" s="34" t="s">
        <v>2344</v>
      </c>
      <c r="E313" s="11" t="s">
        <v>33</v>
      </c>
    </row>
    <row r="314">
      <c r="B314" s="34" t="s">
        <v>2346</v>
      </c>
      <c r="C314" s="35" t="s">
        <v>328</v>
      </c>
      <c r="D314" s="34" t="s">
        <v>2345</v>
      </c>
      <c r="E314" s="11" t="s">
        <v>37</v>
      </c>
    </row>
    <row r="315">
      <c r="B315" s="34" t="s">
        <v>2348</v>
      </c>
      <c r="C315" s="35" t="s">
        <v>258</v>
      </c>
      <c r="D315" s="34" t="s">
        <v>2347</v>
      </c>
      <c r="E315" s="11" t="s">
        <v>33</v>
      </c>
    </row>
    <row r="316">
      <c r="B316" s="34" t="s">
        <v>2346</v>
      </c>
      <c r="C316" s="35" t="s">
        <v>2349</v>
      </c>
      <c r="D316" s="34" t="s">
        <v>2344</v>
      </c>
      <c r="E316" s="11" t="s">
        <v>37</v>
      </c>
    </row>
    <row r="317">
      <c r="B317" s="34" t="s">
        <v>2348</v>
      </c>
      <c r="C317" s="35" t="s">
        <v>1102</v>
      </c>
      <c r="D317" s="34" t="s">
        <v>2345</v>
      </c>
      <c r="E317" s="11" t="s">
        <v>33</v>
      </c>
    </row>
    <row r="318">
      <c r="B318" s="34" t="s">
        <v>2347</v>
      </c>
      <c r="C318" s="35" t="s">
        <v>24</v>
      </c>
      <c r="D318" s="34" t="s">
        <v>2344</v>
      </c>
      <c r="E318" s="11" t="s">
        <v>37</v>
      </c>
    </row>
    <row r="319">
      <c r="B319" s="34" t="s">
        <v>2348</v>
      </c>
      <c r="C319" s="35" t="s">
        <v>626</v>
      </c>
      <c r="D319" s="34" t="s">
        <v>2346</v>
      </c>
      <c r="E319" s="11" t="s">
        <v>33</v>
      </c>
    </row>
    <row r="320">
      <c r="B320" s="34" t="s">
        <v>2347</v>
      </c>
      <c r="C320" s="35" t="s">
        <v>64</v>
      </c>
      <c r="D320" s="34" t="s">
        <v>2345</v>
      </c>
      <c r="E320" s="11" t="s">
        <v>37</v>
      </c>
    </row>
    <row r="321">
      <c r="B321" s="34" t="s">
        <v>2345</v>
      </c>
      <c r="C321" s="35" t="s">
        <v>302</v>
      </c>
      <c r="D321" s="34" t="s">
        <v>2344</v>
      </c>
      <c r="E321" s="11" t="s">
        <v>33</v>
      </c>
    </row>
    <row r="322">
      <c r="B322" s="34" t="s">
        <v>2347</v>
      </c>
      <c r="C322" s="35" t="s">
        <v>205</v>
      </c>
      <c r="D322" s="34" t="s">
        <v>2346</v>
      </c>
      <c r="E322" s="11" t="s">
        <v>37</v>
      </c>
    </row>
    <row r="323">
      <c r="B323" s="34" t="s">
        <v>2344</v>
      </c>
      <c r="C323" s="35" t="s">
        <v>2350</v>
      </c>
      <c r="D323" s="34" t="s">
        <v>2348</v>
      </c>
      <c r="E323" s="11" t="s">
        <v>33</v>
      </c>
    </row>
    <row r="324">
      <c r="B324" s="34" t="s">
        <v>2345</v>
      </c>
      <c r="C324" s="35" t="s">
        <v>81</v>
      </c>
      <c r="D324" s="34" t="s">
        <v>2346</v>
      </c>
      <c r="E324" s="11" t="s">
        <v>37</v>
      </c>
    </row>
    <row r="325">
      <c r="B325" s="34" t="s">
        <v>2347</v>
      </c>
      <c r="C325" s="35" t="s">
        <v>239</v>
      </c>
      <c r="D325" s="34" t="s">
        <v>2348</v>
      </c>
      <c r="E325" s="11" t="s">
        <v>33</v>
      </c>
    </row>
    <row r="326">
      <c r="B326" s="34" t="s">
        <v>2344</v>
      </c>
      <c r="C326" s="35" t="s">
        <v>217</v>
      </c>
      <c r="D326" s="34" t="s">
        <v>2346</v>
      </c>
      <c r="E326" s="11" t="s">
        <v>37</v>
      </c>
    </row>
    <row r="327">
      <c r="B327" s="34" t="s">
        <v>2345</v>
      </c>
      <c r="C327" s="35" t="s">
        <v>306</v>
      </c>
      <c r="D327" s="34" t="s">
        <v>2348</v>
      </c>
      <c r="E327" s="11" t="s">
        <v>33</v>
      </c>
    </row>
    <row r="328">
      <c r="B328" s="34" t="s">
        <v>2344</v>
      </c>
      <c r="C328" s="35" t="s">
        <v>239</v>
      </c>
      <c r="D328" s="34" t="s">
        <v>2347</v>
      </c>
      <c r="E328" s="11" t="s">
        <v>37</v>
      </c>
    </row>
    <row r="329">
      <c r="B329" s="34" t="s">
        <v>2346</v>
      </c>
      <c r="C329" s="35" t="s">
        <v>23</v>
      </c>
      <c r="D329" s="34" t="s">
        <v>2348</v>
      </c>
      <c r="E329" s="11" t="s">
        <v>33</v>
      </c>
    </row>
    <row r="330">
      <c r="B330" s="34" t="s">
        <v>2345</v>
      </c>
      <c r="C330" s="35" t="s">
        <v>1566</v>
      </c>
      <c r="D330" s="34" t="s">
        <v>2347</v>
      </c>
      <c r="E330" s="11" t="s">
        <v>37</v>
      </c>
    </row>
    <row r="331">
      <c r="B331" s="28" t="s">
        <v>2069</v>
      </c>
      <c r="C331" s="2"/>
      <c r="D331" s="3"/>
      <c r="E331" s="2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34" t="s">
        <v>2351</v>
      </c>
      <c r="C333" s="35" t="s">
        <v>44</v>
      </c>
      <c r="D333" s="34" t="s">
        <v>2352</v>
      </c>
      <c r="E333" s="11" t="s">
        <v>9</v>
      </c>
    </row>
    <row r="334">
      <c r="B334" s="34" t="s">
        <v>2353</v>
      </c>
      <c r="C334" s="35" t="s">
        <v>19</v>
      </c>
      <c r="D334" s="34" t="s">
        <v>1194</v>
      </c>
      <c r="E334" s="11" t="s">
        <v>13</v>
      </c>
    </row>
    <row r="335">
      <c r="B335" s="34" t="s">
        <v>2354</v>
      </c>
      <c r="C335" s="35" t="s">
        <v>261</v>
      </c>
      <c r="D335" s="34" t="s">
        <v>2351</v>
      </c>
      <c r="E335" s="11" t="s">
        <v>9</v>
      </c>
    </row>
    <row r="336">
      <c r="B336" s="34" t="s">
        <v>2353</v>
      </c>
      <c r="C336" s="35" t="s">
        <v>239</v>
      </c>
      <c r="D336" s="34" t="s">
        <v>2352</v>
      </c>
      <c r="E336" s="11" t="s">
        <v>13</v>
      </c>
    </row>
    <row r="337">
      <c r="B337" s="34" t="s">
        <v>2354</v>
      </c>
      <c r="C337" s="35" t="s">
        <v>89</v>
      </c>
      <c r="D337" s="34" t="s">
        <v>1194</v>
      </c>
      <c r="E337" s="11" t="s">
        <v>9</v>
      </c>
    </row>
    <row r="338">
      <c r="B338" s="34" t="s">
        <v>2353</v>
      </c>
      <c r="C338" s="35" t="s">
        <v>70</v>
      </c>
      <c r="D338" s="34" t="s">
        <v>2351</v>
      </c>
      <c r="E338" s="11" t="s">
        <v>13</v>
      </c>
    </row>
    <row r="339">
      <c r="B339" s="34" t="s">
        <v>2354</v>
      </c>
      <c r="C339" s="35" t="s">
        <v>14</v>
      </c>
      <c r="D339" s="34" t="s">
        <v>2352</v>
      </c>
      <c r="E339" s="11" t="s">
        <v>9</v>
      </c>
    </row>
    <row r="340">
      <c r="B340" s="34" t="s">
        <v>1194</v>
      </c>
      <c r="C340" s="35" t="s">
        <v>802</v>
      </c>
      <c r="D340" s="34" t="s">
        <v>2351</v>
      </c>
      <c r="E340" s="11" t="s">
        <v>13</v>
      </c>
    </row>
    <row r="341">
      <c r="B341" s="34" t="s">
        <v>2354</v>
      </c>
      <c r="C341" s="35" t="s">
        <v>16</v>
      </c>
      <c r="D341" s="34" t="s">
        <v>2353</v>
      </c>
      <c r="E341" s="11" t="s">
        <v>9</v>
      </c>
    </row>
    <row r="342">
      <c r="B342" s="34" t="s">
        <v>1194</v>
      </c>
      <c r="C342" s="35" t="s">
        <v>17</v>
      </c>
      <c r="D342" s="34" t="s">
        <v>2352</v>
      </c>
      <c r="E342" s="11" t="s">
        <v>13</v>
      </c>
    </row>
    <row r="343">
      <c r="B343" s="34" t="s">
        <v>2352</v>
      </c>
      <c r="C343" s="35" t="s">
        <v>302</v>
      </c>
      <c r="D343" s="34" t="s">
        <v>2351</v>
      </c>
      <c r="E343" s="11" t="s">
        <v>9</v>
      </c>
    </row>
    <row r="344">
      <c r="B344" s="34" t="s">
        <v>1194</v>
      </c>
      <c r="C344" s="35" t="s">
        <v>283</v>
      </c>
      <c r="D344" s="34" t="s">
        <v>2353</v>
      </c>
      <c r="E344" s="11" t="s">
        <v>13</v>
      </c>
    </row>
    <row r="345">
      <c r="B345" s="34" t="s">
        <v>2351</v>
      </c>
      <c r="C345" s="35" t="s">
        <v>699</v>
      </c>
      <c r="D345" s="34" t="s">
        <v>2354</v>
      </c>
      <c r="E345" s="11" t="s">
        <v>9</v>
      </c>
    </row>
    <row r="346">
      <c r="B346" s="34" t="s">
        <v>2352</v>
      </c>
      <c r="C346" s="35" t="s">
        <v>357</v>
      </c>
      <c r="D346" s="34" t="s">
        <v>2353</v>
      </c>
      <c r="E346" s="11" t="s">
        <v>13</v>
      </c>
    </row>
    <row r="347">
      <c r="B347" s="34" t="s">
        <v>1194</v>
      </c>
      <c r="C347" s="35" t="s">
        <v>66</v>
      </c>
      <c r="D347" s="34" t="s">
        <v>2354</v>
      </c>
      <c r="E347" s="11" t="s">
        <v>9</v>
      </c>
    </row>
    <row r="348">
      <c r="B348" s="34" t="s">
        <v>2351</v>
      </c>
      <c r="C348" s="35" t="s">
        <v>62</v>
      </c>
      <c r="D348" s="34" t="s">
        <v>2353</v>
      </c>
      <c r="E348" s="11" t="s">
        <v>13</v>
      </c>
    </row>
    <row r="349">
      <c r="B349" s="34" t="s">
        <v>2352</v>
      </c>
      <c r="C349" s="35" t="s">
        <v>67</v>
      </c>
      <c r="D349" s="34" t="s">
        <v>2354</v>
      </c>
      <c r="E349" s="11" t="s">
        <v>9</v>
      </c>
    </row>
    <row r="350">
      <c r="B350" s="34" t="s">
        <v>2351</v>
      </c>
      <c r="C350" s="35" t="s">
        <v>551</v>
      </c>
      <c r="D350" s="34" t="s">
        <v>1194</v>
      </c>
      <c r="E350" s="11" t="s">
        <v>13</v>
      </c>
    </row>
    <row r="351">
      <c r="B351" s="34" t="s">
        <v>2353</v>
      </c>
      <c r="C351" s="35" t="s">
        <v>212</v>
      </c>
      <c r="D351" s="34" t="s">
        <v>2354</v>
      </c>
      <c r="E351" s="11" t="s">
        <v>9</v>
      </c>
    </row>
    <row r="352">
      <c r="B352" s="34" t="s">
        <v>2352</v>
      </c>
      <c r="C352" s="35" t="s">
        <v>411</v>
      </c>
      <c r="D352" s="34" t="s">
        <v>1194</v>
      </c>
      <c r="E352" s="11" t="s">
        <v>13</v>
      </c>
    </row>
    <row r="353">
      <c r="B353" s="28" t="s">
        <v>2280</v>
      </c>
      <c r="C353" s="2"/>
      <c r="D353" s="3"/>
      <c r="E353" s="29"/>
    </row>
    <row r="354">
      <c r="B354" s="6" t="s">
        <v>2</v>
      </c>
      <c r="C354" s="6" t="s">
        <v>3</v>
      </c>
      <c r="D354" s="6" t="s">
        <v>4</v>
      </c>
      <c r="E354" s="6" t="s">
        <v>5</v>
      </c>
    </row>
    <row r="355">
      <c r="B355" s="34" t="s">
        <v>2355</v>
      </c>
      <c r="C355" s="35" t="s">
        <v>658</v>
      </c>
      <c r="D355" s="34" t="s">
        <v>2356</v>
      </c>
      <c r="E355" s="11" t="s">
        <v>33</v>
      </c>
    </row>
    <row r="356">
      <c r="B356" s="34" t="s">
        <v>2357</v>
      </c>
      <c r="C356" s="35" t="s">
        <v>286</v>
      </c>
      <c r="D356" s="34" t="s">
        <v>2358</v>
      </c>
      <c r="E356" s="11" t="s">
        <v>37</v>
      </c>
    </row>
    <row r="357">
      <c r="B357" s="34" t="s">
        <v>2359</v>
      </c>
      <c r="C357" s="35" t="s">
        <v>196</v>
      </c>
      <c r="D357" s="34" t="s">
        <v>2355</v>
      </c>
      <c r="E357" s="11" t="s">
        <v>33</v>
      </c>
    </row>
    <row r="358">
      <c r="B358" s="34" t="s">
        <v>2357</v>
      </c>
      <c r="C358" s="35" t="s">
        <v>722</v>
      </c>
      <c r="D358" s="34" t="s">
        <v>2356</v>
      </c>
      <c r="E358" s="11" t="s">
        <v>37</v>
      </c>
    </row>
    <row r="359">
      <c r="B359" s="34" t="s">
        <v>2359</v>
      </c>
      <c r="C359" s="35" t="s">
        <v>426</v>
      </c>
      <c r="D359" s="34" t="s">
        <v>2358</v>
      </c>
      <c r="E359" s="11" t="s">
        <v>33</v>
      </c>
    </row>
    <row r="360">
      <c r="B360" s="34" t="s">
        <v>2357</v>
      </c>
      <c r="C360" s="35" t="s">
        <v>21</v>
      </c>
      <c r="D360" s="34" t="s">
        <v>2355</v>
      </c>
      <c r="E360" s="11" t="s">
        <v>37</v>
      </c>
    </row>
    <row r="361">
      <c r="B361" s="34" t="s">
        <v>2359</v>
      </c>
      <c r="C361" s="35" t="s">
        <v>62</v>
      </c>
      <c r="D361" s="34" t="s">
        <v>2356</v>
      </c>
      <c r="E361" s="11" t="s">
        <v>33</v>
      </c>
    </row>
    <row r="362">
      <c r="B362" s="34" t="s">
        <v>2358</v>
      </c>
      <c r="C362" s="35" t="s">
        <v>71</v>
      </c>
      <c r="D362" s="34" t="s">
        <v>2355</v>
      </c>
      <c r="E362" s="11" t="s">
        <v>37</v>
      </c>
    </row>
    <row r="363">
      <c r="B363" s="34" t="s">
        <v>2359</v>
      </c>
      <c r="C363" s="35" t="s">
        <v>22</v>
      </c>
      <c r="D363" s="34" t="s">
        <v>2357</v>
      </c>
      <c r="E363" s="11" t="s">
        <v>33</v>
      </c>
    </row>
    <row r="364">
      <c r="B364" s="34" t="s">
        <v>2358</v>
      </c>
      <c r="C364" s="35" t="s">
        <v>64</v>
      </c>
      <c r="D364" s="34" t="s">
        <v>2356</v>
      </c>
      <c r="E364" s="11" t="s">
        <v>37</v>
      </c>
    </row>
    <row r="365">
      <c r="B365" s="34" t="s">
        <v>2356</v>
      </c>
      <c r="C365" s="35" t="s">
        <v>260</v>
      </c>
      <c r="D365" s="34" t="s">
        <v>2355</v>
      </c>
      <c r="E365" s="11" t="s">
        <v>33</v>
      </c>
    </row>
    <row r="366">
      <c r="B366" s="34" t="s">
        <v>2358</v>
      </c>
      <c r="C366" s="35" t="s">
        <v>261</v>
      </c>
      <c r="D366" s="34" t="s">
        <v>2357</v>
      </c>
      <c r="E366" s="11" t="s">
        <v>37</v>
      </c>
    </row>
    <row r="367">
      <c r="B367" s="34" t="s">
        <v>2355</v>
      </c>
      <c r="C367" s="35" t="s">
        <v>14</v>
      </c>
      <c r="D367" s="34" t="s">
        <v>2359</v>
      </c>
      <c r="E367" s="11" t="s">
        <v>33</v>
      </c>
    </row>
    <row r="368">
      <c r="B368" s="34" t="s">
        <v>2356</v>
      </c>
      <c r="C368" s="35" t="s">
        <v>22</v>
      </c>
      <c r="D368" s="34" t="s">
        <v>2357</v>
      </c>
      <c r="E368" s="11" t="s">
        <v>37</v>
      </c>
    </row>
    <row r="369">
      <c r="B369" s="34" t="s">
        <v>2358</v>
      </c>
      <c r="C369" s="35" t="s">
        <v>319</v>
      </c>
      <c r="D369" s="34" t="s">
        <v>2359</v>
      </c>
      <c r="E369" s="11" t="s">
        <v>33</v>
      </c>
    </row>
    <row r="370">
      <c r="B370" s="34" t="s">
        <v>2355</v>
      </c>
      <c r="C370" s="35" t="s">
        <v>17</v>
      </c>
      <c r="D370" s="34" t="s">
        <v>2357</v>
      </c>
      <c r="E370" s="11" t="s">
        <v>37</v>
      </c>
    </row>
    <row r="371">
      <c r="B371" s="34" t="s">
        <v>2356</v>
      </c>
      <c r="C371" s="35" t="s">
        <v>18</v>
      </c>
      <c r="D371" s="34" t="s">
        <v>2359</v>
      </c>
      <c r="E371" s="11" t="s">
        <v>33</v>
      </c>
    </row>
    <row r="372">
      <c r="B372" s="34" t="s">
        <v>2355</v>
      </c>
      <c r="C372" s="35" t="s">
        <v>354</v>
      </c>
      <c r="D372" s="34" t="s">
        <v>2358</v>
      </c>
      <c r="E372" s="11" t="s">
        <v>37</v>
      </c>
    </row>
    <row r="373">
      <c r="B373" s="34" t="s">
        <v>2357</v>
      </c>
      <c r="C373" s="35" t="s">
        <v>65</v>
      </c>
      <c r="D373" s="34" t="s">
        <v>2359</v>
      </c>
      <c r="E373" s="11" t="s">
        <v>33</v>
      </c>
    </row>
    <row r="374">
      <c r="B374" s="34" t="s">
        <v>2356</v>
      </c>
      <c r="C374" s="35" t="s">
        <v>195</v>
      </c>
      <c r="D374" s="34" t="s">
        <v>2358</v>
      </c>
      <c r="E374" s="11" t="s">
        <v>37</v>
      </c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1"/>
    <hyperlink r:id="rId163" ref="E183"/>
    <hyperlink r:id="rId164" ref="E185"/>
    <hyperlink r:id="rId165" ref="E186"/>
    <hyperlink r:id="rId166" ref="E188"/>
    <hyperlink r:id="rId167" ref="E189"/>
    <hyperlink r:id="rId168" ref="E191"/>
    <hyperlink r:id="rId169" ref="E193"/>
    <hyperlink r:id="rId170" ref="E195"/>
    <hyperlink r:id="rId171" ref="E196"/>
    <hyperlink r:id="rId172" ref="E198"/>
    <hyperlink r:id="rId173" ref="E201"/>
    <hyperlink r:id="rId174" ref="E202"/>
    <hyperlink r:id="rId175" ref="E203"/>
    <hyperlink r:id="rId176" ref="E204"/>
    <hyperlink r:id="rId177" ref="E205"/>
    <hyperlink r:id="rId178" ref="E206"/>
    <hyperlink r:id="rId179" ref="E207"/>
    <hyperlink r:id="rId180" ref="E208"/>
    <hyperlink r:id="rId181" ref="E209"/>
    <hyperlink r:id="rId182" ref="E210"/>
    <hyperlink r:id="rId183" ref="E211"/>
    <hyperlink r:id="rId184" ref="E212"/>
    <hyperlink r:id="rId185" ref="E213"/>
    <hyperlink r:id="rId186" ref="E214"/>
    <hyperlink r:id="rId187" ref="E215"/>
    <hyperlink r:id="rId188" ref="E216"/>
    <hyperlink r:id="rId189" ref="E217"/>
    <hyperlink r:id="rId190" ref="E218"/>
    <hyperlink r:id="rId191" ref="E219"/>
    <hyperlink r:id="rId192" ref="E220"/>
    <hyperlink r:id="rId193" ref="E223"/>
    <hyperlink r:id="rId194" ref="E224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7"/>
    <hyperlink r:id="rId214" ref="E249"/>
    <hyperlink r:id="rId215" ref="E251"/>
    <hyperlink r:id="rId216" ref="E252"/>
    <hyperlink r:id="rId217" ref="E254"/>
    <hyperlink r:id="rId218" ref="E255"/>
    <hyperlink r:id="rId219" ref="E257"/>
    <hyperlink r:id="rId220" ref="E259"/>
    <hyperlink r:id="rId221" ref="E261"/>
    <hyperlink r:id="rId222" ref="E262"/>
    <hyperlink r:id="rId223" ref="E264"/>
    <hyperlink r:id="rId224" ref="E267"/>
    <hyperlink r:id="rId225" ref="E268"/>
    <hyperlink r:id="rId226" ref="E269"/>
    <hyperlink r:id="rId227" ref="E270"/>
    <hyperlink r:id="rId228" ref="E271"/>
    <hyperlink r:id="rId229" ref="E272"/>
    <hyperlink r:id="rId230" ref="E273"/>
    <hyperlink r:id="rId231" ref="E274"/>
    <hyperlink r:id="rId232" ref="E275"/>
    <hyperlink r:id="rId233" ref="E276"/>
    <hyperlink r:id="rId234" ref="E277"/>
    <hyperlink r:id="rId235" ref="E278"/>
    <hyperlink r:id="rId236" ref="E279"/>
    <hyperlink r:id="rId237" ref="E280"/>
    <hyperlink r:id="rId238" ref="E281"/>
    <hyperlink r:id="rId239" ref="E282"/>
    <hyperlink r:id="rId240" ref="E283"/>
    <hyperlink r:id="rId241" ref="E284"/>
    <hyperlink r:id="rId242" ref="E285"/>
    <hyperlink r:id="rId243" ref="E286"/>
    <hyperlink r:id="rId244" ref="E289"/>
    <hyperlink r:id="rId245" ref="E290"/>
    <hyperlink r:id="rId246" ref="E291"/>
    <hyperlink r:id="rId247" ref="E292"/>
    <hyperlink r:id="rId248" ref="E293"/>
    <hyperlink r:id="rId249" ref="E294"/>
    <hyperlink r:id="rId250" ref="E295"/>
    <hyperlink r:id="rId251" ref="E296"/>
    <hyperlink r:id="rId252" ref="E297"/>
    <hyperlink r:id="rId253" ref="E298"/>
    <hyperlink r:id="rId254" ref="E299"/>
    <hyperlink r:id="rId255" ref="E300"/>
    <hyperlink r:id="rId256" ref="E301"/>
    <hyperlink r:id="rId257" ref="E302"/>
    <hyperlink r:id="rId258" ref="E303"/>
    <hyperlink r:id="rId259" ref="E304"/>
    <hyperlink r:id="rId260" ref="E305"/>
    <hyperlink r:id="rId261" ref="E306"/>
    <hyperlink r:id="rId262" ref="E307"/>
    <hyperlink r:id="rId263" ref="E308"/>
    <hyperlink r:id="rId264" ref="E311"/>
    <hyperlink r:id="rId265" ref="E312"/>
    <hyperlink r:id="rId266" ref="E313"/>
    <hyperlink r:id="rId267" ref="E314"/>
    <hyperlink r:id="rId268" ref="E315"/>
    <hyperlink r:id="rId269" ref="E316"/>
    <hyperlink r:id="rId270" ref="E317"/>
    <hyperlink r:id="rId271" ref="E318"/>
    <hyperlink r:id="rId272" ref="E319"/>
    <hyperlink r:id="rId273" ref="E320"/>
    <hyperlink r:id="rId274" ref="E321"/>
    <hyperlink r:id="rId275" ref="E322"/>
    <hyperlink r:id="rId276" ref="E323"/>
    <hyperlink r:id="rId277" ref="E324"/>
    <hyperlink r:id="rId278" ref="E325"/>
    <hyperlink r:id="rId279" ref="E326"/>
    <hyperlink r:id="rId280" ref="E327"/>
    <hyperlink r:id="rId281" ref="E328"/>
    <hyperlink r:id="rId282" ref="E329"/>
    <hyperlink r:id="rId283" ref="E330"/>
    <hyperlink r:id="rId284" ref="E333"/>
    <hyperlink r:id="rId285" ref="E334"/>
    <hyperlink r:id="rId286" ref="E335"/>
    <hyperlink r:id="rId287" ref="E336"/>
    <hyperlink r:id="rId288" ref="E337"/>
    <hyperlink r:id="rId289" ref="E338"/>
    <hyperlink r:id="rId290" ref="E339"/>
    <hyperlink r:id="rId291" ref="E340"/>
    <hyperlink r:id="rId292" ref="E341"/>
    <hyperlink r:id="rId293" ref="E342"/>
    <hyperlink r:id="rId294" ref="E343"/>
    <hyperlink r:id="rId295" ref="E344"/>
    <hyperlink r:id="rId296" ref="E345"/>
    <hyperlink r:id="rId297" ref="E346"/>
    <hyperlink r:id="rId298" ref="E347"/>
    <hyperlink r:id="rId299" ref="E348"/>
    <hyperlink r:id="rId300" ref="E349"/>
    <hyperlink r:id="rId301" ref="E350"/>
    <hyperlink r:id="rId302" ref="E351"/>
    <hyperlink r:id="rId303" ref="E352"/>
    <hyperlink r:id="rId304" ref="E355"/>
    <hyperlink r:id="rId305" ref="E356"/>
    <hyperlink r:id="rId306" ref="E357"/>
    <hyperlink r:id="rId307" ref="E358"/>
    <hyperlink r:id="rId308" ref="E359"/>
    <hyperlink r:id="rId309" ref="E360"/>
    <hyperlink r:id="rId310" ref="E361"/>
    <hyperlink r:id="rId311" ref="E362"/>
    <hyperlink r:id="rId312" ref="E363"/>
    <hyperlink r:id="rId313" ref="E364"/>
    <hyperlink r:id="rId314" ref="E365"/>
    <hyperlink r:id="rId315" ref="E366"/>
    <hyperlink r:id="rId316" ref="E367"/>
    <hyperlink r:id="rId317" ref="E368"/>
    <hyperlink r:id="rId318" ref="E369"/>
    <hyperlink r:id="rId319" ref="E370"/>
    <hyperlink r:id="rId320" ref="E371"/>
    <hyperlink r:id="rId321" ref="E372"/>
    <hyperlink r:id="rId322" ref="E373"/>
    <hyperlink r:id="rId323" ref="E374"/>
  </hyperlinks>
  <drawing r:id="rId324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 t="s">
        <v>242</v>
      </c>
      <c r="B1" s="1" t="s">
        <v>2284</v>
      </c>
      <c r="C1" s="2"/>
      <c r="D1" s="3"/>
      <c r="E1" s="29"/>
    </row>
    <row r="2">
      <c r="A2" s="66"/>
      <c r="B2" s="6" t="s">
        <v>2</v>
      </c>
      <c r="C2" s="6" t="s">
        <v>3</v>
      </c>
      <c r="D2" s="6" t="s">
        <v>4</v>
      </c>
      <c r="E2" s="6" t="s">
        <v>5</v>
      </c>
    </row>
    <row r="3">
      <c r="A3" s="66"/>
      <c r="B3" s="32" t="s">
        <v>2114</v>
      </c>
      <c r="C3" s="33" t="s">
        <v>17</v>
      </c>
      <c r="D3" s="34" t="s">
        <v>2360</v>
      </c>
      <c r="E3" s="11" t="s">
        <v>33</v>
      </c>
    </row>
    <row r="4">
      <c r="A4" s="66"/>
      <c r="B4" s="32" t="s">
        <v>2361</v>
      </c>
      <c r="C4" s="33" t="s">
        <v>218</v>
      </c>
      <c r="D4" s="32" t="s">
        <v>2362</v>
      </c>
      <c r="E4" s="11" t="s">
        <v>37</v>
      </c>
    </row>
    <row r="5">
      <c r="A5" s="66"/>
      <c r="B5" s="34" t="s">
        <v>2363</v>
      </c>
      <c r="C5" s="33" t="s">
        <v>48</v>
      </c>
      <c r="D5" s="32" t="s">
        <v>2114</v>
      </c>
      <c r="E5" s="11" t="s">
        <v>33</v>
      </c>
    </row>
    <row r="6">
      <c r="A6" s="66"/>
      <c r="B6" s="32" t="s">
        <v>2361</v>
      </c>
      <c r="C6" s="33" t="s">
        <v>412</v>
      </c>
      <c r="D6" s="34" t="s">
        <v>2360</v>
      </c>
      <c r="E6" s="11" t="s">
        <v>37</v>
      </c>
    </row>
    <row r="7">
      <c r="A7" s="66"/>
      <c r="B7" s="34" t="s">
        <v>2363</v>
      </c>
      <c r="C7" s="33" t="s">
        <v>534</v>
      </c>
      <c r="D7" s="32" t="s">
        <v>2362</v>
      </c>
      <c r="E7" s="11" t="s">
        <v>33</v>
      </c>
    </row>
    <row r="8">
      <c r="A8" s="66"/>
      <c r="B8" s="32" t="s">
        <v>2361</v>
      </c>
      <c r="C8" s="33" t="s">
        <v>62</v>
      </c>
      <c r="D8" s="32" t="s">
        <v>2114</v>
      </c>
      <c r="E8" s="11" t="s">
        <v>37</v>
      </c>
    </row>
    <row r="9">
      <c r="A9" s="66"/>
      <c r="B9" s="34" t="s">
        <v>2363</v>
      </c>
      <c r="C9" s="33" t="s">
        <v>64</v>
      </c>
      <c r="D9" s="34" t="s">
        <v>2360</v>
      </c>
      <c r="E9" s="11" t="s">
        <v>33</v>
      </c>
    </row>
    <row r="10">
      <c r="A10" s="66"/>
      <c r="B10" s="32" t="s">
        <v>2362</v>
      </c>
      <c r="C10" s="33" t="s">
        <v>80</v>
      </c>
      <c r="D10" s="32" t="s">
        <v>2114</v>
      </c>
      <c r="E10" s="11" t="s">
        <v>37</v>
      </c>
    </row>
    <row r="11">
      <c r="A11" s="66"/>
      <c r="B11" s="34" t="s">
        <v>2363</v>
      </c>
      <c r="C11" s="33" t="s">
        <v>201</v>
      </c>
      <c r="D11" s="32" t="s">
        <v>2361</v>
      </c>
      <c r="E11" s="11" t="s">
        <v>33</v>
      </c>
    </row>
    <row r="12">
      <c r="A12" s="66"/>
      <c r="B12" s="32" t="s">
        <v>2362</v>
      </c>
      <c r="C12" s="33" t="s">
        <v>35</v>
      </c>
      <c r="D12" s="34" t="s">
        <v>2360</v>
      </c>
      <c r="E12" s="11" t="s">
        <v>37</v>
      </c>
      <c r="J12" s="36" t="s">
        <v>242</v>
      </c>
    </row>
    <row r="13">
      <c r="A13" s="66"/>
      <c r="B13" s="34" t="s">
        <v>2360</v>
      </c>
      <c r="C13" s="33" t="s">
        <v>797</v>
      </c>
      <c r="D13" s="32" t="s">
        <v>2114</v>
      </c>
      <c r="E13" s="11" t="s">
        <v>33</v>
      </c>
    </row>
    <row r="14">
      <c r="A14" s="66"/>
      <c r="B14" s="32" t="s">
        <v>2362</v>
      </c>
      <c r="C14" s="33" t="s">
        <v>412</v>
      </c>
      <c r="D14" s="32" t="s">
        <v>2361</v>
      </c>
      <c r="E14" s="11" t="s">
        <v>37</v>
      </c>
    </row>
    <row r="15">
      <c r="A15" s="66"/>
      <c r="B15" s="32" t="s">
        <v>2114</v>
      </c>
      <c r="C15" s="35" t="s">
        <v>196</v>
      </c>
      <c r="D15" s="34" t="s">
        <v>2363</v>
      </c>
      <c r="E15" s="11" t="s">
        <v>33</v>
      </c>
    </row>
    <row r="16">
      <c r="A16" s="66"/>
      <c r="B16" s="34" t="s">
        <v>2360</v>
      </c>
      <c r="C16" s="35" t="s">
        <v>28</v>
      </c>
      <c r="D16" s="32" t="s">
        <v>2361</v>
      </c>
      <c r="E16" s="11" t="s">
        <v>37</v>
      </c>
    </row>
    <row r="17">
      <c r="A17" s="66"/>
      <c r="B17" s="32" t="s">
        <v>2362</v>
      </c>
      <c r="C17" s="37" t="s">
        <v>295</v>
      </c>
      <c r="D17" s="34" t="s">
        <v>2363</v>
      </c>
      <c r="E17" s="11" t="s">
        <v>33</v>
      </c>
      <c r="F17" s="36"/>
    </row>
    <row r="18">
      <c r="A18" s="66"/>
      <c r="B18" s="32" t="s">
        <v>2114</v>
      </c>
      <c r="C18" s="35" t="s">
        <v>218</v>
      </c>
      <c r="D18" s="32" t="s">
        <v>2361</v>
      </c>
      <c r="E18" s="11" t="s">
        <v>37</v>
      </c>
    </row>
    <row r="19">
      <c r="A19" s="66"/>
      <c r="B19" s="34" t="s">
        <v>2360</v>
      </c>
      <c r="C19" s="35" t="s">
        <v>190</v>
      </c>
      <c r="D19" s="34" t="s">
        <v>2363</v>
      </c>
      <c r="E19" s="11" t="s">
        <v>33</v>
      </c>
    </row>
    <row r="20">
      <c r="A20" s="66"/>
      <c r="B20" s="32" t="s">
        <v>2114</v>
      </c>
      <c r="C20" s="35" t="s">
        <v>2364</v>
      </c>
      <c r="D20" s="32" t="s">
        <v>2362</v>
      </c>
      <c r="E20" s="11" t="s">
        <v>37</v>
      </c>
    </row>
    <row r="21">
      <c r="A21" s="66"/>
      <c r="B21" s="32" t="s">
        <v>2361</v>
      </c>
      <c r="C21" s="35" t="s">
        <v>82</v>
      </c>
      <c r="D21" s="34" t="s">
        <v>2363</v>
      </c>
      <c r="E21" s="11" t="s">
        <v>33</v>
      </c>
    </row>
    <row r="22">
      <c r="A22" s="66"/>
      <c r="B22" s="34" t="s">
        <v>2360</v>
      </c>
      <c r="C22" s="35" t="s">
        <v>16</v>
      </c>
      <c r="D22" s="32" t="s">
        <v>2362</v>
      </c>
      <c r="E22" s="11" t="s">
        <v>37</v>
      </c>
    </row>
    <row r="23">
      <c r="A23" s="66"/>
      <c r="B23" s="1" t="s">
        <v>2085</v>
      </c>
      <c r="C23" s="2"/>
      <c r="D23" s="3"/>
      <c r="E23" s="48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1713</v>
      </c>
      <c r="C25" s="33" t="s">
        <v>21</v>
      </c>
      <c r="D25" s="34" t="s">
        <v>2365</v>
      </c>
      <c r="E25" s="11" t="s">
        <v>9</v>
      </c>
    </row>
    <row r="26">
      <c r="A26" s="66"/>
      <c r="B26" s="32" t="s">
        <v>1520</v>
      </c>
      <c r="C26" s="33" t="s">
        <v>193</v>
      </c>
      <c r="D26" s="32" t="s">
        <v>118</v>
      </c>
      <c r="E26" s="11" t="s">
        <v>13</v>
      </c>
    </row>
    <row r="27">
      <c r="A27" s="66"/>
      <c r="B27" s="34" t="s">
        <v>2366</v>
      </c>
      <c r="C27" s="33" t="s">
        <v>218</v>
      </c>
      <c r="D27" s="34" t="s">
        <v>1713</v>
      </c>
      <c r="E27" s="11" t="s">
        <v>9</v>
      </c>
    </row>
    <row r="28">
      <c r="A28" s="66"/>
      <c r="B28" s="32" t="s">
        <v>1520</v>
      </c>
      <c r="C28" s="33" t="s">
        <v>62</v>
      </c>
      <c r="D28" s="34" t="s">
        <v>2365</v>
      </c>
      <c r="E28" s="11" t="s">
        <v>13</v>
      </c>
    </row>
    <row r="29">
      <c r="A29" s="66"/>
      <c r="B29" s="34" t="s">
        <v>2366</v>
      </c>
      <c r="C29" s="33" t="s">
        <v>201</v>
      </c>
      <c r="D29" s="32" t="s">
        <v>118</v>
      </c>
      <c r="E29" s="11" t="s">
        <v>9</v>
      </c>
    </row>
    <row r="30">
      <c r="A30" s="66"/>
      <c r="B30" s="32" t="s">
        <v>1520</v>
      </c>
      <c r="C30" s="33" t="s">
        <v>87</v>
      </c>
      <c r="D30" s="34" t="s">
        <v>1713</v>
      </c>
      <c r="E30" s="11" t="s">
        <v>13</v>
      </c>
    </row>
    <row r="31">
      <c r="A31" s="66"/>
      <c r="B31" s="34" t="s">
        <v>2366</v>
      </c>
      <c r="C31" s="33" t="s">
        <v>331</v>
      </c>
      <c r="D31" s="34" t="s">
        <v>2365</v>
      </c>
      <c r="E31" s="11" t="s">
        <v>9</v>
      </c>
    </row>
    <row r="32">
      <c r="A32" s="66"/>
      <c r="B32" s="32" t="s">
        <v>118</v>
      </c>
      <c r="C32" s="33" t="s">
        <v>18</v>
      </c>
      <c r="D32" s="34" t="s">
        <v>1713</v>
      </c>
      <c r="E32" s="11" t="s">
        <v>13</v>
      </c>
    </row>
    <row r="33">
      <c r="A33" s="66"/>
      <c r="B33" s="34" t="s">
        <v>2366</v>
      </c>
      <c r="C33" s="33" t="s">
        <v>66</v>
      </c>
      <c r="D33" s="32" t="s">
        <v>1520</v>
      </c>
      <c r="E33" s="11" t="s">
        <v>9</v>
      </c>
    </row>
    <row r="34">
      <c r="A34" s="66"/>
      <c r="B34" s="32" t="s">
        <v>118</v>
      </c>
      <c r="C34" s="33" t="s">
        <v>363</v>
      </c>
      <c r="D34" s="34" t="s">
        <v>2365</v>
      </c>
      <c r="E34" s="11" t="s">
        <v>13</v>
      </c>
    </row>
    <row r="35">
      <c r="A35" s="66"/>
      <c r="B35" s="34" t="s">
        <v>2365</v>
      </c>
      <c r="C35" s="33" t="s">
        <v>11</v>
      </c>
      <c r="D35" s="34" t="s">
        <v>1713</v>
      </c>
      <c r="E35" s="11" t="s">
        <v>9</v>
      </c>
    </row>
    <row r="36">
      <c r="A36" s="66"/>
      <c r="B36" s="32" t="s">
        <v>118</v>
      </c>
      <c r="C36" s="33" t="s">
        <v>81</v>
      </c>
      <c r="D36" s="32" t="s">
        <v>1520</v>
      </c>
      <c r="E36" s="11" t="s">
        <v>13</v>
      </c>
    </row>
    <row r="37">
      <c r="A37" s="66"/>
      <c r="B37" s="34" t="s">
        <v>1713</v>
      </c>
      <c r="C37" s="35" t="s">
        <v>25</v>
      </c>
      <c r="D37" s="34" t="s">
        <v>2366</v>
      </c>
      <c r="E37" s="11" t="s">
        <v>9</v>
      </c>
    </row>
    <row r="38">
      <c r="A38" s="66"/>
      <c r="B38" s="34" t="s">
        <v>2365</v>
      </c>
      <c r="C38" s="35" t="s">
        <v>217</v>
      </c>
      <c r="D38" s="32" t="s">
        <v>1520</v>
      </c>
      <c r="E38" s="11" t="s">
        <v>13</v>
      </c>
    </row>
    <row r="39">
      <c r="A39" s="66"/>
      <c r="B39" s="32" t="s">
        <v>118</v>
      </c>
      <c r="C39" s="35" t="s">
        <v>215</v>
      </c>
      <c r="D39" s="34" t="s">
        <v>2366</v>
      </c>
      <c r="E39" s="11" t="s">
        <v>9</v>
      </c>
    </row>
    <row r="40">
      <c r="A40" s="66"/>
      <c r="B40" s="34" t="s">
        <v>1713</v>
      </c>
      <c r="C40" s="35" t="s">
        <v>239</v>
      </c>
      <c r="D40" s="32" t="s">
        <v>1520</v>
      </c>
      <c r="E40" s="11" t="s">
        <v>13</v>
      </c>
    </row>
    <row r="41">
      <c r="A41" s="66"/>
      <c r="B41" s="34" t="s">
        <v>2365</v>
      </c>
      <c r="C41" s="35" t="s">
        <v>2367</v>
      </c>
      <c r="D41" s="34" t="s">
        <v>2366</v>
      </c>
      <c r="E41" s="11" t="s">
        <v>9</v>
      </c>
    </row>
    <row r="42">
      <c r="A42" s="66"/>
      <c r="B42" s="34" t="s">
        <v>1713</v>
      </c>
      <c r="C42" s="35" t="s">
        <v>193</v>
      </c>
      <c r="D42" s="32" t="s">
        <v>118</v>
      </c>
      <c r="E42" s="11" t="s">
        <v>13</v>
      </c>
    </row>
    <row r="43">
      <c r="A43" s="66"/>
      <c r="B43" s="32" t="s">
        <v>1520</v>
      </c>
      <c r="C43" s="35" t="s">
        <v>17</v>
      </c>
      <c r="D43" s="34" t="s">
        <v>2366</v>
      </c>
      <c r="E43" s="11" t="s">
        <v>9</v>
      </c>
    </row>
    <row r="44">
      <c r="A44" s="67"/>
      <c r="B44" s="34" t="s">
        <v>2365</v>
      </c>
      <c r="C44" s="35" t="s">
        <v>291</v>
      </c>
      <c r="D44" s="32" t="s">
        <v>118</v>
      </c>
      <c r="E44" s="11" t="s">
        <v>13</v>
      </c>
    </row>
    <row r="45">
      <c r="B45" s="1" t="s">
        <v>2295</v>
      </c>
      <c r="C45" s="2"/>
      <c r="D45" s="3"/>
      <c r="E45" s="14"/>
    </row>
    <row r="46">
      <c r="B46" s="16" t="s">
        <v>2</v>
      </c>
      <c r="C46" s="16" t="s">
        <v>3</v>
      </c>
      <c r="D46" s="16" t="s">
        <v>4</v>
      </c>
      <c r="E46" s="16" t="s">
        <v>5</v>
      </c>
    </row>
    <row r="47">
      <c r="B47" s="32" t="s">
        <v>1559</v>
      </c>
      <c r="C47" s="33" t="s">
        <v>14</v>
      </c>
      <c r="D47" s="32" t="s">
        <v>2368</v>
      </c>
      <c r="E47" s="11" t="s">
        <v>33</v>
      </c>
    </row>
    <row r="48">
      <c r="B48" s="32" t="s">
        <v>2369</v>
      </c>
      <c r="C48" s="33" t="s">
        <v>195</v>
      </c>
      <c r="D48" s="32" t="s">
        <v>2297</v>
      </c>
      <c r="E48" s="11" t="s">
        <v>37</v>
      </c>
    </row>
    <row r="49">
      <c r="B49" s="32" t="s">
        <v>12</v>
      </c>
      <c r="C49" s="33" t="s">
        <v>536</v>
      </c>
      <c r="D49" s="32" t="s">
        <v>1559</v>
      </c>
      <c r="E49" s="11" t="s">
        <v>33</v>
      </c>
    </row>
    <row r="50">
      <c r="B50" s="32" t="s">
        <v>2369</v>
      </c>
      <c r="C50" s="33" t="s">
        <v>197</v>
      </c>
      <c r="D50" s="32" t="s">
        <v>2368</v>
      </c>
      <c r="E50" s="11" t="s">
        <v>37</v>
      </c>
    </row>
    <row r="51">
      <c r="B51" s="32" t="s">
        <v>12</v>
      </c>
      <c r="C51" s="33" t="s">
        <v>535</v>
      </c>
      <c r="D51" s="32" t="s">
        <v>2297</v>
      </c>
      <c r="E51" s="11" t="s">
        <v>33</v>
      </c>
    </row>
    <row r="52">
      <c r="B52" s="32" t="s">
        <v>2369</v>
      </c>
      <c r="C52" s="33" t="s">
        <v>22</v>
      </c>
      <c r="D52" s="32" t="s">
        <v>1559</v>
      </c>
      <c r="E52" s="11" t="s">
        <v>37</v>
      </c>
    </row>
    <row r="53">
      <c r="B53" s="32" t="s">
        <v>12</v>
      </c>
      <c r="C53" s="33" t="s">
        <v>282</v>
      </c>
      <c r="D53" s="32" t="s">
        <v>2368</v>
      </c>
      <c r="E53" s="11" t="s">
        <v>33</v>
      </c>
    </row>
    <row r="54">
      <c r="B54" s="32" t="s">
        <v>2297</v>
      </c>
      <c r="C54" s="33" t="s">
        <v>62</v>
      </c>
      <c r="D54" s="32" t="s">
        <v>1559</v>
      </c>
      <c r="E54" s="11" t="s">
        <v>37</v>
      </c>
    </row>
    <row r="55">
      <c r="B55" s="32" t="s">
        <v>12</v>
      </c>
      <c r="C55" s="33" t="s">
        <v>195</v>
      </c>
      <c r="D55" s="32" t="s">
        <v>2369</v>
      </c>
      <c r="E55" s="11" t="s">
        <v>33</v>
      </c>
    </row>
    <row r="56">
      <c r="B56" s="32" t="s">
        <v>2297</v>
      </c>
      <c r="C56" s="33" t="s">
        <v>81</v>
      </c>
      <c r="D56" s="32" t="s">
        <v>2368</v>
      </c>
      <c r="E56" s="11" t="s">
        <v>37</v>
      </c>
    </row>
    <row r="57">
      <c r="B57" s="32" t="s">
        <v>2368</v>
      </c>
      <c r="C57" s="33" t="s">
        <v>193</v>
      </c>
      <c r="D57" s="32" t="s">
        <v>1559</v>
      </c>
      <c r="E57" s="11" t="s">
        <v>33</v>
      </c>
    </row>
    <row r="58">
      <c r="B58" s="32" t="s">
        <v>2297</v>
      </c>
      <c r="C58" s="33" t="s">
        <v>190</v>
      </c>
      <c r="D58" s="32" t="s">
        <v>2369</v>
      </c>
      <c r="E58" s="11" t="s">
        <v>37</v>
      </c>
    </row>
    <row r="59">
      <c r="B59" s="32" t="s">
        <v>1559</v>
      </c>
      <c r="C59" s="35" t="s">
        <v>354</v>
      </c>
      <c r="D59" s="32" t="s">
        <v>12</v>
      </c>
      <c r="E59" s="11" t="s">
        <v>33</v>
      </c>
    </row>
    <row r="60">
      <c r="B60" s="32" t="s">
        <v>2368</v>
      </c>
      <c r="C60" s="35" t="s">
        <v>886</v>
      </c>
      <c r="D60" s="32" t="s">
        <v>2369</v>
      </c>
      <c r="E60" s="11" t="s">
        <v>37</v>
      </c>
      <c r="H60" s="36"/>
      <c r="I60" s="36"/>
    </row>
    <row r="61">
      <c r="B61" s="32" t="s">
        <v>2297</v>
      </c>
      <c r="C61" s="35" t="s">
        <v>201</v>
      </c>
      <c r="D61" s="32" t="s">
        <v>12</v>
      </c>
      <c r="E61" s="11" t="s">
        <v>33</v>
      </c>
    </row>
    <row r="62">
      <c r="B62" s="32" t="s">
        <v>1559</v>
      </c>
      <c r="C62" s="35" t="s">
        <v>370</v>
      </c>
      <c r="D62" s="32" t="s">
        <v>2369</v>
      </c>
      <c r="E62" s="11" t="s">
        <v>37</v>
      </c>
    </row>
    <row r="63">
      <c r="B63" s="32" t="s">
        <v>2368</v>
      </c>
      <c r="C63" s="35" t="s">
        <v>19</v>
      </c>
      <c r="D63" s="32" t="s">
        <v>12</v>
      </c>
      <c r="E63" s="11" t="s">
        <v>33</v>
      </c>
    </row>
    <row r="64">
      <c r="B64" s="32" t="s">
        <v>1559</v>
      </c>
      <c r="C64" s="35" t="s">
        <v>87</v>
      </c>
      <c r="D64" s="32" t="s">
        <v>2297</v>
      </c>
      <c r="E64" s="11" t="s">
        <v>37</v>
      </c>
    </row>
    <row r="65">
      <c r="B65" s="32" t="s">
        <v>2369</v>
      </c>
      <c r="C65" s="35" t="s">
        <v>212</v>
      </c>
      <c r="D65" s="32" t="s">
        <v>12</v>
      </c>
      <c r="E65" s="11" t="s">
        <v>33</v>
      </c>
    </row>
    <row r="66">
      <c r="B66" s="32" t="s">
        <v>2368</v>
      </c>
      <c r="C66" s="35" t="s">
        <v>72</v>
      </c>
      <c r="D66" s="32" t="s">
        <v>2297</v>
      </c>
      <c r="E66" s="11" t="s">
        <v>37</v>
      </c>
    </row>
    <row r="67">
      <c r="B67" s="1" t="s">
        <v>1331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16" t="s">
        <v>5</v>
      </c>
    </row>
    <row r="69">
      <c r="B69" s="32" t="s">
        <v>1785</v>
      </c>
      <c r="C69" s="33" t="s">
        <v>282</v>
      </c>
      <c r="D69" s="32" t="s">
        <v>1727</v>
      </c>
      <c r="E69" s="11" t="s">
        <v>9</v>
      </c>
    </row>
    <row r="70">
      <c r="B70" s="32" t="s">
        <v>1825</v>
      </c>
      <c r="C70" s="33" t="s">
        <v>426</v>
      </c>
      <c r="D70" s="32" t="s">
        <v>1655</v>
      </c>
      <c r="E70" s="11" t="s">
        <v>13</v>
      </c>
    </row>
    <row r="71">
      <c r="B71" s="32" t="s">
        <v>1657</v>
      </c>
      <c r="C71" s="33" t="s">
        <v>81</v>
      </c>
      <c r="D71" s="32" t="s">
        <v>1785</v>
      </c>
      <c r="E71" s="11" t="s">
        <v>9</v>
      </c>
    </row>
    <row r="72">
      <c r="B72" s="32" t="s">
        <v>1825</v>
      </c>
      <c r="C72" s="33" t="s">
        <v>24</v>
      </c>
      <c r="D72" s="32" t="s">
        <v>1727</v>
      </c>
      <c r="E72" s="11" t="s">
        <v>13</v>
      </c>
    </row>
    <row r="73">
      <c r="B73" s="32" t="s">
        <v>1657</v>
      </c>
      <c r="C73" s="33" t="s">
        <v>87</v>
      </c>
      <c r="D73" s="32" t="s">
        <v>1655</v>
      </c>
      <c r="E73" s="11" t="s">
        <v>9</v>
      </c>
    </row>
    <row r="74">
      <c r="B74" s="32" t="s">
        <v>1825</v>
      </c>
      <c r="C74" s="33" t="s">
        <v>68</v>
      </c>
      <c r="D74" s="32" t="s">
        <v>1785</v>
      </c>
      <c r="E74" s="11" t="s">
        <v>13</v>
      </c>
    </row>
    <row r="75">
      <c r="B75" s="32" t="s">
        <v>1657</v>
      </c>
      <c r="C75" s="33" t="s">
        <v>45</v>
      </c>
      <c r="D75" s="32" t="s">
        <v>1727</v>
      </c>
      <c r="E75" s="11" t="s">
        <v>9</v>
      </c>
    </row>
    <row r="76">
      <c r="B76" s="32" t="s">
        <v>1655</v>
      </c>
      <c r="C76" s="33" t="s">
        <v>11</v>
      </c>
      <c r="D76" s="32" t="s">
        <v>1785</v>
      </c>
      <c r="E76" s="11" t="s">
        <v>13</v>
      </c>
    </row>
    <row r="77">
      <c r="B77" s="32" t="s">
        <v>1657</v>
      </c>
      <c r="C77" s="33" t="s">
        <v>217</v>
      </c>
      <c r="D77" s="32" t="s">
        <v>1825</v>
      </c>
      <c r="E77" s="11" t="s">
        <v>9</v>
      </c>
    </row>
    <row r="78">
      <c r="B78" s="32" t="s">
        <v>1655</v>
      </c>
      <c r="C78" s="33" t="s">
        <v>389</v>
      </c>
      <c r="D78" s="32" t="s">
        <v>1727</v>
      </c>
      <c r="E78" s="11" t="s">
        <v>13</v>
      </c>
    </row>
    <row r="79">
      <c r="B79" s="32" t="s">
        <v>1727</v>
      </c>
      <c r="C79" s="33" t="s">
        <v>533</v>
      </c>
      <c r="D79" s="32" t="s">
        <v>1785</v>
      </c>
      <c r="E79" s="11" t="s">
        <v>9</v>
      </c>
    </row>
    <row r="80">
      <c r="B80" s="32" t="s">
        <v>1655</v>
      </c>
      <c r="C80" s="33" t="s">
        <v>293</v>
      </c>
      <c r="D80" s="32" t="s">
        <v>1825</v>
      </c>
      <c r="E80" s="11" t="s">
        <v>13</v>
      </c>
    </row>
    <row r="81">
      <c r="B81" s="32" t="s">
        <v>1785</v>
      </c>
      <c r="C81" s="35" t="s">
        <v>201</v>
      </c>
      <c r="D81" s="32" t="s">
        <v>1657</v>
      </c>
      <c r="E81" s="11" t="s">
        <v>9</v>
      </c>
    </row>
    <row r="82">
      <c r="B82" s="32" t="s">
        <v>1727</v>
      </c>
      <c r="C82" s="35" t="s">
        <v>412</v>
      </c>
      <c r="D82" s="32" t="s">
        <v>1825</v>
      </c>
      <c r="E82" s="11" t="s">
        <v>13</v>
      </c>
    </row>
    <row r="83">
      <c r="B83" s="32" t="s">
        <v>1655</v>
      </c>
      <c r="C83" s="35" t="s">
        <v>81</v>
      </c>
      <c r="D83" s="32" t="s">
        <v>1657</v>
      </c>
      <c r="E83" s="11" t="s">
        <v>9</v>
      </c>
    </row>
    <row r="84">
      <c r="B84" s="32" t="s">
        <v>1785</v>
      </c>
      <c r="C84" s="35" t="s">
        <v>64</v>
      </c>
      <c r="D84" s="32" t="s">
        <v>1825</v>
      </c>
      <c r="E84" s="11" t="s">
        <v>13</v>
      </c>
    </row>
    <row r="85">
      <c r="B85" s="32" t="s">
        <v>1727</v>
      </c>
      <c r="C85" s="35" t="s">
        <v>35</v>
      </c>
      <c r="D85" s="32" t="s">
        <v>1657</v>
      </c>
      <c r="E85" s="11" t="s">
        <v>9</v>
      </c>
    </row>
    <row r="86">
      <c r="B86" s="32" t="s">
        <v>1785</v>
      </c>
      <c r="C86" s="35" t="s">
        <v>28</v>
      </c>
      <c r="D86" s="32" t="s">
        <v>1655</v>
      </c>
      <c r="E86" s="11" t="s">
        <v>13</v>
      </c>
    </row>
    <row r="87">
      <c r="B87" s="32" t="s">
        <v>1825</v>
      </c>
      <c r="C87" s="35" t="s">
        <v>291</v>
      </c>
      <c r="D87" s="32" t="s">
        <v>1657</v>
      </c>
      <c r="E87" s="11" t="s">
        <v>9</v>
      </c>
    </row>
    <row r="88">
      <c r="B88" s="32" t="s">
        <v>1727</v>
      </c>
      <c r="C88" s="35" t="s">
        <v>243</v>
      </c>
      <c r="D88" s="32" t="s">
        <v>1655</v>
      </c>
      <c r="E88" s="11" t="s">
        <v>13</v>
      </c>
    </row>
    <row r="89">
      <c r="B89" s="1" t="s">
        <v>2370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16" t="s">
        <v>5</v>
      </c>
    </row>
    <row r="91">
      <c r="B91" s="32" t="s">
        <v>1667</v>
      </c>
      <c r="C91" s="35" t="s">
        <v>68</v>
      </c>
      <c r="D91" s="32" t="s">
        <v>2371</v>
      </c>
      <c r="E91" s="11" t="s">
        <v>9</v>
      </c>
    </row>
    <row r="92">
      <c r="B92" s="32" t="s">
        <v>1793</v>
      </c>
      <c r="C92" s="35" t="s">
        <v>31</v>
      </c>
      <c r="D92" s="32" t="s">
        <v>1510</v>
      </c>
      <c r="E92" s="11" t="s">
        <v>13</v>
      </c>
    </row>
    <row r="93">
      <c r="B93" s="32" t="s">
        <v>1790</v>
      </c>
      <c r="C93" s="35" t="s">
        <v>488</v>
      </c>
      <c r="D93" s="32" t="s">
        <v>1667</v>
      </c>
      <c r="E93" s="11" t="s">
        <v>9</v>
      </c>
    </row>
    <row r="94">
      <c r="B94" s="32" t="s">
        <v>1793</v>
      </c>
      <c r="C94" s="35" t="s">
        <v>19</v>
      </c>
      <c r="D94" s="32" t="s">
        <v>2371</v>
      </c>
      <c r="E94" s="11" t="s">
        <v>13</v>
      </c>
    </row>
    <row r="95">
      <c r="B95" s="32" t="s">
        <v>1790</v>
      </c>
      <c r="C95" s="35" t="s">
        <v>951</v>
      </c>
      <c r="D95" s="32" t="s">
        <v>1510</v>
      </c>
      <c r="E95" s="11" t="s">
        <v>9</v>
      </c>
    </row>
    <row r="96">
      <c r="B96" s="32" t="s">
        <v>1793</v>
      </c>
      <c r="C96" s="35" t="s">
        <v>282</v>
      </c>
      <c r="D96" s="32" t="s">
        <v>1667</v>
      </c>
      <c r="E96" s="11" t="s">
        <v>13</v>
      </c>
    </row>
    <row r="97">
      <c r="B97" s="32" t="s">
        <v>1790</v>
      </c>
      <c r="C97" s="35" t="s">
        <v>201</v>
      </c>
      <c r="D97" s="32" t="s">
        <v>2371</v>
      </c>
      <c r="E97" s="11" t="s">
        <v>9</v>
      </c>
    </row>
    <row r="98">
      <c r="B98" s="32" t="s">
        <v>1510</v>
      </c>
      <c r="C98" s="35" t="s">
        <v>318</v>
      </c>
      <c r="D98" s="32" t="s">
        <v>1667</v>
      </c>
      <c r="E98" s="11" t="s">
        <v>13</v>
      </c>
    </row>
    <row r="99">
      <c r="B99" s="32" t="s">
        <v>1790</v>
      </c>
      <c r="C99" s="35" t="s">
        <v>282</v>
      </c>
      <c r="D99" s="32" t="s">
        <v>1793</v>
      </c>
      <c r="E99" s="11" t="s">
        <v>9</v>
      </c>
    </row>
    <row r="100">
      <c r="B100" s="32" t="s">
        <v>1510</v>
      </c>
      <c r="C100" s="35" t="s">
        <v>31</v>
      </c>
      <c r="D100" s="32" t="s">
        <v>2371</v>
      </c>
      <c r="E100" s="11" t="s">
        <v>13</v>
      </c>
    </row>
    <row r="101">
      <c r="B101" s="32" t="s">
        <v>2371</v>
      </c>
      <c r="C101" s="35" t="s">
        <v>190</v>
      </c>
      <c r="D101" s="32" t="s">
        <v>1667</v>
      </c>
      <c r="E101" s="11" t="s">
        <v>9</v>
      </c>
    </row>
    <row r="102">
      <c r="B102" s="32" t="s">
        <v>1510</v>
      </c>
      <c r="C102" s="35" t="s">
        <v>72</v>
      </c>
      <c r="D102" s="32" t="s">
        <v>1793</v>
      </c>
      <c r="E102" s="11" t="s">
        <v>13</v>
      </c>
    </row>
    <row r="103">
      <c r="B103" s="32" t="s">
        <v>1667</v>
      </c>
      <c r="C103" s="35" t="s">
        <v>38</v>
      </c>
      <c r="D103" s="32" t="s">
        <v>1790</v>
      </c>
      <c r="E103" s="11" t="s">
        <v>9</v>
      </c>
    </row>
    <row r="104">
      <c r="B104" s="32" t="s">
        <v>2371</v>
      </c>
      <c r="C104" s="35" t="s">
        <v>413</v>
      </c>
      <c r="D104" s="32" t="s">
        <v>1793</v>
      </c>
      <c r="E104" s="11" t="s">
        <v>13</v>
      </c>
    </row>
    <row r="105">
      <c r="B105" s="32" t="s">
        <v>1510</v>
      </c>
      <c r="C105" s="35" t="s">
        <v>58</v>
      </c>
      <c r="D105" s="32" t="s">
        <v>1790</v>
      </c>
      <c r="E105" s="11" t="s">
        <v>9</v>
      </c>
    </row>
    <row r="106">
      <c r="B106" s="32" t="s">
        <v>1667</v>
      </c>
      <c r="C106" s="35" t="s">
        <v>195</v>
      </c>
      <c r="D106" s="32" t="s">
        <v>1793</v>
      </c>
      <c r="E106" s="11" t="s">
        <v>13</v>
      </c>
    </row>
    <row r="107">
      <c r="B107" s="32" t="s">
        <v>2371</v>
      </c>
      <c r="C107" s="35" t="s">
        <v>260</v>
      </c>
      <c r="D107" s="32" t="s">
        <v>1790</v>
      </c>
      <c r="E107" s="11" t="s">
        <v>9</v>
      </c>
    </row>
    <row r="108">
      <c r="B108" s="32" t="s">
        <v>1667</v>
      </c>
      <c r="C108" s="35" t="s">
        <v>240</v>
      </c>
      <c r="D108" s="32" t="s">
        <v>1510</v>
      </c>
      <c r="E108" s="11" t="s">
        <v>13</v>
      </c>
    </row>
    <row r="109">
      <c r="B109" s="32" t="s">
        <v>1793</v>
      </c>
      <c r="C109" s="35" t="s">
        <v>45</v>
      </c>
      <c r="D109" s="32" t="s">
        <v>1790</v>
      </c>
      <c r="E109" s="11" t="s">
        <v>9</v>
      </c>
    </row>
    <row r="110">
      <c r="B110" s="32" t="s">
        <v>2371</v>
      </c>
      <c r="C110" s="35" t="s">
        <v>18</v>
      </c>
      <c r="D110" s="32" t="s">
        <v>1510</v>
      </c>
      <c r="E110" s="11" t="s">
        <v>13</v>
      </c>
    </row>
    <row r="111">
      <c r="B111" s="1" t="s">
        <v>2372</v>
      </c>
      <c r="C111" s="2"/>
      <c r="D111" s="3"/>
      <c r="E111" s="14"/>
    </row>
    <row r="112"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B113" s="32" t="s">
        <v>1376</v>
      </c>
      <c r="C113" s="33" t="s">
        <v>270</v>
      </c>
      <c r="D113" s="32" t="s">
        <v>2373</v>
      </c>
      <c r="E113" s="11" t="s">
        <v>33</v>
      </c>
    </row>
    <row r="114">
      <c r="B114" s="32" t="s">
        <v>1929</v>
      </c>
      <c r="C114" s="33" t="s">
        <v>362</v>
      </c>
      <c r="D114" s="32" t="s">
        <v>476</v>
      </c>
      <c r="E114" s="11" t="s">
        <v>37</v>
      </c>
    </row>
    <row r="115">
      <c r="B115" s="32" t="s">
        <v>1699</v>
      </c>
      <c r="C115" s="33" t="s">
        <v>196</v>
      </c>
      <c r="D115" s="32" t="s">
        <v>1376</v>
      </c>
      <c r="E115" s="11" t="s">
        <v>33</v>
      </c>
    </row>
    <row r="116">
      <c r="B116" s="32" t="s">
        <v>1929</v>
      </c>
      <c r="C116" s="33" t="s">
        <v>544</v>
      </c>
      <c r="D116" s="32" t="s">
        <v>2373</v>
      </c>
      <c r="E116" s="11" t="s">
        <v>37</v>
      </c>
    </row>
    <row r="117">
      <c r="B117" s="32" t="s">
        <v>1699</v>
      </c>
      <c r="C117" s="33" t="s">
        <v>71</v>
      </c>
      <c r="D117" s="32" t="s">
        <v>476</v>
      </c>
      <c r="E117" s="11" t="s">
        <v>33</v>
      </c>
    </row>
    <row r="118">
      <c r="B118" s="32" t="s">
        <v>1929</v>
      </c>
      <c r="C118" s="33" t="s">
        <v>35</v>
      </c>
      <c r="D118" s="32" t="s">
        <v>1376</v>
      </c>
      <c r="E118" s="11" t="s">
        <v>37</v>
      </c>
    </row>
    <row r="119">
      <c r="B119" s="32" t="s">
        <v>1699</v>
      </c>
      <c r="C119" s="33" t="s">
        <v>83</v>
      </c>
      <c r="D119" s="32" t="s">
        <v>2373</v>
      </c>
      <c r="E119" s="11" t="s">
        <v>33</v>
      </c>
    </row>
    <row r="120">
      <c r="B120" s="32" t="s">
        <v>476</v>
      </c>
      <c r="C120" s="33" t="s">
        <v>48</v>
      </c>
      <c r="D120" s="32" t="s">
        <v>1376</v>
      </c>
      <c r="E120" s="11" t="s">
        <v>37</v>
      </c>
    </row>
    <row r="121">
      <c r="B121" s="32" t="s">
        <v>1699</v>
      </c>
      <c r="C121" s="33" t="s">
        <v>293</v>
      </c>
      <c r="D121" s="32" t="s">
        <v>1929</v>
      </c>
      <c r="E121" s="11" t="s">
        <v>33</v>
      </c>
    </row>
    <row r="122">
      <c r="B122" s="32" t="s">
        <v>476</v>
      </c>
      <c r="C122" s="33" t="s">
        <v>17</v>
      </c>
      <c r="D122" s="32" t="s">
        <v>2373</v>
      </c>
      <c r="E122" s="11" t="s">
        <v>37</v>
      </c>
    </row>
    <row r="123">
      <c r="B123" s="32" t="s">
        <v>2373</v>
      </c>
      <c r="C123" s="33" t="s">
        <v>456</v>
      </c>
      <c r="D123" s="32" t="s">
        <v>1376</v>
      </c>
      <c r="E123" s="11" t="s">
        <v>33</v>
      </c>
    </row>
    <row r="124">
      <c r="B124" s="32" t="s">
        <v>476</v>
      </c>
      <c r="C124" s="33" t="s">
        <v>2374</v>
      </c>
      <c r="D124" s="32" t="s">
        <v>1929</v>
      </c>
      <c r="E124" s="11" t="s">
        <v>37</v>
      </c>
    </row>
    <row r="125">
      <c r="B125" s="32" t="s">
        <v>1376</v>
      </c>
      <c r="C125" s="35" t="s">
        <v>87</v>
      </c>
      <c r="D125" s="32" t="s">
        <v>1699</v>
      </c>
      <c r="E125" s="11" t="s">
        <v>33</v>
      </c>
    </row>
    <row r="126">
      <c r="B126" s="32" t="s">
        <v>2373</v>
      </c>
      <c r="C126" s="35" t="s">
        <v>19</v>
      </c>
      <c r="D126" s="32" t="s">
        <v>1929</v>
      </c>
      <c r="E126" s="11" t="s">
        <v>37</v>
      </c>
    </row>
    <row r="127">
      <c r="B127" s="32" t="s">
        <v>476</v>
      </c>
      <c r="C127" s="35" t="s">
        <v>22</v>
      </c>
      <c r="D127" s="32" t="s">
        <v>1699</v>
      </c>
      <c r="E127" s="11" t="s">
        <v>33</v>
      </c>
    </row>
    <row r="128">
      <c r="B128" s="32" t="s">
        <v>1376</v>
      </c>
      <c r="C128" s="35" t="s">
        <v>78</v>
      </c>
      <c r="D128" s="32" t="s">
        <v>1929</v>
      </c>
      <c r="E128" s="11" t="s">
        <v>37</v>
      </c>
    </row>
    <row r="129">
      <c r="B129" s="32" t="s">
        <v>2373</v>
      </c>
      <c r="C129" s="35" t="s">
        <v>193</v>
      </c>
      <c r="D129" s="32" t="s">
        <v>1699</v>
      </c>
      <c r="E129" s="11" t="s">
        <v>33</v>
      </c>
    </row>
    <row r="130">
      <c r="B130" s="32" t="s">
        <v>1376</v>
      </c>
      <c r="C130" s="35" t="s">
        <v>1405</v>
      </c>
      <c r="D130" s="32" t="s">
        <v>476</v>
      </c>
      <c r="E130" s="11" t="s">
        <v>37</v>
      </c>
    </row>
    <row r="131">
      <c r="B131" s="32" t="s">
        <v>1929</v>
      </c>
      <c r="C131" s="35" t="s">
        <v>68</v>
      </c>
      <c r="D131" s="32" t="s">
        <v>1699</v>
      </c>
      <c r="E131" s="11" t="s">
        <v>33</v>
      </c>
    </row>
    <row r="132">
      <c r="B132" s="32" t="s">
        <v>2373</v>
      </c>
      <c r="C132" s="35" t="s">
        <v>561</v>
      </c>
      <c r="D132" s="32" t="s">
        <v>476</v>
      </c>
      <c r="E132" s="11" t="s">
        <v>37</v>
      </c>
    </row>
    <row r="133">
      <c r="B133" s="1" t="s">
        <v>2099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32" t="s">
        <v>2375</v>
      </c>
      <c r="C135" s="33" t="s">
        <v>195</v>
      </c>
      <c r="D135" s="32" t="s">
        <v>2376</v>
      </c>
      <c r="E135" s="11" t="s">
        <v>9</v>
      </c>
    </row>
    <row r="136">
      <c r="B136" s="32" t="s">
        <v>1675</v>
      </c>
      <c r="C136" s="33" t="s">
        <v>17</v>
      </c>
      <c r="D136" s="32" t="s">
        <v>1998</v>
      </c>
      <c r="E136" s="11" t="s">
        <v>13</v>
      </c>
    </row>
    <row r="137">
      <c r="B137" s="32" t="s">
        <v>315</v>
      </c>
      <c r="C137" s="33" t="s">
        <v>66</v>
      </c>
      <c r="D137" s="32" t="s">
        <v>2375</v>
      </c>
      <c r="E137" s="11" t="s">
        <v>9</v>
      </c>
    </row>
    <row r="138">
      <c r="B138" s="32" t="s">
        <v>1675</v>
      </c>
      <c r="C138" s="33" t="s">
        <v>201</v>
      </c>
      <c r="D138" s="32" t="s">
        <v>2376</v>
      </c>
      <c r="E138" s="11" t="s">
        <v>13</v>
      </c>
    </row>
    <row r="139">
      <c r="B139" s="32" t="s">
        <v>315</v>
      </c>
      <c r="C139" s="33" t="s">
        <v>239</v>
      </c>
      <c r="D139" s="32" t="s">
        <v>1998</v>
      </c>
      <c r="E139" s="11" t="s">
        <v>9</v>
      </c>
    </row>
    <row r="140">
      <c r="B140" s="32" t="s">
        <v>1675</v>
      </c>
      <c r="C140" s="33" t="s">
        <v>88</v>
      </c>
      <c r="D140" s="32" t="s">
        <v>2375</v>
      </c>
      <c r="E140" s="11" t="s">
        <v>13</v>
      </c>
    </row>
    <row r="141">
      <c r="B141" s="32" t="s">
        <v>315</v>
      </c>
      <c r="C141" s="33" t="s">
        <v>28</v>
      </c>
      <c r="D141" s="32" t="s">
        <v>2376</v>
      </c>
      <c r="E141" s="11" t="s">
        <v>9</v>
      </c>
    </row>
    <row r="142">
      <c r="B142" s="32" t="s">
        <v>1998</v>
      </c>
      <c r="C142" s="33" t="s">
        <v>201</v>
      </c>
      <c r="D142" s="32" t="s">
        <v>2375</v>
      </c>
      <c r="E142" s="11" t="s">
        <v>13</v>
      </c>
    </row>
    <row r="143">
      <c r="B143" s="32" t="s">
        <v>315</v>
      </c>
      <c r="C143" s="33" t="s">
        <v>197</v>
      </c>
      <c r="D143" s="32" t="s">
        <v>1675</v>
      </c>
      <c r="E143" s="11" t="s">
        <v>9</v>
      </c>
    </row>
    <row r="144">
      <c r="B144" s="32" t="s">
        <v>1998</v>
      </c>
      <c r="C144" s="33" t="s">
        <v>43</v>
      </c>
      <c r="D144" s="32" t="s">
        <v>2376</v>
      </c>
      <c r="E144" s="11" t="s">
        <v>13</v>
      </c>
    </row>
    <row r="145">
      <c r="B145" s="32" t="s">
        <v>2376</v>
      </c>
      <c r="C145" s="33" t="s">
        <v>25</v>
      </c>
      <c r="D145" s="32" t="s">
        <v>2375</v>
      </c>
      <c r="E145" s="11" t="s">
        <v>9</v>
      </c>
    </row>
    <row r="146">
      <c r="B146" s="32" t="s">
        <v>1998</v>
      </c>
      <c r="C146" s="33" t="s">
        <v>286</v>
      </c>
      <c r="D146" s="32" t="s">
        <v>1675</v>
      </c>
      <c r="E146" s="11" t="s">
        <v>13</v>
      </c>
    </row>
    <row r="147">
      <c r="B147" s="32" t="s">
        <v>2375</v>
      </c>
      <c r="C147" s="35" t="s">
        <v>2377</v>
      </c>
      <c r="D147" s="32" t="s">
        <v>315</v>
      </c>
      <c r="E147" s="11" t="s">
        <v>9</v>
      </c>
    </row>
    <row r="148">
      <c r="B148" s="32" t="s">
        <v>2376</v>
      </c>
      <c r="C148" s="35" t="s">
        <v>66</v>
      </c>
      <c r="D148" s="32" t="s">
        <v>1675</v>
      </c>
      <c r="E148" s="11" t="s">
        <v>13</v>
      </c>
    </row>
    <row r="149">
      <c r="B149" s="32" t="s">
        <v>1998</v>
      </c>
      <c r="C149" s="35" t="s">
        <v>534</v>
      </c>
      <c r="D149" s="32" t="s">
        <v>315</v>
      </c>
      <c r="E149" s="11" t="s">
        <v>9</v>
      </c>
    </row>
    <row r="150">
      <c r="B150" s="32" t="s">
        <v>2375</v>
      </c>
      <c r="C150" s="35" t="s">
        <v>233</v>
      </c>
      <c r="D150" s="32" t="s">
        <v>1675</v>
      </c>
      <c r="E150" s="11" t="s">
        <v>13</v>
      </c>
    </row>
    <row r="151">
      <c r="B151" s="32" t="s">
        <v>2376</v>
      </c>
      <c r="C151" s="35" t="s">
        <v>218</v>
      </c>
      <c r="D151" s="32" t="s">
        <v>315</v>
      </c>
      <c r="E151" s="11" t="s">
        <v>9</v>
      </c>
    </row>
    <row r="152">
      <c r="B152" s="32" t="s">
        <v>2375</v>
      </c>
      <c r="C152" s="35" t="s">
        <v>19</v>
      </c>
      <c r="D152" s="32" t="s">
        <v>1998</v>
      </c>
      <c r="E152" s="11" t="s">
        <v>13</v>
      </c>
    </row>
    <row r="153">
      <c r="B153" s="32" t="s">
        <v>1675</v>
      </c>
      <c r="C153" s="35" t="s">
        <v>570</v>
      </c>
      <c r="D153" s="32" t="s">
        <v>315</v>
      </c>
      <c r="E153" s="11" t="s">
        <v>9</v>
      </c>
    </row>
    <row r="154">
      <c r="B154" s="32" t="s">
        <v>2376</v>
      </c>
      <c r="C154" s="35" t="s">
        <v>195</v>
      </c>
      <c r="D154" s="32" t="s">
        <v>1998</v>
      </c>
      <c r="E154" s="11" t="s">
        <v>13</v>
      </c>
    </row>
    <row r="155">
      <c r="B155" s="1" t="s">
        <v>101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B157" s="32" t="s">
        <v>2378</v>
      </c>
      <c r="C157" s="35" t="s">
        <v>19</v>
      </c>
      <c r="D157" s="32" t="s">
        <v>2379</v>
      </c>
      <c r="E157" s="11" t="s">
        <v>33</v>
      </c>
    </row>
    <row r="158">
      <c r="B158" s="32" t="s">
        <v>1871</v>
      </c>
      <c r="C158" s="35" t="s">
        <v>48</v>
      </c>
      <c r="D158" s="32" t="s">
        <v>2380</v>
      </c>
      <c r="E158" s="11" t="s">
        <v>37</v>
      </c>
    </row>
    <row r="159">
      <c r="B159" s="32" t="s">
        <v>410</v>
      </c>
      <c r="C159" s="35" t="s">
        <v>354</v>
      </c>
      <c r="D159" s="32" t="s">
        <v>2378</v>
      </c>
      <c r="E159" s="11" t="s">
        <v>33</v>
      </c>
    </row>
    <row r="160">
      <c r="B160" s="32" t="s">
        <v>1871</v>
      </c>
      <c r="C160" s="35" t="s">
        <v>193</v>
      </c>
      <c r="D160" s="32" t="s">
        <v>2379</v>
      </c>
      <c r="E160" s="11" t="s">
        <v>37</v>
      </c>
    </row>
    <row r="161">
      <c r="B161" s="32" t="s">
        <v>410</v>
      </c>
      <c r="C161" s="35" t="s">
        <v>220</v>
      </c>
      <c r="D161" s="32" t="s">
        <v>2380</v>
      </c>
      <c r="E161" s="11" t="s">
        <v>33</v>
      </c>
    </row>
    <row r="162">
      <c r="B162" s="32" t="s">
        <v>1871</v>
      </c>
      <c r="C162" s="35" t="s">
        <v>273</v>
      </c>
      <c r="D162" s="32" t="s">
        <v>2378</v>
      </c>
      <c r="E162" s="11" t="s">
        <v>37</v>
      </c>
    </row>
    <row r="163">
      <c r="B163" s="32" t="s">
        <v>410</v>
      </c>
      <c r="C163" s="35" t="s">
        <v>58</v>
      </c>
      <c r="D163" s="32" t="s">
        <v>2379</v>
      </c>
      <c r="E163" s="11" t="s">
        <v>33</v>
      </c>
    </row>
    <row r="164">
      <c r="B164" s="32" t="s">
        <v>2380</v>
      </c>
      <c r="C164" s="35" t="s">
        <v>1618</v>
      </c>
      <c r="D164" s="32" t="s">
        <v>2378</v>
      </c>
      <c r="E164" s="11" t="s">
        <v>37</v>
      </c>
    </row>
    <row r="165">
      <c r="B165" s="32" t="s">
        <v>410</v>
      </c>
      <c r="C165" s="35" t="s">
        <v>289</v>
      </c>
      <c r="D165" s="32" t="s">
        <v>1871</v>
      </c>
      <c r="E165" s="11" t="s">
        <v>33</v>
      </c>
    </row>
    <row r="166">
      <c r="B166" s="32" t="s">
        <v>2380</v>
      </c>
      <c r="C166" s="35" t="s">
        <v>282</v>
      </c>
      <c r="D166" s="32" t="s">
        <v>2379</v>
      </c>
      <c r="E166" s="11" t="s">
        <v>37</v>
      </c>
    </row>
    <row r="167">
      <c r="B167" s="32" t="s">
        <v>2379</v>
      </c>
      <c r="C167" s="35" t="s">
        <v>17</v>
      </c>
      <c r="D167" s="32" t="s">
        <v>2378</v>
      </c>
      <c r="E167" s="11" t="s">
        <v>33</v>
      </c>
    </row>
    <row r="168">
      <c r="B168" s="32" t="s">
        <v>2380</v>
      </c>
      <c r="C168" s="35" t="s">
        <v>885</v>
      </c>
      <c r="D168" s="32" t="s">
        <v>1871</v>
      </c>
      <c r="E168" s="11" t="s">
        <v>37</v>
      </c>
    </row>
    <row r="169">
      <c r="B169" s="32" t="s">
        <v>2378</v>
      </c>
      <c r="C169" s="35" t="s">
        <v>65</v>
      </c>
      <c r="D169" s="32" t="s">
        <v>410</v>
      </c>
      <c r="E169" s="11" t="s">
        <v>33</v>
      </c>
    </row>
    <row r="170">
      <c r="B170" s="32" t="s">
        <v>2379</v>
      </c>
      <c r="C170" s="35" t="s">
        <v>488</v>
      </c>
      <c r="D170" s="32" t="s">
        <v>1871</v>
      </c>
      <c r="E170" s="11" t="s">
        <v>37</v>
      </c>
    </row>
    <row r="171">
      <c r="B171" s="32" t="s">
        <v>2380</v>
      </c>
      <c r="C171" s="35" t="s">
        <v>687</v>
      </c>
      <c r="D171" s="32" t="s">
        <v>410</v>
      </c>
      <c r="E171" s="11" t="s">
        <v>33</v>
      </c>
    </row>
    <row r="172">
      <c r="B172" s="32" t="s">
        <v>2378</v>
      </c>
      <c r="C172" s="35" t="s">
        <v>836</v>
      </c>
      <c r="D172" s="32" t="s">
        <v>1871</v>
      </c>
      <c r="E172" s="11" t="s">
        <v>37</v>
      </c>
    </row>
    <row r="173">
      <c r="B173" s="32" t="s">
        <v>2379</v>
      </c>
      <c r="C173" s="35" t="s">
        <v>190</v>
      </c>
      <c r="D173" s="32" t="s">
        <v>410</v>
      </c>
      <c r="E173" s="11" t="s">
        <v>33</v>
      </c>
    </row>
    <row r="174">
      <c r="B174" s="32" t="s">
        <v>2378</v>
      </c>
      <c r="C174" s="35" t="s">
        <v>2381</v>
      </c>
      <c r="D174" s="32" t="s">
        <v>2380</v>
      </c>
      <c r="E174" s="11" t="s">
        <v>37</v>
      </c>
    </row>
    <row r="175">
      <c r="B175" s="32" t="s">
        <v>1871</v>
      </c>
      <c r="C175" s="35" t="s">
        <v>41</v>
      </c>
      <c r="D175" s="32" t="s">
        <v>410</v>
      </c>
      <c r="E175" s="11" t="s">
        <v>33</v>
      </c>
    </row>
    <row r="176">
      <c r="B176" s="32" t="s">
        <v>2379</v>
      </c>
      <c r="C176" s="35" t="s">
        <v>305</v>
      </c>
      <c r="D176" s="32" t="s">
        <v>2380</v>
      </c>
      <c r="E176" s="11" t="s">
        <v>37</v>
      </c>
    </row>
    <row r="177">
      <c r="B177" s="1" t="s">
        <v>2382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B179" s="32" t="s">
        <v>2383</v>
      </c>
      <c r="C179" s="33" t="s">
        <v>62</v>
      </c>
      <c r="D179" s="32" t="s">
        <v>2067</v>
      </c>
      <c r="E179" s="11" t="s">
        <v>9</v>
      </c>
    </row>
    <row r="180">
      <c r="B180" s="32" t="s">
        <v>591</v>
      </c>
      <c r="C180" s="33" t="s">
        <v>43</v>
      </c>
      <c r="D180" s="32" t="s">
        <v>2384</v>
      </c>
      <c r="E180" s="11" t="s">
        <v>13</v>
      </c>
    </row>
    <row r="181">
      <c r="B181" s="32" t="s">
        <v>1665</v>
      </c>
      <c r="C181" s="33" t="s">
        <v>282</v>
      </c>
      <c r="D181" s="32" t="s">
        <v>2383</v>
      </c>
      <c r="E181" s="11" t="s">
        <v>9</v>
      </c>
    </row>
    <row r="182">
      <c r="B182" s="32" t="s">
        <v>591</v>
      </c>
      <c r="C182" s="33" t="s">
        <v>872</v>
      </c>
      <c r="D182" s="32" t="s">
        <v>2067</v>
      </c>
      <c r="E182" s="11" t="s">
        <v>13</v>
      </c>
    </row>
    <row r="183">
      <c r="B183" s="32" t="s">
        <v>1665</v>
      </c>
      <c r="C183" s="33" t="s">
        <v>193</v>
      </c>
      <c r="D183" s="32" t="s">
        <v>2384</v>
      </c>
      <c r="E183" s="11" t="s">
        <v>9</v>
      </c>
    </row>
    <row r="184">
      <c r="B184" s="32" t="s">
        <v>591</v>
      </c>
      <c r="C184" s="33" t="s">
        <v>572</v>
      </c>
      <c r="D184" s="32" t="s">
        <v>2383</v>
      </c>
      <c r="E184" s="11" t="s">
        <v>13</v>
      </c>
    </row>
    <row r="185">
      <c r="B185" s="32" t="s">
        <v>1665</v>
      </c>
      <c r="C185" s="33" t="s">
        <v>42</v>
      </c>
      <c r="D185" s="32" t="s">
        <v>2067</v>
      </c>
      <c r="E185" s="11" t="s">
        <v>9</v>
      </c>
    </row>
    <row r="186">
      <c r="B186" s="32" t="s">
        <v>2384</v>
      </c>
      <c r="C186" s="33" t="s">
        <v>363</v>
      </c>
      <c r="D186" s="32" t="s">
        <v>2383</v>
      </c>
      <c r="E186" s="11" t="s">
        <v>13</v>
      </c>
    </row>
    <row r="187">
      <c r="B187" s="32" t="s">
        <v>1665</v>
      </c>
      <c r="C187" s="33" t="s">
        <v>55</v>
      </c>
      <c r="D187" s="32" t="s">
        <v>591</v>
      </c>
      <c r="E187" s="11" t="s">
        <v>9</v>
      </c>
    </row>
    <row r="188">
      <c r="B188" s="32" t="s">
        <v>2384</v>
      </c>
      <c r="C188" s="33" t="s">
        <v>285</v>
      </c>
      <c r="D188" s="32" t="s">
        <v>2067</v>
      </c>
      <c r="E188" s="11" t="s">
        <v>13</v>
      </c>
    </row>
    <row r="189">
      <c r="B189" s="32" t="s">
        <v>2067</v>
      </c>
      <c r="C189" s="33" t="s">
        <v>233</v>
      </c>
      <c r="D189" s="32" t="s">
        <v>2383</v>
      </c>
      <c r="E189" s="11" t="s">
        <v>9</v>
      </c>
    </row>
    <row r="190">
      <c r="B190" s="32" t="s">
        <v>2384</v>
      </c>
      <c r="C190" s="33" t="s">
        <v>196</v>
      </c>
      <c r="D190" s="32" t="s">
        <v>591</v>
      </c>
      <c r="E190" s="11" t="s">
        <v>13</v>
      </c>
    </row>
    <row r="191">
      <c r="B191" s="32" t="s">
        <v>2383</v>
      </c>
      <c r="C191" s="35" t="s">
        <v>201</v>
      </c>
      <c r="D191" s="32" t="s">
        <v>1665</v>
      </c>
      <c r="E191" s="11" t="s">
        <v>9</v>
      </c>
    </row>
    <row r="192">
      <c r="B192" s="32" t="s">
        <v>2067</v>
      </c>
      <c r="C192" s="35" t="s">
        <v>11</v>
      </c>
      <c r="D192" s="32" t="s">
        <v>591</v>
      </c>
      <c r="E192" s="11" t="s">
        <v>13</v>
      </c>
    </row>
    <row r="193">
      <c r="B193" s="32" t="s">
        <v>2384</v>
      </c>
      <c r="C193" s="35" t="s">
        <v>195</v>
      </c>
      <c r="D193" s="32" t="s">
        <v>1665</v>
      </c>
      <c r="E193" s="11" t="s">
        <v>9</v>
      </c>
    </row>
    <row r="194">
      <c r="B194" s="32" t="s">
        <v>2383</v>
      </c>
      <c r="C194" s="35" t="s">
        <v>218</v>
      </c>
      <c r="D194" s="32" t="s">
        <v>591</v>
      </c>
      <c r="E194" s="11" t="s">
        <v>13</v>
      </c>
    </row>
    <row r="195">
      <c r="B195" s="32" t="s">
        <v>2067</v>
      </c>
      <c r="C195" s="35" t="s">
        <v>81</v>
      </c>
      <c r="D195" s="32" t="s">
        <v>1665</v>
      </c>
      <c r="E195" s="11" t="s">
        <v>9</v>
      </c>
    </row>
    <row r="196">
      <c r="B196" s="32" t="s">
        <v>2383</v>
      </c>
      <c r="C196" s="35" t="s">
        <v>497</v>
      </c>
      <c r="D196" s="32" t="s">
        <v>2384</v>
      </c>
      <c r="E196" s="11" t="s">
        <v>13</v>
      </c>
    </row>
    <row r="197">
      <c r="B197" s="32" t="s">
        <v>591</v>
      </c>
      <c r="C197" s="35" t="s">
        <v>20</v>
      </c>
      <c r="D197" s="32" t="s">
        <v>1665</v>
      </c>
      <c r="E197" s="11" t="s">
        <v>9</v>
      </c>
    </row>
    <row r="198">
      <c r="B198" s="32" t="s">
        <v>2067</v>
      </c>
      <c r="C198" s="35" t="s">
        <v>62</v>
      </c>
      <c r="D198" s="32" t="s">
        <v>2384</v>
      </c>
      <c r="E198" s="11" t="s">
        <v>13</v>
      </c>
    </row>
    <row r="199">
      <c r="B199" s="1" t="s">
        <v>2109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B201" s="32" t="s">
        <v>1229</v>
      </c>
      <c r="C201" s="35" t="s">
        <v>570</v>
      </c>
      <c r="D201" s="32" t="s">
        <v>1759</v>
      </c>
      <c r="E201" s="11" t="s">
        <v>33</v>
      </c>
    </row>
    <row r="202">
      <c r="B202" s="32" t="s">
        <v>1092</v>
      </c>
      <c r="C202" s="35" t="s">
        <v>42</v>
      </c>
      <c r="D202" s="32" t="s">
        <v>863</v>
      </c>
      <c r="E202" s="11" t="s">
        <v>37</v>
      </c>
    </row>
    <row r="203">
      <c r="B203" s="32" t="s">
        <v>862</v>
      </c>
      <c r="C203" s="35" t="s">
        <v>259</v>
      </c>
      <c r="D203" s="32" t="s">
        <v>1229</v>
      </c>
      <c r="E203" s="11" t="s">
        <v>33</v>
      </c>
    </row>
    <row r="204">
      <c r="B204" s="32" t="s">
        <v>1092</v>
      </c>
      <c r="C204" s="35" t="s">
        <v>261</v>
      </c>
      <c r="D204" s="32" t="s">
        <v>1759</v>
      </c>
      <c r="E204" s="11" t="s">
        <v>37</v>
      </c>
    </row>
    <row r="205">
      <c r="B205" s="32" t="s">
        <v>862</v>
      </c>
      <c r="C205" s="35" t="s">
        <v>31</v>
      </c>
      <c r="D205" s="32" t="s">
        <v>863</v>
      </c>
      <c r="E205" s="11" t="s">
        <v>33</v>
      </c>
    </row>
    <row r="206">
      <c r="B206" s="32" t="s">
        <v>1092</v>
      </c>
      <c r="C206" s="35" t="s">
        <v>68</v>
      </c>
      <c r="D206" s="32" t="s">
        <v>1229</v>
      </c>
      <c r="E206" s="11" t="s">
        <v>37</v>
      </c>
    </row>
    <row r="207">
      <c r="B207" s="32" t="s">
        <v>862</v>
      </c>
      <c r="C207" s="35" t="s">
        <v>78</v>
      </c>
      <c r="D207" s="32" t="s">
        <v>1759</v>
      </c>
      <c r="E207" s="11" t="s">
        <v>33</v>
      </c>
    </row>
    <row r="208">
      <c r="B208" s="32" t="s">
        <v>863</v>
      </c>
      <c r="C208" s="35" t="s">
        <v>1284</v>
      </c>
      <c r="D208" s="32" t="s">
        <v>1229</v>
      </c>
      <c r="E208" s="11" t="s">
        <v>37</v>
      </c>
    </row>
    <row r="209">
      <c r="B209" s="32" t="s">
        <v>862</v>
      </c>
      <c r="C209" s="35" t="s">
        <v>218</v>
      </c>
      <c r="D209" s="32" t="s">
        <v>1092</v>
      </c>
      <c r="E209" s="11" t="s">
        <v>33</v>
      </c>
    </row>
    <row r="210">
      <c r="B210" s="32" t="s">
        <v>863</v>
      </c>
      <c r="C210" s="35" t="s">
        <v>83</v>
      </c>
      <c r="D210" s="32" t="s">
        <v>1759</v>
      </c>
      <c r="E210" s="11" t="s">
        <v>37</v>
      </c>
    </row>
    <row r="211">
      <c r="B211" s="32" t="s">
        <v>1759</v>
      </c>
      <c r="C211" s="35" t="s">
        <v>7</v>
      </c>
      <c r="D211" s="32" t="s">
        <v>1229</v>
      </c>
      <c r="E211" s="11" t="s">
        <v>33</v>
      </c>
    </row>
    <row r="212">
      <c r="B212" s="32" t="s">
        <v>863</v>
      </c>
      <c r="C212" s="35" t="s">
        <v>297</v>
      </c>
      <c r="D212" s="32" t="s">
        <v>1092</v>
      </c>
      <c r="E212" s="11" t="s">
        <v>37</v>
      </c>
    </row>
    <row r="213">
      <c r="B213" s="32" t="s">
        <v>1229</v>
      </c>
      <c r="C213" s="35" t="s">
        <v>239</v>
      </c>
      <c r="D213" s="32" t="s">
        <v>862</v>
      </c>
      <c r="E213" s="11" t="s">
        <v>33</v>
      </c>
    </row>
    <row r="214">
      <c r="B214" s="32" t="s">
        <v>1759</v>
      </c>
      <c r="C214" s="35" t="s">
        <v>260</v>
      </c>
      <c r="D214" s="32" t="s">
        <v>1092</v>
      </c>
      <c r="E214" s="11" t="s">
        <v>37</v>
      </c>
    </row>
    <row r="215">
      <c r="B215" s="32" t="s">
        <v>863</v>
      </c>
      <c r="C215" s="35" t="s">
        <v>352</v>
      </c>
      <c r="D215" s="32" t="s">
        <v>862</v>
      </c>
      <c r="E215" s="11" t="s">
        <v>33</v>
      </c>
    </row>
    <row r="216">
      <c r="B216" s="32" t="s">
        <v>1229</v>
      </c>
      <c r="C216" s="35" t="s">
        <v>64</v>
      </c>
      <c r="D216" s="32" t="s">
        <v>1092</v>
      </c>
      <c r="E216" s="11" t="s">
        <v>37</v>
      </c>
    </row>
    <row r="217">
      <c r="B217" s="32" t="s">
        <v>1759</v>
      </c>
      <c r="C217" s="35" t="s">
        <v>506</v>
      </c>
      <c r="D217" s="32" t="s">
        <v>862</v>
      </c>
      <c r="E217" s="11" t="s">
        <v>33</v>
      </c>
    </row>
    <row r="218">
      <c r="B218" s="32" t="s">
        <v>1229</v>
      </c>
      <c r="C218" s="35" t="s">
        <v>1129</v>
      </c>
      <c r="D218" s="32" t="s">
        <v>863</v>
      </c>
      <c r="E218" s="11" t="s">
        <v>37</v>
      </c>
    </row>
    <row r="219">
      <c r="B219" s="32" t="s">
        <v>1092</v>
      </c>
      <c r="C219" s="35" t="s">
        <v>62</v>
      </c>
      <c r="D219" s="32" t="s">
        <v>862</v>
      </c>
      <c r="E219" s="11" t="s">
        <v>33</v>
      </c>
    </row>
    <row r="220">
      <c r="B220" s="32" t="s">
        <v>1759</v>
      </c>
      <c r="C220" s="35" t="s">
        <v>390</v>
      </c>
      <c r="D220" s="32" t="s">
        <v>863</v>
      </c>
      <c r="E220" s="11" t="s">
        <v>37</v>
      </c>
    </row>
    <row r="221">
      <c r="B221" s="28" t="s">
        <v>2385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34" t="s">
        <v>2386</v>
      </c>
      <c r="C223" s="35" t="s">
        <v>201</v>
      </c>
      <c r="D223" s="34" t="s">
        <v>2387</v>
      </c>
      <c r="E223" s="11" t="s">
        <v>33</v>
      </c>
    </row>
    <row r="224">
      <c r="B224" s="34" t="s">
        <v>2388</v>
      </c>
      <c r="C224" s="35" t="s">
        <v>43</v>
      </c>
      <c r="D224" s="34" t="s">
        <v>2389</v>
      </c>
      <c r="E224" s="11" t="s">
        <v>37</v>
      </c>
    </row>
    <row r="225">
      <c r="B225" s="34" t="s">
        <v>2001</v>
      </c>
      <c r="C225" s="35" t="s">
        <v>17</v>
      </c>
      <c r="D225" s="34" t="s">
        <v>2386</v>
      </c>
      <c r="E225" s="11" t="s">
        <v>33</v>
      </c>
    </row>
    <row r="226">
      <c r="B226" s="34" t="s">
        <v>2388</v>
      </c>
      <c r="C226" s="35" t="s">
        <v>38</v>
      </c>
      <c r="D226" s="34" t="s">
        <v>2387</v>
      </c>
      <c r="E226" s="11" t="s">
        <v>37</v>
      </c>
    </row>
    <row r="227">
      <c r="B227" s="34" t="s">
        <v>2001</v>
      </c>
      <c r="C227" s="35" t="s">
        <v>64</v>
      </c>
      <c r="D227" s="34" t="s">
        <v>2389</v>
      </c>
      <c r="E227" s="11" t="s">
        <v>33</v>
      </c>
    </row>
    <row r="228">
      <c r="B228" s="34" t="s">
        <v>2388</v>
      </c>
      <c r="C228" s="35" t="s">
        <v>726</v>
      </c>
      <c r="D228" s="34" t="s">
        <v>2386</v>
      </c>
      <c r="E228" s="11" t="s">
        <v>37</v>
      </c>
    </row>
    <row r="229">
      <c r="B229" s="34" t="s">
        <v>2001</v>
      </c>
      <c r="C229" s="35" t="s">
        <v>55</v>
      </c>
      <c r="D229" s="34" t="s">
        <v>2387</v>
      </c>
      <c r="E229" s="11" t="s">
        <v>33</v>
      </c>
    </row>
    <row r="230">
      <c r="B230" s="34" t="s">
        <v>2389</v>
      </c>
      <c r="C230" s="35" t="s">
        <v>270</v>
      </c>
      <c r="D230" s="34" t="s">
        <v>2386</v>
      </c>
      <c r="E230" s="11" t="s">
        <v>37</v>
      </c>
    </row>
    <row r="231">
      <c r="B231" s="34" t="s">
        <v>2001</v>
      </c>
      <c r="C231" s="35" t="s">
        <v>16</v>
      </c>
      <c r="D231" s="34" t="s">
        <v>2388</v>
      </c>
      <c r="E231" s="11" t="s">
        <v>33</v>
      </c>
    </row>
    <row r="232">
      <c r="B232" s="34" t="s">
        <v>2389</v>
      </c>
      <c r="C232" s="35" t="s">
        <v>64</v>
      </c>
      <c r="D232" s="34" t="s">
        <v>2387</v>
      </c>
      <c r="E232" s="11" t="s">
        <v>37</v>
      </c>
      <c r="I232" s="36"/>
    </row>
    <row r="233">
      <c r="B233" s="34" t="s">
        <v>2387</v>
      </c>
      <c r="C233" s="35" t="s">
        <v>472</v>
      </c>
      <c r="D233" s="34" t="s">
        <v>2386</v>
      </c>
      <c r="E233" s="11" t="s">
        <v>33</v>
      </c>
    </row>
    <row r="234">
      <c r="B234" s="34" t="s">
        <v>2389</v>
      </c>
      <c r="C234" s="35" t="s">
        <v>19</v>
      </c>
      <c r="D234" s="34" t="s">
        <v>2388</v>
      </c>
      <c r="E234" s="11" t="s">
        <v>37</v>
      </c>
    </row>
    <row r="235">
      <c r="B235" s="34" t="s">
        <v>2386</v>
      </c>
      <c r="C235" s="35" t="s">
        <v>357</v>
      </c>
      <c r="D235" s="34" t="s">
        <v>2001</v>
      </c>
      <c r="E235" s="11" t="s">
        <v>33</v>
      </c>
      <c r="G235" s="36"/>
    </row>
    <row r="236">
      <c r="B236" s="34" t="s">
        <v>2387</v>
      </c>
      <c r="C236" s="35" t="s">
        <v>14</v>
      </c>
      <c r="D236" s="34" t="s">
        <v>2388</v>
      </c>
      <c r="E236" s="11" t="s">
        <v>37</v>
      </c>
    </row>
    <row r="237">
      <c r="B237" s="34" t="s">
        <v>2389</v>
      </c>
      <c r="C237" s="35" t="s">
        <v>218</v>
      </c>
      <c r="D237" s="34" t="s">
        <v>2001</v>
      </c>
      <c r="E237" s="11" t="s">
        <v>33</v>
      </c>
    </row>
    <row r="238">
      <c r="B238" s="34" t="s">
        <v>2386</v>
      </c>
      <c r="C238" s="35" t="s">
        <v>1728</v>
      </c>
      <c r="D238" s="34" t="s">
        <v>2388</v>
      </c>
      <c r="E238" s="11" t="s">
        <v>37</v>
      </c>
    </row>
    <row r="239">
      <c r="B239" s="34" t="s">
        <v>2387</v>
      </c>
      <c r="C239" s="35" t="s">
        <v>201</v>
      </c>
      <c r="D239" s="34" t="s">
        <v>2001</v>
      </c>
      <c r="E239" s="11" t="s">
        <v>33</v>
      </c>
    </row>
    <row r="240">
      <c r="B240" s="34" t="s">
        <v>2386</v>
      </c>
      <c r="C240" s="35" t="s">
        <v>11</v>
      </c>
      <c r="D240" s="34" t="s">
        <v>2389</v>
      </c>
      <c r="E240" s="11" t="s">
        <v>37</v>
      </c>
    </row>
    <row r="241">
      <c r="B241" s="34" t="s">
        <v>2388</v>
      </c>
      <c r="C241" s="35" t="s">
        <v>87</v>
      </c>
      <c r="D241" s="34" t="s">
        <v>2001</v>
      </c>
      <c r="E241" s="11" t="s">
        <v>33</v>
      </c>
    </row>
    <row r="242">
      <c r="B242" s="34" t="s">
        <v>2387</v>
      </c>
      <c r="C242" s="35" t="s">
        <v>87</v>
      </c>
      <c r="D242" s="34" t="s">
        <v>2389</v>
      </c>
      <c r="E242" s="11" t="s">
        <v>37</v>
      </c>
    </row>
    <row r="243">
      <c r="B243" s="28" t="s">
        <v>1685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8" t="s">
        <v>2390</v>
      </c>
      <c r="C245" s="33" t="s">
        <v>62</v>
      </c>
      <c r="D245" s="34" t="s">
        <v>2391</v>
      </c>
      <c r="E245" s="11" t="s">
        <v>9</v>
      </c>
    </row>
    <row r="246">
      <c r="B246" s="34" t="s">
        <v>1852</v>
      </c>
      <c r="C246" s="33" t="s">
        <v>270</v>
      </c>
      <c r="D246" s="34" t="s">
        <v>2392</v>
      </c>
      <c r="E246" s="11" t="s">
        <v>13</v>
      </c>
    </row>
    <row r="247">
      <c r="B247" s="34" t="s">
        <v>1660</v>
      </c>
      <c r="C247" s="33" t="s">
        <v>11</v>
      </c>
      <c r="D247" s="8" t="s">
        <v>2390</v>
      </c>
      <c r="E247" s="11" t="s">
        <v>9</v>
      </c>
    </row>
    <row r="248">
      <c r="B248" s="34" t="s">
        <v>1852</v>
      </c>
      <c r="C248" s="33" t="s">
        <v>16</v>
      </c>
      <c r="D248" s="34" t="s">
        <v>2391</v>
      </c>
      <c r="E248" s="11" t="s">
        <v>13</v>
      </c>
    </row>
    <row r="249">
      <c r="B249" s="34" t="s">
        <v>1660</v>
      </c>
      <c r="C249" s="33" t="s">
        <v>2393</v>
      </c>
      <c r="D249" s="34" t="s">
        <v>2392</v>
      </c>
      <c r="E249" s="11" t="s">
        <v>9</v>
      </c>
    </row>
    <row r="250">
      <c r="B250" s="34" t="s">
        <v>1852</v>
      </c>
      <c r="C250" s="33" t="s">
        <v>17</v>
      </c>
      <c r="D250" s="8" t="s">
        <v>2390</v>
      </c>
      <c r="E250" s="11" t="s">
        <v>13</v>
      </c>
    </row>
    <row r="251">
      <c r="B251" s="34" t="s">
        <v>1660</v>
      </c>
      <c r="C251" s="33" t="s">
        <v>286</v>
      </c>
      <c r="D251" s="34" t="s">
        <v>2391</v>
      </c>
      <c r="E251" s="11" t="s">
        <v>9</v>
      </c>
    </row>
    <row r="252">
      <c r="B252" s="34" t="s">
        <v>2392</v>
      </c>
      <c r="C252" s="33" t="s">
        <v>58</v>
      </c>
      <c r="D252" s="8" t="s">
        <v>2390</v>
      </c>
      <c r="E252" s="11" t="s">
        <v>13</v>
      </c>
    </row>
    <row r="253">
      <c r="B253" s="34" t="s">
        <v>1660</v>
      </c>
      <c r="C253" s="33" t="s">
        <v>87</v>
      </c>
      <c r="D253" s="34" t="s">
        <v>1852</v>
      </c>
      <c r="E253" s="11" t="s">
        <v>9</v>
      </c>
    </row>
    <row r="254">
      <c r="B254" s="34" t="s">
        <v>2392</v>
      </c>
      <c r="C254" s="33" t="s">
        <v>19</v>
      </c>
      <c r="D254" s="34" t="s">
        <v>2391</v>
      </c>
      <c r="E254" s="11" t="s">
        <v>13</v>
      </c>
    </row>
    <row r="255">
      <c r="B255" s="34" t="s">
        <v>2391</v>
      </c>
      <c r="C255" s="33" t="s">
        <v>1622</v>
      </c>
      <c r="D255" s="8" t="s">
        <v>2390</v>
      </c>
      <c r="E255" s="11" t="s">
        <v>9</v>
      </c>
    </row>
    <row r="256">
      <c r="B256" s="34" t="s">
        <v>2392</v>
      </c>
      <c r="C256" s="33" t="s">
        <v>282</v>
      </c>
      <c r="D256" s="34" t="s">
        <v>1852</v>
      </c>
      <c r="E256" s="11" t="s">
        <v>13</v>
      </c>
    </row>
    <row r="257">
      <c r="B257" s="8" t="s">
        <v>2390</v>
      </c>
      <c r="C257" s="35" t="s">
        <v>45</v>
      </c>
      <c r="D257" s="34" t="s">
        <v>1660</v>
      </c>
      <c r="E257" s="11" t="s">
        <v>9</v>
      </c>
    </row>
    <row r="258">
      <c r="B258" s="34" t="s">
        <v>2391</v>
      </c>
      <c r="C258" s="35" t="s">
        <v>81</v>
      </c>
      <c r="D258" s="34" t="s">
        <v>1852</v>
      </c>
      <c r="E258" s="11" t="s">
        <v>13</v>
      </c>
    </row>
    <row r="259">
      <c r="B259" s="34" t="s">
        <v>2392</v>
      </c>
      <c r="C259" s="35" t="s">
        <v>195</v>
      </c>
      <c r="D259" s="34" t="s">
        <v>1660</v>
      </c>
      <c r="E259" s="11" t="s">
        <v>9</v>
      </c>
    </row>
    <row r="260">
      <c r="B260" s="8" t="s">
        <v>2390</v>
      </c>
      <c r="C260" s="35" t="s">
        <v>193</v>
      </c>
      <c r="D260" s="34" t="s">
        <v>1852</v>
      </c>
      <c r="E260" s="11" t="s">
        <v>13</v>
      </c>
    </row>
    <row r="261">
      <c r="B261" s="34" t="s">
        <v>2391</v>
      </c>
      <c r="C261" s="35" t="s">
        <v>22</v>
      </c>
      <c r="D261" s="34" t="s">
        <v>1660</v>
      </c>
      <c r="E261" s="11" t="s">
        <v>9</v>
      </c>
    </row>
    <row r="262">
      <c r="B262" s="8" t="s">
        <v>2390</v>
      </c>
      <c r="C262" s="35" t="s">
        <v>63</v>
      </c>
      <c r="D262" s="34" t="s">
        <v>2392</v>
      </c>
      <c r="E262" s="11" t="s">
        <v>13</v>
      </c>
    </row>
    <row r="263">
      <c r="B263" s="34" t="s">
        <v>1852</v>
      </c>
      <c r="C263" s="35" t="s">
        <v>68</v>
      </c>
      <c r="D263" s="34" t="s">
        <v>1660</v>
      </c>
      <c r="E263" s="11" t="s">
        <v>9</v>
      </c>
    </row>
    <row r="264">
      <c r="B264" s="34" t="s">
        <v>2391</v>
      </c>
      <c r="C264" s="35" t="s">
        <v>21</v>
      </c>
      <c r="D264" s="34" t="s">
        <v>2392</v>
      </c>
      <c r="E264" s="11" t="s">
        <v>13</v>
      </c>
    </row>
    <row r="265">
      <c r="B265" s="28" t="s">
        <v>2394</v>
      </c>
      <c r="C265" s="2"/>
      <c r="D265" s="3"/>
      <c r="E265" s="2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34" t="s">
        <v>608</v>
      </c>
      <c r="C267" s="35" t="s">
        <v>87</v>
      </c>
      <c r="D267" s="34" t="s">
        <v>798</v>
      </c>
      <c r="E267" s="11" t="s">
        <v>9</v>
      </c>
    </row>
    <row r="268">
      <c r="B268" s="34" t="s">
        <v>2395</v>
      </c>
      <c r="C268" s="35" t="s">
        <v>17</v>
      </c>
      <c r="D268" s="34" t="s">
        <v>2396</v>
      </c>
      <c r="E268" s="11" t="s">
        <v>13</v>
      </c>
    </row>
    <row r="269">
      <c r="B269" s="34" t="s">
        <v>2397</v>
      </c>
      <c r="C269" s="35" t="s">
        <v>43</v>
      </c>
      <c r="D269" s="34" t="s">
        <v>608</v>
      </c>
      <c r="E269" s="11" t="s">
        <v>9</v>
      </c>
    </row>
    <row r="270">
      <c r="B270" s="34" t="s">
        <v>2395</v>
      </c>
      <c r="C270" s="35" t="s">
        <v>196</v>
      </c>
      <c r="D270" s="34" t="s">
        <v>798</v>
      </c>
      <c r="E270" s="11" t="s">
        <v>13</v>
      </c>
    </row>
    <row r="271">
      <c r="B271" s="34" t="s">
        <v>2397</v>
      </c>
      <c r="C271" s="35" t="s">
        <v>22</v>
      </c>
      <c r="D271" s="34" t="s">
        <v>2396</v>
      </c>
      <c r="E271" s="11" t="s">
        <v>9</v>
      </c>
    </row>
    <row r="272">
      <c r="B272" s="34" t="s">
        <v>2395</v>
      </c>
      <c r="C272" s="35" t="s">
        <v>19</v>
      </c>
      <c r="D272" s="34" t="s">
        <v>608</v>
      </c>
      <c r="E272" s="11" t="s">
        <v>13</v>
      </c>
    </row>
    <row r="273">
      <c r="B273" s="34" t="s">
        <v>2397</v>
      </c>
      <c r="C273" s="35" t="s">
        <v>43</v>
      </c>
      <c r="D273" s="34" t="s">
        <v>798</v>
      </c>
      <c r="E273" s="11" t="s">
        <v>9</v>
      </c>
    </row>
    <row r="274">
      <c r="B274" s="34" t="s">
        <v>2396</v>
      </c>
      <c r="C274" s="35" t="s">
        <v>239</v>
      </c>
      <c r="D274" s="34" t="s">
        <v>608</v>
      </c>
      <c r="E274" s="11" t="s">
        <v>13</v>
      </c>
    </row>
    <row r="275">
      <c r="B275" s="34" t="s">
        <v>2397</v>
      </c>
      <c r="C275" s="35" t="s">
        <v>232</v>
      </c>
      <c r="D275" s="34" t="s">
        <v>2395</v>
      </c>
      <c r="E275" s="11" t="s">
        <v>9</v>
      </c>
    </row>
    <row r="276">
      <c r="B276" s="34" t="s">
        <v>2396</v>
      </c>
      <c r="C276" s="35" t="s">
        <v>218</v>
      </c>
      <c r="D276" s="34" t="s">
        <v>798</v>
      </c>
      <c r="E276" s="11" t="s">
        <v>13</v>
      </c>
    </row>
    <row r="277">
      <c r="B277" s="34" t="s">
        <v>798</v>
      </c>
      <c r="C277" s="35" t="s">
        <v>195</v>
      </c>
      <c r="D277" s="34" t="s">
        <v>608</v>
      </c>
      <c r="E277" s="11" t="s">
        <v>9</v>
      </c>
    </row>
    <row r="278">
      <c r="B278" s="34" t="s">
        <v>2396</v>
      </c>
      <c r="C278" s="35" t="s">
        <v>218</v>
      </c>
      <c r="D278" s="34" t="s">
        <v>2395</v>
      </c>
      <c r="E278" s="11" t="s">
        <v>13</v>
      </c>
    </row>
    <row r="279">
      <c r="B279" s="34" t="s">
        <v>608</v>
      </c>
      <c r="C279" s="35" t="s">
        <v>64</v>
      </c>
      <c r="D279" s="34" t="s">
        <v>2397</v>
      </c>
      <c r="E279" s="11" t="s">
        <v>9</v>
      </c>
    </row>
    <row r="280">
      <c r="B280" s="34" t="s">
        <v>798</v>
      </c>
      <c r="C280" s="35" t="s">
        <v>25</v>
      </c>
      <c r="D280" s="34" t="s">
        <v>2395</v>
      </c>
      <c r="E280" s="11" t="s">
        <v>13</v>
      </c>
    </row>
    <row r="281">
      <c r="B281" s="34" t="s">
        <v>2396</v>
      </c>
      <c r="C281" s="35" t="s">
        <v>87</v>
      </c>
      <c r="D281" s="34" t="s">
        <v>2397</v>
      </c>
      <c r="E281" s="11" t="s">
        <v>9</v>
      </c>
    </row>
    <row r="282">
      <c r="B282" s="34" t="s">
        <v>608</v>
      </c>
      <c r="C282" s="35" t="s">
        <v>11</v>
      </c>
      <c r="D282" s="34" t="s">
        <v>2395</v>
      </c>
      <c r="E282" s="11" t="s">
        <v>13</v>
      </c>
    </row>
    <row r="283">
      <c r="B283" s="34" t="s">
        <v>798</v>
      </c>
      <c r="C283" s="35" t="s">
        <v>770</v>
      </c>
      <c r="D283" s="34" t="s">
        <v>2397</v>
      </c>
      <c r="E283" s="11" t="s">
        <v>9</v>
      </c>
    </row>
    <row r="284">
      <c r="B284" s="34" t="s">
        <v>608</v>
      </c>
      <c r="C284" s="35" t="s">
        <v>62</v>
      </c>
      <c r="D284" s="34" t="s">
        <v>2396</v>
      </c>
      <c r="E284" s="11" t="s">
        <v>13</v>
      </c>
    </row>
    <row r="285">
      <c r="B285" s="34" t="s">
        <v>2395</v>
      </c>
      <c r="C285" s="35" t="s">
        <v>83</v>
      </c>
      <c r="D285" s="34" t="s">
        <v>2397</v>
      </c>
      <c r="E285" s="11" t="s">
        <v>9</v>
      </c>
    </row>
    <row r="286">
      <c r="B286" s="34" t="s">
        <v>798</v>
      </c>
      <c r="C286" s="35" t="s">
        <v>17</v>
      </c>
      <c r="D286" s="34" t="s">
        <v>2396</v>
      </c>
      <c r="E286" s="11" t="s">
        <v>13</v>
      </c>
    </row>
    <row r="287">
      <c r="B287" s="28" t="s">
        <v>2190</v>
      </c>
      <c r="C287" s="2"/>
      <c r="D287" s="3"/>
      <c r="E287" s="2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34" t="s">
        <v>2398</v>
      </c>
      <c r="C289" s="35" t="s">
        <v>71</v>
      </c>
      <c r="D289" s="34" t="s">
        <v>1227</v>
      </c>
      <c r="E289" s="11" t="s">
        <v>33</v>
      </c>
    </row>
    <row r="290">
      <c r="B290" s="34" t="s">
        <v>604</v>
      </c>
      <c r="C290" s="35" t="s">
        <v>534</v>
      </c>
      <c r="D290" s="34" t="s">
        <v>2399</v>
      </c>
      <c r="E290" s="11" t="s">
        <v>37</v>
      </c>
    </row>
    <row r="291">
      <c r="B291" s="34" t="s">
        <v>2400</v>
      </c>
      <c r="C291" s="35" t="s">
        <v>716</v>
      </c>
      <c r="D291" s="34" t="s">
        <v>2398</v>
      </c>
      <c r="E291" s="11" t="s">
        <v>33</v>
      </c>
    </row>
    <row r="292">
      <c r="B292" s="34" t="s">
        <v>604</v>
      </c>
      <c r="C292" s="35" t="s">
        <v>190</v>
      </c>
      <c r="D292" s="34" t="s">
        <v>1227</v>
      </c>
      <c r="E292" s="11" t="s">
        <v>37</v>
      </c>
    </row>
    <row r="293">
      <c r="B293" s="34" t="s">
        <v>2400</v>
      </c>
      <c r="C293" s="35" t="s">
        <v>578</v>
      </c>
      <c r="D293" s="34" t="s">
        <v>2399</v>
      </c>
      <c r="E293" s="11" t="s">
        <v>33</v>
      </c>
      <c r="I293" s="36"/>
    </row>
    <row r="294">
      <c r="B294" s="34" t="s">
        <v>604</v>
      </c>
      <c r="C294" s="35" t="s">
        <v>196</v>
      </c>
      <c r="D294" s="34" t="s">
        <v>2398</v>
      </c>
      <c r="E294" s="11" t="s">
        <v>37</v>
      </c>
    </row>
    <row r="295">
      <c r="B295" s="34" t="s">
        <v>2400</v>
      </c>
      <c r="C295" s="35" t="s">
        <v>21</v>
      </c>
      <c r="D295" s="34" t="s">
        <v>1227</v>
      </c>
      <c r="E295" s="11" t="s">
        <v>33</v>
      </c>
    </row>
    <row r="296">
      <c r="B296" s="34" t="s">
        <v>2399</v>
      </c>
      <c r="C296" s="35" t="s">
        <v>545</v>
      </c>
      <c r="D296" s="34" t="s">
        <v>2398</v>
      </c>
      <c r="E296" s="11" t="s">
        <v>37</v>
      </c>
    </row>
    <row r="297">
      <c r="B297" s="34" t="s">
        <v>2400</v>
      </c>
      <c r="C297" s="35" t="s">
        <v>231</v>
      </c>
      <c r="D297" s="34" t="s">
        <v>604</v>
      </c>
      <c r="E297" s="11" t="s">
        <v>33</v>
      </c>
    </row>
    <row r="298">
      <c r="B298" s="34" t="s">
        <v>2399</v>
      </c>
      <c r="C298" s="35" t="s">
        <v>362</v>
      </c>
      <c r="D298" s="34" t="s">
        <v>1227</v>
      </c>
      <c r="E298" s="11" t="s">
        <v>37</v>
      </c>
    </row>
    <row r="299">
      <c r="B299" s="34" t="s">
        <v>1227</v>
      </c>
      <c r="C299" s="35" t="s">
        <v>305</v>
      </c>
      <c r="D299" s="34" t="s">
        <v>2398</v>
      </c>
      <c r="E299" s="11" t="s">
        <v>33</v>
      </c>
    </row>
    <row r="300">
      <c r="B300" s="34" t="s">
        <v>2399</v>
      </c>
      <c r="C300" s="35" t="s">
        <v>1025</v>
      </c>
      <c r="D300" s="34" t="s">
        <v>604</v>
      </c>
      <c r="E300" s="11" t="s">
        <v>37</v>
      </c>
    </row>
    <row r="301">
      <c r="B301" s="34" t="s">
        <v>2398</v>
      </c>
      <c r="C301" s="35" t="s">
        <v>21</v>
      </c>
      <c r="D301" s="34" t="s">
        <v>2400</v>
      </c>
      <c r="E301" s="11" t="s">
        <v>33</v>
      </c>
    </row>
    <row r="302">
      <c r="B302" s="34" t="s">
        <v>1227</v>
      </c>
      <c r="C302" s="35" t="s">
        <v>81</v>
      </c>
      <c r="D302" s="34" t="s">
        <v>604</v>
      </c>
      <c r="E302" s="11" t="s">
        <v>37</v>
      </c>
    </row>
    <row r="303">
      <c r="B303" s="34" t="s">
        <v>2399</v>
      </c>
      <c r="C303" s="35" t="s">
        <v>87</v>
      </c>
      <c r="D303" s="34" t="s">
        <v>2400</v>
      </c>
      <c r="E303" s="11" t="s">
        <v>33</v>
      </c>
    </row>
    <row r="304">
      <c r="B304" s="34" t="s">
        <v>2398</v>
      </c>
      <c r="C304" s="35" t="s">
        <v>83</v>
      </c>
      <c r="D304" s="34" t="s">
        <v>604</v>
      </c>
      <c r="E304" s="11" t="s">
        <v>37</v>
      </c>
    </row>
    <row r="305">
      <c r="B305" s="34" t="s">
        <v>1227</v>
      </c>
      <c r="C305" s="35" t="s">
        <v>64</v>
      </c>
      <c r="D305" s="34" t="s">
        <v>2400</v>
      </c>
      <c r="E305" s="11" t="s">
        <v>33</v>
      </c>
    </row>
    <row r="306">
      <c r="B306" s="34" t="s">
        <v>2398</v>
      </c>
      <c r="C306" s="35" t="s">
        <v>41</v>
      </c>
      <c r="D306" s="34" t="s">
        <v>2399</v>
      </c>
      <c r="E306" s="11" t="s">
        <v>37</v>
      </c>
    </row>
    <row r="307">
      <c r="B307" s="34" t="s">
        <v>604</v>
      </c>
      <c r="C307" s="35" t="s">
        <v>2401</v>
      </c>
      <c r="D307" s="34" t="s">
        <v>2400</v>
      </c>
      <c r="E307" s="11" t="s">
        <v>33</v>
      </c>
    </row>
    <row r="308">
      <c r="B308" s="34" t="s">
        <v>1227</v>
      </c>
      <c r="C308" s="35" t="s">
        <v>218</v>
      </c>
      <c r="D308" s="34" t="s">
        <v>2399</v>
      </c>
      <c r="E308" s="11" t="s">
        <v>37</v>
      </c>
    </row>
    <row r="309">
      <c r="B309" s="28" t="s">
        <v>2402</v>
      </c>
      <c r="C309" s="2"/>
      <c r="D309" s="3"/>
      <c r="E309" s="2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34" t="s">
        <v>2403</v>
      </c>
      <c r="C311" s="35" t="s">
        <v>201</v>
      </c>
      <c r="D311" s="34" t="s">
        <v>2404</v>
      </c>
      <c r="E311" s="11" t="s">
        <v>33</v>
      </c>
    </row>
    <row r="312">
      <c r="B312" s="34" t="s">
        <v>1471</v>
      </c>
      <c r="C312" s="35" t="s">
        <v>325</v>
      </c>
      <c r="D312" s="34" t="s">
        <v>457</v>
      </c>
      <c r="E312" s="11" t="s">
        <v>37</v>
      </c>
    </row>
    <row r="313">
      <c r="B313" s="34" t="s">
        <v>2405</v>
      </c>
      <c r="C313" s="35" t="s">
        <v>17</v>
      </c>
      <c r="D313" s="34" t="s">
        <v>2403</v>
      </c>
      <c r="E313" s="11" t="s">
        <v>33</v>
      </c>
    </row>
    <row r="314">
      <c r="B314" s="34" t="s">
        <v>1471</v>
      </c>
      <c r="C314" s="35" t="s">
        <v>286</v>
      </c>
      <c r="D314" s="34" t="s">
        <v>2404</v>
      </c>
      <c r="E314" s="11" t="s">
        <v>37</v>
      </c>
    </row>
    <row r="315">
      <c r="B315" s="34" t="s">
        <v>2405</v>
      </c>
      <c r="C315" s="35" t="s">
        <v>354</v>
      </c>
      <c r="D315" s="34" t="s">
        <v>457</v>
      </c>
      <c r="E315" s="11" t="s">
        <v>33</v>
      </c>
    </row>
    <row r="316">
      <c r="B316" s="34" t="s">
        <v>1471</v>
      </c>
      <c r="C316" s="35" t="s">
        <v>42</v>
      </c>
      <c r="D316" s="34" t="s">
        <v>2403</v>
      </c>
      <c r="E316" s="11" t="s">
        <v>37</v>
      </c>
    </row>
    <row r="317">
      <c r="B317" s="34" t="s">
        <v>2405</v>
      </c>
      <c r="C317" s="35" t="s">
        <v>243</v>
      </c>
      <c r="D317" s="34" t="s">
        <v>2404</v>
      </c>
      <c r="E317" s="11" t="s">
        <v>33</v>
      </c>
    </row>
    <row r="318">
      <c r="B318" s="34" t="s">
        <v>457</v>
      </c>
      <c r="C318" s="35" t="s">
        <v>1465</v>
      </c>
      <c r="D318" s="34" t="s">
        <v>2403</v>
      </c>
      <c r="E318" s="11" t="s">
        <v>37</v>
      </c>
    </row>
    <row r="319">
      <c r="B319" s="34" t="s">
        <v>2405</v>
      </c>
      <c r="C319" s="35" t="s">
        <v>488</v>
      </c>
      <c r="D319" s="34" t="s">
        <v>1471</v>
      </c>
      <c r="E319" s="11" t="s">
        <v>33</v>
      </c>
    </row>
    <row r="320">
      <c r="B320" s="34" t="s">
        <v>457</v>
      </c>
      <c r="C320" s="35" t="s">
        <v>197</v>
      </c>
      <c r="D320" s="34" t="s">
        <v>2404</v>
      </c>
      <c r="E320" s="11" t="s">
        <v>37</v>
      </c>
    </row>
    <row r="321">
      <c r="B321" s="34" t="s">
        <v>2404</v>
      </c>
      <c r="C321" s="35" t="s">
        <v>283</v>
      </c>
      <c r="D321" s="34" t="s">
        <v>2403</v>
      </c>
      <c r="E321" s="11" t="s">
        <v>33</v>
      </c>
    </row>
    <row r="322">
      <c r="B322" s="34" t="s">
        <v>457</v>
      </c>
      <c r="C322" s="35" t="s">
        <v>194</v>
      </c>
      <c r="D322" s="34" t="s">
        <v>1471</v>
      </c>
      <c r="E322" s="11" t="s">
        <v>37</v>
      </c>
    </row>
    <row r="323">
      <c r="B323" s="34" t="s">
        <v>2403</v>
      </c>
      <c r="C323" s="35" t="s">
        <v>83</v>
      </c>
      <c r="D323" s="34" t="s">
        <v>2405</v>
      </c>
      <c r="E323" s="11" t="s">
        <v>33</v>
      </c>
    </row>
    <row r="324">
      <c r="B324" s="34" t="s">
        <v>2404</v>
      </c>
      <c r="C324" s="35" t="s">
        <v>81</v>
      </c>
      <c r="D324" s="34" t="s">
        <v>1471</v>
      </c>
      <c r="E324" s="11" t="s">
        <v>37</v>
      </c>
    </row>
    <row r="325">
      <c r="B325" s="34" t="s">
        <v>457</v>
      </c>
      <c r="C325" s="35" t="s">
        <v>35</v>
      </c>
      <c r="D325" s="34" t="s">
        <v>2405</v>
      </c>
      <c r="E325" s="11" t="s">
        <v>33</v>
      </c>
    </row>
    <row r="326">
      <c r="B326" s="34" t="s">
        <v>2403</v>
      </c>
      <c r="C326" s="35" t="s">
        <v>297</v>
      </c>
      <c r="D326" s="34" t="s">
        <v>1471</v>
      </c>
      <c r="E326" s="11" t="s">
        <v>37</v>
      </c>
    </row>
    <row r="327">
      <c r="B327" s="34" t="s">
        <v>2404</v>
      </c>
      <c r="C327" s="35" t="s">
        <v>7</v>
      </c>
      <c r="D327" s="34" t="s">
        <v>2405</v>
      </c>
      <c r="E327" s="11" t="s">
        <v>33</v>
      </c>
    </row>
    <row r="328">
      <c r="B328" s="34" t="s">
        <v>2403</v>
      </c>
      <c r="C328" s="35" t="s">
        <v>2406</v>
      </c>
      <c r="D328" s="34" t="s">
        <v>457</v>
      </c>
      <c r="E328" s="11" t="s">
        <v>37</v>
      </c>
    </row>
    <row r="329">
      <c r="B329" s="34" t="s">
        <v>1471</v>
      </c>
      <c r="C329" s="35" t="s">
        <v>294</v>
      </c>
      <c r="D329" s="34" t="s">
        <v>2405</v>
      </c>
      <c r="E329" s="11" t="s">
        <v>33</v>
      </c>
    </row>
    <row r="330">
      <c r="B330" s="34" t="s">
        <v>2404</v>
      </c>
      <c r="C330" s="35" t="s">
        <v>201</v>
      </c>
      <c r="D330" s="34" t="s">
        <v>457</v>
      </c>
      <c r="E330" s="11" t="s">
        <v>37</v>
      </c>
    </row>
    <row r="331">
      <c r="B331" s="28" t="s">
        <v>2272</v>
      </c>
      <c r="C331" s="2"/>
      <c r="D331" s="3"/>
      <c r="E331" s="2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34" t="s">
        <v>2407</v>
      </c>
      <c r="C333" s="33" t="s">
        <v>201</v>
      </c>
      <c r="D333" s="34" t="s">
        <v>2408</v>
      </c>
      <c r="E333" s="11" t="s">
        <v>9</v>
      </c>
    </row>
    <row r="334">
      <c r="B334" s="34" t="s">
        <v>2409</v>
      </c>
      <c r="C334" s="33" t="s">
        <v>25</v>
      </c>
      <c r="D334" s="34" t="s">
        <v>2410</v>
      </c>
      <c r="E334" s="11" t="s">
        <v>13</v>
      </c>
    </row>
    <row r="335">
      <c r="B335" s="34" t="s">
        <v>2411</v>
      </c>
      <c r="C335" s="33" t="s">
        <v>25</v>
      </c>
      <c r="D335" s="34" t="s">
        <v>2407</v>
      </c>
      <c r="E335" s="11" t="s">
        <v>9</v>
      </c>
    </row>
    <row r="336">
      <c r="B336" s="34" t="s">
        <v>2409</v>
      </c>
      <c r="C336" s="33" t="s">
        <v>23</v>
      </c>
      <c r="D336" s="34" t="s">
        <v>2408</v>
      </c>
      <c r="E336" s="11" t="s">
        <v>13</v>
      </c>
    </row>
    <row r="337">
      <c r="B337" s="34" t="s">
        <v>2411</v>
      </c>
      <c r="C337" s="33" t="s">
        <v>45</v>
      </c>
      <c r="D337" s="34" t="s">
        <v>2410</v>
      </c>
      <c r="E337" s="11" t="s">
        <v>9</v>
      </c>
    </row>
    <row r="338">
      <c r="B338" s="34" t="s">
        <v>2409</v>
      </c>
      <c r="C338" s="33" t="s">
        <v>566</v>
      </c>
      <c r="D338" s="34" t="s">
        <v>2407</v>
      </c>
      <c r="E338" s="11" t="s">
        <v>13</v>
      </c>
    </row>
    <row r="339">
      <c r="B339" s="34" t="s">
        <v>2411</v>
      </c>
      <c r="C339" s="33" t="s">
        <v>286</v>
      </c>
      <c r="D339" s="34" t="s">
        <v>2408</v>
      </c>
      <c r="E339" s="11" t="s">
        <v>9</v>
      </c>
    </row>
    <row r="340">
      <c r="B340" s="34" t="s">
        <v>2410</v>
      </c>
      <c r="C340" s="33" t="s">
        <v>260</v>
      </c>
      <c r="D340" s="34" t="s">
        <v>2407</v>
      </c>
      <c r="E340" s="11" t="s">
        <v>13</v>
      </c>
    </row>
    <row r="341">
      <c r="B341" s="34" t="s">
        <v>2411</v>
      </c>
      <c r="C341" s="33" t="s">
        <v>337</v>
      </c>
      <c r="D341" s="34" t="s">
        <v>2409</v>
      </c>
      <c r="E341" s="11" t="s">
        <v>9</v>
      </c>
    </row>
    <row r="342">
      <c r="B342" s="34" t="s">
        <v>2410</v>
      </c>
      <c r="C342" s="33" t="s">
        <v>27</v>
      </c>
      <c r="D342" s="34" t="s">
        <v>2408</v>
      </c>
      <c r="E342" s="11" t="s">
        <v>13</v>
      </c>
    </row>
    <row r="343">
      <c r="B343" s="34" t="s">
        <v>2408</v>
      </c>
      <c r="C343" s="33" t="s">
        <v>87</v>
      </c>
      <c r="D343" s="34" t="s">
        <v>2407</v>
      </c>
      <c r="E343" s="11" t="s">
        <v>9</v>
      </c>
    </row>
    <row r="344">
      <c r="B344" s="34" t="s">
        <v>2410</v>
      </c>
      <c r="C344" s="33" t="s">
        <v>1067</v>
      </c>
      <c r="D344" s="34" t="s">
        <v>2409</v>
      </c>
      <c r="E344" s="11" t="s">
        <v>13</v>
      </c>
      <c r="G344" s="36" t="s">
        <v>663</v>
      </c>
    </row>
    <row r="345">
      <c r="B345" s="34" t="s">
        <v>2407</v>
      </c>
      <c r="C345" s="35" t="s">
        <v>836</v>
      </c>
      <c r="D345" s="34" t="s">
        <v>2411</v>
      </c>
      <c r="E345" s="11" t="s">
        <v>9</v>
      </c>
    </row>
    <row r="346">
      <c r="B346" s="34" t="s">
        <v>2408</v>
      </c>
      <c r="C346" s="35" t="s">
        <v>20</v>
      </c>
      <c r="D346" s="34" t="s">
        <v>2409</v>
      </c>
      <c r="E346" s="11" t="s">
        <v>13</v>
      </c>
    </row>
    <row r="347">
      <c r="B347" s="34" t="s">
        <v>2410</v>
      </c>
      <c r="C347" s="35" t="s">
        <v>614</v>
      </c>
      <c r="D347" s="34" t="s">
        <v>2411</v>
      </c>
      <c r="E347" s="11" t="s">
        <v>9</v>
      </c>
    </row>
    <row r="348">
      <c r="B348" s="34" t="s">
        <v>2407</v>
      </c>
      <c r="C348" s="35" t="s">
        <v>88</v>
      </c>
      <c r="D348" s="34" t="s">
        <v>2409</v>
      </c>
      <c r="E348" s="11" t="s">
        <v>13</v>
      </c>
    </row>
    <row r="349">
      <c r="B349" s="34" t="s">
        <v>2408</v>
      </c>
      <c r="C349" s="35" t="s">
        <v>2294</v>
      </c>
      <c r="D349" s="34" t="s">
        <v>2411</v>
      </c>
      <c r="E349" s="11" t="s">
        <v>9</v>
      </c>
    </row>
    <row r="350">
      <c r="B350" s="34" t="s">
        <v>2407</v>
      </c>
      <c r="C350" s="35" t="s">
        <v>83</v>
      </c>
      <c r="D350" s="34" t="s">
        <v>2410</v>
      </c>
      <c r="E350" s="11" t="s">
        <v>13</v>
      </c>
    </row>
    <row r="351">
      <c r="B351" s="34" t="s">
        <v>2409</v>
      </c>
      <c r="C351" s="35" t="s">
        <v>201</v>
      </c>
      <c r="D351" s="34" t="s">
        <v>2411</v>
      </c>
      <c r="E351" s="11" t="s">
        <v>9</v>
      </c>
    </row>
    <row r="352">
      <c r="B352" s="34" t="s">
        <v>2408</v>
      </c>
      <c r="C352" s="35" t="s">
        <v>232</v>
      </c>
      <c r="D352" s="34" t="s">
        <v>2410</v>
      </c>
      <c r="E352" s="11" t="s">
        <v>13</v>
      </c>
    </row>
    <row r="353">
      <c r="B353" s="28" t="s">
        <v>2412</v>
      </c>
      <c r="C353" s="2"/>
      <c r="D353" s="3"/>
      <c r="E353" s="29"/>
    </row>
    <row r="354">
      <c r="B354" s="6" t="s">
        <v>2</v>
      </c>
      <c r="C354" s="6" t="s">
        <v>3</v>
      </c>
      <c r="D354" s="6" t="s">
        <v>4</v>
      </c>
      <c r="E354" s="6" t="s">
        <v>5</v>
      </c>
    </row>
    <row r="355">
      <c r="B355" s="34" t="s">
        <v>2413</v>
      </c>
      <c r="C355" s="35" t="s">
        <v>72</v>
      </c>
      <c r="D355" s="34" t="s">
        <v>1902</v>
      </c>
      <c r="E355" s="11" t="s">
        <v>33</v>
      </c>
    </row>
    <row r="356">
      <c r="B356" s="34" t="s">
        <v>1721</v>
      </c>
      <c r="C356" s="35" t="s">
        <v>285</v>
      </c>
      <c r="D356" s="34" t="s">
        <v>1900</v>
      </c>
      <c r="E356" s="11" t="s">
        <v>37</v>
      </c>
    </row>
    <row r="357">
      <c r="B357" s="34" t="s">
        <v>2414</v>
      </c>
      <c r="C357" s="35" t="s">
        <v>274</v>
      </c>
      <c r="D357" s="34" t="s">
        <v>2413</v>
      </c>
      <c r="E357" s="11" t="s">
        <v>33</v>
      </c>
    </row>
    <row r="358">
      <c r="B358" s="34" t="s">
        <v>1721</v>
      </c>
      <c r="C358" s="35" t="s">
        <v>64</v>
      </c>
      <c r="D358" s="34" t="s">
        <v>1902</v>
      </c>
      <c r="E358" s="11" t="s">
        <v>37</v>
      </c>
    </row>
    <row r="359">
      <c r="B359" s="34" t="s">
        <v>2414</v>
      </c>
      <c r="C359" s="35" t="s">
        <v>45</v>
      </c>
      <c r="D359" s="34" t="s">
        <v>1900</v>
      </c>
      <c r="E359" s="11" t="s">
        <v>33</v>
      </c>
    </row>
    <row r="360">
      <c r="B360" s="34" t="s">
        <v>1721</v>
      </c>
      <c r="C360" s="35" t="s">
        <v>42</v>
      </c>
      <c r="D360" s="34" t="s">
        <v>2413</v>
      </c>
      <c r="E360" s="11" t="s">
        <v>37</v>
      </c>
    </row>
    <row r="361">
      <c r="B361" s="34" t="s">
        <v>2414</v>
      </c>
      <c r="C361" s="35" t="s">
        <v>201</v>
      </c>
      <c r="D361" s="34" t="s">
        <v>1902</v>
      </c>
      <c r="E361" s="11" t="s">
        <v>33</v>
      </c>
    </row>
    <row r="362">
      <c r="B362" s="34" t="s">
        <v>1900</v>
      </c>
      <c r="C362" s="35" t="s">
        <v>411</v>
      </c>
      <c r="D362" s="34" t="s">
        <v>2413</v>
      </c>
      <c r="E362" s="11" t="s">
        <v>37</v>
      </c>
    </row>
    <row r="363">
      <c r="B363" s="34" t="s">
        <v>2414</v>
      </c>
      <c r="C363" s="35" t="s">
        <v>17</v>
      </c>
      <c r="D363" s="34" t="s">
        <v>1721</v>
      </c>
      <c r="E363" s="11" t="s">
        <v>33</v>
      </c>
      <c r="N363" s="36" t="s">
        <v>663</v>
      </c>
    </row>
    <row r="364">
      <c r="B364" s="34" t="s">
        <v>1900</v>
      </c>
      <c r="C364" s="35" t="s">
        <v>260</v>
      </c>
      <c r="D364" s="34" t="s">
        <v>1902</v>
      </c>
      <c r="E364" s="11" t="s">
        <v>37</v>
      </c>
    </row>
    <row r="365">
      <c r="B365" s="34" t="s">
        <v>1902</v>
      </c>
      <c r="C365" s="35" t="s">
        <v>195</v>
      </c>
      <c r="D365" s="34" t="s">
        <v>2413</v>
      </c>
      <c r="E365" s="11" t="s">
        <v>33</v>
      </c>
    </row>
    <row r="366">
      <c r="B366" s="34" t="s">
        <v>1900</v>
      </c>
      <c r="C366" s="35" t="s">
        <v>239</v>
      </c>
      <c r="D366" s="34" t="s">
        <v>1721</v>
      </c>
      <c r="E366" s="11" t="s">
        <v>37</v>
      </c>
    </row>
    <row r="367">
      <c r="B367" s="34" t="s">
        <v>2413</v>
      </c>
      <c r="C367" s="35" t="s">
        <v>260</v>
      </c>
      <c r="D367" s="34" t="s">
        <v>2414</v>
      </c>
      <c r="E367" s="11" t="s">
        <v>33</v>
      </c>
    </row>
    <row r="368">
      <c r="B368" s="34" t="s">
        <v>1902</v>
      </c>
      <c r="C368" s="35" t="s">
        <v>289</v>
      </c>
      <c r="D368" s="34" t="s">
        <v>1721</v>
      </c>
      <c r="E368" s="11" t="s">
        <v>37</v>
      </c>
    </row>
    <row r="369">
      <c r="B369" s="34" t="s">
        <v>1900</v>
      </c>
      <c r="C369" s="35" t="s">
        <v>289</v>
      </c>
      <c r="D369" s="34" t="s">
        <v>2414</v>
      </c>
      <c r="E369" s="11" t="s">
        <v>33</v>
      </c>
    </row>
    <row r="370">
      <c r="B370" s="34" t="s">
        <v>2413</v>
      </c>
      <c r="C370" s="35" t="s">
        <v>64</v>
      </c>
      <c r="D370" s="34" t="s">
        <v>1721</v>
      </c>
      <c r="E370" s="11" t="s">
        <v>37</v>
      </c>
    </row>
    <row r="371">
      <c r="B371" s="34" t="s">
        <v>1902</v>
      </c>
      <c r="C371" s="35" t="s">
        <v>69</v>
      </c>
      <c r="D371" s="34" t="s">
        <v>2414</v>
      </c>
      <c r="E371" s="11" t="s">
        <v>33</v>
      </c>
    </row>
    <row r="372">
      <c r="B372" s="34" t="s">
        <v>2413</v>
      </c>
      <c r="C372" s="35" t="s">
        <v>17</v>
      </c>
      <c r="D372" s="34" t="s">
        <v>1900</v>
      </c>
      <c r="E372" s="11" t="s">
        <v>37</v>
      </c>
    </row>
    <row r="373">
      <c r="B373" s="34" t="s">
        <v>1721</v>
      </c>
      <c r="C373" s="35" t="s">
        <v>282</v>
      </c>
      <c r="D373" s="34" t="s">
        <v>2414</v>
      </c>
      <c r="E373" s="11" t="s">
        <v>33</v>
      </c>
    </row>
    <row r="374">
      <c r="B374" s="34" t="s">
        <v>1902</v>
      </c>
      <c r="C374" s="35" t="s">
        <v>43</v>
      </c>
      <c r="D374" s="34" t="s">
        <v>1900</v>
      </c>
      <c r="E374" s="11" t="s">
        <v>37</v>
      </c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</hyperlinks>
  <drawing r:id="rId34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/>
      <c r="B1" s="72" t="s">
        <v>2284</v>
      </c>
      <c r="C1" s="2"/>
      <c r="D1" s="3"/>
      <c r="E1" s="29"/>
      <c r="G1" s="36"/>
    </row>
    <row r="2">
      <c r="A2" s="66"/>
      <c r="B2" s="6" t="s">
        <v>2</v>
      </c>
      <c r="C2" s="6" t="s">
        <v>3</v>
      </c>
      <c r="D2" s="6" t="s">
        <v>4</v>
      </c>
      <c r="E2" s="6" t="s">
        <v>5</v>
      </c>
    </row>
    <row r="3">
      <c r="A3" s="66"/>
      <c r="B3" s="8" t="s">
        <v>2415</v>
      </c>
      <c r="C3" s="33" t="s">
        <v>260</v>
      </c>
      <c r="D3" s="34" t="s">
        <v>2416</v>
      </c>
      <c r="E3" s="11" t="s">
        <v>33</v>
      </c>
    </row>
    <row r="4">
      <c r="A4" s="66"/>
      <c r="B4" s="32" t="s">
        <v>2417</v>
      </c>
      <c r="C4" s="33" t="s">
        <v>190</v>
      </c>
      <c r="D4" s="32" t="s">
        <v>1442</v>
      </c>
      <c r="E4" s="11" t="s">
        <v>37</v>
      </c>
    </row>
    <row r="5">
      <c r="A5" s="66"/>
      <c r="B5" s="8" t="s">
        <v>2418</v>
      </c>
      <c r="C5" s="33" t="s">
        <v>22</v>
      </c>
      <c r="D5" s="8" t="s">
        <v>2415</v>
      </c>
      <c r="E5" s="11" t="s">
        <v>33</v>
      </c>
    </row>
    <row r="6">
      <c r="A6" s="66"/>
      <c r="B6" s="32" t="s">
        <v>2417</v>
      </c>
      <c r="C6" s="33" t="s">
        <v>285</v>
      </c>
      <c r="D6" s="34" t="s">
        <v>2416</v>
      </c>
      <c r="E6" s="11" t="s">
        <v>37</v>
      </c>
    </row>
    <row r="7">
      <c r="A7" s="66"/>
      <c r="B7" s="8" t="s">
        <v>2418</v>
      </c>
      <c r="C7" s="33" t="s">
        <v>43</v>
      </c>
      <c r="D7" s="32" t="s">
        <v>1442</v>
      </c>
      <c r="E7" s="11" t="s">
        <v>33</v>
      </c>
    </row>
    <row r="8">
      <c r="A8" s="66"/>
      <c r="B8" s="32" t="s">
        <v>2417</v>
      </c>
      <c r="C8" s="33" t="s">
        <v>195</v>
      </c>
      <c r="D8" s="8" t="s">
        <v>2415</v>
      </c>
      <c r="E8" s="11" t="s">
        <v>37</v>
      </c>
    </row>
    <row r="9">
      <c r="A9" s="66"/>
      <c r="B9" s="8" t="s">
        <v>2418</v>
      </c>
      <c r="C9" s="33" t="s">
        <v>71</v>
      </c>
      <c r="D9" s="34" t="s">
        <v>2416</v>
      </c>
      <c r="E9" s="11" t="s">
        <v>33</v>
      </c>
    </row>
    <row r="10">
      <c r="A10" s="66"/>
      <c r="B10" s="32" t="s">
        <v>1442</v>
      </c>
      <c r="C10" s="33" t="s">
        <v>197</v>
      </c>
      <c r="D10" s="8" t="s">
        <v>2415</v>
      </c>
      <c r="E10" s="11" t="s">
        <v>37</v>
      </c>
    </row>
    <row r="11">
      <c r="A11" s="66"/>
      <c r="B11" s="8" t="s">
        <v>2418</v>
      </c>
      <c r="C11" s="33" t="s">
        <v>71</v>
      </c>
      <c r="D11" s="32" t="s">
        <v>2417</v>
      </c>
      <c r="E11" s="11" t="s">
        <v>33</v>
      </c>
    </row>
    <row r="12">
      <c r="A12" s="66"/>
      <c r="B12" s="32" t="s">
        <v>1442</v>
      </c>
      <c r="C12" s="33" t="s">
        <v>217</v>
      </c>
      <c r="D12" s="34" t="s">
        <v>2416</v>
      </c>
      <c r="E12" s="11" t="s">
        <v>37</v>
      </c>
    </row>
    <row r="13">
      <c r="A13" s="66"/>
      <c r="B13" s="34" t="s">
        <v>2416</v>
      </c>
      <c r="C13" s="33" t="s">
        <v>47</v>
      </c>
      <c r="D13" s="8" t="s">
        <v>2415</v>
      </c>
      <c r="E13" s="11" t="s">
        <v>33</v>
      </c>
    </row>
    <row r="14">
      <c r="A14" s="66"/>
      <c r="B14" s="32" t="s">
        <v>1442</v>
      </c>
      <c r="C14" s="33" t="s">
        <v>197</v>
      </c>
      <c r="D14" s="32" t="s">
        <v>2417</v>
      </c>
      <c r="E14" s="11" t="s">
        <v>37</v>
      </c>
    </row>
    <row r="15">
      <c r="A15" s="66"/>
      <c r="B15" s="8" t="s">
        <v>2415</v>
      </c>
      <c r="C15" s="35" t="s">
        <v>218</v>
      </c>
      <c r="D15" s="8" t="s">
        <v>2418</v>
      </c>
      <c r="E15" s="11" t="s">
        <v>33</v>
      </c>
    </row>
    <row r="16">
      <c r="A16" s="66"/>
      <c r="B16" s="34" t="s">
        <v>2416</v>
      </c>
      <c r="C16" s="35" t="s">
        <v>270</v>
      </c>
      <c r="D16" s="32" t="s">
        <v>2417</v>
      </c>
      <c r="E16" s="11" t="s">
        <v>37</v>
      </c>
    </row>
    <row r="17">
      <c r="A17" s="66"/>
      <c r="B17" s="32" t="s">
        <v>1442</v>
      </c>
      <c r="C17" s="35" t="s">
        <v>71</v>
      </c>
      <c r="D17" s="8" t="s">
        <v>2418</v>
      </c>
      <c r="E17" s="11" t="s">
        <v>33</v>
      </c>
    </row>
    <row r="18">
      <c r="A18" s="66"/>
      <c r="B18" s="8" t="s">
        <v>2415</v>
      </c>
      <c r="C18" s="35" t="s">
        <v>193</v>
      </c>
      <c r="D18" s="32" t="s">
        <v>2417</v>
      </c>
      <c r="E18" s="11" t="s">
        <v>37</v>
      </c>
    </row>
    <row r="19">
      <c r="A19" s="66"/>
      <c r="B19" s="34" t="s">
        <v>2416</v>
      </c>
      <c r="C19" s="35" t="s">
        <v>193</v>
      </c>
      <c r="D19" s="8" t="s">
        <v>2418</v>
      </c>
      <c r="E19" s="11" t="s">
        <v>33</v>
      </c>
    </row>
    <row r="20">
      <c r="A20" s="66"/>
      <c r="B20" s="8" t="s">
        <v>2415</v>
      </c>
      <c r="C20" s="35" t="s">
        <v>294</v>
      </c>
      <c r="D20" s="32" t="s">
        <v>1442</v>
      </c>
      <c r="E20" s="11" t="s">
        <v>37</v>
      </c>
    </row>
    <row r="21">
      <c r="A21" s="66"/>
      <c r="B21" s="32" t="s">
        <v>2417</v>
      </c>
      <c r="C21" s="35" t="s">
        <v>853</v>
      </c>
      <c r="D21" s="8" t="s">
        <v>2418</v>
      </c>
      <c r="E21" s="11" t="s">
        <v>33</v>
      </c>
      <c r="H21" s="36"/>
    </row>
    <row r="22">
      <c r="A22" s="66"/>
      <c r="B22" s="34" t="s">
        <v>2416</v>
      </c>
      <c r="C22" s="35" t="s">
        <v>42</v>
      </c>
      <c r="D22" s="32" t="s">
        <v>1442</v>
      </c>
      <c r="E22" s="11" t="s">
        <v>37</v>
      </c>
      <c r="G22" s="36"/>
    </row>
    <row r="23">
      <c r="A23" s="66"/>
      <c r="B23" s="1" t="s">
        <v>2022</v>
      </c>
      <c r="C23" s="2"/>
      <c r="D23" s="3"/>
      <c r="E23" s="48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1541</v>
      </c>
      <c r="C25" s="33" t="s">
        <v>218</v>
      </c>
      <c r="D25" s="34" t="s">
        <v>2419</v>
      </c>
      <c r="E25" s="11" t="s">
        <v>9</v>
      </c>
    </row>
    <row r="26">
      <c r="A26" s="66"/>
      <c r="B26" s="32" t="s">
        <v>1474</v>
      </c>
      <c r="C26" s="33" t="s">
        <v>21</v>
      </c>
      <c r="D26" s="32" t="s">
        <v>1539</v>
      </c>
      <c r="E26" s="11" t="s">
        <v>13</v>
      </c>
    </row>
    <row r="27">
      <c r="A27" s="66"/>
      <c r="B27" s="34" t="s">
        <v>2420</v>
      </c>
      <c r="C27" s="33" t="s">
        <v>16</v>
      </c>
      <c r="D27" s="34" t="s">
        <v>1541</v>
      </c>
      <c r="E27" s="11" t="s">
        <v>9</v>
      </c>
    </row>
    <row r="28">
      <c r="A28" s="66"/>
      <c r="B28" s="32" t="s">
        <v>1474</v>
      </c>
      <c r="C28" s="33" t="s">
        <v>243</v>
      </c>
      <c r="D28" s="34" t="s">
        <v>2419</v>
      </c>
      <c r="E28" s="11" t="s">
        <v>13</v>
      </c>
    </row>
    <row r="29">
      <c r="A29" s="66"/>
      <c r="B29" s="34" t="s">
        <v>2420</v>
      </c>
      <c r="C29" s="33" t="s">
        <v>62</v>
      </c>
      <c r="D29" s="32" t="s">
        <v>1539</v>
      </c>
      <c r="E29" s="11" t="s">
        <v>9</v>
      </c>
    </row>
    <row r="30">
      <c r="A30" s="66"/>
      <c r="B30" s="32" t="s">
        <v>1474</v>
      </c>
      <c r="C30" s="33" t="s">
        <v>41</v>
      </c>
      <c r="D30" s="34" t="s">
        <v>1541</v>
      </c>
      <c r="E30" s="11" t="s">
        <v>13</v>
      </c>
    </row>
    <row r="31">
      <c r="A31" s="66"/>
      <c r="B31" s="34" t="s">
        <v>2420</v>
      </c>
      <c r="C31" s="33" t="s">
        <v>274</v>
      </c>
      <c r="D31" s="34" t="s">
        <v>2419</v>
      </c>
      <c r="E31" s="11" t="s">
        <v>9</v>
      </c>
    </row>
    <row r="32">
      <c r="A32" s="66"/>
      <c r="B32" s="32" t="s">
        <v>1539</v>
      </c>
      <c r="C32" s="33" t="s">
        <v>578</v>
      </c>
      <c r="D32" s="34" t="s">
        <v>1541</v>
      </c>
      <c r="E32" s="11" t="s">
        <v>13</v>
      </c>
    </row>
    <row r="33">
      <c r="A33" s="66"/>
      <c r="B33" s="34" t="s">
        <v>2420</v>
      </c>
      <c r="C33" s="33" t="s">
        <v>67</v>
      </c>
      <c r="D33" s="32" t="s">
        <v>1474</v>
      </c>
      <c r="E33" s="11" t="s">
        <v>9</v>
      </c>
    </row>
    <row r="34">
      <c r="A34" s="66"/>
      <c r="B34" s="32" t="s">
        <v>1539</v>
      </c>
      <c r="C34" s="33" t="s">
        <v>239</v>
      </c>
      <c r="D34" s="34" t="s">
        <v>2419</v>
      </c>
      <c r="E34" s="11" t="s">
        <v>13</v>
      </c>
    </row>
    <row r="35">
      <c r="A35" s="66"/>
      <c r="B35" s="34" t="s">
        <v>2419</v>
      </c>
      <c r="C35" s="33" t="s">
        <v>286</v>
      </c>
      <c r="D35" s="34" t="s">
        <v>1541</v>
      </c>
      <c r="E35" s="11" t="s">
        <v>9</v>
      </c>
    </row>
    <row r="36">
      <c r="A36" s="66"/>
      <c r="B36" s="32" t="s">
        <v>1539</v>
      </c>
      <c r="C36" s="33" t="s">
        <v>64</v>
      </c>
      <c r="D36" s="32" t="s">
        <v>1474</v>
      </c>
      <c r="E36" s="11" t="s">
        <v>13</v>
      </c>
    </row>
    <row r="37">
      <c r="A37" s="66"/>
      <c r="B37" s="34" t="s">
        <v>1541</v>
      </c>
      <c r="C37" s="35" t="s">
        <v>232</v>
      </c>
      <c r="D37" s="34" t="s">
        <v>2420</v>
      </c>
      <c r="E37" s="11" t="s">
        <v>9</v>
      </c>
    </row>
    <row r="38">
      <c r="A38" s="66"/>
      <c r="B38" s="34" t="s">
        <v>2419</v>
      </c>
      <c r="C38" s="35" t="s">
        <v>2121</v>
      </c>
      <c r="D38" s="32" t="s">
        <v>1474</v>
      </c>
      <c r="E38" s="11" t="s">
        <v>13</v>
      </c>
    </row>
    <row r="39">
      <c r="A39" s="66"/>
      <c r="B39" s="32" t="s">
        <v>1539</v>
      </c>
      <c r="C39" s="35" t="s">
        <v>304</v>
      </c>
      <c r="D39" s="34" t="s">
        <v>2420</v>
      </c>
      <c r="E39" s="11" t="s">
        <v>9</v>
      </c>
    </row>
    <row r="40">
      <c r="A40" s="66"/>
      <c r="B40" s="34" t="s">
        <v>1541</v>
      </c>
      <c r="C40" s="35" t="s">
        <v>190</v>
      </c>
      <c r="D40" s="32" t="s">
        <v>1474</v>
      </c>
      <c r="E40" s="11" t="s">
        <v>13</v>
      </c>
    </row>
    <row r="41">
      <c r="A41" s="66"/>
      <c r="B41" s="34" t="s">
        <v>2419</v>
      </c>
      <c r="C41" s="35" t="s">
        <v>18</v>
      </c>
      <c r="D41" s="34" t="s">
        <v>2420</v>
      </c>
      <c r="E41" s="11" t="s">
        <v>9</v>
      </c>
    </row>
    <row r="42">
      <c r="A42" s="66"/>
      <c r="B42" s="34" t="s">
        <v>1541</v>
      </c>
      <c r="C42" s="35" t="s">
        <v>11</v>
      </c>
      <c r="D42" s="32" t="s">
        <v>1539</v>
      </c>
      <c r="E42" s="11" t="s">
        <v>13</v>
      </c>
    </row>
    <row r="43">
      <c r="A43" s="66"/>
      <c r="B43" s="32" t="s">
        <v>1474</v>
      </c>
      <c r="C43" s="35" t="s">
        <v>69</v>
      </c>
      <c r="D43" s="34" t="s">
        <v>2420</v>
      </c>
      <c r="E43" s="11" t="s">
        <v>9</v>
      </c>
    </row>
    <row r="44">
      <c r="A44" s="67"/>
      <c r="B44" s="34" t="s">
        <v>2419</v>
      </c>
      <c r="C44" s="35" t="s">
        <v>239</v>
      </c>
      <c r="D44" s="32" t="s">
        <v>1539</v>
      </c>
      <c r="E44" s="11" t="s">
        <v>13</v>
      </c>
    </row>
    <row r="45">
      <c r="B45" s="72" t="s">
        <v>2421</v>
      </c>
      <c r="C45" s="2"/>
      <c r="D45" s="3"/>
      <c r="E45" s="14"/>
    </row>
    <row r="46">
      <c r="B46" s="16" t="s">
        <v>2</v>
      </c>
      <c r="C46" s="16" t="s">
        <v>3</v>
      </c>
      <c r="D46" s="16" t="s">
        <v>4</v>
      </c>
      <c r="E46" s="16" t="s">
        <v>5</v>
      </c>
    </row>
    <row r="47">
      <c r="B47" s="8" t="s">
        <v>2422</v>
      </c>
      <c r="C47" s="33" t="s">
        <v>25</v>
      </c>
      <c r="D47" s="32" t="s">
        <v>2211</v>
      </c>
      <c r="E47" s="11" t="s">
        <v>33</v>
      </c>
    </row>
    <row r="48">
      <c r="B48" s="32" t="s">
        <v>2140</v>
      </c>
      <c r="C48" s="33" t="s">
        <v>42</v>
      </c>
      <c r="D48" s="32" t="s">
        <v>960</v>
      </c>
      <c r="E48" s="11" t="s">
        <v>37</v>
      </c>
      <c r="H48" s="36"/>
    </row>
    <row r="49">
      <c r="B49" s="8" t="s">
        <v>1181</v>
      </c>
      <c r="C49" s="33" t="s">
        <v>270</v>
      </c>
      <c r="D49" s="8" t="s">
        <v>2422</v>
      </c>
      <c r="E49" s="11" t="s">
        <v>33</v>
      </c>
    </row>
    <row r="50">
      <c r="B50" s="32" t="s">
        <v>2140</v>
      </c>
      <c r="C50" s="33" t="s">
        <v>55</v>
      </c>
      <c r="D50" s="32" t="s">
        <v>2211</v>
      </c>
      <c r="E50" s="11" t="s">
        <v>37</v>
      </c>
    </row>
    <row r="51">
      <c r="B51" s="8" t="s">
        <v>1181</v>
      </c>
      <c r="C51" s="33" t="s">
        <v>193</v>
      </c>
      <c r="D51" s="32" t="s">
        <v>960</v>
      </c>
      <c r="E51" s="11" t="s">
        <v>33</v>
      </c>
    </row>
    <row r="52">
      <c r="B52" s="32" t="s">
        <v>2140</v>
      </c>
      <c r="C52" s="33" t="s">
        <v>291</v>
      </c>
      <c r="D52" s="8" t="s">
        <v>2422</v>
      </c>
      <c r="E52" s="11" t="s">
        <v>37</v>
      </c>
    </row>
    <row r="53">
      <c r="B53" s="8" t="s">
        <v>1181</v>
      </c>
      <c r="C53" s="33" t="s">
        <v>66</v>
      </c>
      <c r="D53" s="32" t="s">
        <v>2211</v>
      </c>
      <c r="E53" s="11" t="s">
        <v>33</v>
      </c>
    </row>
    <row r="54">
      <c r="B54" s="32" t="s">
        <v>960</v>
      </c>
      <c r="C54" s="33" t="s">
        <v>1342</v>
      </c>
      <c r="D54" s="8" t="s">
        <v>2422</v>
      </c>
      <c r="E54" s="11" t="s">
        <v>37</v>
      </c>
    </row>
    <row r="55">
      <c r="B55" s="8" t="s">
        <v>1181</v>
      </c>
      <c r="C55" s="33" t="s">
        <v>195</v>
      </c>
      <c r="D55" s="32" t="s">
        <v>2140</v>
      </c>
      <c r="E55" s="11" t="s">
        <v>33</v>
      </c>
    </row>
    <row r="56">
      <c r="B56" s="32" t="s">
        <v>960</v>
      </c>
      <c r="C56" s="33" t="s">
        <v>232</v>
      </c>
      <c r="D56" s="32" t="s">
        <v>2211</v>
      </c>
      <c r="E56" s="11" t="s">
        <v>37</v>
      </c>
      <c r="I56" s="36"/>
    </row>
    <row r="57">
      <c r="B57" s="32" t="s">
        <v>2211</v>
      </c>
      <c r="C57" s="33" t="s">
        <v>43</v>
      </c>
      <c r="D57" s="8" t="s">
        <v>2422</v>
      </c>
      <c r="E57" s="11" t="s">
        <v>33</v>
      </c>
    </row>
    <row r="58">
      <c r="B58" s="32" t="s">
        <v>960</v>
      </c>
      <c r="C58" s="33" t="s">
        <v>212</v>
      </c>
      <c r="D58" s="32" t="s">
        <v>2140</v>
      </c>
      <c r="E58" s="11" t="s">
        <v>37</v>
      </c>
    </row>
    <row r="59">
      <c r="B59" s="8" t="s">
        <v>2422</v>
      </c>
      <c r="C59" s="35" t="s">
        <v>22</v>
      </c>
      <c r="D59" s="8" t="s">
        <v>1181</v>
      </c>
      <c r="E59" s="11" t="s">
        <v>33</v>
      </c>
    </row>
    <row r="60">
      <c r="B60" s="32" t="s">
        <v>2211</v>
      </c>
      <c r="C60" s="35" t="s">
        <v>268</v>
      </c>
      <c r="D60" s="32" t="s">
        <v>2140</v>
      </c>
      <c r="E60" s="11" t="s">
        <v>37</v>
      </c>
    </row>
    <row r="61">
      <c r="B61" s="32" t="s">
        <v>960</v>
      </c>
      <c r="C61" s="35" t="s">
        <v>443</v>
      </c>
      <c r="D61" s="8" t="s">
        <v>1181</v>
      </c>
      <c r="E61" s="11" t="s">
        <v>33</v>
      </c>
    </row>
    <row r="62">
      <c r="B62" s="8" t="s">
        <v>2422</v>
      </c>
      <c r="C62" s="35" t="s">
        <v>389</v>
      </c>
      <c r="D62" s="32" t="s">
        <v>2140</v>
      </c>
      <c r="E62" s="11" t="s">
        <v>37</v>
      </c>
    </row>
    <row r="63">
      <c r="B63" s="32" t="s">
        <v>2211</v>
      </c>
      <c r="C63" s="35" t="s">
        <v>286</v>
      </c>
      <c r="D63" s="8" t="s">
        <v>1181</v>
      </c>
      <c r="E63" s="11" t="s">
        <v>33</v>
      </c>
    </row>
    <row r="64">
      <c r="B64" s="8" t="s">
        <v>2422</v>
      </c>
      <c r="C64" s="35" t="s">
        <v>201</v>
      </c>
      <c r="D64" s="32" t="s">
        <v>960</v>
      </c>
      <c r="E64" s="11" t="s">
        <v>37</v>
      </c>
    </row>
    <row r="65">
      <c r="B65" s="32" t="s">
        <v>2140</v>
      </c>
      <c r="C65" s="35" t="s">
        <v>218</v>
      </c>
      <c r="D65" s="8" t="s">
        <v>1181</v>
      </c>
      <c r="E65" s="11" t="s">
        <v>33</v>
      </c>
      <c r="H65" s="36"/>
    </row>
    <row r="66">
      <c r="B66" s="32" t="s">
        <v>2211</v>
      </c>
      <c r="C66" s="35" t="s">
        <v>338</v>
      </c>
      <c r="D66" s="32" t="s">
        <v>960</v>
      </c>
      <c r="E66" s="11" t="s">
        <v>37</v>
      </c>
    </row>
    <row r="67">
      <c r="B67" s="1" t="s">
        <v>2423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16" t="s">
        <v>5</v>
      </c>
      <c r="I68" s="36"/>
    </row>
    <row r="69">
      <c r="B69" s="32" t="s">
        <v>1713</v>
      </c>
      <c r="C69" s="33" t="s">
        <v>190</v>
      </c>
      <c r="D69" s="32" t="s">
        <v>1658</v>
      </c>
      <c r="E69" s="11" t="s">
        <v>9</v>
      </c>
    </row>
    <row r="70">
      <c r="B70" s="32" t="s">
        <v>1812</v>
      </c>
      <c r="C70" s="33" t="s">
        <v>293</v>
      </c>
      <c r="D70" s="32" t="s">
        <v>1945</v>
      </c>
      <c r="E70" s="11" t="s">
        <v>13</v>
      </c>
    </row>
    <row r="71">
      <c r="B71" s="32" t="s">
        <v>1665</v>
      </c>
      <c r="C71" s="33" t="s">
        <v>17</v>
      </c>
      <c r="D71" s="32" t="s">
        <v>1713</v>
      </c>
      <c r="E71" s="11" t="s">
        <v>9</v>
      </c>
    </row>
    <row r="72">
      <c r="B72" s="32" t="s">
        <v>1812</v>
      </c>
      <c r="C72" s="33" t="s">
        <v>89</v>
      </c>
      <c r="D72" s="32" t="s">
        <v>1658</v>
      </c>
      <c r="E72" s="11" t="s">
        <v>13</v>
      </c>
    </row>
    <row r="73">
      <c r="B73" s="32" t="s">
        <v>1665</v>
      </c>
      <c r="C73" s="33" t="s">
        <v>23</v>
      </c>
      <c r="D73" s="32" t="s">
        <v>1945</v>
      </c>
      <c r="E73" s="11" t="s">
        <v>9</v>
      </c>
    </row>
    <row r="74">
      <c r="B74" s="32" t="s">
        <v>1812</v>
      </c>
      <c r="C74" s="33" t="s">
        <v>218</v>
      </c>
      <c r="D74" s="32" t="s">
        <v>1713</v>
      </c>
      <c r="E74" s="11" t="s">
        <v>13</v>
      </c>
    </row>
    <row r="75">
      <c r="B75" s="32" t="s">
        <v>1665</v>
      </c>
      <c r="C75" s="33" t="s">
        <v>352</v>
      </c>
      <c r="D75" s="32" t="s">
        <v>1658</v>
      </c>
      <c r="E75" s="11" t="s">
        <v>9</v>
      </c>
    </row>
    <row r="76">
      <c r="B76" s="32" t="s">
        <v>1945</v>
      </c>
      <c r="C76" s="33" t="s">
        <v>285</v>
      </c>
      <c r="D76" s="32" t="s">
        <v>1713</v>
      </c>
      <c r="E76" s="11" t="s">
        <v>13</v>
      </c>
    </row>
    <row r="77">
      <c r="B77" s="32" t="s">
        <v>1665</v>
      </c>
      <c r="C77" s="33" t="s">
        <v>28</v>
      </c>
      <c r="D77" s="32" t="s">
        <v>1812</v>
      </c>
      <c r="E77" s="11" t="s">
        <v>9</v>
      </c>
    </row>
    <row r="78">
      <c r="B78" s="32" t="s">
        <v>1945</v>
      </c>
      <c r="C78" s="33" t="s">
        <v>69</v>
      </c>
      <c r="D78" s="32" t="s">
        <v>1658</v>
      </c>
      <c r="E78" s="11" t="s">
        <v>13</v>
      </c>
    </row>
    <row r="79">
      <c r="B79" s="32" t="s">
        <v>1658</v>
      </c>
      <c r="C79" s="33" t="s">
        <v>261</v>
      </c>
      <c r="D79" s="32" t="s">
        <v>1713</v>
      </c>
      <c r="E79" s="11" t="s">
        <v>9</v>
      </c>
    </row>
    <row r="80">
      <c r="B80" s="32" t="s">
        <v>1945</v>
      </c>
      <c r="C80" s="33" t="s">
        <v>11</v>
      </c>
      <c r="D80" s="32" t="s">
        <v>1812</v>
      </c>
      <c r="E80" s="11" t="s">
        <v>13</v>
      </c>
    </row>
    <row r="81">
      <c r="B81" s="32" t="s">
        <v>1713</v>
      </c>
      <c r="C81" s="35" t="s">
        <v>78</v>
      </c>
      <c r="D81" s="32" t="s">
        <v>1665</v>
      </c>
      <c r="E81" s="11" t="s">
        <v>9</v>
      </c>
    </row>
    <row r="82">
      <c r="B82" s="32" t="s">
        <v>1658</v>
      </c>
      <c r="C82" s="35" t="s">
        <v>26</v>
      </c>
      <c r="D82" s="32" t="s">
        <v>1812</v>
      </c>
      <c r="E82" s="11" t="s">
        <v>13</v>
      </c>
    </row>
    <row r="83">
      <c r="B83" s="32" t="s">
        <v>1945</v>
      </c>
      <c r="C83" s="35" t="s">
        <v>1095</v>
      </c>
      <c r="D83" s="32" t="s">
        <v>1665</v>
      </c>
      <c r="E83" s="11" t="s">
        <v>9</v>
      </c>
    </row>
    <row r="84">
      <c r="B84" s="32" t="s">
        <v>1713</v>
      </c>
      <c r="C84" s="35" t="s">
        <v>260</v>
      </c>
      <c r="D84" s="32" t="s">
        <v>1812</v>
      </c>
      <c r="E84" s="11" t="s">
        <v>13</v>
      </c>
    </row>
    <row r="85">
      <c r="B85" s="32" t="s">
        <v>1658</v>
      </c>
      <c r="C85" s="35" t="s">
        <v>276</v>
      </c>
      <c r="D85" s="32" t="s">
        <v>1665</v>
      </c>
      <c r="E85" s="11" t="s">
        <v>9</v>
      </c>
    </row>
    <row r="86">
      <c r="B86" s="32" t="s">
        <v>1713</v>
      </c>
      <c r="C86" s="35" t="s">
        <v>64</v>
      </c>
      <c r="D86" s="32" t="s">
        <v>1945</v>
      </c>
      <c r="E86" s="11" t="s">
        <v>13</v>
      </c>
    </row>
    <row r="87">
      <c r="B87" s="32" t="s">
        <v>1812</v>
      </c>
      <c r="C87" s="35" t="s">
        <v>50</v>
      </c>
      <c r="D87" s="32" t="s">
        <v>1665</v>
      </c>
      <c r="E87" s="11" t="s">
        <v>9</v>
      </c>
    </row>
    <row r="88">
      <c r="B88" s="32" t="s">
        <v>1658</v>
      </c>
      <c r="C88" s="35" t="s">
        <v>466</v>
      </c>
      <c r="D88" s="32" t="s">
        <v>1945</v>
      </c>
      <c r="E88" s="11" t="s">
        <v>13</v>
      </c>
    </row>
    <row r="89">
      <c r="B89" s="1" t="s">
        <v>2154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16" t="s">
        <v>5</v>
      </c>
    </row>
    <row r="91">
      <c r="B91" s="32" t="s">
        <v>1207</v>
      </c>
      <c r="C91" s="35" t="s">
        <v>190</v>
      </c>
      <c r="D91" s="32" t="s">
        <v>104</v>
      </c>
      <c r="E91" s="11" t="s">
        <v>9</v>
      </c>
    </row>
    <row r="92">
      <c r="B92" s="32" t="s">
        <v>2424</v>
      </c>
      <c r="C92" s="35" t="s">
        <v>195</v>
      </c>
      <c r="D92" s="32" t="s">
        <v>2425</v>
      </c>
      <c r="E92" s="11" t="s">
        <v>13</v>
      </c>
    </row>
    <row r="93">
      <c r="B93" s="32" t="s">
        <v>2426</v>
      </c>
      <c r="C93" s="35" t="s">
        <v>88</v>
      </c>
      <c r="D93" s="32" t="s">
        <v>1207</v>
      </c>
      <c r="E93" s="11" t="s">
        <v>9</v>
      </c>
    </row>
    <row r="94">
      <c r="B94" s="32" t="s">
        <v>2424</v>
      </c>
      <c r="C94" s="35" t="s">
        <v>71</v>
      </c>
      <c r="D94" s="32" t="s">
        <v>104</v>
      </c>
      <c r="E94" s="11" t="s">
        <v>13</v>
      </c>
    </row>
    <row r="95">
      <c r="B95" s="32" t="s">
        <v>2426</v>
      </c>
      <c r="C95" s="35" t="s">
        <v>282</v>
      </c>
      <c r="D95" s="32" t="s">
        <v>2425</v>
      </c>
      <c r="E95" s="11" t="s">
        <v>9</v>
      </c>
    </row>
    <row r="96">
      <c r="B96" s="32" t="s">
        <v>2424</v>
      </c>
      <c r="C96" s="35" t="s">
        <v>41</v>
      </c>
      <c r="D96" s="32" t="s">
        <v>1207</v>
      </c>
      <c r="E96" s="11" t="s">
        <v>13</v>
      </c>
    </row>
    <row r="97">
      <c r="B97" s="32" t="s">
        <v>2426</v>
      </c>
      <c r="C97" s="35" t="s">
        <v>11</v>
      </c>
      <c r="D97" s="32" t="s">
        <v>104</v>
      </c>
      <c r="E97" s="11" t="s">
        <v>9</v>
      </c>
    </row>
    <row r="98">
      <c r="B98" s="32" t="s">
        <v>2425</v>
      </c>
      <c r="C98" s="35" t="s">
        <v>212</v>
      </c>
      <c r="D98" s="32" t="s">
        <v>1207</v>
      </c>
      <c r="E98" s="11" t="s">
        <v>13</v>
      </c>
    </row>
    <row r="99">
      <c r="B99" s="32" t="s">
        <v>2426</v>
      </c>
      <c r="C99" s="35" t="s">
        <v>87</v>
      </c>
      <c r="D99" s="32" t="s">
        <v>2424</v>
      </c>
      <c r="E99" s="11" t="s">
        <v>9</v>
      </c>
    </row>
    <row r="100">
      <c r="B100" s="32" t="s">
        <v>2425</v>
      </c>
      <c r="C100" s="35" t="s">
        <v>35</v>
      </c>
      <c r="D100" s="32" t="s">
        <v>104</v>
      </c>
      <c r="E100" s="11" t="s">
        <v>13</v>
      </c>
    </row>
    <row r="101">
      <c r="B101" s="32" t="s">
        <v>104</v>
      </c>
      <c r="C101" s="35" t="s">
        <v>950</v>
      </c>
      <c r="D101" s="32" t="s">
        <v>1207</v>
      </c>
      <c r="E101" s="11" t="s">
        <v>9</v>
      </c>
    </row>
    <row r="102">
      <c r="B102" s="32" t="s">
        <v>2425</v>
      </c>
      <c r="C102" s="35" t="s">
        <v>297</v>
      </c>
      <c r="D102" s="32" t="s">
        <v>2424</v>
      </c>
      <c r="E102" s="11" t="s">
        <v>13</v>
      </c>
    </row>
    <row r="103">
      <c r="B103" s="32" t="s">
        <v>1207</v>
      </c>
      <c r="C103" s="35" t="s">
        <v>193</v>
      </c>
      <c r="D103" s="32" t="s">
        <v>2426</v>
      </c>
      <c r="E103" s="11" t="s">
        <v>9</v>
      </c>
    </row>
    <row r="104">
      <c r="B104" s="32" t="s">
        <v>104</v>
      </c>
      <c r="C104" s="35" t="s">
        <v>43</v>
      </c>
      <c r="D104" s="32" t="s">
        <v>2424</v>
      </c>
      <c r="E104" s="11" t="s">
        <v>13</v>
      </c>
    </row>
    <row r="105">
      <c r="B105" s="32" t="s">
        <v>2425</v>
      </c>
      <c r="C105" s="35" t="s">
        <v>212</v>
      </c>
      <c r="D105" s="32" t="s">
        <v>2426</v>
      </c>
      <c r="E105" s="11" t="s">
        <v>9</v>
      </c>
    </row>
    <row r="106">
      <c r="B106" s="32" t="s">
        <v>1207</v>
      </c>
      <c r="C106" s="35" t="s">
        <v>16</v>
      </c>
      <c r="D106" s="32" t="s">
        <v>2424</v>
      </c>
      <c r="E106" s="11" t="s">
        <v>13</v>
      </c>
    </row>
    <row r="107">
      <c r="B107" s="32" t="s">
        <v>104</v>
      </c>
      <c r="C107" s="35" t="s">
        <v>566</v>
      </c>
      <c r="D107" s="32" t="s">
        <v>2426</v>
      </c>
      <c r="E107" s="11" t="s">
        <v>9</v>
      </c>
    </row>
    <row r="108">
      <c r="B108" s="32" t="s">
        <v>1207</v>
      </c>
      <c r="C108" s="35" t="s">
        <v>581</v>
      </c>
      <c r="D108" s="32" t="s">
        <v>2425</v>
      </c>
      <c r="E108" s="11" t="s">
        <v>13</v>
      </c>
    </row>
    <row r="109">
      <c r="B109" s="32" t="s">
        <v>2424</v>
      </c>
      <c r="C109" s="35" t="s">
        <v>22</v>
      </c>
      <c r="D109" s="32" t="s">
        <v>2426</v>
      </c>
      <c r="E109" s="11" t="s">
        <v>9</v>
      </c>
    </row>
    <row r="110">
      <c r="B110" s="32" t="s">
        <v>104</v>
      </c>
      <c r="C110" s="35" t="s">
        <v>357</v>
      </c>
      <c r="D110" s="32" t="s">
        <v>2425</v>
      </c>
      <c r="E110" s="11" t="s">
        <v>13</v>
      </c>
    </row>
    <row r="111">
      <c r="B111" s="72" t="s">
        <v>2427</v>
      </c>
      <c r="C111" s="2"/>
      <c r="D111" s="3"/>
      <c r="E111" s="14"/>
    </row>
    <row r="112"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B113" s="32" t="s">
        <v>1708</v>
      </c>
      <c r="C113" s="33" t="s">
        <v>20</v>
      </c>
      <c r="D113" s="45" t="s">
        <v>609</v>
      </c>
      <c r="E113" s="11" t="s">
        <v>33</v>
      </c>
      <c r="H113" s="36" t="s">
        <v>663</v>
      </c>
    </row>
    <row r="114">
      <c r="B114" s="32" t="s">
        <v>2428</v>
      </c>
      <c r="C114" s="33" t="s">
        <v>67</v>
      </c>
      <c r="D114" s="32" t="s">
        <v>2429</v>
      </c>
      <c r="E114" s="11" t="s">
        <v>37</v>
      </c>
    </row>
    <row r="115">
      <c r="B115" s="32" t="s">
        <v>2430</v>
      </c>
      <c r="C115" s="33" t="s">
        <v>20</v>
      </c>
      <c r="D115" s="32" t="s">
        <v>1708</v>
      </c>
      <c r="E115" s="11" t="s">
        <v>33</v>
      </c>
    </row>
    <row r="116">
      <c r="B116" s="32" t="s">
        <v>2428</v>
      </c>
      <c r="C116" s="33" t="s">
        <v>19</v>
      </c>
      <c r="D116" s="32" t="s">
        <v>609</v>
      </c>
      <c r="E116" s="11" t="s">
        <v>37</v>
      </c>
    </row>
    <row r="117">
      <c r="B117" s="32" t="s">
        <v>2430</v>
      </c>
      <c r="C117" s="33" t="s">
        <v>190</v>
      </c>
      <c r="D117" s="32" t="s">
        <v>2429</v>
      </c>
      <c r="E117" s="11" t="s">
        <v>33</v>
      </c>
    </row>
    <row r="118">
      <c r="B118" s="32" t="s">
        <v>2428</v>
      </c>
      <c r="C118" s="33" t="s">
        <v>88</v>
      </c>
      <c r="D118" s="32" t="s">
        <v>1708</v>
      </c>
      <c r="E118" s="11" t="s">
        <v>37</v>
      </c>
    </row>
    <row r="119">
      <c r="B119" s="32" t="s">
        <v>2430</v>
      </c>
      <c r="C119" s="33" t="s">
        <v>201</v>
      </c>
      <c r="D119" s="32" t="s">
        <v>609</v>
      </c>
      <c r="E119" s="11" t="s">
        <v>33</v>
      </c>
    </row>
    <row r="120">
      <c r="B120" s="32" t="s">
        <v>2429</v>
      </c>
      <c r="C120" s="33" t="s">
        <v>22</v>
      </c>
      <c r="D120" s="32" t="s">
        <v>1708</v>
      </c>
      <c r="E120" s="11" t="s">
        <v>37</v>
      </c>
    </row>
    <row r="121">
      <c r="B121" s="32" t="s">
        <v>2430</v>
      </c>
      <c r="C121" s="33" t="s">
        <v>197</v>
      </c>
      <c r="D121" s="32" t="s">
        <v>2428</v>
      </c>
      <c r="E121" s="11" t="s">
        <v>33</v>
      </c>
    </row>
    <row r="122">
      <c r="B122" s="32" t="s">
        <v>2429</v>
      </c>
      <c r="C122" s="33" t="s">
        <v>87</v>
      </c>
      <c r="D122" s="32" t="s">
        <v>609</v>
      </c>
      <c r="E122" s="11" t="s">
        <v>37</v>
      </c>
    </row>
    <row r="123">
      <c r="B123" s="32" t="s">
        <v>609</v>
      </c>
      <c r="C123" s="33" t="s">
        <v>78</v>
      </c>
      <c r="D123" s="32" t="s">
        <v>1708</v>
      </c>
      <c r="E123" s="11" t="s">
        <v>33</v>
      </c>
    </row>
    <row r="124">
      <c r="B124" s="32" t="s">
        <v>2429</v>
      </c>
      <c r="C124" s="33" t="s">
        <v>22</v>
      </c>
      <c r="D124" s="32" t="s">
        <v>2428</v>
      </c>
      <c r="E124" s="11" t="s">
        <v>37</v>
      </c>
    </row>
    <row r="125">
      <c r="B125" s="32" t="s">
        <v>1708</v>
      </c>
      <c r="C125" s="35" t="s">
        <v>66</v>
      </c>
      <c r="D125" s="32" t="s">
        <v>2430</v>
      </c>
      <c r="E125" s="11" t="s">
        <v>33</v>
      </c>
    </row>
    <row r="126">
      <c r="B126" s="32" t="s">
        <v>609</v>
      </c>
      <c r="C126" s="35" t="s">
        <v>193</v>
      </c>
      <c r="D126" s="32" t="s">
        <v>2428</v>
      </c>
      <c r="E126" s="11" t="s">
        <v>37</v>
      </c>
    </row>
    <row r="127">
      <c r="B127" s="32" t="s">
        <v>2429</v>
      </c>
      <c r="C127" s="35" t="s">
        <v>25</v>
      </c>
      <c r="D127" s="32" t="s">
        <v>2430</v>
      </c>
      <c r="E127" s="11" t="s">
        <v>33</v>
      </c>
    </row>
    <row r="128">
      <c r="B128" s="32" t="s">
        <v>1708</v>
      </c>
      <c r="C128" s="35" t="s">
        <v>49</v>
      </c>
      <c r="D128" s="32" t="s">
        <v>2428</v>
      </c>
      <c r="E128" s="11" t="s">
        <v>37</v>
      </c>
    </row>
    <row r="129">
      <c r="B129" s="32" t="s">
        <v>609</v>
      </c>
      <c r="C129" s="35" t="s">
        <v>87</v>
      </c>
      <c r="D129" s="32" t="s">
        <v>2430</v>
      </c>
      <c r="E129" s="11" t="s">
        <v>33</v>
      </c>
    </row>
    <row r="130">
      <c r="B130" s="32" t="s">
        <v>1708</v>
      </c>
      <c r="C130" s="35" t="s">
        <v>66</v>
      </c>
      <c r="D130" s="32" t="s">
        <v>2429</v>
      </c>
      <c r="E130" s="11" t="s">
        <v>37</v>
      </c>
    </row>
    <row r="131">
      <c r="B131" s="32" t="s">
        <v>2428</v>
      </c>
      <c r="C131" s="35" t="s">
        <v>22</v>
      </c>
      <c r="D131" s="32" t="s">
        <v>2430</v>
      </c>
      <c r="E131" s="11" t="s">
        <v>33</v>
      </c>
    </row>
    <row r="132">
      <c r="B132" s="32" t="s">
        <v>609</v>
      </c>
      <c r="C132" s="35" t="s">
        <v>11</v>
      </c>
      <c r="D132" s="32" t="s">
        <v>2429</v>
      </c>
      <c r="E132" s="11" t="s">
        <v>37</v>
      </c>
    </row>
    <row r="133">
      <c r="B133" s="1" t="s">
        <v>2099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32" t="s">
        <v>2375</v>
      </c>
      <c r="C135" s="33" t="s">
        <v>87</v>
      </c>
      <c r="D135" s="32" t="s">
        <v>1742</v>
      </c>
      <c r="E135" s="11" t="s">
        <v>9</v>
      </c>
    </row>
    <row r="136">
      <c r="B136" s="32" t="s">
        <v>1098</v>
      </c>
      <c r="C136" s="33" t="s">
        <v>11</v>
      </c>
      <c r="D136" s="32" t="s">
        <v>2431</v>
      </c>
      <c r="E136" s="11" t="s">
        <v>13</v>
      </c>
    </row>
    <row r="137">
      <c r="B137" s="32" t="s">
        <v>858</v>
      </c>
      <c r="C137" s="33" t="s">
        <v>1566</v>
      </c>
      <c r="D137" s="32" t="s">
        <v>2375</v>
      </c>
      <c r="E137" s="11" t="s">
        <v>9</v>
      </c>
    </row>
    <row r="138">
      <c r="B138" s="32" t="s">
        <v>1098</v>
      </c>
      <c r="C138" s="33" t="s">
        <v>857</v>
      </c>
      <c r="D138" s="32" t="s">
        <v>1742</v>
      </c>
      <c r="E138" s="11" t="s">
        <v>13</v>
      </c>
    </row>
    <row r="139">
      <c r="B139" s="32" t="s">
        <v>858</v>
      </c>
      <c r="C139" s="33" t="s">
        <v>11</v>
      </c>
      <c r="D139" s="32" t="s">
        <v>2431</v>
      </c>
      <c r="E139" s="11" t="s">
        <v>9</v>
      </c>
    </row>
    <row r="140">
      <c r="B140" s="32" t="s">
        <v>1098</v>
      </c>
      <c r="C140" s="33" t="s">
        <v>78</v>
      </c>
      <c r="D140" s="32" t="s">
        <v>2375</v>
      </c>
      <c r="E140" s="11" t="s">
        <v>13</v>
      </c>
    </row>
    <row r="141">
      <c r="B141" s="32" t="s">
        <v>858</v>
      </c>
      <c r="C141" s="33" t="s">
        <v>220</v>
      </c>
      <c r="D141" s="32" t="s">
        <v>1742</v>
      </c>
      <c r="E141" s="11" t="s">
        <v>9</v>
      </c>
    </row>
    <row r="142">
      <c r="B142" s="32" t="s">
        <v>2431</v>
      </c>
      <c r="C142" s="33" t="s">
        <v>197</v>
      </c>
      <c r="D142" s="32" t="s">
        <v>2375</v>
      </c>
      <c r="E142" s="11" t="s">
        <v>13</v>
      </c>
    </row>
    <row r="143">
      <c r="B143" s="32" t="s">
        <v>858</v>
      </c>
      <c r="C143" s="33" t="s">
        <v>14</v>
      </c>
      <c r="D143" s="32" t="s">
        <v>1098</v>
      </c>
      <c r="E143" s="11" t="s">
        <v>9</v>
      </c>
    </row>
    <row r="144">
      <c r="B144" s="32" t="s">
        <v>2431</v>
      </c>
      <c r="C144" s="33" t="s">
        <v>41</v>
      </c>
      <c r="D144" s="32" t="s">
        <v>1742</v>
      </c>
      <c r="E144" s="11" t="s">
        <v>13</v>
      </c>
    </row>
    <row r="145">
      <c r="B145" s="32" t="s">
        <v>1742</v>
      </c>
      <c r="C145" s="33" t="s">
        <v>11</v>
      </c>
      <c r="D145" s="32" t="s">
        <v>2375</v>
      </c>
      <c r="E145" s="11" t="s">
        <v>9</v>
      </c>
    </row>
    <row r="146">
      <c r="B146" s="32" t="s">
        <v>2431</v>
      </c>
      <c r="C146" s="33" t="s">
        <v>64</v>
      </c>
      <c r="D146" s="32" t="s">
        <v>1098</v>
      </c>
      <c r="E146" s="11" t="s">
        <v>13</v>
      </c>
    </row>
    <row r="147">
      <c r="B147" s="32" t="s">
        <v>2375</v>
      </c>
      <c r="C147" s="35" t="s">
        <v>43</v>
      </c>
      <c r="D147" s="32" t="s">
        <v>858</v>
      </c>
      <c r="E147" s="11" t="s">
        <v>9</v>
      </c>
    </row>
    <row r="148">
      <c r="B148" s="32" t="s">
        <v>1742</v>
      </c>
      <c r="C148" s="35" t="s">
        <v>446</v>
      </c>
      <c r="D148" s="32" t="s">
        <v>1098</v>
      </c>
      <c r="E148" s="11" t="s">
        <v>13</v>
      </c>
    </row>
    <row r="149">
      <c r="B149" s="32" t="s">
        <v>2431</v>
      </c>
      <c r="C149" s="35" t="s">
        <v>251</v>
      </c>
      <c r="D149" s="32" t="s">
        <v>858</v>
      </c>
      <c r="E149" s="24" t="s">
        <v>9</v>
      </c>
    </row>
    <row r="150">
      <c r="B150" s="32" t="s">
        <v>2375</v>
      </c>
      <c r="C150" s="35" t="s">
        <v>509</v>
      </c>
      <c r="D150" s="32" t="s">
        <v>1098</v>
      </c>
      <c r="E150" s="11" t="s">
        <v>13</v>
      </c>
    </row>
    <row r="151">
      <c r="B151" s="32" t="s">
        <v>1742</v>
      </c>
      <c r="C151" s="35" t="s">
        <v>950</v>
      </c>
      <c r="D151" s="32" t="s">
        <v>858</v>
      </c>
      <c r="E151" s="24" t="s">
        <v>9</v>
      </c>
    </row>
    <row r="152">
      <c r="B152" s="32" t="s">
        <v>2375</v>
      </c>
      <c r="C152" s="35" t="s">
        <v>16</v>
      </c>
      <c r="D152" s="32" t="s">
        <v>2431</v>
      </c>
      <c r="E152" s="11" t="s">
        <v>13</v>
      </c>
    </row>
    <row r="153">
      <c r="B153" s="32" t="s">
        <v>1098</v>
      </c>
      <c r="C153" s="35" t="s">
        <v>472</v>
      </c>
      <c r="D153" s="32" t="s">
        <v>858</v>
      </c>
      <c r="E153" s="24" t="s">
        <v>9</v>
      </c>
    </row>
    <row r="154">
      <c r="B154" s="32" t="s">
        <v>1742</v>
      </c>
      <c r="C154" s="35" t="s">
        <v>239</v>
      </c>
      <c r="D154" s="32" t="s">
        <v>2431</v>
      </c>
      <c r="E154" s="11" t="s">
        <v>13</v>
      </c>
    </row>
    <row r="155">
      <c r="B155" s="72" t="s">
        <v>2432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B157" s="32" t="s">
        <v>2433</v>
      </c>
      <c r="C157" s="33" t="s">
        <v>45</v>
      </c>
      <c r="D157" s="32" t="s">
        <v>2434</v>
      </c>
      <c r="E157" s="11" t="s">
        <v>33</v>
      </c>
    </row>
    <row r="158">
      <c r="B158" s="32" t="s">
        <v>2435</v>
      </c>
      <c r="C158" s="33" t="s">
        <v>62</v>
      </c>
      <c r="D158" s="32" t="s">
        <v>2436</v>
      </c>
      <c r="E158" s="11" t="s">
        <v>37</v>
      </c>
    </row>
    <row r="159">
      <c r="B159" s="32" t="s">
        <v>2437</v>
      </c>
      <c r="C159" s="33" t="s">
        <v>614</v>
      </c>
      <c r="D159" s="32" t="s">
        <v>2433</v>
      </c>
      <c r="E159" s="11" t="s">
        <v>33</v>
      </c>
    </row>
    <row r="160">
      <c r="B160" s="32" t="s">
        <v>2435</v>
      </c>
      <c r="C160" s="33" t="s">
        <v>16</v>
      </c>
      <c r="D160" s="32" t="s">
        <v>2434</v>
      </c>
      <c r="E160" s="11" t="s">
        <v>37</v>
      </c>
    </row>
    <row r="161">
      <c r="B161" s="32" t="s">
        <v>2437</v>
      </c>
      <c r="C161" s="33" t="s">
        <v>64</v>
      </c>
      <c r="D161" s="32" t="s">
        <v>2436</v>
      </c>
      <c r="E161" s="11" t="s">
        <v>33</v>
      </c>
    </row>
    <row r="162">
      <c r="B162" s="32" t="s">
        <v>2435</v>
      </c>
      <c r="C162" s="33" t="s">
        <v>52</v>
      </c>
      <c r="D162" s="32" t="s">
        <v>2433</v>
      </c>
      <c r="E162" s="11" t="s">
        <v>37</v>
      </c>
    </row>
    <row r="163">
      <c r="B163" s="32" t="s">
        <v>2437</v>
      </c>
      <c r="C163" s="33" t="s">
        <v>218</v>
      </c>
      <c r="D163" s="32" t="s">
        <v>2434</v>
      </c>
      <c r="E163" s="11" t="s">
        <v>33</v>
      </c>
    </row>
    <row r="164">
      <c r="B164" s="32" t="s">
        <v>2436</v>
      </c>
      <c r="C164" s="33" t="s">
        <v>18</v>
      </c>
      <c r="D164" s="32" t="s">
        <v>2433</v>
      </c>
      <c r="E164" s="11" t="s">
        <v>37</v>
      </c>
    </row>
    <row r="165">
      <c r="B165" s="32" t="s">
        <v>2437</v>
      </c>
      <c r="C165" s="33" t="s">
        <v>69</v>
      </c>
      <c r="D165" s="32" t="s">
        <v>2435</v>
      </c>
      <c r="E165" s="11" t="s">
        <v>33</v>
      </c>
    </row>
    <row r="166">
      <c r="B166" s="32" t="s">
        <v>2436</v>
      </c>
      <c r="C166" s="33" t="s">
        <v>87</v>
      </c>
      <c r="D166" s="32" t="s">
        <v>2434</v>
      </c>
      <c r="E166" s="11" t="s">
        <v>37</v>
      </c>
    </row>
    <row r="167">
      <c r="B167" s="32" t="s">
        <v>2434</v>
      </c>
      <c r="C167" s="33" t="s">
        <v>20</v>
      </c>
      <c r="D167" s="32" t="s">
        <v>2433</v>
      </c>
      <c r="E167" s="11" t="s">
        <v>33</v>
      </c>
    </row>
    <row r="168">
      <c r="B168" s="32" t="s">
        <v>2436</v>
      </c>
      <c r="C168" s="33" t="s">
        <v>82</v>
      </c>
      <c r="D168" s="32" t="s">
        <v>2435</v>
      </c>
      <c r="E168" s="11" t="s">
        <v>37</v>
      </c>
    </row>
    <row r="169">
      <c r="B169" s="32" t="s">
        <v>2433</v>
      </c>
      <c r="C169" s="33" t="s">
        <v>274</v>
      </c>
      <c r="D169" s="32" t="s">
        <v>2437</v>
      </c>
      <c r="E169" s="11" t="s">
        <v>33</v>
      </c>
    </row>
    <row r="170">
      <c r="B170" s="32" t="s">
        <v>2434</v>
      </c>
      <c r="C170" s="33" t="s">
        <v>49</v>
      </c>
      <c r="D170" s="32" t="s">
        <v>2435</v>
      </c>
      <c r="E170" s="11" t="s">
        <v>37</v>
      </c>
      <c r="F170" s="38"/>
    </row>
    <row r="171">
      <c r="B171" s="32" t="s">
        <v>2436</v>
      </c>
      <c r="C171" s="33" t="s">
        <v>218</v>
      </c>
      <c r="D171" s="32" t="s">
        <v>2437</v>
      </c>
      <c r="E171" s="11" t="s">
        <v>33</v>
      </c>
    </row>
    <row r="172">
      <c r="B172" s="32" t="s">
        <v>2433</v>
      </c>
      <c r="C172" s="33" t="s">
        <v>950</v>
      </c>
      <c r="D172" s="32" t="s">
        <v>2435</v>
      </c>
      <c r="E172" s="11" t="s">
        <v>37</v>
      </c>
    </row>
    <row r="173">
      <c r="B173" s="32" t="s">
        <v>2434</v>
      </c>
      <c r="C173" s="33" t="s">
        <v>18</v>
      </c>
      <c r="D173" s="32" t="s">
        <v>2437</v>
      </c>
      <c r="E173" s="11" t="s">
        <v>33</v>
      </c>
    </row>
    <row r="174">
      <c r="B174" s="32" t="s">
        <v>2433</v>
      </c>
      <c r="C174" s="33" t="s">
        <v>87</v>
      </c>
      <c r="D174" s="32" t="s">
        <v>2436</v>
      </c>
      <c r="E174" s="11" t="s">
        <v>37</v>
      </c>
    </row>
    <row r="175">
      <c r="B175" s="32" t="s">
        <v>2435</v>
      </c>
      <c r="C175" s="33" t="s">
        <v>43</v>
      </c>
      <c r="D175" s="32" t="s">
        <v>2437</v>
      </c>
      <c r="E175" s="11" t="s">
        <v>33</v>
      </c>
    </row>
    <row r="176">
      <c r="B176" s="32" t="s">
        <v>2434</v>
      </c>
      <c r="C176" s="33" t="s">
        <v>43</v>
      </c>
      <c r="D176" s="32" t="s">
        <v>2436</v>
      </c>
      <c r="E176" s="11" t="s">
        <v>37</v>
      </c>
    </row>
    <row r="177">
      <c r="B177" s="1" t="s">
        <v>2382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B179" s="32" t="s">
        <v>2438</v>
      </c>
      <c r="C179" s="33" t="s">
        <v>14</v>
      </c>
      <c r="D179" s="32" t="s">
        <v>528</v>
      </c>
      <c r="E179" s="11" t="s">
        <v>9</v>
      </c>
    </row>
    <row r="180">
      <c r="B180" s="32" t="s">
        <v>998</v>
      </c>
      <c r="C180" s="33" t="s">
        <v>62</v>
      </c>
      <c r="D180" s="32" t="s">
        <v>2439</v>
      </c>
      <c r="E180" s="11" t="s">
        <v>13</v>
      </c>
    </row>
    <row r="181">
      <c r="B181" s="32" t="s">
        <v>2440</v>
      </c>
      <c r="C181" s="33" t="s">
        <v>81</v>
      </c>
      <c r="D181" s="32" t="s">
        <v>2438</v>
      </c>
      <c r="E181" s="11" t="s">
        <v>9</v>
      </c>
    </row>
    <row r="182">
      <c r="B182" s="32" t="s">
        <v>998</v>
      </c>
      <c r="C182" s="33" t="s">
        <v>83</v>
      </c>
      <c r="D182" s="32" t="s">
        <v>528</v>
      </c>
      <c r="E182" s="11" t="s">
        <v>13</v>
      </c>
    </row>
    <row r="183">
      <c r="B183" s="32" t="s">
        <v>2440</v>
      </c>
      <c r="C183" s="33" t="s">
        <v>218</v>
      </c>
      <c r="D183" s="32" t="s">
        <v>2439</v>
      </c>
      <c r="E183" s="11" t="s">
        <v>9</v>
      </c>
    </row>
    <row r="184">
      <c r="B184" s="32" t="s">
        <v>998</v>
      </c>
      <c r="C184" s="33" t="s">
        <v>82</v>
      </c>
      <c r="D184" s="32" t="s">
        <v>2438</v>
      </c>
      <c r="E184" s="11" t="s">
        <v>13</v>
      </c>
    </row>
    <row r="185">
      <c r="B185" s="32" t="s">
        <v>2440</v>
      </c>
      <c r="C185" s="33" t="s">
        <v>413</v>
      </c>
      <c r="D185" s="32" t="s">
        <v>528</v>
      </c>
      <c r="E185" s="11" t="s">
        <v>9</v>
      </c>
    </row>
    <row r="186">
      <c r="B186" s="32" t="s">
        <v>2439</v>
      </c>
      <c r="C186" s="33" t="s">
        <v>217</v>
      </c>
      <c r="D186" s="32" t="s">
        <v>2438</v>
      </c>
      <c r="E186" s="11" t="s">
        <v>13</v>
      </c>
    </row>
    <row r="187">
      <c r="B187" s="32" t="s">
        <v>2440</v>
      </c>
      <c r="C187" s="33" t="s">
        <v>20</v>
      </c>
      <c r="D187" s="32" t="s">
        <v>998</v>
      </c>
      <c r="E187" s="11" t="s">
        <v>9</v>
      </c>
    </row>
    <row r="188">
      <c r="B188" s="32" t="s">
        <v>2439</v>
      </c>
      <c r="C188" s="33" t="s">
        <v>217</v>
      </c>
      <c r="D188" s="32" t="s">
        <v>528</v>
      </c>
      <c r="E188" s="11" t="s">
        <v>13</v>
      </c>
    </row>
    <row r="189">
      <c r="B189" s="32" t="s">
        <v>528</v>
      </c>
      <c r="C189" s="33" t="s">
        <v>369</v>
      </c>
      <c r="D189" s="32" t="s">
        <v>2438</v>
      </c>
      <c r="E189" s="11" t="s">
        <v>9</v>
      </c>
    </row>
    <row r="190">
      <c r="B190" s="32" t="s">
        <v>2439</v>
      </c>
      <c r="C190" s="33" t="s">
        <v>68</v>
      </c>
      <c r="D190" s="32" t="s">
        <v>998</v>
      </c>
      <c r="E190" s="11" t="s">
        <v>13</v>
      </c>
    </row>
    <row r="191">
      <c r="B191" s="32" t="s">
        <v>2438</v>
      </c>
      <c r="C191" s="35" t="s">
        <v>72</v>
      </c>
      <c r="D191" s="32" t="s">
        <v>2440</v>
      </c>
      <c r="E191" s="11" t="s">
        <v>9</v>
      </c>
    </row>
    <row r="192">
      <c r="B192" s="32" t="s">
        <v>528</v>
      </c>
      <c r="C192" s="35" t="s">
        <v>1252</v>
      </c>
      <c r="D192" s="32" t="s">
        <v>998</v>
      </c>
      <c r="E192" s="11" t="s">
        <v>13</v>
      </c>
    </row>
    <row r="193">
      <c r="B193" s="32" t="s">
        <v>2439</v>
      </c>
      <c r="C193" s="35" t="s">
        <v>20</v>
      </c>
      <c r="D193" s="32" t="s">
        <v>2440</v>
      </c>
      <c r="E193" s="11" t="s">
        <v>9</v>
      </c>
    </row>
    <row r="194">
      <c r="B194" s="32" t="s">
        <v>2438</v>
      </c>
      <c r="C194" s="35" t="s">
        <v>17</v>
      </c>
      <c r="D194" s="32" t="s">
        <v>998</v>
      </c>
      <c r="E194" s="11" t="s">
        <v>13</v>
      </c>
    </row>
    <row r="195">
      <c r="B195" s="32" t="s">
        <v>528</v>
      </c>
      <c r="C195" s="35" t="s">
        <v>21</v>
      </c>
      <c r="D195" s="32" t="s">
        <v>2440</v>
      </c>
      <c r="E195" s="11" t="s">
        <v>9</v>
      </c>
    </row>
    <row r="196">
      <c r="B196" s="32" t="s">
        <v>2438</v>
      </c>
      <c r="C196" s="35" t="s">
        <v>72</v>
      </c>
      <c r="D196" s="32" t="s">
        <v>2439</v>
      </c>
      <c r="E196" s="11" t="s">
        <v>13</v>
      </c>
    </row>
    <row r="197">
      <c r="B197" s="32" t="s">
        <v>998</v>
      </c>
      <c r="C197" s="35" t="s">
        <v>231</v>
      </c>
      <c r="D197" s="32" t="s">
        <v>2440</v>
      </c>
      <c r="E197" s="11" t="s">
        <v>9</v>
      </c>
    </row>
    <row r="198">
      <c r="B198" s="32" t="s">
        <v>528</v>
      </c>
      <c r="C198" s="35" t="s">
        <v>291</v>
      </c>
      <c r="D198" s="32" t="s">
        <v>2439</v>
      </c>
      <c r="E198" s="11" t="s">
        <v>13</v>
      </c>
    </row>
    <row r="199">
      <c r="B199" s="1" t="s">
        <v>2441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B201" s="32" t="s">
        <v>2442</v>
      </c>
      <c r="C201" s="33" t="s">
        <v>43</v>
      </c>
      <c r="D201" s="32" t="s">
        <v>2443</v>
      </c>
      <c r="E201" s="11" t="s">
        <v>33</v>
      </c>
    </row>
    <row r="202">
      <c r="B202" s="32" t="s">
        <v>2444</v>
      </c>
      <c r="C202" s="33" t="s">
        <v>320</v>
      </c>
      <c r="D202" s="32" t="s">
        <v>2445</v>
      </c>
      <c r="E202" s="11" t="s">
        <v>37</v>
      </c>
    </row>
    <row r="203">
      <c r="B203" s="32" t="s">
        <v>1564</v>
      </c>
      <c r="C203" s="33" t="s">
        <v>2446</v>
      </c>
      <c r="D203" s="32" t="s">
        <v>2442</v>
      </c>
      <c r="E203" s="11" t="s">
        <v>33</v>
      </c>
    </row>
    <row r="204">
      <c r="B204" s="32" t="s">
        <v>2444</v>
      </c>
      <c r="C204" s="33" t="s">
        <v>875</v>
      </c>
      <c r="D204" s="32" t="s">
        <v>2443</v>
      </c>
      <c r="E204" s="11" t="s">
        <v>37</v>
      </c>
    </row>
    <row r="205">
      <c r="B205" s="32" t="s">
        <v>1564</v>
      </c>
      <c r="C205" s="33" t="s">
        <v>190</v>
      </c>
      <c r="D205" s="32" t="s">
        <v>2445</v>
      </c>
      <c r="E205" s="11" t="s">
        <v>33</v>
      </c>
    </row>
    <row r="206">
      <c r="B206" s="32" t="s">
        <v>2444</v>
      </c>
      <c r="C206" s="33" t="s">
        <v>1021</v>
      </c>
      <c r="D206" s="32" t="s">
        <v>2442</v>
      </c>
      <c r="E206" s="11" t="s">
        <v>37</v>
      </c>
    </row>
    <row r="207">
      <c r="B207" s="32" t="s">
        <v>1564</v>
      </c>
      <c r="C207" s="33" t="s">
        <v>17</v>
      </c>
      <c r="D207" s="32" t="s">
        <v>2443</v>
      </c>
      <c r="E207" s="11" t="s">
        <v>33</v>
      </c>
    </row>
    <row r="208">
      <c r="B208" s="32" t="s">
        <v>2445</v>
      </c>
      <c r="C208" s="33" t="s">
        <v>215</v>
      </c>
      <c r="D208" s="32" t="s">
        <v>2442</v>
      </c>
      <c r="E208" s="11" t="s">
        <v>37</v>
      </c>
    </row>
    <row r="209">
      <c r="B209" s="32" t="s">
        <v>1564</v>
      </c>
      <c r="C209" s="33" t="s">
        <v>269</v>
      </c>
      <c r="D209" s="32" t="s">
        <v>2444</v>
      </c>
      <c r="E209" s="11" t="s">
        <v>33</v>
      </c>
    </row>
    <row r="210">
      <c r="B210" s="32" t="s">
        <v>2445</v>
      </c>
      <c r="C210" s="33" t="s">
        <v>201</v>
      </c>
      <c r="D210" s="32" t="s">
        <v>2443</v>
      </c>
      <c r="E210" s="11" t="s">
        <v>37</v>
      </c>
    </row>
    <row r="211">
      <c r="B211" s="32" t="s">
        <v>2443</v>
      </c>
      <c r="C211" s="33" t="s">
        <v>416</v>
      </c>
      <c r="D211" s="32" t="s">
        <v>2442</v>
      </c>
      <c r="E211" s="11" t="s">
        <v>33</v>
      </c>
    </row>
    <row r="212">
      <c r="B212" s="32" t="s">
        <v>2445</v>
      </c>
      <c r="C212" s="33" t="s">
        <v>81</v>
      </c>
      <c r="D212" s="32" t="s">
        <v>2444</v>
      </c>
      <c r="E212" s="11" t="s">
        <v>37</v>
      </c>
    </row>
    <row r="213">
      <c r="B213" s="32" t="s">
        <v>2442</v>
      </c>
      <c r="C213" s="33" t="s">
        <v>88</v>
      </c>
      <c r="D213" s="32" t="s">
        <v>1564</v>
      </c>
      <c r="E213" s="11" t="s">
        <v>33</v>
      </c>
    </row>
    <row r="214">
      <c r="B214" s="32" t="s">
        <v>2443</v>
      </c>
      <c r="C214" s="33" t="s">
        <v>58</v>
      </c>
      <c r="D214" s="32" t="s">
        <v>2444</v>
      </c>
      <c r="E214" s="11" t="s">
        <v>37</v>
      </c>
    </row>
    <row r="215">
      <c r="B215" s="32" t="s">
        <v>2445</v>
      </c>
      <c r="C215" s="33" t="s">
        <v>196</v>
      </c>
      <c r="D215" s="32" t="s">
        <v>1564</v>
      </c>
      <c r="E215" s="11" t="s">
        <v>33</v>
      </c>
    </row>
    <row r="216">
      <c r="B216" s="32" t="s">
        <v>2442</v>
      </c>
      <c r="C216" s="33" t="s">
        <v>64</v>
      </c>
      <c r="D216" s="32" t="s">
        <v>2444</v>
      </c>
      <c r="E216" s="11" t="s">
        <v>37</v>
      </c>
    </row>
    <row r="217">
      <c r="B217" s="32" t="s">
        <v>2443</v>
      </c>
      <c r="C217" s="33" t="s">
        <v>87</v>
      </c>
      <c r="D217" s="32" t="s">
        <v>1564</v>
      </c>
      <c r="E217" s="11" t="s">
        <v>33</v>
      </c>
    </row>
    <row r="218">
      <c r="B218" s="32" t="s">
        <v>2442</v>
      </c>
      <c r="C218" s="33" t="s">
        <v>190</v>
      </c>
      <c r="D218" s="32" t="s">
        <v>2445</v>
      </c>
      <c r="E218" s="11" t="s">
        <v>37</v>
      </c>
    </row>
    <row r="219">
      <c r="B219" s="32" t="s">
        <v>2444</v>
      </c>
      <c r="C219" s="33" t="s">
        <v>201</v>
      </c>
      <c r="D219" s="32" t="s">
        <v>1564</v>
      </c>
      <c r="E219" s="11" t="s">
        <v>33</v>
      </c>
    </row>
    <row r="220">
      <c r="B220" s="32" t="s">
        <v>2443</v>
      </c>
      <c r="C220" s="33" t="s">
        <v>68</v>
      </c>
      <c r="D220" s="32" t="s">
        <v>2445</v>
      </c>
      <c r="E220" s="11" t="s">
        <v>37</v>
      </c>
    </row>
    <row r="221">
      <c r="B221" s="28" t="s">
        <v>2385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34" t="s">
        <v>916</v>
      </c>
      <c r="C223" s="33" t="s">
        <v>251</v>
      </c>
      <c r="D223" s="34" t="s">
        <v>1131</v>
      </c>
      <c r="E223" s="11" t="s">
        <v>33</v>
      </c>
    </row>
    <row r="224">
      <c r="B224" s="34" t="s">
        <v>995</v>
      </c>
      <c r="C224" s="33" t="s">
        <v>19</v>
      </c>
      <c r="D224" s="34" t="s">
        <v>1679</v>
      </c>
      <c r="E224" s="11" t="s">
        <v>37</v>
      </c>
    </row>
    <row r="225">
      <c r="B225" s="34" t="s">
        <v>2447</v>
      </c>
      <c r="C225" s="33" t="s">
        <v>55</v>
      </c>
      <c r="D225" s="34" t="s">
        <v>916</v>
      </c>
      <c r="E225" s="11" t="s">
        <v>33</v>
      </c>
    </row>
    <row r="226">
      <c r="B226" s="34" t="s">
        <v>995</v>
      </c>
      <c r="C226" s="33" t="s">
        <v>87</v>
      </c>
      <c r="D226" s="34" t="s">
        <v>1131</v>
      </c>
      <c r="E226" s="11" t="s">
        <v>37</v>
      </c>
    </row>
    <row r="227">
      <c r="B227" s="34" t="s">
        <v>2447</v>
      </c>
      <c r="C227" s="33" t="s">
        <v>329</v>
      </c>
      <c r="D227" s="34" t="s">
        <v>1679</v>
      </c>
      <c r="E227" s="11" t="s">
        <v>33</v>
      </c>
    </row>
    <row r="228">
      <c r="B228" s="34" t="s">
        <v>995</v>
      </c>
      <c r="C228" s="33" t="s">
        <v>201</v>
      </c>
      <c r="D228" s="34" t="s">
        <v>916</v>
      </c>
      <c r="E228" s="11" t="s">
        <v>37</v>
      </c>
    </row>
    <row r="229">
      <c r="B229" s="34" t="s">
        <v>2447</v>
      </c>
      <c r="C229" s="33" t="s">
        <v>17</v>
      </c>
      <c r="D229" s="34" t="s">
        <v>1131</v>
      </c>
      <c r="E229" s="11" t="s">
        <v>33</v>
      </c>
    </row>
    <row r="230">
      <c r="B230" s="34" t="s">
        <v>1679</v>
      </c>
      <c r="C230" s="33" t="s">
        <v>250</v>
      </c>
      <c r="D230" s="34" t="s">
        <v>916</v>
      </c>
      <c r="E230" s="11" t="s">
        <v>37</v>
      </c>
    </row>
    <row r="231">
      <c r="B231" s="34" t="s">
        <v>2447</v>
      </c>
      <c r="C231" s="33" t="s">
        <v>369</v>
      </c>
      <c r="D231" s="34" t="s">
        <v>995</v>
      </c>
      <c r="E231" s="11" t="s">
        <v>33</v>
      </c>
    </row>
    <row r="232">
      <c r="B232" s="34" t="s">
        <v>1679</v>
      </c>
      <c r="C232" s="33" t="s">
        <v>81</v>
      </c>
      <c r="D232" s="34" t="s">
        <v>1131</v>
      </c>
      <c r="E232" s="11" t="s">
        <v>37</v>
      </c>
    </row>
    <row r="233">
      <c r="B233" s="34" t="s">
        <v>1131</v>
      </c>
      <c r="C233" s="33" t="s">
        <v>41</v>
      </c>
      <c r="D233" s="34" t="s">
        <v>916</v>
      </c>
      <c r="E233" s="11" t="s">
        <v>33</v>
      </c>
    </row>
    <row r="234">
      <c r="B234" s="34" t="s">
        <v>1679</v>
      </c>
      <c r="C234" s="33" t="s">
        <v>357</v>
      </c>
      <c r="D234" s="34" t="s">
        <v>995</v>
      </c>
      <c r="E234" s="11" t="s">
        <v>37</v>
      </c>
    </row>
    <row r="235">
      <c r="B235" s="34" t="s">
        <v>916</v>
      </c>
      <c r="C235" s="33" t="s">
        <v>218</v>
      </c>
      <c r="D235" s="34" t="s">
        <v>2447</v>
      </c>
      <c r="E235" s="11" t="s">
        <v>33</v>
      </c>
    </row>
    <row r="236">
      <c r="B236" s="34" t="s">
        <v>1131</v>
      </c>
      <c r="C236" s="33" t="s">
        <v>2448</v>
      </c>
      <c r="D236" s="34" t="s">
        <v>995</v>
      </c>
      <c r="E236" s="11" t="s">
        <v>37</v>
      </c>
    </row>
    <row r="237">
      <c r="B237" s="34" t="s">
        <v>1679</v>
      </c>
      <c r="C237" s="33" t="s">
        <v>82</v>
      </c>
      <c r="D237" s="34" t="s">
        <v>2447</v>
      </c>
      <c r="E237" s="11" t="s">
        <v>33</v>
      </c>
    </row>
    <row r="238">
      <c r="B238" s="34" t="s">
        <v>916</v>
      </c>
      <c r="C238" s="33" t="s">
        <v>286</v>
      </c>
      <c r="D238" s="34" t="s">
        <v>995</v>
      </c>
      <c r="E238" s="11" t="s">
        <v>37</v>
      </c>
    </row>
    <row r="239">
      <c r="B239" s="34" t="s">
        <v>1131</v>
      </c>
      <c r="C239" s="33" t="s">
        <v>22</v>
      </c>
      <c r="D239" s="34" t="s">
        <v>2447</v>
      </c>
      <c r="E239" s="11" t="s">
        <v>33</v>
      </c>
    </row>
    <row r="240">
      <c r="B240" s="34" t="s">
        <v>916</v>
      </c>
      <c r="C240" s="33" t="s">
        <v>22</v>
      </c>
      <c r="D240" s="34" t="s">
        <v>1679</v>
      </c>
      <c r="E240" s="11" t="s">
        <v>37</v>
      </c>
    </row>
    <row r="241">
      <c r="B241" s="34" t="s">
        <v>995</v>
      </c>
      <c r="C241" s="33" t="s">
        <v>78</v>
      </c>
      <c r="D241" s="34" t="s">
        <v>2447</v>
      </c>
      <c r="E241" s="11" t="s">
        <v>33</v>
      </c>
    </row>
    <row r="242">
      <c r="B242" s="34" t="s">
        <v>1131</v>
      </c>
      <c r="C242" s="33" t="s">
        <v>55</v>
      </c>
      <c r="D242" s="34" t="s">
        <v>1679</v>
      </c>
      <c r="E242" s="11" t="s">
        <v>37</v>
      </c>
    </row>
    <row r="243">
      <c r="B243" s="28" t="s">
        <v>1685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34" t="s">
        <v>1662</v>
      </c>
      <c r="C245" s="33" t="s">
        <v>2393</v>
      </c>
      <c r="D245" s="34" t="s">
        <v>546</v>
      </c>
      <c r="E245" s="11" t="s">
        <v>9</v>
      </c>
      <c r="I245" s="36" t="s">
        <v>663</v>
      </c>
    </row>
    <row r="246">
      <c r="B246" s="34" t="s">
        <v>399</v>
      </c>
      <c r="C246" s="33" t="s">
        <v>27</v>
      </c>
      <c r="D246" s="34" t="s">
        <v>2449</v>
      </c>
      <c r="E246" s="11" t="s">
        <v>13</v>
      </c>
    </row>
    <row r="247">
      <c r="B247" s="34" t="s">
        <v>1519</v>
      </c>
      <c r="C247" s="33" t="s">
        <v>220</v>
      </c>
      <c r="D247" s="34" t="s">
        <v>1662</v>
      </c>
      <c r="E247" s="11" t="s">
        <v>9</v>
      </c>
    </row>
    <row r="248">
      <c r="B248" s="34" t="s">
        <v>399</v>
      </c>
      <c r="C248" s="33" t="s">
        <v>218</v>
      </c>
      <c r="D248" s="34" t="s">
        <v>546</v>
      </c>
      <c r="E248" s="11" t="s">
        <v>13</v>
      </c>
    </row>
    <row r="249">
      <c r="B249" s="34" t="s">
        <v>1519</v>
      </c>
      <c r="C249" s="33" t="s">
        <v>195</v>
      </c>
      <c r="D249" s="34" t="s">
        <v>2449</v>
      </c>
      <c r="E249" s="11" t="s">
        <v>9</v>
      </c>
    </row>
    <row r="250">
      <c r="B250" s="34" t="s">
        <v>399</v>
      </c>
      <c r="C250" s="33" t="s">
        <v>64</v>
      </c>
      <c r="D250" s="34" t="s">
        <v>1662</v>
      </c>
      <c r="E250" s="11" t="s">
        <v>13</v>
      </c>
    </row>
    <row r="251">
      <c r="B251" s="34" t="s">
        <v>1519</v>
      </c>
      <c r="C251" s="33" t="s">
        <v>217</v>
      </c>
      <c r="D251" s="34" t="s">
        <v>546</v>
      </c>
      <c r="E251" s="11" t="s">
        <v>9</v>
      </c>
    </row>
    <row r="252">
      <c r="B252" s="34" t="s">
        <v>2449</v>
      </c>
      <c r="C252" s="33" t="s">
        <v>319</v>
      </c>
      <c r="D252" s="34" t="s">
        <v>1662</v>
      </c>
      <c r="E252" s="11" t="s">
        <v>13</v>
      </c>
    </row>
    <row r="253">
      <c r="B253" s="34" t="s">
        <v>1519</v>
      </c>
      <c r="C253" s="33" t="s">
        <v>201</v>
      </c>
      <c r="D253" s="34" t="s">
        <v>399</v>
      </c>
      <c r="E253" s="11" t="s">
        <v>9</v>
      </c>
    </row>
    <row r="254">
      <c r="B254" s="34" t="s">
        <v>2449</v>
      </c>
      <c r="C254" s="33" t="s">
        <v>78</v>
      </c>
      <c r="D254" s="34" t="s">
        <v>546</v>
      </c>
      <c r="E254" s="11" t="s">
        <v>13</v>
      </c>
    </row>
    <row r="255">
      <c r="B255" s="34" t="s">
        <v>546</v>
      </c>
      <c r="C255" s="33" t="s">
        <v>88</v>
      </c>
      <c r="D255" s="34" t="s">
        <v>1662</v>
      </c>
      <c r="E255" s="11" t="s">
        <v>9</v>
      </c>
    </row>
    <row r="256">
      <c r="B256" s="34" t="s">
        <v>2449</v>
      </c>
      <c r="C256" s="33" t="s">
        <v>285</v>
      </c>
      <c r="D256" s="34" t="s">
        <v>399</v>
      </c>
      <c r="E256" s="11" t="s">
        <v>13</v>
      </c>
    </row>
    <row r="257">
      <c r="B257" s="34" t="s">
        <v>1662</v>
      </c>
      <c r="C257" s="35" t="s">
        <v>193</v>
      </c>
      <c r="D257" s="34" t="s">
        <v>1519</v>
      </c>
      <c r="E257" s="11" t="s">
        <v>9</v>
      </c>
    </row>
    <row r="258">
      <c r="B258" s="34" t="s">
        <v>546</v>
      </c>
      <c r="C258" s="35" t="s">
        <v>286</v>
      </c>
      <c r="D258" s="34" t="s">
        <v>399</v>
      </c>
      <c r="E258" s="11" t="s">
        <v>13</v>
      </c>
    </row>
    <row r="259">
      <c r="B259" s="34" t="s">
        <v>2449</v>
      </c>
      <c r="C259" s="35" t="s">
        <v>81</v>
      </c>
      <c r="D259" s="34" t="s">
        <v>1519</v>
      </c>
      <c r="E259" s="11" t="s">
        <v>9</v>
      </c>
    </row>
    <row r="260">
      <c r="B260" s="34" t="s">
        <v>1662</v>
      </c>
      <c r="C260" s="35" t="s">
        <v>239</v>
      </c>
      <c r="D260" s="34" t="s">
        <v>399</v>
      </c>
      <c r="E260" s="11" t="s">
        <v>13</v>
      </c>
    </row>
    <row r="261">
      <c r="B261" s="34" t="s">
        <v>546</v>
      </c>
      <c r="C261" s="35" t="s">
        <v>43</v>
      </c>
      <c r="D261" s="34" t="s">
        <v>1519</v>
      </c>
      <c r="E261" s="11" t="s">
        <v>9</v>
      </c>
    </row>
    <row r="262">
      <c r="B262" s="34" t="s">
        <v>1662</v>
      </c>
      <c r="C262" s="35" t="s">
        <v>726</v>
      </c>
      <c r="D262" s="34" t="s">
        <v>2449</v>
      </c>
      <c r="E262" s="11" t="s">
        <v>13</v>
      </c>
    </row>
    <row r="263">
      <c r="B263" s="34" t="s">
        <v>399</v>
      </c>
      <c r="C263" s="35" t="s">
        <v>87</v>
      </c>
      <c r="D263" s="34" t="s">
        <v>1519</v>
      </c>
      <c r="E263" s="11" t="s">
        <v>9</v>
      </c>
    </row>
    <row r="264">
      <c r="B264" s="34" t="s">
        <v>546</v>
      </c>
      <c r="C264" s="35" t="s">
        <v>196</v>
      </c>
      <c r="D264" s="34" t="s">
        <v>2449</v>
      </c>
      <c r="E264" s="11" t="s">
        <v>13</v>
      </c>
    </row>
    <row r="265">
      <c r="B265" s="28" t="s">
        <v>2055</v>
      </c>
      <c r="C265" s="2"/>
      <c r="D265" s="3"/>
      <c r="E265" s="2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34" t="s">
        <v>2450</v>
      </c>
      <c r="C267" s="35" t="s">
        <v>41</v>
      </c>
      <c r="D267" s="34" t="s">
        <v>2451</v>
      </c>
      <c r="E267" s="11" t="s">
        <v>9</v>
      </c>
    </row>
    <row r="268">
      <c r="B268" s="34" t="s">
        <v>2452</v>
      </c>
      <c r="C268" s="35" t="s">
        <v>218</v>
      </c>
      <c r="D268" s="34" t="s">
        <v>2453</v>
      </c>
      <c r="E268" s="11" t="s">
        <v>13</v>
      </c>
    </row>
    <row r="269">
      <c r="B269" s="34" t="s">
        <v>1876</v>
      </c>
      <c r="C269" s="35" t="s">
        <v>282</v>
      </c>
      <c r="D269" s="34" t="s">
        <v>2450</v>
      </c>
      <c r="E269" s="11" t="s">
        <v>9</v>
      </c>
    </row>
    <row r="270">
      <c r="B270" s="34" t="s">
        <v>2452</v>
      </c>
      <c r="C270" s="35" t="s">
        <v>239</v>
      </c>
      <c r="D270" s="34" t="s">
        <v>2451</v>
      </c>
      <c r="E270" s="11" t="s">
        <v>13</v>
      </c>
    </row>
    <row r="271">
      <c r="B271" s="34" t="s">
        <v>1876</v>
      </c>
      <c r="C271" s="35" t="s">
        <v>282</v>
      </c>
      <c r="D271" s="34" t="s">
        <v>2453</v>
      </c>
      <c r="E271" s="11" t="s">
        <v>9</v>
      </c>
    </row>
    <row r="272">
      <c r="B272" s="34" t="s">
        <v>2452</v>
      </c>
      <c r="C272" s="35" t="s">
        <v>43</v>
      </c>
      <c r="D272" s="34" t="s">
        <v>2450</v>
      </c>
      <c r="E272" s="11" t="s">
        <v>13</v>
      </c>
    </row>
    <row r="273">
      <c r="B273" s="34" t="s">
        <v>1876</v>
      </c>
      <c r="C273" s="35" t="s">
        <v>232</v>
      </c>
      <c r="D273" s="34" t="s">
        <v>2451</v>
      </c>
      <c r="E273" s="11" t="s">
        <v>9</v>
      </c>
    </row>
    <row r="274">
      <c r="B274" s="34" t="s">
        <v>2453</v>
      </c>
      <c r="C274" s="35" t="s">
        <v>66</v>
      </c>
      <c r="D274" s="34" t="s">
        <v>2450</v>
      </c>
      <c r="E274" s="11" t="s">
        <v>13</v>
      </c>
    </row>
    <row r="275">
      <c r="B275" s="34" t="s">
        <v>1876</v>
      </c>
      <c r="C275" s="35" t="s">
        <v>68</v>
      </c>
      <c r="D275" s="34" t="s">
        <v>2452</v>
      </c>
      <c r="E275" s="11" t="s">
        <v>9</v>
      </c>
    </row>
    <row r="276">
      <c r="B276" s="34" t="s">
        <v>2453</v>
      </c>
      <c r="C276" s="35" t="s">
        <v>245</v>
      </c>
      <c r="D276" s="34" t="s">
        <v>2451</v>
      </c>
      <c r="E276" s="11" t="s">
        <v>13</v>
      </c>
    </row>
    <row r="277">
      <c r="B277" s="34" t="s">
        <v>2451</v>
      </c>
      <c r="C277" s="35" t="s">
        <v>187</v>
      </c>
      <c r="D277" s="34" t="s">
        <v>2450</v>
      </c>
      <c r="E277" s="11" t="s">
        <v>9</v>
      </c>
    </row>
    <row r="278">
      <c r="B278" s="34" t="s">
        <v>2453</v>
      </c>
      <c r="C278" s="35" t="s">
        <v>35</v>
      </c>
      <c r="D278" s="34" t="s">
        <v>2452</v>
      </c>
      <c r="E278" s="11" t="s">
        <v>13</v>
      </c>
    </row>
    <row r="279">
      <c r="B279" s="34" t="s">
        <v>2450</v>
      </c>
      <c r="C279" s="35" t="s">
        <v>31</v>
      </c>
      <c r="D279" s="34" t="s">
        <v>1876</v>
      </c>
      <c r="E279" s="11" t="s">
        <v>9</v>
      </c>
    </row>
    <row r="280">
      <c r="B280" s="34" t="s">
        <v>2451</v>
      </c>
      <c r="C280" s="35" t="s">
        <v>824</v>
      </c>
      <c r="D280" s="34" t="s">
        <v>2452</v>
      </c>
      <c r="E280" s="11" t="s">
        <v>13</v>
      </c>
    </row>
    <row r="281">
      <c r="B281" s="34" t="s">
        <v>2453</v>
      </c>
      <c r="C281" s="35" t="s">
        <v>22</v>
      </c>
      <c r="D281" s="34" t="s">
        <v>1876</v>
      </c>
      <c r="E281" s="11" t="s">
        <v>9</v>
      </c>
    </row>
    <row r="282">
      <c r="B282" s="34" t="s">
        <v>2450</v>
      </c>
      <c r="C282" s="35" t="s">
        <v>22</v>
      </c>
      <c r="D282" s="34" t="s">
        <v>2452</v>
      </c>
      <c r="E282" s="11" t="s">
        <v>13</v>
      </c>
    </row>
    <row r="283">
      <c r="B283" s="34" t="s">
        <v>2451</v>
      </c>
      <c r="C283" s="35" t="s">
        <v>218</v>
      </c>
      <c r="D283" s="34" t="s">
        <v>1876</v>
      </c>
      <c r="E283" s="11" t="s">
        <v>9</v>
      </c>
    </row>
    <row r="284">
      <c r="B284" s="34" t="s">
        <v>2450</v>
      </c>
      <c r="C284" s="35" t="s">
        <v>193</v>
      </c>
      <c r="D284" s="34" t="s">
        <v>2453</v>
      </c>
      <c r="E284" s="11" t="s">
        <v>13</v>
      </c>
    </row>
    <row r="285">
      <c r="B285" s="34" t="s">
        <v>2452</v>
      </c>
      <c r="C285" s="35" t="s">
        <v>19</v>
      </c>
      <c r="D285" s="34" t="s">
        <v>1876</v>
      </c>
      <c r="E285" s="11" t="s">
        <v>9</v>
      </c>
    </row>
    <row r="286">
      <c r="B286" s="34" t="s">
        <v>2451</v>
      </c>
      <c r="C286" s="35" t="s">
        <v>43</v>
      </c>
      <c r="D286" s="34" t="s">
        <v>2453</v>
      </c>
      <c r="E286" s="11" t="s">
        <v>13</v>
      </c>
    </row>
    <row r="287">
      <c r="B287" s="28" t="s">
        <v>2190</v>
      </c>
      <c r="C287" s="2"/>
      <c r="D287" s="3"/>
      <c r="E287" s="2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34" t="s">
        <v>1644</v>
      </c>
      <c r="C289" s="33" t="s">
        <v>196</v>
      </c>
      <c r="D289" s="34" t="s">
        <v>2454</v>
      </c>
      <c r="E289" s="11" t="s">
        <v>33</v>
      </c>
    </row>
    <row r="290">
      <c r="B290" s="34" t="s">
        <v>2455</v>
      </c>
      <c r="C290" s="33" t="s">
        <v>19</v>
      </c>
      <c r="D290" s="34" t="s">
        <v>1894</v>
      </c>
      <c r="E290" s="11" t="s">
        <v>37</v>
      </c>
    </row>
    <row r="291">
      <c r="B291" s="34" t="s">
        <v>2456</v>
      </c>
      <c r="C291" s="33" t="s">
        <v>426</v>
      </c>
      <c r="D291" s="34" t="s">
        <v>1644</v>
      </c>
      <c r="E291" s="11" t="s">
        <v>33</v>
      </c>
    </row>
    <row r="292">
      <c r="B292" s="34" t="s">
        <v>2455</v>
      </c>
      <c r="C292" s="33" t="s">
        <v>87</v>
      </c>
      <c r="D292" s="34" t="s">
        <v>2454</v>
      </c>
      <c r="E292" s="11" t="s">
        <v>37</v>
      </c>
    </row>
    <row r="293">
      <c r="B293" s="34" t="s">
        <v>2456</v>
      </c>
      <c r="C293" s="33" t="s">
        <v>536</v>
      </c>
      <c r="D293" s="34" t="s">
        <v>1894</v>
      </c>
      <c r="E293" s="11" t="s">
        <v>33</v>
      </c>
    </row>
    <row r="294">
      <c r="B294" s="34" t="s">
        <v>2455</v>
      </c>
      <c r="C294" s="33" t="s">
        <v>270</v>
      </c>
      <c r="D294" s="34" t="s">
        <v>1644</v>
      </c>
      <c r="E294" s="11" t="s">
        <v>37</v>
      </c>
    </row>
    <row r="295">
      <c r="B295" s="34" t="s">
        <v>2456</v>
      </c>
      <c r="C295" s="33" t="s">
        <v>684</v>
      </c>
      <c r="D295" s="34" t="s">
        <v>2454</v>
      </c>
      <c r="E295" s="11" t="s">
        <v>33</v>
      </c>
    </row>
    <row r="296">
      <c r="B296" s="34" t="s">
        <v>1894</v>
      </c>
      <c r="C296" s="33" t="s">
        <v>78</v>
      </c>
      <c r="D296" s="34" t="s">
        <v>1644</v>
      </c>
      <c r="E296" s="11" t="s">
        <v>37</v>
      </c>
    </row>
    <row r="297">
      <c r="B297" s="34" t="s">
        <v>2456</v>
      </c>
      <c r="C297" s="33" t="s">
        <v>20</v>
      </c>
      <c r="D297" s="34" t="s">
        <v>2455</v>
      </c>
      <c r="E297" s="11" t="s">
        <v>33</v>
      </c>
    </row>
    <row r="298">
      <c r="B298" s="34" t="s">
        <v>1894</v>
      </c>
      <c r="C298" s="33" t="s">
        <v>238</v>
      </c>
      <c r="D298" s="34" t="s">
        <v>2454</v>
      </c>
      <c r="E298" s="11" t="s">
        <v>37</v>
      </c>
    </row>
    <row r="299">
      <c r="B299" s="34" t="s">
        <v>2454</v>
      </c>
      <c r="C299" s="33" t="s">
        <v>11</v>
      </c>
      <c r="D299" s="34" t="s">
        <v>1644</v>
      </c>
      <c r="E299" s="11" t="s">
        <v>33</v>
      </c>
      <c r="I299" s="36"/>
    </row>
    <row r="300">
      <c r="B300" s="34" t="s">
        <v>1894</v>
      </c>
      <c r="C300" s="33" t="s">
        <v>212</v>
      </c>
      <c r="D300" s="34" t="s">
        <v>2455</v>
      </c>
      <c r="E300" s="11" t="s">
        <v>37</v>
      </c>
    </row>
    <row r="301">
      <c r="B301" s="34" t="s">
        <v>1644</v>
      </c>
      <c r="C301" s="33" t="s">
        <v>258</v>
      </c>
      <c r="D301" s="34" t="s">
        <v>2456</v>
      </c>
      <c r="E301" s="11" t="s">
        <v>33</v>
      </c>
    </row>
    <row r="302">
      <c r="B302" s="34" t="s">
        <v>2454</v>
      </c>
      <c r="C302" s="33" t="s">
        <v>413</v>
      </c>
      <c r="D302" s="34" t="s">
        <v>2455</v>
      </c>
      <c r="E302" s="11" t="s">
        <v>37</v>
      </c>
    </row>
    <row r="303">
      <c r="B303" s="34" t="s">
        <v>1894</v>
      </c>
      <c r="C303" s="33" t="s">
        <v>88</v>
      </c>
      <c r="D303" s="34" t="s">
        <v>2456</v>
      </c>
      <c r="E303" s="11" t="s">
        <v>33</v>
      </c>
    </row>
    <row r="304">
      <c r="B304" s="34" t="s">
        <v>1644</v>
      </c>
      <c r="C304" s="33" t="s">
        <v>239</v>
      </c>
      <c r="D304" s="34" t="s">
        <v>2455</v>
      </c>
      <c r="E304" s="11" t="s">
        <v>37</v>
      </c>
    </row>
    <row r="305">
      <c r="B305" s="34" t="s">
        <v>2454</v>
      </c>
      <c r="C305" s="33" t="s">
        <v>43</v>
      </c>
      <c r="D305" s="34" t="s">
        <v>2456</v>
      </c>
      <c r="E305" s="11" t="s">
        <v>33</v>
      </c>
    </row>
    <row r="306">
      <c r="B306" s="34" t="s">
        <v>1644</v>
      </c>
      <c r="C306" s="33" t="s">
        <v>2315</v>
      </c>
      <c r="D306" s="34" t="s">
        <v>1894</v>
      </c>
      <c r="E306" s="11" t="s">
        <v>37</v>
      </c>
    </row>
    <row r="307">
      <c r="B307" s="34" t="s">
        <v>2455</v>
      </c>
      <c r="C307" s="33" t="s">
        <v>42</v>
      </c>
      <c r="D307" s="34" t="s">
        <v>2456</v>
      </c>
      <c r="E307" s="11" t="s">
        <v>33</v>
      </c>
      <c r="J307" s="36"/>
    </row>
    <row r="308">
      <c r="B308" s="34" t="s">
        <v>2454</v>
      </c>
      <c r="C308" s="33" t="s">
        <v>370</v>
      </c>
      <c r="D308" s="34" t="s">
        <v>1894</v>
      </c>
      <c r="E308" s="11" t="s">
        <v>37</v>
      </c>
    </row>
    <row r="309">
      <c r="B309" s="28" t="s">
        <v>2402</v>
      </c>
      <c r="C309" s="2"/>
      <c r="D309" s="3"/>
      <c r="E309" s="2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34" t="s">
        <v>1229</v>
      </c>
      <c r="C311" s="33" t="s">
        <v>400</v>
      </c>
      <c r="D311" s="34" t="s">
        <v>2457</v>
      </c>
      <c r="E311" s="11" t="s">
        <v>33</v>
      </c>
    </row>
    <row r="312">
      <c r="B312" s="34" t="s">
        <v>2458</v>
      </c>
      <c r="C312" s="33" t="s">
        <v>2459</v>
      </c>
      <c r="D312" s="34" t="s">
        <v>2460</v>
      </c>
      <c r="E312" s="11" t="s">
        <v>37</v>
      </c>
    </row>
    <row r="313">
      <c r="B313" s="34" t="s">
        <v>934</v>
      </c>
      <c r="C313" s="33" t="s">
        <v>684</v>
      </c>
      <c r="D313" s="34" t="s">
        <v>1229</v>
      </c>
      <c r="E313" s="11" t="s">
        <v>33</v>
      </c>
    </row>
    <row r="314">
      <c r="B314" s="34" t="s">
        <v>2458</v>
      </c>
      <c r="C314" s="33" t="s">
        <v>212</v>
      </c>
      <c r="D314" s="34" t="s">
        <v>2457</v>
      </c>
      <c r="E314" s="11" t="s">
        <v>37</v>
      </c>
    </row>
    <row r="315">
      <c r="B315" s="34" t="s">
        <v>934</v>
      </c>
      <c r="C315" s="33" t="s">
        <v>58</v>
      </c>
      <c r="D315" s="34" t="s">
        <v>2460</v>
      </c>
      <c r="E315" s="11" t="s">
        <v>33</v>
      </c>
    </row>
    <row r="316">
      <c r="B316" s="34" t="s">
        <v>2458</v>
      </c>
      <c r="C316" s="33" t="s">
        <v>2461</v>
      </c>
      <c r="D316" s="34" t="s">
        <v>1229</v>
      </c>
      <c r="E316" s="11" t="s">
        <v>37</v>
      </c>
    </row>
    <row r="317">
      <c r="B317" s="34" t="s">
        <v>934</v>
      </c>
      <c r="C317" s="33" t="s">
        <v>544</v>
      </c>
      <c r="D317" s="34" t="s">
        <v>2457</v>
      </c>
      <c r="E317" s="11" t="s">
        <v>33</v>
      </c>
    </row>
    <row r="318">
      <c r="B318" s="34" t="s">
        <v>2460</v>
      </c>
      <c r="C318" s="33" t="s">
        <v>699</v>
      </c>
      <c r="D318" s="34" t="s">
        <v>1229</v>
      </c>
      <c r="E318" s="11" t="s">
        <v>37</v>
      </c>
    </row>
    <row r="319">
      <c r="B319" s="34" t="s">
        <v>934</v>
      </c>
      <c r="C319" s="33" t="s">
        <v>83</v>
      </c>
      <c r="D319" s="34" t="s">
        <v>2458</v>
      </c>
      <c r="E319" s="11" t="s">
        <v>33</v>
      </c>
    </row>
    <row r="320">
      <c r="B320" s="34" t="s">
        <v>2460</v>
      </c>
      <c r="C320" s="33" t="s">
        <v>270</v>
      </c>
      <c r="D320" s="34" t="s">
        <v>2457</v>
      </c>
      <c r="E320" s="11" t="s">
        <v>37</v>
      </c>
    </row>
    <row r="321">
      <c r="B321" s="34" t="s">
        <v>2457</v>
      </c>
      <c r="C321" s="33" t="s">
        <v>19</v>
      </c>
      <c r="D321" s="34" t="s">
        <v>1229</v>
      </c>
      <c r="E321" s="11" t="s">
        <v>33</v>
      </c>
    </row>
    <row r="322">
      <c r="B322" s="34" t="s">
        <v>2460</v>
      </c>
      <c r="C322" s="33" t="s">
        <v>19</v>
      </c>
      <c r="D322" s="34" t="s">
        <v>2458</v>
      </c>
      <c r="E322" s="11" t="s">
        <v>37</v>
      </c>
    </row>
    <row r="323">
      <c r="B323" s="34" t="s">
        <v>1229</v>
      </c>
      <c r="C323" s="33" t="s">
        <v>2462</v>
      </c>
      <c r="D323" s="34" t="s">
        <v>934</v>
      </c>
      <c r="E323" s="11" t="s">
        <v>33</v>
      </c>
    </row>
    <row r="324">
      <c r="B324" s="34" t="s">
        <v>2457</v>
      </c>
      <c r="C324" s="33" t="s">
        <v>240</v>
      </c>
      <c r="D324" s="34" t="s">
        <v>2458</v>
      </c>
      <c r="E324" s="11" t="s">
        <v>37</v>
      </c>
    </row>
    <row r="325">
      <c r="B325" s="34" t="s">
        <v>2460</v>
      </c>
      <c r="C325" s="33" t="s">
        <v>286</v>
      </c>
      <c r="D325" s="34" t="s">
        <v>934</v>
      </c>
      <c r="E325" s="11" t="s">
        <v>33</v>
      </c>
    </row>
    <row r="326">
      <c r="B326" s="34" t="s">
        <v>1229</v>
      </c>
      <c r="C326" s="33" t="s">
        <v>197</v>
      </c>
      <c r="D326" s="34" t="s">
        <v>2458</v>
      </c>
      <c r="E326" s="11" t="s">
        <v>37</v>
      </c>
    </row>
    <row r="327">
      <c r="B327" s="34" t="s">
        <v>2457</v>
      </c>
      <c r="C327" s="33" t="s">
        <v>212</v>
      </c>
      <c r="D327" s="34" t="s">
        <v>934</v>
      </c>
      <c r="E327" s="11" t="s">
        <v>33</v>
      </c>
    </row>
    <row r="328">
      <c r="B328" s="34" t="s">
        <v>1229</v>
      </c>
      <c r="C328" s="33" t="s">
        <v>2463</v>
      </c>
      <c r="D328" s="34" t="s">
        <v>2460</v>
      </c>
      <c r="E328" s="11" t="s">
        <v>37</v>
      </c>
    </row>
    <row r="329">
      <c r="B329" s="34" t="s">
        <v>2458</v>
      </c>
      <c r="C329" s="33" t="s">
        <v>857</v>
      </c>
      <c r="D329" s="34" t="s">
        <v>934</v>
      </c>
      <c r="E329" s="11" t="s">
        <v>33</v>
      </c>
    </row>
    <row r="330">
      <c r="B330" s="34" t="s">
        <v>2457</v>
      </c>
      <c r="C330" s="33" t="s">
        <v>370</v>
      </c>
      <c r="D330" s="34" t="s">
        <v>2460</v>
      </c>
      <c r="E330" s="11" t="s">
        <v>37</v>
      </c>
    </row>
    <row r="331">
      <c r="B331" s="28" t="s">
        <v>2464</v>
      </c>
      <c r="C331" s="2"/>
      <c r="D331" s="3"/>
      <c r="E331" s="2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34" t="s">
        <v>2465</v>
      </c>
      <c r="C333" s="33" t="s">
        <v>72</v>
      </c>
      <c r="D333" s="34" t="s">
        <v>2466</v>
      </c>
      <c r="E333" s="11" t="s">
        <v>9</v>
      </c>
    </row>
    <row r="334">
      <c r="B334" s="34" t="s">
        <v>2467</v>
      </c>
      <c r="C334" s="33" t="s">
        <v>87</v>
      </c>
      <c r="D334" s="34" t="s">
        <v>1119</v>
      </c>
      <c r="E334" s="11" t="s">
        <v>13</v>
      </c>
    </row>
    <row r="335">
      <c r="B335" s="34" t="s">
        <v>2173</v>
      </c>
      <c r="C335" s="33" t="s">
        <v>533</v>
      </c>
      <c r="D335" s="34" t="s">
        <v>2465</v>
      </c>
      <c r="E335" s="11" t="s">
        <v>9</v>
      </c>
    </row>
    <row r="336">
      <c r="B336" s="34" t="s">
        <v>2467</v>
      </c>
      <c r="C336" s="33" t="s">
        <v>23</v>
      </c>
      <c r="D336" s="34" t="s">
        <v>2466</v>
      </c>
      <c r="E336" s="11" t="s">
        <v>13</v>
      </c>
    </row>
    <row r="337">
      <c r="B337" s="34" t="s">
        <v>2173</v>
      </c>
      <c r="C337" s="33" t="s">
        <v>196</v>
      </c>
      <c r="D337" s="34" t="s">
        <v>1119</v>
      </c>
      <c r="E337" s="11" t="s">
        <v>9</v>
      </c>
    </row>
    <row r="338">
      <c r="B338" s="34" t="s">
        <v>2467</v>
      </c>
      <c r="C338" s="33" t="s">
        <v>289</v>
      </c>
      <c r="D338" s="34" t="s">
        <v>2465</v>
      </c>
      <c r="E338" s="11" t="s">
        <v>13</v>
      </c>
    </row>
    <row r="339">
      <c r="B339" s="34" t="s">
        <v>2173</v>
      </c>
      <c r="C339" s="33" t="s">
        <v>815</v>
      </c>
      <c r="D339" s="34" t="s">
        <v>2466</v>
      </c>
      <c r="E339" s="11" t="s">
        <v>9</v>
      </c>
    </row>
    <row r="340">
      <c r="B340" s="34" t="s">
        <v>1119</v>
      </c>
      <c r="C340" s="33" t="s">
        <v>218</v>
      </c>
      <c r="D340" s="34" t="s">
        <v>2465</v>
      </c>
      <c r="E340" s="11" t="s">
        <v>13</v>
      </c>
    </row>
    <row r="341">
      <c r="B341" s="34" t="s">
        <v>2173</v>
      </c>
      <c r="C341" s="33" t="s">
        <v>58</v>
      </c>
      <c r="D341" s="34" t="s">
        <v>2467</v>
      </c>
      <c r="E341" s="11" t="s">
        <v>9</v>
      </c>
    </row>
    <row r="342">
      <c r="B342" s="34" t="s">
        <v>1119</v>
      </c>
      <c r="C342" s="33" t="s">
        <v>19</v>
      </c>
      <c r="D342" s="34" t="s">
        <v>2466</v>
      </c>
      <c r="E342" s="11" t="s">
        <v>13</v>
      </c>
    </row>
    <row r="343">
      <c r="B343" s="34" t="s">
        <v>2466</v>
      </c>
      <c r="C343" s="33" t="s">
        <v>187</v>
      </c>
      <c r="D343" s="34" t="s">
        <v>2465</v>
      </c>
      <c r="E343" s="11" t="s">
        <v>9</v>
      </c>
    </row>
    <row r="344">
      <c r="B344" s="34" t="s">
        <v>1119</v>
      </c>
      <c r="C344" s="33" t="s">
        <v>22</v>
      </c>
      <c r="D344" s="34" t="s">
        <v>2467</v>
      </c>
      <c r="E344" s="11" t="s">
        <v>13</v>
      </c>
    </row>
    <row r="345">
      <c r="B345" s="34" t="s">
        <v>2465</v>
      </c>
      <c r="C345" s="35" t="s">
        <v>218</v>
      </c>
      <c r="D345" s="34" t="s">
        <v>2173</v>
      </c>
      <c r="E345" s="11" t="s">
        <v>9</v>
      </c>
    </row>
    <row r="346">
      <c r="B346" s="34" t="s">
        <v>2466</v>
      </c>
      <c r="C346" s="35" t="s">
        <v>43</v>
      </c>
      <c r="D346" s="34" t="s">
        <v>2467</v>
      </c>
      <c r="E346" s="11" t="s">
        <v>13</v>
      </c>
    </row>
    <row r="347">
      <c r="B347" s="34" t="s">
        <v>1119</v>
      </c>
      <c r="C347" s="35" t="s">
        <v>66</v>
      </c>
      <c r="D347" s="34" t="s">
        <v>2173</v>
      </c>
      <c r="E347" s="11" t="s">
        <v>9</v>
      </c>
    </row>
    <row r="348">
      <c r="B348" s="34" t="s">
        <v>2465</v>
      </c>
      <c r="C348" s="35" t="s">
        <v>240</v>
      </c>
      <c r="D348" s="34" t="s">
        <v>2467</v>
      </c>
      <c r="E348" s="11" t="s">
        <v>13</v>
      </c>
    </row>
    <row r="349">
      <c r="B349" s="34" t="s">
        <v>2466</v>
      </c>
      <c r="C349" s="35" t="s">
        <v>400</v>
      </c>
      <c r="D349" s="34" t="s">
        <v>2173</v>
      </c>
      <c r="E349" s="11" t="s">
        <v>9</v>
      </c>
    </row>
    <row r="350">
      <c r="B350" s="34" t="s">
        <v>2465</v>
      </c>
      <c r="C350" s="35" t="s">
        <v>201</v>
      </c>
      <c r="D350" s="34" t="s">
        <v>1119</v>
      </c>
      <c r="E350" s="11" t="s">
        <v>13</v>
      </c>
    </row>
    <row r="351">
      <c r="B351" s="34" t="s">
        <v>2467</v>
      </c>
      <c r="C351" s="35" t="s">
        <v>87</v>
      </c>
      <c r="D351" s="34" t="s">
        <v>2173</v>
      </c>
      <c r="E351" s="11" t="s">
        <v>9</v>
      </c>
    </row>
    <row r="352">
      <c r="B352" s="34" t="s">
        <v>2466</v>
      </c>
      <c r="C352" s="35" t="s">
        <v>380</v>
      </c>
      <c r="D352" s="34" t="s">
        <v>1119</v>
      </c>
      <c r="E352" s="11" t="s">
        <v>13</v>
      </c>
    </row>
    <row r="353">
      <c r="B353" s="28" t="s">
        <v>2468</v>
      </c>
      <c r="C353" s="2"/>
      <c r="D353" s="3"/>
      <c r="E353" s="29"/>
    </row>
    <row r="354">
      <c r="B354" s="6" t="s">
        <v>2</v>
      </c>
      <c r="C354" s="6" t="s">
        <v>3</v>
      </c>
      <c r="D354" s="6" t="s">
        <v>4</v>
      </c>
      <c r="E354" s="6" t="s">
        <v>5</v>
      </c>
    </row>
    <row r="355">
      <c r="B355" s="34" t="s">
        <v>977</v>
      </c>
      <c r="C355" s="33" t="s">
        <v>260</v>
      </c>
      <c r="D355" s="34" t="s">
        <v>2469</v>
      </c>
      <c r="E355" s="11" t="s">
        <v>33</v>
      </c>
    </row>
    <row r="356">
      <c r="B356" s="34" t="s">
        <v>1263</v>
      </c>
      <c r="C356" s="33" t="s">
        <v>270</v>
      </c>
      <c r="D356" s="34" t="s">
        <v>2470</v>
      </c>
      <c r="E356" s="11" t="s">
        <v>37</v>
      </c>
    </row>
    <row r="357">
      <c r="B357" s="34" t="s">
        <v>2471</v>
      </c>
      <c r="C357" s="33" t="s">
        <v>65</v>
      </c>
      <c r="D357" s="34" t="s">
        <v>977</v>
      </c>
      <c r="E357" s="11" t="s">
        <v>33</v>
      </c>
    </row>
    <row r="358">
      <c r="B358" s="34" t="s">
        <v>1263</v>
      </c>
      <c r="C358" s="33" t="s">
        <v>81</v>
      </c>
      <c r="D358" s="34" t="s">
        <v>2469</v>
      </c>
      <c r="E358" s="11" t="s">
        <v>37</v>
      </c>
    </row>
    <row r="359">
      <c r="B359" s="34" t="s">
        <v>2471</v>
      </c>
      <c r="C359" s="33" t="s">
        <v>62</v>
      </c>
      <c r="D359" s="34" t="s">
        <v>2470</v>
      </c>
      <c r="E359" s="11" t="s">
        <v>33</v>
      </c>
    </row>
    <row r="360">
      <c r="B360" s="34" t="s">
        <v>1263</v>
      </c>
      <c r="C360" s="33" t="s">
        <v>19</v>
      </c>
      <c r="D360" s="34" t="s">
        <v>977</v>
      </c>
      <c r="E360" s="11" t="s">
        <v>37</v>
      </c>
    </row>
    <row r="361">
      <c r="B361" s="34" t="s">
        <v>2471</v>
      </c>
      <c r="C361" s="33" t="s">
        <v>47</v>
      </c>
      <c r="D361" s="34" t="s">
        <v>2469</v>
      </c>
      <c r="E361" s="11" t="s">
        <v>33</v>
      </c>
    </row>
    <row r="362">
      <c r="B362" s="34" t="s">
        <v>2470</v>
      </c>
      <c r="C362" s="33" t="s">
        <v>239</v>
      </c>
      <c r="D362" s="34" t="s">
        <v>977</v>
      </c>
      <c r="E362" s="11" t="s">
        <v>37</v>
      </c>
    </row>
    <row r="363">
      <c r="B363" s="34" t="s">
        <v>2471</v>
      </c>
      <c r="C363" s="33" t="s">
        <v>22</v>
      </c>
      <c r="D363" s="34" t="s">
        <v>1263</v>
      </c>
      <c r="E363" s="11" t="s">
        <v>33</v>
      </c>
    </row>
    <row r="364">
      <c r="B364" s="34" t="s">
        <v>2470</v>
      </c>
      <c r="C364" s="33" t="s">
        <v>413</v>
      </c>
      <c r="D364" s="34" t="s">
        <v>2469</v>
      </c>
      <c r="E364" s="11" t="s">
        <v>37</v>
      </c>
    </row>
    <row r="365">
      <c r="B365" s="34" t="s">
        <v>2469</v>
      </c>
      <c r="C365" s="33" t="s">
        <v>43</v>
      </c>
      <c r="D365" s="34" t="s">
        <v>977</v>
      </c>
      <c r="E365" s="11" t="s">
        <v>33</v>
      </c>
    </row>
    <row r="366">
      <c r="B366" s="34" t="s">
        <v>2470</v>
      </c>
      <c r="C366" s="33" t="s">
        <v>43</v>
      </c>
      <c r="D366" s="34" t="s">
        <v>1263</v>
      </c>
      <c r="E366" s="11" t="s">
        <v>37</v>
      </c>
    </row>
    <row r="367">
      <c r="B367" s="34" t="s">
        <v>977</v>
      </c>
      <c r="C367" s="33" t="s">
        <v>201</v>
      </c>
      <c r="D367" s="34" t="s">
        <v>2471</v>
      </c>
      <c r="E367" s="11" t="s">
        <v>33</v>
      </c>
    </row>
    <row r="368">
      <c r="B368" s="34" t="s">
        <v>2469</v>
      </c>
      <c r="C368" s="33" t="s">
        <v>11</v>
      </c>
      <c r="D368" s="34" t="s">
        <v>1263</v>
      </c>
      <c r="E368" s="11" t="s">
        <v>37</v>
      </c>
    </row>
    <row r="369">
      <c r="B369" s="34" t="s">
        <v>2470</v>
      </c>
      <c r="C369" s="33" t="s">
        <v>2393</v>
      </c>
      <c r="D369" s="34" t="s">
        <v>2471</v>
      </c>
      <c r="E369" s="11" t="s">
        <v>33</v>
      </c>
    </row>
    <row r="370">
      <c r="B370" s="34" t="s">
        <v>977</v>
      </c>
      <c r="C370" s="33" t="s">
        <v>68</v>
      </c>
      <c r="D370" s="34" t="s">
        <v>1263</v>
      </c>
      <c r="E370" s="11" t="s">
        <v>37</v>
      </c>
    </row>
    <row r="371">
      <c r="B371" s="34" t="s">
        <v>2469</v>
      </c>
      <c r="C371" s="33" t="s">
        <v>45</v>
      </c>
      <c r="D371" s="34" t="s">
        <v>2471</v>
      </c>
      <c r="E371" s="11" t="s">
        <v>33</v>
      </c>
    </row>
    <row r="372">
      <c r="B372" s="34" t="s">
        <v>977</v>
      </c>
      <c r="C372" s="33" t="s">
        <v>412</v>
      </c>
      <c r="D372" s="34" t="s">
        <v>2470</v>
      </c>
      <c r="E372" s="11" t="s">
        <v>37</v>
      </c>
    </row>
    <row r="373">
      <c r="B373" s="34" t="s">
        <v>1263</v>
      </c>
      <c r="C373" s="33" t="s">
        <v>14</v>
      </c>
      <c r="D373" s="34" t="s">
        <v>2471</v>
      </c>
      <c r="E373" s="11" t="s">
        <v>33</v>
      </c>
    </row>
    <row r="374">
      <c r="B374" s="34" t="s">
        <v>2469</v>
      </c>
      <c r="C374" s="33" t="s">
        <v>31</v>
      </c>
      <c r="D374" s="34" t="s">
        <v>2470</v>
      </c>
      <c r="E374" s="76" t="s">
        <v>37</v>
      </c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50"/>
    <hyperlink r:id="rId136" ref="E152"/>
    <hyperlink r:id="rId137" ref="E154"/>
    <hyperlink r:id="rId138" ref="E157"/>
    <hyperlink r:id="rId139" ref="E158"/>
    <hyperlink r:id="rId140" ref="E159"/>
    <hyperlink r:id="rId141" ref="E160"/>
    <hyperlink r:id="rId142" ref="E161"/>
    <hyperlink r:id="rId143" ref="E162"/>
    <hyperlink r:id="rId144" ref="E163"/>
    <hyperlink r:id="rId145" ref="E164"/>
    <hyperlink r:id="rId146" ref="E165"/>
    <hyperlink r:id="rId147" ref="E166"/>
    <hyperlink r:id="rId148" ref="E167"/>
    <hyperlink r:id="rId149" ref="E168"/>
    <hyperlink r:id="rId150" ref="E169"/>
    <hyperlink r:id="rId151" ref="E170"/>
    <hyperlink r:id="rId152" ref="E171"/>
    <hyperlink r:id="rId153" ref="E172"/>
    <hyperlink r:id="rId154" ref="E173"/>
    <hyperlink r:id="rId155" ref="E174"/>
    <hyperlink r:id="rId156" ref="E175"/>
    <hyperlink r:id="rId157" ref="E176"/>
    <hyperlink r:id="rId158" ref="E179"/>
    <hyperlink r:id="rId159" ref="E180"/>
    <hyperlink r:id="rId160" ref="E181"/>
    <hyperlink r:id="rId161" ref="E182"/>
    <hyperlink r:id="rId162" ref="E183"/>
    <hyperlink r:id="rId163" ref="E184"/>
    <hyperlink r:id="rId164" ref="E185"/>
    <hyperlink r:id="rId165" ref="E186"/>
    <hyperlink r:id="rId166" ref="E187"/>
    <hyperlink r:id="rId167" ref="E188"/>
    <hyperlink r:id="rId168" ref="E189"/>
    <hyperlink r:id="rId169" ref="E190"/>
    <hyperlink r:id="rId170" ref="E191"/>
    <hyperlink r:id="rId171" ref="E192"/>
    <hyperlink r:id="rId172" ref="E193"/>
    <hyperlink r:id="rId173" ref="E194"/>
    <hyperlink r:id="rId174" ref="E195"/>
    <hyperlink r:id="rId175" ref="E196"/>
    <hyperlink r:id="rId176" ref="E197"/>
    <hyperlink r:id="rId177" ref="E198"/>
    <hyperlink r:id="rId178" ref="E201"/>
    <hyperlink r:id="rId179" ref="E202"/>
    <hyperlink r:id="rId180" ref="E203"/>
    <hyperlink r:id="rId181" ref="E204"/>
    <hyperlink r:id="rId182" ref="E205"/>
    <hyperlink r:id="rId183" ref="E206"/>
    <hyperlink r:id="rId184" ref="E207"/>
    <hyperlink r:id="rId185" ref="E208"/>
    <hyperlink r:id="rId186" ref="E209"/>
    <hyperlink r:id="rId187" ref="E210"/>
    <hyperlink r:id="rId188" ref="E211"/>
    <hyperlink r:id="rId189" ref="E212"/>
    <hyperlink r:id="rId190" ref="E213"/>
    <hyperlink r:id="rId191" ref="E214"/>
    <hyperlink r:id="rId192" ref="E215"/>
    <hyperlink r:id="rId193" ref="E216"/>
    <hyperlink r:id="rId194" ref="E217"/>
    <hyperlink r:id="rId195" ref="E218"/>
    <hyperlink r:id="rId196" ref="E219"/>
    <hyperlink r:id="rId197" ref="E220"/>
    <hyperlink r:id="rId198" ref="E223"/>
    <hyperlink r:id="rId199" ref="E224"/>
    <hyperlink r:id="rId200" ref="E225"/>
    <hyperlink r:id="rId201" ref="E226"/>
    <hyperlink r:id="rId202" ref="E227"/>
    <hyperlink r:id="rId203" ref="E228"/>
    <hyperlink r:id="rId204" ref="E229"/>
    <hyperlink r:id="rId205" ref="E230"/>
    <hyperlink r:id="rId206" ref="E231"/>
    <hyperlink r:id="rId207" ref="E232"/>
    <hyperlink r:id="rId208" ref="E233"/>
    <hyperlink r:id="rId209" ref="E234"/>
    <hyperlink r:id="rId210" ref="E235"/>
    <hyperlink r:id="rId211" ref="E236"/>
    <hyperlink r:id="rId212" ref="E237"/>
    <hyperlink r:id="rId213" ref="E238"/>
    <hyperlink r:id="rId214" ref="E239"/>
    <hyperlink r:id="rId215" ref="E240"/>
    <hyperlink r:id="rId216" ref="E241"/>
    <hyperlink r:id="rId217" ref="E242"/>
    <hyperlink r:id="rId218" ref="E245"/>
    <hyperlink r:id="rId219" ref="E246"/>
    <hyperlink r:id="rId220" ref="E247"/>
    <hyperlink r:id="rId221" ref="E248"/>
    <hyperlink r:id="rId222" ref="E249"/>
    <hyperlink r:id="rId223" ref="E250"/>
    <hyperlink r:id="rId224" ref="E251"/>
    <hyperlink r:id="rId225" ref="E252"/>
    <hyperlink r:id="rId226" ref="E253"/>
    <hyperlink r:id="rId227" ref="E254"/>
    <hyperlink r:id="rId228" ref="E255"/>
    <hyperlink r:id="rId229" ref="E256"/>
    <hyperlink r:id="rId230" ref="E257"/>
    <hyperlink r:id="rId231" ref="E258"/>
    <hyperlink r:id="rId232" ref="E259"/>
    <hyperlink r:id="rId233" ref="E260"/>
    <hyperlink r:id="rId234" ref="E261"/>
    <hyperlink r:id="rId235" ref="E262"/>
    <hyperlink r:id="rId236" ref="E263"/>
    <hyperlink r:id="rId237" ref="E264"/>
    <hyperlink r:id="rId238" ref="E267"/>
    <hyperlink r:id="rId239" ref="E268"/>
    <hyperlink r:id="rId240" ref="E269"/>
    <hyperlink r:id="rId241" ref="E270"/>
    <hyperlink r:id="rId242" ref="E271"/>
    <hyperlink r:id="rId243" ref="E272"/>
    <hyperlink r:id="rId244" ref="E273"/>
    <hyperlink r:id="rId245" ref="E274"/>
    <hyperlink r:id="rId246" ref="E275"/>
    <hyperlink r:id="rId247" ref="E276"/>
    <hyperlink r:id="rId248" ref="E277"/>
    <hyperlink r:id="rId249" ref="E278"/>
    <hyperlink r:id="rId250" ref="E279"/>
    <hyperlink r:id="rId251" ref="E280"/>
    <hyperlink r:id="rId252" ref="E281"/>
    <hyperlink r:id="rId253" ref="E282"/>
    <hyperlink r:id="rId254" ref="E283"/>
    <hyperlink r:id="rId255" ref="E284"/>
    <hyperlink r:id="rId256" ref="E285"/>
    <hyperlink r:id="rId257" ref="E286"/>
    <hyperlink r:id="rId258" ref="E289"/>
    <hyperlink r:id="rId259" ref="E290"/>
    <hyperlink r:id="rId260" ref="E291"/>
    <hyperlink r:id="rId261" ref="E292"/>
    <hyperlink r:id="rId262" ref="E293"/>
    <hyperlink r:id="rId263" ref="E294"/>
    <hyperlink r:id="rId264" ref="E295"/>
    <hyperlink r:id="rId265" ref="E296"/>
    <hyperlink r:id="rId266" ref="E297"/>
    <hyperlink r:id="rId267" ref="E298"/>
    <hyperlink r:id="rId268" ref="E299"/>
    <hyperlink r:id="rId269" ref="E300"/>
    <hyperlink r:id="rId270" ref="E301"/>
    <hyperlink r:id="rId271" ref="E302"/>
    <hyperlink r:id="rId272" ref="E303"/>
    <hyperlink r:id="rId273" ref="E304"/>
    <hyperlink r:id="rId274" ref="E305"/>
    <hyperlink r:id="rId275" ref="E306"/>
    <hyperlink r:id="rId276" ref="E307"/>
    <hyperlink r:id="rId277" ref="E308"/>
    <hyperlink r:id="rId278" ref="E311"/>
    <hyperlink r:id="rId279" ref="E312"/>
    <hyperlink r:id="rId280" ref="E313"/>
    <hyperlink r:id="rId281" ref="E314"/>
    <hyperlink r:id="rId282" ref="E315"/>
    <hyperlink r:id="rId283" ref="E316"/>
    <hyperlink r:id="rId284" ref="E317"/>
    <hyperlink r:id="rId285" ref="E318"/>
    <hyperlink r:id="rId286" ref="E319"/>
    <hyperlink r:id="rId287" ref="E320"/>
    <hyperlink r:id="rId288" ref="E321"/>
    <hyperlink r:id="rId289" ref="E322"/>
    <hyperlink r:id="rId290" ref="E323"/>
    <hyperlink r:id="rId291" ref="E324"/>
    <hyperlink r:id="rId292" ref="E325"/>
    <hyperlink r:id="rId293" ref="E326"/>
    <hyperlink r:id="rId294" ref="E327"/>
    <hyperlink r:id="rId295" ref="E328"/>
    <hyperlink r:id="rId296" ref="E329"/>
    <hyperlink r:id="rId297" ref="E330"/>
    <hyperlink r:id="rId298" ref="E333"/>
    <hyperlink r:id="rId299" ref="E334"/>
    <hyperlink r:id="rId300" ref="E335"/>
    <hyperlink r:id="rId301" ref="E336"/>
    <hyperlink r:id="rId302" ref="E337"/>
    <hyperlink r:id="rId303" ref="E338"/>
    <hyperlink r:id="rId304" ref="E339"/>
    <hyperlink r:id="rId305" ref="E340"/>
    <hyperlink r:id="rId306" ref="E341"/>
    <hyperlink r:id="rId307" ref="E342"/>
    <hyperlink r:id="rId308" ref="E343"/>
    <hyperlink r:id="rId309" ref="E344"/>
    <hyperlink r:id="rId310" ref="E345"/>
    <hyperlink r:id="rId311" ref="E346"/>
    <hyperlink r:id="rId312" ref="E347"/>
    <hyperlink r:id="rId313" ref="E348"/>
    <hyperlink r:id="rId314" ref="E349"/>
    <hyperlink r:id="rId315" ref="E350"/>
    <hyperlink r:id="rId316" ref="E351"/>
    <hyperlink r:id="rId317" ref="E352"/>
    <hyperlink r:id="rId318" ref="E355"/>
    <hyperlink r:id="rId319" ref="E356"/>
    <hyperlink r:id="rId320" ref="E357"/>
    <hyperlink r:id="rId321" ref="E358"/>
    <hyperlink r:id="rId322" ref="E359"/>
    <hyperlink r:id="rId323" ref="E360"/>
    <hyperlink r:id="rId324" ref="E361"/>
    <hyperlink r:id="rId325" ref="E362"/>
    <hyperlink r:id="rId326" ref="E363"/>
    <hyperlink r:id="rId327" ref="E364"/>
    <hyperlink r:id="rId328" ref="E365"/>
    <hyperlink r:id="rId329" ref="E366"/>
    <hyperlink r:id="rId330" ref="E367"/>
    <hyperlink r:id="rId331" ref="E368"/>
    <hyperlink r:id="rId332" ref="E369"/>
    <hyperlink r:id="rId333" ref="E370"/>
    <hyperlink r:id="rId334" ref="E371"/>
    <hyperlink r:id="rId335" ref="E372"/>
    <hyperlink r:id="rId336" ref="E373"/>
  </hyperlinks>
  <drawing r:id="rId337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8.43"/>
    <col customWidth="1" min="3" max="3" width="19.57"/>
    <col customWidth="1" min="4" max="4" width="48.29"/>
    <col customWidth="1" min="5" max="5" width="19.14"/>
  </cols>
  <sheetData>
    <row r="1">
      <c r="A1" s="65"/>
      <c r="B1" s="1" t="s">
        <v>2472</v>
      </c>
      <c r="C1" s="2"/>
      <c r="D1" s="3"/>
      <c r="E1" s="29"/>
    </row>
    <row r="2">
      <c r="A2" s="66"/>
      <c r="B2" s="6" t="s">
        <v>2</v>
      </c>
      <c r="C2" s="6" t="s">
        <v>3</v>
      </c>
      <c r="D2" s="6" t="s">
        <v>4</v>
      </c>
      <c r="E2" s="6" t="s">
        <v>5</v>
      </c>
    </row>
    <row r="3">
      <c r="A3" s="66"/>
      <c r="B3" s="34" t="s">
        <v>2473</v>
      </c>
      <c r="C3" s="33" t="s">
        <v>196</v>
      </c>
      <c r="D3" s="34" t="s">
        <v>2218</v>
      </c>
      <c r="E3" s="11" t="s">
        <v>9</v>
      </c>
    </row>
    <row r="4">
      <c r="A4" s="66"/>
      <c r="B4" s="32" t="s">
        <v>2474</v>
      </c>
      <c r="C4" s="33" t="s">
        <v>218</v>
      </c>
      <c r="D4" s="32" t="s">
        <v>1390</v>
      </c>
      <c r="E4" s="11" t="s">
        <v>13</v>
      </c>
    </row>
    <row r="5">
      <c r="A5" s="66"/>
      <c r="B5" s="8" t="s">
        <v>2052</v>
      </c>
      <c r="C5" s="33" t="s">
        <v>43</v>
      </c>
      <c r="D5" s="34" t="s">
        <v>2473</v>
      </c>
      <c r="E5" s="11" t="s">
        <v>9</v>
      </c>
    </row>
    <row r="6">
      <c r="A6" s="66"/>
      <c r="B6" s="32" t="s">
        <v>2474</v>
      </c>
      <c r="C6" s="33" t="s">
        <v>14</v>
      </c>
      <c r="D6" s="34" t="s">
        <v>2218</v>
      </c>
      <c r="E6" s="11" t="s">
        <v>13</v>
      </c>
    </row>
    <row r="7">
      <c r="A7" s="66"/>
      <c r="B7" s="8" t="s">
        <v>2052</v>
      </c>
      <c r="C7" s="33" t="s">
        <v>58</v>
      </c>
      <c r="D7" s="32" t="s">
        <v>1390</v>
      </c>
      <c r="E7" s="11" t="s">
        <v>9</v>
      </c>
    </row>
    <row r="8">
      <c r="A8" s="66"/>
      <c r="B8" s="32" t="s">
        <v>2474</v>
      </c>
      <c r="C8" s="33" t="s">
        <v>43</v>
      </c>
      <c r="D8" s="34" t="s">
        <v>2473</v>
      </c>
      <c r="E8" s="11" t="s">
        <v>13</v>
      </c>
    </row>
    <row r="9">
      <c r="A9" s="66"/>
      <c r="B9" s="8" t="s">
        <v>2052</v>
      </c>
      <c r="C9" s="33" t="s">
        <v>196</v>
      </c>
      <c r="D9" s="34" t="s">
        <v>2218</v>
      </c>
      <c r="E9" s="11" t="s">
        <v>9</v>
      </c>
    </row>
    <row r="10">
      <c r="A10" s="66"/>
      <c r="B10" s="32" t="s">
        <v>1390</v>
      </c>
      <c r="C10" s="33" t="s">
        <v>43</v>
      </c>
      <c r="D10" s="34" t="s">
        <v>2473</v>
      </c>
      <c r="E10" s="11" t="s">
        <v>13</v>
      </c>
    </row>
    <row r="11">
      <c r="A11" s="66"/>
      <c r="B11" s="8" t="s">
        <v>2052</v>
      </c>
      <c r="C11" s="33" t="s">
        <v>25</v>
      </c>
      <c r="D11" s="32" t="s">
        <v>2474</v>
      </c>
      <c r="E11" s="11" t="s">
        <v>9</v>
      </c>
    </row>
    <row r="12">
      <c r="A12" s="66"/>
      <c r="B12" s="32" t="s">
        <v>1390</v>
      </c>
      <c r="C12" s="33" t="s">
        <v>87</v>
      </c>
      <c r="D12" s="34" t="s">
        <v>2218</v>
      </c>
      <c r="E12" s="11" t="s">
        <v>13</v>
      </c>
    </row>
    <row r="13">
      <c r="A13" s="66"/>
      <c r="B13" s="34" t="s">
        <v>2218</v>
      </c>
      <c r="C13" s="33" t="s">
        <v>351</v>
      </c>
      <c r="D13" s="34" t="s">
        <v>2473</v>
      </c>
      <c r="E13" s="11" t="s">
        <v>9</v>
      </c>
    </row>
    <row r="14">
      <c r="A14" s="66"/>
      <c r="B14" s="32" t="s">
        <v>1390</v>
      </c>
      <c r="C14" s="33" t="s">
        <v>218</v>
      </c>
      <c r="D14" s="32" t="s">
        <v>2474</v>
      </c>
      <c r="E14" s="11" t="s">
        <v>13</v>
      </c>
    </row>
    <row r="15">
      <c r="A15" s="66"/>
      <c r="B15" s="34" t="s">
        <v>2473</v>
      </c>
      <c r="C15" s="35" t="s">
        <v>81</v>
      </c>
      <c r="D15" s="8" t="s">
        <v>2052</v>
      </c>
      <c r="E15" s="11" t="s">
        <v>9</v>
      </c>
    </row>
    <row r="16">
      <c r="A16" s="66"/>
      <c r="B16" s="34" t="s">
        <v>2218</v>
      </c>
      <c r="C16" s="35" t="s">
        <v>68</v>
      </c>
      <c r="D16" s="32" t="s">
        <v>2474</v>
      </c>
      <c r="E16" s="11" t="s">
        <v>13</v>
      </c>
    </row>
    <row r="17">
      <c r="A17" s="66"/>
      <c r="B17" s="32" t="s">
        <v>1390</v>
      </c>
      <c r="C17" s="35" t="s">
        <v>23</v>
      </c>
      <c r="D17" s="8" t="s">
        <v>2052</v>
      </c>
      <c r="E17" s="11" t="s">
        <v>9</v>
      </c>
    </row>
    <row r="18">
      <c r="A18" s="66"/>
      <c r="B18" s="34" t="s">
        <v>2473</v>
      </c>
      <c r="C18" s="35" t="s">
        <v>260</v>
      </c>
      <c r="D18" s="32" t="s">
        <v>2474</v>
      </c>
      <c r="E18" s="11" t="s">
        <v>13</v>
      </c>
    </row>
    <row r="19">
      <c r="A19" s="66"/>
      <c r="B19" s="34" t="s">
        <v>2218</v>
      </c>
      <c r="C19" s="35" t="s">
        <v>43</v>
      </c>
      <c r="D19" s="8" t="s">
        <v>2052</v>
      </c>
      <c r="E19" s="11" t="s">
        <v>9</v>
      </c>
    </row>
    <row r="20">
      <c r="A20" s="66"/>
      <c r="B20" s="34" t="s">
        <v>2473</v>
      </c>
      <c r="C20" s="35" t="s">
        <v>11</v>
      </c>
      <c r="D20" s="32" t="s">
        <v>1390</v>
      </c>
      <c r="E20" s="11" t="s">
        <v>13</v>
      </c>
    </row>
    <row r="21">
      <c r="A21" s="66"/>
      <c r="B21" s="32" t="s">
        <v>2474</v>
      </c>
      <c r="C21" s="35" t="s">
        <v>64</v>
      </c>
      <c r="D21" s="8" t="s">
        <v>2052</v>
      </c>
      <c r="E21" s="11" t="s">
        <v>9</v>
      </c>
    </row>
    <row r="22">
      <c r="A22" s="66"/>
      <c r="B22" s="34" t="s">
        <v>2218</v>
      </c>
      <c r="C22" s="35" t="s">
        <v>218</v>
      </c>
      <c r="D22" s="32" t="s">
        <v>1390</v>
      </c>
      <c r="E22" s="11" t="s">
        <v>13</v>
      </c>
    </row>
    <row r="23">
      <c r="A23" s="66"/>
      <c r="B23" s="1" t="s">
        <v>2475</v>
      </c>
      <c r="C23" s="2"/>
      <c r="D23" s="3"/>
      <c r="E23" s="29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2476</v>
      </c>
      <c r="C25" s="33" t="s">
        <v>312</v>
      </c>
      <c r="D25" s="34" t="s">
        <v>2477</v>
      </c>
      <c r="E25" s="11" t="s">
        <v>9</v>
      </c>
    </row>
    <row r="26">
      <c r="A26" s="66"/>
      <c r="B26" s="32" t="s">
        <v>2478</v>
      </c>
      <c r="C26" s="33" t="s">
        <v>87</v>
      </c>
      <c r="D26" s="32" t="s">
        <v>2479</v>
      </c>
      <c r="E26" s="11" t="s">
        <v>13</v>
      </c>
    </row>
    <row r="27">
      <c r="A27" s="66"/>
      <c r="B27" s="8" t="s">
        <v>2480</v>
      </c>
      <c r="C27" s="33" t="s">
        <v>545</v>
      </c>
      <c r="D27" s="34" t="s">
        <v>2476</v>
      </c>
      <c r="E27" s="11" t="s">
        <v>9</v>
      </c>
    </row>
    <row r="28">
      <c r="A28" s="66"/>
      <c r="B28" s="32" t="s">
        <v>2478</v>
      </c>
      <c r="C28" s="33" t="s">
        <v>328</v>
      </c>
      <c r="D28" s="34" t="s">
        <v>2477</v>
      </c>
      <c r="E28" s="11" t="s">
        <v>13</v>
      </c>
    </row>
    <row r="29">
      <c r="A29" s="66"/>
      <c r="B29" s="8" t="s">
        <v>2480</v>
      </c>
      <c r="C29" s="33" t="s">
        <v>25</v>
      </c>
      <c r="D29" s="32" t="s">
        <v>2479</v>
      </c>
      <c r="E29" s="11" t="s">
        <v>9</v>
      </c>
    </row>
    <row r="30">
      <c r="A30" s="66"/>
      <c r="B30" s="32" t="s">
        <v>2478</v>
      </c>
      <c r="C30" s="33" t="s">
        <v>442</v>
      </c>
      <c r="D30" s="34" t="s">
        <v>2476</v>
      </c>
      <c r="E30" s="11" t="s">
        <v>13</v>
      </c>
    </row>
    <row r="31">
      <c r="A31" s="66"/>
      <c r="B31" s="8" t="s">
        <v>2480</v>
      </c>
      <c r="C31" s="33" t="s">
        <v>81</v>
      </c>
      <c r="D31" s="34" t="s">
        <v>2477</v>
      </c>
      <c r="E31" s="11" t="s">
        <v>9</v>
      </c>
    </row>
    <row r="32">
      <c r="A32" s="66"/>
      <c r="B32" s="32" t="s">
        <v>2479</v>
      </c>
      <c r="C32" s="33" t="s">
        <v>273</v>
      </c>
      <c r="D32" s="34" t="s">
        <v>2476</v>
      </c>
      <c r="E32" s="11" t="s">
        <v>13</v>
      </c>
    </row>
    <row r="33">
      <c r="A33" s="66"/>
      <c r="B33" s="8" t="s">
        <v>2480</v>
      </c>
      <c r="C33" s="33" t="s">
        <v>83</v>
      </c>
      <c r="D33" s="32" t="s">
        <v>2478</v>
      </c>
      <c r="E33" s="11" t="s">
        <v>9</v>
      </c>
    </row>
    <row r="34">
      <c r="A34" s="66"/>
      <c r="B34" s="32" t="s">
        <v>2479</v>
      </c>
      <c r="C34" s="33" t="s">
        <v>285</v>
      </c>
      <c r="D34" s="34" t="s">
        <v>2477</v>
      </c>
      <c r="E34" s="11" t="s">
        <v>13</v>
      </c>
    </row>
    <row r="35">
      <c r="A35" s="66"/>
      <c r="B35" s="34" t="s">
        <v>2477</v>
      </c>
      <c r="C35" s="33" t="s">
        <v>2481</v>
      </c>
      <c r="D35" s="34" t="s">
        <v>2476</v>
      </c>
      <c r="E35" s="11" t="s">
        <v>9</v>
      </c>
    </row>
    <row r="36">
      <c r="A36" s="66"/>
      <c r="B36" s="32" t="s">
        <v>2479</v>
      </c>
      <c r="C36" s="33" t="s">
        <v>201</v>
      </c>
      <c r="D36" s="32" t="s">
        <v>2478</v>
      </c>
      <c r="E36" s="11" t="s">
        <v>13</v>
      </c>
    </row>
    <row r="37">
      <c r="A37" s="66"/>
      <c r="B37" s="34" t="s">
        <v>2476</v>
      </c>
      <c r="C37" s="35" t="s">
        <v>370</v>
      </c>
      <c r="D37" s="8" t="s">
        <v>2480</v>
      </c>
      <c r="E37" s="11" t="s">
        <v>9</v>
      </c>
    </row>
    <row r="38">
      <c r="A38" s="66"/>
      <c r="B38" s="34" t="s">
        <v>2477</v>
      </c>
      <c r="C38" s="35" t="s">
        <v>195</v>
      </c>
      <c r="D38" s="32" t="s">
        <v>2478</v>
      </c>
      <c r="E38" s="11" t="s">
        <v>13</v>
      </c>
    </row>
    <row r="39">
      <c r="A39" s="66"/>
      <c r="B39" s="32" t="s">
        <v>2479</v>
      </c>
      <c r="C39" s="35" t="s">
        <v>81</v>
      </c>
      <c r="D39" s="8" t="s">
        <v>2480</v>
      </c>
      <c r="E39" s="11" t="s">
        <v>9</v>
      </c>
    </row>
    <row r="40">
      <c r="A40" s="66"/>
      <c r="B40" s="34" t="s">
        <v>2476</v>
      </c>
      <c r="C40" s="35" t="s">
        <v>285</v>
      </c>
      <c r="D40" s="32" t="s">
        <v>2478</v>
      </c>
      <c r="E40" s="11" t="s">
        <v>13</v>
      </c>
    </row>
    <row r="41">
      <c r="A41" s="66"/>
      <c r="B41" s="34" t="s">
        <v>2477</v>
      </c>
      <c r="C41" s="35" t="s">
        <v>370</v>
      </c>
      <c r="D41" s="8" t="s">
        <v>2480</v>
      </c>
      <c r="E41" s="11" t="s">
        <v>9</v>
      </c>
    </row>
    <row r="42">
      <c r="A42" s="66"/>
      <c r="B42" s="34" t="s">
        <v>2476</v>
      </c>
      <c r="C42" s="35" t="s">
        <v>197</v>
      </c>
      <c r="D42" s="32" t="s">
        <v>2479</v>
      </c>
      <c r="E42" s="11" t="s">
        <v>13</v>
      </c>
    </row>
    <row r="43">
      <c r="A43" s="66"/>
      <c r="B43" s="32" t="s">
        <v>2478</v>
      </c>
      <c r="C43" s="35" t="s">
        <v>64</v>
      </c>
      <c r="D43" s="8" t="s">
        <v>2480</v>
      </c>
      <c r="E43" s="11" t="s">
        <v>9</v>
      </c>
    </row>
    <row r="44">
      <c r="A44" s="67"/>
      <c r="B44" s="34" t="s">
        <v>2477</v>
      </c>
      <c r="C44" s="35" t="s">
        <v>64</v>
      </c>
      <c r="D44" s="32" t="s">
        <v>2479</v>
      </c>
      <c r="E44" s="11" t="s">
        <v>13</v>
      </c>
    </row>
    <row r="45">
      <c r="B45" s="1" t="s">
        <v>1400</v>
      </c>
      <c r="C45" s="2"/>
      <c r="D45" s="3"/>
      <c r="E45" s="4"/>
    </row>
    <row r="46">
      <c r="B46" s="16" t="s">
        <v>2</v>
      </c>
      <c r="C46" s="77" t="s">
        <v>3</v>
      </c>
      <c r="D46" s="16" t="s">
        <v>4</v>
      </c>
      <c r="E46" s="16" t="s">
        <v>5</v>
      </c>
    </row>
    <row r="47">
      <c r="B47" s="32" t="s">
        <v>2043</v>
      </c>
      <c r="C47" s="78" t="s">
        <v>578</v>
      </c>
      <c r="D47" s="32" t="s">
        <v>728</v>
      </c>
      <c r="E47" s="11" t="s">
        <v>9</v>
      </c>
    </row>
    <row r="48">
      <c r="B48" s="32" t="s">
        <v>633</v>
      </c>
      <c r="C48" s="35" t="s">
        <v>45</v>
      </c>
      <c r="D48" s="32" t="s">
        <v>896</v>
      </c>
      <c r="E48" s="11" t="s">
        <v>13</v>
      </c>
    </row>
    <row r="49">
      <c r="B49" s="32" t="s">
        <v>2106</v>
      </c>
      <c r="C49" s="35" t="s">
        <v>770</v>
      </c>
      <c r="D49" s="32" t="s">
        <v>2043</v>
      </c>
      <c r="E49" s="11" t="s">
        <v>9</v>
      </c>
    </row>
    <row r="50">
      <c r="B50" s="32" t="s">
        <v>633</v>
      </c>
      <c r="C50" s="35" t="s">
        <v>43</v>
      </c>
      <c r="D50" s="32" t="s">
        <v>728</v>
      </c>
      <c r="E50" s="11" t="s">
        <v>13</v>
      </c>
    </row>
    <row r="51">
      <c r="B51" s="32" t="s">
        <v>2106</v>
      </c>
      <c r="C51" s="35" t="s">
        <v>2482</v>
      </c>
      <c r="D51" s="32" t="s">
        <v>896</v>
      </c>
      <c r="E51" s="11" t="s">
        <v>9</v>
      </c>
    </row>
    <row r="52">
      <c r="B52" s="32" t="s">
        <v>633</v>
      </c>
      <c r="C52" s="35" t="s">
        <v>43</v>
      </c>
      <c r="D52" s="32" t="s">
        <v>2043</v>
      </c>
      <c r="E52" s="11" t="s">
        <v>13</v>
      </c>
    </row>
    <row r="53">
      <c r="B53" s="32" t="s">
        <v>2106</v>
      </c>
      <c r="C53" s="35" t="s">
        <v>17</v>
      </c>
      <c r="D53" s="32" t="s">
        <v>728</v>
      </c>
      <c r="E53" s="11" t="s">
        <v>9</v>
      </c>
    </row>
    <row r="54">
      <c r="B54" s="32" t="s">
        <v>896</v>
      </c>
      <c r="C54" s="35" t="s">
        <v>17</v>
      </c>
      <c r="D54" s="32" t="s">
        <v>2043</v>
      </c>
      <c r="E54" s="11" t="s">
        <v>13</v>
      </c>
    </row>
    <row r="55">
      <c r="B55" s="32" t="s">
        <v>2106</v>
      </c>
      <c r="C55" s="35" t="s">
        <v>354</v>
      </c>
      <c r="D55" s="32" t="s">
        <v>633</v>
      </c>
      <c r="E55" s="11" t="s">
        <v>9</v>
      </c>
    </row>
    <row r="56">
      <c r="B56" s="32" t="s">
        <v>896</v>
      </c>
      <c r="C56" s="35" t="s">
        <v>66</v>
      </c>
      <c r="D56" s="32" t="s">
        <v>728</v>
      </c>
      <c r="E56" s="11" t="s">
        <v>13</v>
      </c>
    </row>
    <row r="57">
      <c r="B57" s="32" t="s">
        <v>728</v>
      </c>
      <c r="C57" s="35" t="s">
        <v>260</v>
      </c>
      <c r="D57" s="32" t="s">
        <v>2043</v>
      </c>
      <c r="E57" s="11" t="s">
        <v>9</v>
      </c>
    </row>
    <row r="58">
      <c r="B58" s="32" t="s">
        <v>896</v>
      </c>
      <c r="C58" s="35" t="s">
        <v>26</v>
      </c>
      <c r="D58" s="32" t="s">
        <v>633</v>
      </c>
      <c r="E58" s="11" t="s">
        <v>13</v>
      </c>
    </row>
    <row r="59">
      <c r="B59" s="32" t="s">
        <v>2043</v>
      </c>
      <c r="C59" s="35" t="s">
        <v>66</v>
      </c>
      <c r="D59" s="32" t="s">
        <v>2106</v>
      </c>
      <c r="E59" s="11" t="s">
        <v>9</v>
      </c>
    </row>
    <row r="60">
      <c r="B60" s="32" t="s">
        <v>728</v>
      </c>
      <c r="C60" s="35" t="s">
        <v>370</v>
      </c>
      <c r="D60" s="32" t="s">
        <v>633</v>
      </c>
      <c r="E60" s="11" t="s">
        <v>13</v>
      </c>
    </row>
    <row r="61">
      <c r="B61" s="32" t="s">
        <v>896</v>
      </c>
      <c r="C61" s="35" t="s">
        <v>64</v>
      </c>
      <c r="D61" s="32" t="s">
        <v>2106</v>
      </c>
      <c r="E61" s="11" t="s">
        <v>9</v>
      </c>
    </row>
    <row r="62">
      <c r="B62" s="32" t="s">
        <v>2043</v>
      </c>
      <c r="C62" s="35" t="s">
        <v>488</v>
      </c>
      <c r="D62" s="32" t="s">
        <v>633</v>
      </c>
      <c r="E62" s="11" t="s">
        <v>13</v>
      </c>
    </row>
    <row r="63">
      <c r="B63" s="32" t="s">
        <v>728</v>
      </c>
      <c r="C63" s="35" t="s">
        <v>289</v>
      </c>
      <c r="D63" s="32" t="s">
        <v>2106</v>
      </c>
      <c r="E63" s="11" t="s">
        <v>9</v>
      </c>
    </row>
    <row r="64">
      <c r="B64" s="32" t="s">
        <v>2043</v>
      </c>
      <c r="C64" s="35" t="s">
        <v>195</v>
      </c>
      <c r="D64" s="32" t="s">
        <v>896</v>
      </c>
      <c r="E64" s="11" t="s">
        <v>13</v>
      </c>
    </row>
    <row r="65">
      <c r="B65" s="32" t="s">
        <v>633</v>
      </c>
      <c r="C65" s="35" t="s">
        <v>267</v>
      </c>
      <c r="D65" s="32" t="s">
        <v>2106</v>
      </c>
      <c r="E65" s="11" t="s">
        <v>9</v>
      </c>
    </row>
    <row r="66">
      <c r="B66" s="32" t="s">
        <v>728</v>
      </c>
      <c r="C66" s="35" t="s">
        <v>11</v>
      </c>
      <c r="D66" s="32" t="s">
        <v>896</v>
      </c>
      <c r="E66" s="11" t="s">
        <v>13</v>
      </c>
    </row>
    <row r="67">
      <c r="B67" s="72" t="s">
        <v>2483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16" t="s">
        <v>5</v>
      </c>
    </row>
    <row r="69">
      <c r="B69" s="32" t="s">
        <v>2484</v>
      </c>
      <c r="C69" s="33" t="s">
        <v>218</v>
      </c>
      <c r="D69" s="32" t="s">
        <v>1118</v>
      </c>
      <c r="E69" s="11" t="s">
        <v>33</v>
      </c>
    </row>
    <row r="70">
      <c r="B70" s="32" t="s">
        <v>2485</v>
      </c>
      <c r="C70" s="33" t="s">
        <v>522</v>
      </c>
      <c r="D70" s="32" t="s">
        <v>436</v>
      </c>
      <c r="E70" s="11" t="s">
        <v>37</v>
      </c>
    </row>
    <row r="71">
      <c r="B71" s="32" t="s">
        <v>2486</v>
      </c>
      <c r="C71" s="33" t="s">
        <v>297</v>
      </c>
      <c r="D71" s="32" t="s">
        <v>2484</v>
      </c>
      <c r="E71" s="11" t="s">
        <v>33</v>
      </c>
    </row>
    <row r="72">
      <c r="B72" s="32" t="s">
        <v>2485</v>
      </c>
      <c r="C72" s="33" t="s">
        <v>43</v>
      </c>
      <c r="D72" s="32" t="s">
        <v>1118</v>
      </c>
      <c r="E72" s="11" t="s">
        <v>37</v>
      </c>
    </row>
    <row r="73">
      <c r="B73" s="32" t="s">
        <v>2486</v>
      </c>
      <c r="C73" s="33" t="s">
        <v>2121</v>
      </c>
      <c r="D73" s="32" t="s">
        <v>436</v>
      </c>
      <c r="E73" s="11" t="s">
        <v>33</v>
      </c>
    </row>
    <row r="74">
      <c r="B74" s="32" t="s">
        <v>2485</v>
      </c>
      <c r="C74" s="33" t="s">
        <v>218</v>
      </c>
      <c r="D74" s="32" t="s">
        <v>2484</v>
      </c>
      <c r="E74" s="11" t="s">
        <v>37</v>
      </c>
    </row>
    <row r="75">
      <c r="B75" s="32" t="s">
        <v>2486</v>
      </c>
      <c r="C75" s="33" t="s">
        <v>43</v>
      </c>
      <c r="D75" s="32" t="s">
        <v>1118</v>
      </c>
      <c r="E75" s="11" t="s">
        <v>33</v>
      </c>
    </row>
    <row r="76">
      <c r="B76" s="32" t="s">
        <v>436</v>
      </c>
      <c r="C76" s="33" t="s">
        <v>71</v>
      </c>
      <c r="D76" s="32" t="s">
        <v>2484</v>
      </c>
      <c r="E76" s="11" t="s">
        <v>37</v>
      </c>
    </row>
    <row r="77">
      <c r="B77" s="32" t="s">
        <v>2486</v>
      </c>
      <c r="C77" s="33" t="s">
        <v>87</v>
      </c>
      <c r="D77" s="32" t="s">
        <v>2485</v>
      </c>
      <c r="E77" s="11" t="s">
        <v>33</v>
      </c>
    </row>
    <row r="78">
      <c r="B78" s="32" t="s">
        <v>436</v>
      </c>
      <c r="C78" s="33" t="s">
        <v>43</v>
      </c>
      <c r="D78" s="32" t="s">
        <v>1118</v>
      </c>
      <c r="E78" s="11" t="s">
        <v>37</v>
      </c>
    </row>
    <row r="79">
      <c r="B79" s="32" t="s">
        <v>1118</v>
      </c>
      <c r="C79" s="33" t="s">
        <v>43</v>
      </c>
      <c r="D79" s="32" t="s">
        <v>2484</v>
      </c>
      <c r="E79" s="11" t="s">
        <v>33</v>
      </c>
    </row>
    <row r="80">
      <c r="B80" s="32" t="s">
        <v>436</v>
      </c>
      <c r="C80" s="33" t="s">
        <v>87</v>
      </c>
      <c r="D80" s="32" t="s">
        <v>2485</v>
      </c>
      <c r="E80" s="11" t="s">
        <v>37</v>
      </c>
    </row>
    <row r="81">
      <c r="B81" s="32" t="s">
        <v>2484</v>
      </c>
      <c r="C81" s="35" t="s">
        <v>312</v>
      </c>
      <c r="D81" s="32" t="s">
        <v>2486</v>
      </c>
      <c r="E81" s="11" t="s">
        <v>33</v>
      </c>
    </row>
    <row r="82">
      <c r="B82" s="32" t="s">
        <v>1118</v>
      </c>
      <c r="C82" s="35" t="s">
        <v>14</v>
      </c>
      <c r="D82" s="32" t="s">
        <v>2485</v>
      </c>
      <c r="E82" s="11" t="s">
        <v>37</v>
      </c>
    </row>
    <row r="83">
      <c r="B83" s="32" t="s">
        <v>436</v>
      </c>
      <c r="C83" s="35" t="s">
        <v>64</v>
      </c>
      <c r="D83" s="32" t="s">
        <v>2486</v>
      </c>
      <c r="E83" s="11" t="s">
        <v>33</v>
      </c>
    </row>
    <row r="84">
      <c r="B84" s="32" t="s">
        <v>2484</v>
      </c>
      <c r="C84" s="35" t="s">
        <v>217</v>
      </c>
      <c r="D84" s="32" t="s">
        <v>2485</v>
      </c>
      <c r="E84" s="11" t="s">
        <v>37</v>
      </c>
    </row>
    <row r="85">
      <c r="B85" s="32" t="s">
        <v>1118</v>
      </c>
      <c r="C85" s="35" t="s">
        <v>43</v>
      </c>
      <c r="D85" s="32" t="s">
        <v>2486</v>
      </c>
      <c r="E85" s="11" t="s">
        <v>33</v>
      </c>
    </row>
    <row r="86">
      <c r="B86" s="32" t="s">
        <v>2484</v>
      </c>
      <c r="C86" s="35" t="s">
        <v>218</v>
      </c>
      <c r="D86" s="32" t="s">
        <v>436</v>
      </c>
      <c r="E86" s="11" t="s">
        <v>37</v>
      </c>
    </row>
    <row r="87">
      <c r="B87" s="32" t="s">
        <v>2485</v>
      </c>
      <c r="C87" s="35" t="s">
        <v>45</v>
      </c>
      <c r="D87" s="32" t="s">
        <v>2486</v>
      </c>
      <c r="E87" s="11" t="s">
        <v>33</v>
      </c>
    </row>
    <row r="88">
      <c r="B88" s="32" t="s">
        <v>1118</v>
      </c>
      <c r="C88" s="35" t="s">
        <v>55</v>
      </c>
      <c r="D88" s="32" t="s">
        <v>436</v>
      </c>
      <c r="E88" s="11" t="s">
        <v>37</v>
      </c>
    </row>
    <row r="89">
      <c r="B89" s="1" t="s">
        <v>2487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16" t="s">
        <v>5</v>
      </c>
    </row>
    <row r="91">
      <c r="B91" s="32" t="s">
        <v>1663</v>
      </c>
      <c r="C91" s="33" t="s">
        <v>282</v>
      </c>
      <c r="D91" s="32" t="s">
        <v>737</v>
      </c>
      <c r="E91" s="11" t="s">
        <v>9</v>
      </c>
    </row>
    <row r="92">
      <c r="B92" s="32" t="s">
        <v>830</v>
      </c>
      <c r="C92" s="33" t="s">
        <v>2488</v>
      </c>
      <c r="D92" s="32" t="s">
        <v>2489</v>
      </c>
      <c r="E92" s="11" t="s">
        <v>13</v>
      </c>
    </row>
    <row r="93">
      <c r="B93" s="32" t="s">
        <v>2490</v>
      </c>
      <c r="C93" s="33" t="s">
        <v>684</v>
      </c>
      <c r="D93" s="32" t="s">
        <v>1663</v>
      </c>
      <c r="E93" s="11" t="s">
        <v>9</v>
      </c>
    </row>
    <row r="94">
      <c r="B94" s="32" t="s">
        <v>830</v>
      </c>
      <c r="C94" s="33" t="s">
        <v>17</v>
      </c>
      <c r="D94" s="32" t="s">
        <v>737</v>
      </c>
      <c r="E94" s="11" t="s">
        <v>13</v>
      </c>
    </row>
    <row r="95">
      <c r="B95" s="32" t="s">
        <v>2490</v>
      </c>
      <c r="C95" s="33" t="s">
        <v>261</v>
      </c>
      <c r="D95" s="32" t="s">
        <v>2489</v>
      </c>
      <c r="E95" s="11" t="s">
        <v>9</v>
      </c>
    </row>
    <row r="96">
      <c r="B96" s="32" t="s">
        <v>830</v>
      </c>
      <c r="C96" s="33" t="s">
        <v>193</v>
      </c>
      <c r="D96" s="32" t="s">
        <v>1663</v>
      </c>
      <c r="E96" s="11" t="s">
        <v>13</v>
      </c>
    </row>
    <row r="97">
      <c r="B97" s="32" t="s">
        <v>2490</v>
      </c>
      <c r="C97" s="33" t="s">
        <v>295</v>
      </c>
      <c r="D97" s="32" t="s">
        <v>737</v>
      </c>
      <c r="E97" s="11" t="s">
        <v>9</v>
      </c>
    </row>
    <row r="98">
      <c r="B98" s="32" t="s">
        <v>2489</v>
      </c>
      <c r="C98" s="33" t="s">
        <v>78</v>
      </c>
      <c r="D98" s="32" t="s">
        <v>1663</v>
      </c>
      <c r="E98" s="11" t="s">
        <v>13</v>
      </c>
    </row>
    <row r="99">
      <c r="B99" s="32" t="s">
        <v>2490</v>
      </c>
      <c r="C99" s="33" t="s">
        <v>195</v>
      </c>
      <c r="D99" s="32" t="s">
        <v>830</v>
      </c>
      <c r="E99" s="11" t="s">
        <v>9</v>
      </c>
    </row>
    <row r="100">
      <c r="B100" s="32" t="s">
        <v>2489</v>
      </c>
      <c r="C100" s="33" t="s">
        <v>190</v>
      </c>
      <c r="D100" s="32" t="s">
        <v>737</v>
      </c>
      <c r="E100" s="11" t="s">
        <v>13</v>
      </c>
    </row>
    <row r="101">
      <c r="B101" s="32" t="s">
        <v>737</v>
      </c>
      <c r="C101" s="33" t="s">
        <v>87</v>
      </c>
      <c r="D101" s="32" t="s">
        <v>1663</v>
      </c>
      <c r="E101" s="11" t="s">
        <v>9</v>
      </c>
    </row>
    <row r="102">
      <c r="B102" s="32" t="s">
        <v>2489</v>
      </c>
      <c r="C102" s="33" t="s">
        <v>1831</v>
      </c>
      <c r="D102" s="32" t="s">
        <v>830</v>
      </c>
      <c r="E102" s="11" t="s">
        <v>13</v>
      </c>
    </row>
    <row r="103">
      <c r="B103" s="32" t="s">
        <v>1663</v>
      </c>
      <c r="C103" s="35" t="s">
        <v>25</v>
      </c>
      <c r="D103" s="32" t="s">
        <v>2490</v>
      </c>
      <c r="E103" s="11" t="s">
        <v>9</v>
      </c>
    </row>
    <row r="104">
      <c r="B104" s="32" t="s">
        <v>737</v>
      </c>
      <c r="C104" s="35" t="s">
        <v>84</v>
      </c>
      <c r="D104" s="32" t="s">
        <v>830</v>
      </c>
      <c r="E104" s="11" t="s">
        <v>13</v>
      </c>
    </row>
    <row r="105">
      <c r="B105" s="32" t="s">
        <v>2489</v>
      </c>
      <c r="C105" s="35" t="s">
        <v>285</v>
      </c>
      <c r="D105" s="32" t="s">
        <v>2490</v>
      </c>
      <c r="E105" s="11" t="s">
        <v>9</v>
      </c>
    </row>
    <row r="106">
      <c r="B106" s="32" t="s">
        <v>1663</v>
      </c>
      <c r="C106" s="35" t="s">
        <v>289</v>
      </c>
      <c r="D106" s="32" t="s">
        <v>830</v>
      </c>
      <c r="E106" s="11" t="s">
        <v>13</v>
      </c>
    </row>
    <row r="107">
      <c r="B107" s="32" t="s">
        <v>737</v>
      </c>
      <c r="C107" s="35" t="s">
        <v>758</v>
      </c>
      <c r="D107" s="32" t="s">
        <v>2490</v>
      </c>
      <c r="E107" s="11" t="s">
        <v>9</v>
      </c>
    </row>
    <row r="108">
      <c r="B108" s="32" t="s">
        <v>1663</v>
      </c>
      <c r="C108" s="35" t="s">
        <v>328</v>
      </c>
      <c r="D108" s="32" t="s">
        <v>2489</v>
      </c>
      <c r="E108" s="11" t="s">
        <v>13</v>
      </c>
    </row>
    <row r="109">
      <c r="B109" s="32" t="s">
        <v>830</v>
      </c>
      <c r="C109" s="35" t="s">
        <v>1310</v>
      </c>
      <c r="D109" s="32" t="s">
        <v>2490</v>
      </c>
      <c r="E109" s="11" t="s">
        <v>9</v>
      </c>
    </row>
    <row r="110">
      <c r="B110" s="32" t="s">
        <v>737</v>
      </c>
      <c r="C110" s="35" t="s">
        <v>857</v>
      </c>
      <c r="D110" s="32" t="s">
        <v>2489</v>
      </c>
      <c r="E110" s="11" t="s">
        <v>13</v>
      </c>
    </row>
    <row r="111">
      <c r="B111" s="1" t="s">
        <v>2237</v>
      </c>
      <c r="C111" s="2"/>
      <c r="D111" s="3"/>
      <c r="E111" s="4"/>
    </row>
    <row r="112"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B113" s="32" t="s">
        <v>2491</v>
      </c>
      <c r="C113" s="35" t="s">
        <v>20</v>
      </c>
      <c r="D113" s="32" t="s">
        <v>2146</v>
      </c>
      <c r="E113" s="11" t="s">
        <v>33</v>
      </c>
    </row>
    <row r="114">
      <c r="B114" s="32" t="s">
        <v>2492</v>
      </c>
      <c r="C114" s="35" t="s">
        <v>28</v>
      </c>
      <c r="D114" s="32" t="s">
        <v>1369</v>
      </c>
      <c r="E114" s="11" t="s">
        <v>37</v>
      </c>
    </row>
    <row r="115">
      <c r="B115" s="32" t="s">
        <v>2493</v>
      </c>
      <c r="C115" s="35" t="s">
        <v>250</v>
      </c>
      <c r="D115" s="32" t="s">
        <v>2491</v>
      </c>
      <c r="E115" s="11" t="s">
        <v>33</v>
      </c>
    </row>
    <row r="116">
      <c r="B116" s="32" t="s">
        <v>2492</v>
      </c>
      <c r="C116" s="35" t="s">
        <v>64</v>
      </c>
      <c r="D116" s="32" t="s">
        <v>2146</v>
      </c>
      <c r="E116" s="11" t="s">
        <v>37</v>
      </c>
    </row>
    <row r="117">
      <c r="B117" s="32" t="s">
        <v>2493</v>
      </c>
      <c r="C117" s="35" t="s">
        <v>389</v>
      </c>
      <c r="D117" s="32" t="s">
        <v>1369</v>
      </c>
      <c r="E117" s="11" t="s">
        <v>33</v>
      </c>
    </row>
    <row r="118">
      <c r="B118" s="32" t="s">
        <v>2492</v>
      </c>
      <c r="C118" s="35" t="s">
        <v>83</v>
      </c>
      <c r="D118" s="32" t="s">
        <v>2491</v>
      </c>
      <c r="E118" s="11" t="s">
        <v>37</v>
      </c>
    </row>
    <row r="119">
      <c r="B119" s="32" t="s">
        <v>2493</v>
      </c>
      <c r="C119" s="35" t="s">
        <v>88</v>
      </c>
      <c r="D119" s="32" t="s">
        <v>2146</v>
      </c>
      <c r="E119" s="11" t="s">
        <v>33</v>
      </c>
    </row>
    <row r="120">
      <c r="B120" s="32" t="s">
        <v>1369</v>
      </c>
      <c r="C120" s="35" t="s">
        <v>357</v>
      </c>
      <c r="D120" s="32" t="s">
        <v>2491</v>
      </c>
      <c r="E120" s="11" t="s">
        <v>37</v>
      </c>
    </row>
    <row r="121">
      <c r="B121" s="32" t="s">
        <v>2493</v>
      </c>
      <c r="C121" s="35" t="s">
        <v>19</v>
      </c>
      <c r="D121" s="32" t="s">
        <v>2492</v>
      </c>
      <c r="E121" s="11" t="s">
        <v>33</v>
      </c>
    </row>
    <row r="122">
      <c r="B122" s="32" t="s">
        <v>1369</v>
      </c>
      <c r="C122" s="35" t="s">
        <v>282</v>
      </c>
      <c r="D122" s="32" t="s">
        <v>2146</v>
      </c>
      <c r="E122" s="11" t="s">
        <v>37</v>
      </c>
    </row>
    <row r="123">
      <c r="B123" s="32" t="s">
        <v>2146</v>
      </c>
      <c r="C123" s="35" t="s">
        <v>245</v>
      </c>
      <c r="D123" s="32" t="s">
        <v>2491</v>
      </c>
      <c r="E123" s="11" t="s">
        <v>33</v>
      </c>
    </row>
    <row r="124">
      <c r="B124" s="32" t="s">
        <v>1369</v>
      </c>
      <c r="C124" s="35" t="s">
        <v>190</v>
      </c>
      <c r="D124" s="32" t="s">
        <v>2492</v>
      </c>
      <c r="E124" s="11" t="s">
        <v>37</v>
      </c>
    </row>
    <row r="125">
      <c r="B125" s="32" t="s">
        <v>2491</v>
      </c>
      <c r="C125" s="35" t="s">
        <v>190</v>
      </c>
      <c r="D125" s="32" t="s">
        <v>2493</v>
      </c>
      <c r="E125" s="11" t="s">
        <v>33</v>
      </c>
    </row>
    <row r="126">
      <c r="B126" s="32" t="s">
        <v>2146</v>
      </c>
      <c r="C126" s="35" t="s">
        <v>201</v>
      </c>
      <c r="D126" s="32" t="s">
        <v>2492</v>
      </c>
      <c r="E126" s="11" t="s">
        <v>37</v>
      </c>
    </row>
    <row r="127">
      <c r="B127" s="32" t="s">
        <v>1369</v>
      </c>
      <c r="C127" s="35" t="s">
        <v>41</v>
      </c>
      <c r="D127" s="32" t="s">
        <v>2493</v>
      </c>
      <c r="E127" s="11" t="s">
        <v>33</v>
      </c>
    </row>
    <row r="128">
      <c r="B128" s="32" t="s">
        <v>2491</v>
      </c>
      <c r="C128" s="35" t="s">
        <v>16</v>
      </c>
      <c r="D128" s="32" t="s">
        <v>2492</v>
      </c>
      <c r="E128" s="11" t="s">
        <v>37</v>
      </c>
    </row>
    <row r="129">
      <c r="B129" s="32" t="s">
        <v>2146</v>
      </c>
      <c r="C129" s="35" t="s">
        <v>67</v>
      </c>
      <c r="D129" s="32" t="s">
        <v>2493</v>
      </c>
      <c r="E129" s="11" t="s">
        <v>33</v>
      </c>
    </row>
    <row r="130">
      <c r="B130" s="32" t="s">
        <v>2491</v>
      </c>
      <c r="C130" s="35" t="s">
        <v>17</v>
      </c>
      <c r="D130" s="32" t="s">
        <v>1369</v>
      </c>
      <c r="E130" s="11" t="s">
        <v>37</v>
      </c>
    </row>
    <row r="131">
      <c r="B131" s="32" t="s">
        <v>2492</v>
      </c>
      <c r="C131" s="35" t="s">
        <v>196</v>
      </c>
      <c r="D131" s="32" t="s">
        <v>2493</v>
      </c>
      <c r="E131" s="11" t="s">
        <v>33</v>
      </c>
    </row>
    <row r="132">
      <c r="B132" s="32" t="s">
        <v>2146</v>
      </c>
      <c r="C132" s="35" t="s">
        <v>297</v>
      </c>
      <c r="D132" s="32" t="s">
        <v>1369</v>
      </c>
      <c r="E132" s="11" t="s">
        <v>37</v>
      </c>
    </row>
    <row r="133">
      <c r="B133" s="1" t="s">
        <v>1419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32" t="s">
        <v>2205</v>
      </c>
      <c r="C135" s="33" t="s">
        <v>951</v>
      </c>
      <c r="D135" s="32" t="s">
        <v>1163</v>
      </c>
      <c r="E135" s="11" t="s">
        <v>9</v>
      </c>
    </row>
    <row r="136">
      <c r="B136" s="32" t="s">
        <v>2494</v>
      </c>
      <c r="C136" s="33" t="s">
        <v>1102</v>
      </c>
      <c r="D136" s="32" t="s">
        <v>1366</v>
      </c>
      <c r="E136" s="11" t="s">
        <v>13</v>
      </c>
    </row>
    <row r="137">
      <c r="B137" s="32" t="s">
        <v>2495</v>
      </c>
      <c r="C137" s="33" t="s">
        <v>251</v>
      </c>
      <c r="D137" s="32" t="s">
        <v>2205</v>
      </c>
      <c r="E137" s="11" t="s">
        <v>9</v>
      </c>
    </row>
    <row r="138">
      <c r="B138" s="32" t="s">
        <v>2494</v>
      </c>
      <c r="C138" s="33" t="s">
        <v>286</v>
      </c>
      <c r="D138" s="32" t="s">
        <v>1163</v>
      </c>
      <c r="E138" s="11" t="s">
        <v>13</v>
      </c>
    </row>
    <row r="139">
      <c r="B139" s="32" t="s">
        <v>2495</v>
      </c>
      <c r="C139" s="33" t="s">
        <v>22</v>
      </c>
      <c r="D139" s="32" t="s">
        <v>1366</v>
      </c>
      <c r="E139" s="11" t="s">
        <v>9</v>
      </c>
    </row>
    <row r="140">
      <c r="B140" s="32" t="s">
        <v>2494</v>
      </c>
      <c r="C140" s="33" t="s">
        <v>41</v>
      </c>
      <c r="D140" s="32" t="s">
        <v>2205</v>
      </c>
      <c r="E140" s="11" t="s">
        <v>13</v>
      </c>
    </row>
    <row r="141">
      <c r="B141" s="32" t="s">
        <v>2495</v>
      </c>
      <c r="C141" s="33" t="s">
        <v>11</v>
      </c>
      <c r="D141" s="32" t="s">
        <v>1163</v>
      </c>
      <c r="E141" s="11" t="s">
        <v>9</v>
      </c>
    </row>
    <row r="142">
      <c r="B142" s="32" t="s">
        <v>1366</v>
      </c>
      <c r="C142" s="33" t="s">
        <v>718</v>
      </c>
      <c r="D142" s="32" t="s">
        <v>2205</v>
      </c>
      <c r="E142" s="11" t="s">
        <v>13</v>
      </c>
    </row>
    <row r="143">
      <c r="B143" s="32" t="s">
        <v>2495</v>
      </c>
      <c r="C143" s="33" t="s">
        <v>357</v>
      </c>
      <c r="D143" s="32" t="s">
        <v>2494</v>
      </c>
      <c r="E143" s="11" t="s">
        <v>9</v>
      </c>
    </row>
    <row r="144">
      <c r="B144" s="32" t="s">
        <v>1366</v>
      </c>
      <c r="C144" s="33" t="s">
        <v>190</v>
      </c>
      <c r="D144" s="32" t="s">
        <v>1163</v>
      </c>
      <c r="E144" s="11" t="s">
        <v>13</v>
      </c>
    </row>
    <row r="145">
      <c r="B145" s="32" t="s">
        <v>1163</v>
      </c>
      <c r="C145" s="33" t="s">
        <v>316</v>
      </c>
      <c r="D145" s="32" t="s">
        <v>2205</v>
      </c>
      <c r="E145" s="11" t="s">
        <v>9</v>
      </c>
    </row>
    <row r="146">
      <c r="B146" s="32" t="s">
        <v>1366</v>
      </c>
      <c r="C146" s="33" t="s">
        <v>318</v>
      </c>
      <c r="D146" s="32" t="s">
        <v>2494</v>
      </c>
      <c r="E146" s="11" t="s">
        <v>13</v>
      </c>
    </row>
    <row r="147">
      <c r="B147" s="32" t="s">
        <v>2205</v>
      </c>
      <c r="C147" s="35" t="s">
        <v>1736</v>
      </c>
      <c r="D147" s="32" t="s">
        <v>2495</v>
      </c>
      <c r="E147" s="11" t="s">
        <v>9</v>
      </c>
    </row>
    <row r="148">
      <c r="B148" s="32" t="s">
        <v>1163</v>
      </c>
      <c r="C148" s="35" t="s">
        <v>11</v>
      </c>
      <c r="D148" s="32" t="s">
        <v>2494</v>
      </c>
      <c r="E148" s="11" t="s">
        <v>13</v>
      </c>
    </row>
    <row r="149">
      <c r="B149" s="32" t="s">
        <v>1366</v>
      </c>
      <c r="C149" s="35" t="s">
        <v>20</v>
      </c>
      <c r="D149" s="32" t="s">
        <v>2495</v>
      </c>
      <c r="E149" s="11" t="s">
        <v>9</v>
      </c>
    </row>
    <row r="150">
      <c r="B150" s="32" t="s">
        <v>2205</v>
      </c>
      <c r="C150" s="35" t="s">
        <v>769</v>
      </c>
      <c r="D150" s="32" t="s">
        <v>2494</v>
      </c>
      <c r="E150" s="11" t="s">
        <v>13</v>
      </c>
    </row>
    <row r="151">
      <c r="B151" s="32" t="s">
        <v>1163</v>
      </c>
      <c r="C151" s="35" t="s">
        <v>11</v>
      </c>
      <c r="D151" s="32" t="s">
        <v>2495</v>
      </c>
      <c r="E151" s="11" t="s">
        <v>9</v>
      </c>
    </row>
    <row r="152">
      <c r="B152" s="32" t="s">
        <v>2205</v>
      </c>
      <c r="C152" s="35" t="s">
        <v>428</v>
      </c>
      <c r="D152" s="32" t="s">
        <v>1366</v>
      </c>
      <c r="E152" s="11" t="s">
        <v>13</v>
      </c>
    </row>
    <row r="153">
      <c r="B153" s="32" t="s">
        <v>2494</v>
      </c>
      <c r="C153" s="35" t="s">
        <v>41</v>
      </c>
      <c r="D153" s="32" t="s">
        <v>2495</v>
      </c>
      <c r="E153" s="11" t="s">
        <v>9</v>
      </c>
    </row>
    <row r="154">
      <c r="B154" s="32" t="s">
        <v>1163</v>
      </c>
      <c r="C154" s="35" t="s">
        <v>87</v>
      </c>
      <c r="D154" s="32" t="s">
        <v>1366</v>
      </c>
      <c r="E154" s="11" t="s">
        <v>13</v>
      </c>
    </row>
    <row r="155">
      <c r="B155" s="72" t="s">
        <v>112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B157" s="32" t="s">
        <v>2496</v>
      </c>
      <c r="C157" s="35" t="s">
        <v>28</v>
      </c>
      <c r="D157" s="32" t="s">
        <v>214</v>
      </c>
      <c r="E157" s="11" t="s">
        <v>33</v>
      </c>
    </row>
    <row r="158">
      <c r="B158" s="32" t="s">
        <v>2497</v>
      </c>
      <c r="C158" s="35" t="s">
        <v>190</v>
      </c>
      <c r="D158" s="32" t="s">
        <v>2498</v>
      </c>
      <c r="E158" s="11" t="s">
        <v>37</v>
      </c>
    </row>
    <row r="159">
      <c r="B159" s="32" t="s">
        <v>2499</v>
      </c>
      <c r="C159" s="35" t="s">
        <v>1342</v>
      </c>
      <c r="D159" s="32" t="s">
        <v>2496</v>
      </c>
      <c r="E159" s="11" t="s">
        <v>33</v>
      </c>
    </row>
    <row r="160">
      <c r="B160" s="32" t="s">
        <v>2497</v>
      </c>
      <c r="C160" s="35" t="s">
        <v>11</v>
      </c>
      <c r="D160" s="32" t="s">
        <v>214</v>
      </c>
      <c r="E160" s="11" t="s">
        <v>37</v>
      </c>
    </row>
    <row r="161">
      <c r="B161" s="32" t="s">
        <v>2499</v>
      </c>
      <c r="C161" s="35" t="s">
        <v>55</v>
      </c>
      <c r="D161" s="32" t="s">
        <v>2498</v>
      </c>
      <c r="E161" s="11" t="s">
        <v>33</v>
      </c>
    </row>
    <row r="162">
      <c r="B162" s="32" t="s">
        <v>2497</v>
      </c>
      <c r="C162" s="35" t="s">
        <v>819</v>
      </c>
      <c r="D162" s="32" t="s">
        <v>2496</v>
      </c>
      <c r="E162" s="11" t="s">
        <v>37</v>
      </c>
    </row>
    <row r="163">
      <c r="B163" s="32" t="s">
        <v>2499</v>
      </c>
      <c r="C163" s="35" t="s">
        <v>87</v>
      </c>
      <c r="D163" s="32" t="s">
        <v>214</v>
      </c>
      <c r="E163" s="11" t="s">
        <v>33</v>
      </c>
    </row>
    <row r="164">
      <c r="B164" s="32" t="s">
        <v>2498</v>
      </c>
      <c r="C164" s="35" t="s">
        <v>193</v>
      </c>
      <c r="D164" s="32" t="s">
        <v>2496</v>
      </c>
      <c r="E164" s="11" t="s">
        <v>37</v>
      </c>
    </row>
    <row r="165">
      <c r="B165" s="32" t="s">
        <v>2499</v>
      </c>
      <c r="C165" s="35" t="s">
        <v>193</v>
      </c>
      <c r="D165" s="32" t="s">
        <v>2497</v>
      </c>
      <c r="E165" s="11" t="s">
        <v>33</v>
      </c>
    </row>
    <row r="166">
      <c r="B166" s="32" t="s">
        <v>2498</v>
      </c>
      <c r="C166" s="35" t="s">
        <v>2500</v>
      </c>
      <c r="D166" s="32" t="s">
        <v>214</v>
      </c>
      <c r="E166" s="11" t="s">
        <v>37</v>
      </c>
    </row>
    <row r="167">
      <c r="B167" s="32" t="s">
        <v>214</v>
      </c>
      <c r="C167" s="35" t="s">
        <v>270</v>
      </c>
      <c r="D167" s="32" t="s">
        <v>2496</v>
      </c>
      <c r="E167" s="11" t="s">
        <v>33</v>
      </c>
    </row>
    <row r="168">
      <c r="B168" s="32" t="s">
        <v>2498</v>
      </c>
      <c r="C168" s="35" t="s">
        <v>239</v>
      </c>
      <c r="D168" s="32" t="s">
        <v>2497</v>
      </c>
      <c r="E168" s="11" t="s">
        <v>37</v>
      </c>
    </row>
    <row r="169">
      <c r="B169" s="32" t="s">
        <v>2496</v>
      </c>
      <c r="C169" s="35" t="s">
        <v>239</v>
      </c>
      <c r="D169" s="32" t="s">
        <v>2499</v>
      </c>
      <c r="E169" s="11" t="s">
        <v>33</v>
      </c>
    </row>
    <row r="170">
      <c r="B170" s="32" t="s">
        <v>214</v>
      </c>
      <c r="C170" s="35" t="s">
        <v>80</v>
      </c>
      <c r="D170" s="32" t="s">
        <v>2497</v>
      </c>
      <c r="E170" s="11" t="s">
        <v>37</v>
      </c>
    </row>
    <row r="171">
      <c r="B171" s="32" t="s">
        <v>2498</v>
      </c>
      <c r="C171" s="35" t="s">
        <v>83</v>
      </c>
      <c r="D171" s="32" t="s">
        <v>2499</v>
      </c>
      <c r="E171" s="11" t="s">
        <v>33</v>
      </c>
    </row>
    <row r="172">
      <c r="B172" s="32" t="s">
        <v>2496</v>
      </c>
      <c r="C172" s="35" t="s">
        <v>11</v>
      </c>
      <c r="D172" s="32" t="s">
        <v>2497</v>
      </c>
      <c r="E172" s="11" t="s">
        <v>37</v>
      </c>
    </row>
    <row r="173">
      <c r="B173" s="32" t="s">
        <v>214</v>
      </c>
      <c r="C173" s="35" t="s">
        <v>26</v>
      </c>
      <c r="D173" s="32" t="s">
        <v>2499</v>
      </c>
      <c r="E173" s="11" t="s">
        <v>33</v>
      </c>
    </row>
    <row r="174">
      <c r="B174" s="32" t="s">
        <v>2496</v>
      </c>
      <c r="C174" s="35" t="s">
        <v>35</v>
      </c>
      <c r="D174" s="32" t="s">
        <v>2498</v>
      </c>
      <c r="E174" s="11" t="s">
        <v>37</v>
      </c>
    </row>
    <row r="175">
      <c r="B175" s="32" t="s">
        <v>2497</v>
      </c>
      <c r="C175" s="35" t="s">
        <v>58</v>
      </c>
      <c r="D175" s="32" t="s">
        <v>2499</v>
      </c>
      <c r="E175" s="11" t="s">
        <v>33</v>
      </c>
      <c r="G175" s="38"/>
    </row>
    <row r="176">
      <c r="B176" s="32" t="s">
        <v>214</v>
      </c>
      <c r="C176" s="35" t="s">
        <v>43</v>
      </c>
      <c r="D176" s="32" t="s">
        <v>2498</v>
      </c>
      <c r="E176" s="11" t="s">
        <v>37</v>
      </c>
    </row>
    <row r="177">
      <c r="B177" s="72" t="s">
        <v>2501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B179" s="32" t="s">
        <v>898</v>
      </c>
      <c r="C179" s="35" t="s">
        <v>238</v>
      </c>
      <c r="D179" s="32" t="s">
        <v>2502</v>
      </c>
      <c r="E179" s="11" t="s">
        <v>33</v>
      </c>
    </row>
    <row r="180">
      <c r="B180" s="32" t="s">
        <v>976</v>
      </c>
      <c r="C180" s="35" t="s">
        <v>217</v>
      </c>
      <c r="D180" s="32" t="s">
        <v>2198</v>
      </c>
      <c r="E180" s="11" t="s">
        <v>37</v>
      </c>
      <c r="K180" s="36" t="s">
        <v>663</v>
      </c>
    </row>
    <row r="181">
      <c r="B181" s="32" t="s">
        <v>2503</v>
      </c>
      <c r="C181" s="35" t="s">
        <v>66</v>
      </c>
      <c r="D181" s="32" t="s">
        <v>898</v>
      </c>
      <c r="E181" s="11" t="s">
        <v>33</v>
      </c>
    </row>
    <row r="182">
      <c r="B182" s="32" t="s">
        <v>976</v>
      </c>
      <c r="C182" s="35" t="s">
        <v>26</v>
      </c>
      <c r="D182" s="32" t="s">
        <v>2502</v>
      </c>
      <c r="E182" s="11" t="s">
        <v>37</v>
      </c>
    </row>
    <row r="183">
      <c r="B183" s="32" t="s">
        <v>2503</v>
      </c>
      <c r="C183" s="35" t="s">
        <v>196</v>
      </c>
      <c r="D183" s="32" t="s">
        <v>2198</v>
      </c>
      <c r="E183" s="11" t="s">
        <v>33</v>
      </c>
    </row>
    <row r="184">
      <c r="B184" s="32" t="s">
        <v>976</v>
      </c>
      <c r="C184" s="35" t="s">
        <v>872</v>
      </c>
      <c r="D184" s="32" t="s">
        <v>898</v>
      </c>
      <c r="E184" s="11" t="s">
        <v>37</v>
      </c>
    </row>
    <row r="185">
      <c r="B185" s="32" t="s">
        <v>2503</v>
      </c>
      <c r="C185" s="35" t="s">
        <v>251</v>
      </c>
      <c r="D185" s="32" t="s">
        <v>2502</v>
      </c>
      <c r="E185" s="11" t="s">
        <v>33</v>
      </c>
    </row>
    <row r="186">
      <c r="B186" s="32" t="s">
        <v>2198</v>
      </c>
      <c r="C186" s="35" t="s">
        <v>212</v>
      </c>
      <c r="D186" s="32" t="s">
        <v>898</v>
      </c>
      <c r="E186" s="11" t="s">
        <v>37</v>
      </c>
    </row>
    <row r="187">
      <c r="B187" s="32" t="s">
        <v>2503</v>
      </c>
      <c r="C187" s="35" t="s">
        <v>58</v>
      </c>
      <c r="D187" s="32" t="s">
        <v>976</v>
      </c>
      <c r="E187" s="11" t="s">
        <v>33</v>
      </c>
    </row>
    <row r="188">
      <c r="B188" s="32" t="s">
        <v>2198</v>
      </c>
      <c r="C188" s="35" t="s">
        <v>45</v>
      </c>
      <c r="D188" s="32" t="s">
        <v>2502</v>
      </c>
      <c r="E188" s="11" t="s">
        <v>37</v>
      </c>
    </row>
    <row r="189">
      <c r="B189" s="32" t="s">
        <v>2502</v>
      </c>
      <c r="C189" s="35" t="s">
        <v>465</v>
      </c>
      <c r="D189" s="32" t="s">
        <v>898</v>
      </c>
      <c r="E189" s="11" t="s">
        <v>33</v>
      </c>
    </row>
    <row r="190">
      <c r="B190" s="32" t="s">
        <v>2198</v>
      </c>
      <c r="C190" s="35" t="s">
        <v>48</v>
      </c>
      <c r="D190" s="32" t="s">
        <v>976</v>
      </c>
      <c r="E190" s="11" t="s">
        <v>37</v>
      </c>
    </row>
    <row r="191">
      <c r="B191" s="32" t="s">
        <v>898</v>
      </c>
      <c r="C191" s="35" t="s">
        <v>20</v>
      </c>
      <c r="D191" s="32" t="s">
        <v>2503</v>
      </c>
      <c r="E191" s="11" t="s">
        <v>33</v>
      </c>
    </row>
    <row r="192">
      <c r="B192" s="32" t="s">
        <v>2502</v>
      </c>
      <c r="C192" s="35" t="s">
        <v>55</v>
      </c>
      <c r="D192" s="32" t="s">
        <v>976</v>
      </c>
      <c r="E192" s="11" t="s">
        <v>37</v>
      </c>
    </row>
    <row r="193">
      <c r="B193" s="32" t="s">
        <v>2198</v>
      </c>
      <c r="C193" s="35" t="s">
        <v>201</v>
      </c>
      <c r="D193" s="32" t="s">
        <v>2503</v>
      </c>
      <c r="E193" s="11" t="s">
        <v>33</v>
      </c>
    </row>
    <row r="194">
      <c r="B194" s="32" t="s">
        <v>898</v>
      </c>
      <c r="C194" s="35" t="s">
        <v>239</v>
      </c>
      <c r="D194" s="32" t="s">
        <v>976</v>
      </c>
      <c r="E194" s="11" t="s">
        <v>37</v>
      </c>
    </row>
    <row r="195">
      <c r="B195" s="32" t="s">
        <v>2502</v>
      </c>
      <c r="C195" s="35" t="s">
        <v>195</v>
      </c>
      <c r="D195" s="32" t="s">
        <v>2503</v>
      </c>
      <c r="E195" s="11" t="s">
        <v>33</v>
      </c>
    </row>
    <row r="196">
      <c r="B196" s="32" t="s">
        <v>898</v>
      </c>
      <c r="C196" s="35" t="s">
        <v>286</v>
      </c>
      <c r="D196" s="32" t="s">
        <v>2198</v>
      </c>
      <c r="E196" s="11" t="s">
        <v>37</v>
      </c>
    </row>
    <row r="197">
      <c r="B197" s="32" t="s">
        <v>976</v>
      </c>
      <c r="C197" s="35" t="s">
        <v>190</v>
      </c>
      <c r="D197" s="32" t="s">
        <v>2503</v>
      </c>
      <c r="E197" s="11" t="s">
        <v>33</v>
      </c>
    </row>
    <row r="198">
      <c r="B198" s="32" t="s">
        <v>2502</v>
      </c>
      <c r="C198" s="35" t="s">
        <v>68</v>
      </c>
      <c r="D198" s="32" t="s">
        <v>2198</v>
      </c>
      <c r="E198" s="11" t="s">
        <v>37</v>
      </c>
    </row>
    <row r="199">
      <c r="B199" s="1" t="s">
        <v>1685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B201" s="32" t="s">
        <v>2504</v>
      </c>
      <c r="C201" s="33" t="s">
        <v>78</v>
      </c>
      <c r="D201" s="32" t="s">
        <v>2505</v>
      </c>
      <c r="E201" s="11" t="s">
        <v>9</v>
      </c>
    </row>
    <row r="202">
      <c r="B202" s="32" t="s">
        <v>838</v>
      </c>
      <c r="C202" s="33" t="s">
        <v>71</v>
      </c>
      <c r="D202" s="32" t="s">
        <v>831</v>
      </c>
      <c r="E202" s="11" t="s">
        <v>13</v>
      </c>
    </row>
    <row r="203">
      <c r="B203" s="32" t="s">
        <v>989</v>
      </c>
      <c r="C203" s="33" t="s">
        <v>67</v>
      </c>
      <c r="D203" s="32" t="s">
        <v>2504</v>
      </c>
      <c r="E203" s="11" t="s">
        <v>9</v>
      </c>
    </row>
    <row r="204">
      <c r="B204" s="32" t="s">
        <v>838</v>
      </c>
      <c r="C204" s="33" t="s">
        <v>446</v>
      </c>
      <c r="D204" s="32" t="s">
        <v>2505</v>
      </c>
      <c r="E204" s="11" t="s">
        <v>13</v>
      </c>
    </row>
    <row r="205">
      <c r="B205" s="32" t="s">
        <v>989</v>
      </c>
      <c r="C205" s="33" t="s">
        <v>260</v>
      </c>
      <c r="D205" s="32" t="s">
        <v>831</v>
      </c>
      <c r="E205" s="11" t="s">
        <v>9</v>
      </c>
    </row>
    <row r="206">
      <c r="B206" s="32" t="s">
        <v>838</v>
      </c>
      <c r="C206" s="33" t="s">
        <v>725</v>
      </c>
      <c r="D206" s="32" t="s">
        <v>2504</v>
      </c>
      <c r="E206" s="11" t="s">
        <v>13</v>
      </c>
    </row>
    <row r="207">
      <c r="B207" s="32" t="s">
        <v>989</v>
      </c>
      <c r="C207" s="33" t="s">
        <v>404</v>
      </c>
      <c r="D207" s="32" t="s">
        <v>2505</v>
      </c>
      <c r="E207" s="11" t="s">
        <v>9</v>
      </c>
    </row>
    <row r="208">
      <c r="B208" s="32" t="s">
        <v>831</v>
      </c>
      <c r="C208" s="33" t="s">
        <v>291</v>
      </c>
      <c r="D208" s="32" t="s">
        <v>2504</v>
      </c>
      <c r="E208" s="11" t="s">
        <v>13</v>
      </c>
    </row>
    <row r="209">
      <c r="B209" s="32" t="s">
        <v>989</v>
      </c>
      <c r="C209" s="33" t="s">
        <v>80</v>
      </c>
      <c r="D209" s="32" t="s">
        <v>838</v>
      </c>
      <c r="E209" s="11" t="s">
        <v>9</v>
      </c>
    </row>
    <row r="210">
      <c r="B210" s="32" t="s">
        <v>831</v>
      </c>
      <c r="C210" s="33" t="s">
        <v>11</v>
      </c>
      <c r="D210" s="32" t="s">
        <v>2505</v>
      </c>
      <c r="E210" s="11" t="s">
        <v>13</v>
      </c>
    </row>
    <row r="211">
      <c r="B211" s="32" t="s">
        <v>2505</v>
      </c>
      <c r="C211" s="33" t="s">
        <v>2506</v>
      </c>
      <c r="D211" s="32" t="s">
        <v>2504</v>
      </c>
      <c r="E211" s="11" t="s">
        <v>9</v>
      </c>
    </row>
    <row r="212">
      <c r="B212" s="32" t="s">
        <v>831</v>
      </c>
      <c r="C212" s="33" t="s">
        <v>48</v>
      </c>
      <c r="D212" s="32" t="s">
        <v>838</v>
      </c>
      <c r="E212" s="11" t="s">
        <v>13</v>
      </c>
    </row>
    <row r="213">
      <c r="B213" s="32" t="s">
        <v>2504</v>
      </c>
      <c r="C213" s="35" t="s">
        <v>25</v>
      </c>
      <c r="D213" s="32" t="s">
        <v>989</v>
      </c>
      <c r="E213" s="11" t="s">
        <v>9</v>
      </c>
    </row>
    <row r="214">
      <c r="B214" s="32" t="s">
        <v>2505</v>
      </c>
      <c r="C214" s="35" t="s">
        <v>69</v>
      </c>
      <c r="D214" s="32" t="s">
        <v>838</v>
      </c>
      <c r="E214" s="11" t="s">
        <v>13</v>
      </c>
    </row>
    <row r="215">
      <c r="B215" s="32" t="s">
        <v>831</v>
      </c>
      <c r="C215" s="35" t="s">
        <v>28</v>
      </c>
      <c r="D215" s="32" t="s">
        <v>989</v>
      </c>
      <c r="E215" s="11" t="s">
        <v>9</v>
      </c>
    </row>
    <row r="216">
      <c r="B216" s="32" t="s">
        <v>2504</v>
      </c>
      <c r="C216" s="35" t="s">
        <v>319</v>
      </c>
      <c r="D216" s="32" t="s">
        <v>838</v>
      </c>
      <c r="E216" s="11" t="s">
        <v>13</v>
      </c>
    </row>
    <row r="217">
      <c r="B217" s="32" t="s">
        <v>2505</v>
      </c>
      <c r="C217" s="35" t="s">
        <v>212</v>
      </c>
      <c r="D217" s="32" t="s">
        <v>989</v>
      </c>
      <c r="E217" s="11" t="s">
        <v>9</v>
      </c>
    </row>
    <row r="218">
      <c r="B218" s="32" t="s">
        <v>2504</v>
      </c>
      <c r="C218" s="35" t="s">
        <v>78</v>
      </c>
      <c r="D218" s="32" t="s">
        <v>831</v>
      </c>
      <c r="E218" s="11" t="s">
        <v>13</v>
      </c>
    </row>
    <row r="219">
      <c r="B219" s="32" t="s">
        <v>838</v>
      </c>
      <c r="C219" s="35" t="s">
        <v>21</v>
      </c>
      <c r="D219" s="32" t="s">
        <v>989</v>
      </c>
      <c r="E219" s="11" t="s">
        <v>9</v>
      </c>
    </row>
    <row r="220">
      <c r="B220" s="32" t="s">
        <v>2505</v>
      </c>
      <c r="C220" s="35" t="s">
        <v>22</v>
      </c>
      <c r="D220" s="32" t="s">
        <v>831</v>
      </c>
      <c r="E220" s="11" t="s">
        <v>13</v>
      </c>
    </row>
    <row r="221">
      <c r="B221" s="28" t="s">
        <v>2507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34" t="s">
        <v>2508</v>
      </c>
      <c r="C223" s="35" t="s">
        <v>197</v>
      </c>
      <c r="D223" s="34" t="s">
        <v>2509</v>
      </c>
      <c r="E223" s="11" t="s">
        <v>9</v>
      </c>
    </row>
    <row r="224">
      <c r="B224" s="34" t="s">
        <v>599</v>
      </c>
      <c r="C224" s="35" t="s">
        <v>320</v>
      </c>
      <c r="D224" s="34" t="s">
        <v>1879</v>
      </c>
      <c r="E224" s="11" t="s">
        <v>13</v>
      </c>
    </row>
    <row r="225">
      <c r="B225" s="34" t="s">
        <v>2510</v>
      </c>
      <c r="C225" s="35" t="s">
        <v>195</v>
      </c>
      <c r="D225" s="34" t="s">
        <v>2508</v>
      </c>
      <c r="E225" s="11" t="s">
        <v>9</v>
      </c>
    </row>
    <row r="226">
      <c r="B226" s="34" t="s">
        <v>599</v>
      </c>
      <c r="C226" s="35" t="s">
        <v>41</v>
      </c>
      <c r="D226" s="34" t="s">
        <v>2509</v>
      </c>
      <c r="E226" s="11" t="s">
        <v>13</v>
      </c>
    </row>
    <row r="227">
      <c r="B227" s="34" t="s">
        <v>2510</v>
      </c>
      <c r="C227" s="35" t="s">
        <v>197</v>
      </c>
      <c r="D227" s="34" t="s">
        <v>1879</v>
      </c>
      <c r="E227" s="11" t="s">
        <v>9</v>
      </c>
    </row>
    <row r="228">
      <c r="B228" s="34" t="s">
        <v>599</v>
      </c>
      <c r="C228" s="35" t="s">
        <v>270</v>
      </c>
      <c r="D228" s="34" t="s">
        <v>2508</v>
      </c>
      <c r="E228" s="11" t="s">
        <v>13</v>
      </c>
    </row>
    <row r="229">
      <c r="B229" s="34" t="s">
        <v>2510</v>
      </c>
      <c r="C229" s="35" t="s">
        <v>201</v>
      </c>
      <c r="D229" s="34" t="s">
        <v>2509</v>
      </c>
      <c r="E229" s="11" t="s">
        <v>9</v>
      </c>
    </row>
    <row r="230">
      <c r="B230" s="34" t="s">
        <v>1879</v>
      </c>
      <c r="C230" s="35" t="s">
        <v>201</v>
      </c>
      <c r="D230" s="34" t="s">
        <v>2508</v>
      </c>
      <c r="E230" s="11" t="s">
        <v>13</v>
      </c>
    </row>
    <row r="231">
      <c r="B231" s="34" t="s">
        <v>2510</v>
      </c>
      <c r="C231" s="35" t="s">
        <v>196</v>
      </c>
      <c r="D231" s="34" t="s">
        <v>599</v>
      </c>
      <c r="E231" s="11" t="s">
        <v>9</v>
      </c>
    </row>
    <row r="232">
      <c r="B232" s="34" t="s">
        <v>1879</v>
      </c>
      <c r="C232" s="35" t="s">
        <v>22</v>
      </c>
      <c r="D232" s="34" t="s">
        <v>2509</v>
      </c>
      <c r="E232" s="11" t="s">
        <v>13</v>
      </c>
    </row>
    <row r="233">
      <c r="B233" s="34" t="s">
        <v>2509</v>
      </c>
      <c r="C233" s="35" t="s">
        <v>220</v>
      </c>
      <c r="D233" s="34" t="s">
        <v>2508</v>
      </c>
      <c r="E233" s="11" t="s">
        <v>9</v>
      </c>
    </row>
    <row r="234">
      <c r="B234" s="34" t="s">
        <v>1879</v>
      </c>
      <c r="C234" s="35" t="s">
        <v>76</v>
      </c>
      <c r="D234" s="34" t="s">
        <v>599</v>
      </c>
      <c r="E234" s="11" t="s">
        <v>13</v>
      </c>
    </row>
    <row r="235">
      <c r="B235" s="34" t="s">
        <v>2508</v>
      </c>
      <c r="C235" s="35" t="s">
        <v>196</v>
      </c>
      <c r="D235" s="34" t="s">
        <v>2510</v>
      </c>
      <c r="E235" s="11" t="s">
        <v>9</v>
      </c>
    </row>
    <row r="236">
      <c r="B236" s="34" t="s">
        <v>2509</v>
      </c>
      <c r="C236" s="35" t="s">
        <v>260</v>
      </c>
      <c r="D236" s="34" t="s">
        <v>599</v>
      </c>
      <c r="E236" s="11" t="s">
        <v>13</v>
      </c>
    </row>
    <row r="237">
      <c r="B237" s="34" t="s">
        <v>1879</v>
      </c>
      <c r="C237" s="35" t="s">
        <v>21</v>
      </c>
      <c r="D237" s="34" t="s">
        <v>2510</v>
      </c>
      <c r="E237" s="11" t="s">
        <v>9</v>
      </c>
    </row>
    <row r="238">
      <c r="B238" s="34" t="s">
        <v>2508</v>
      </c>
      <c r="C238" s="35" t="s">
        <v>87</v>
      </c>
      <c r="D238" s="34" t="s">
        <v>599</v>
      </c>
      <c r="E238" s="11" t="s">
        <v>13</v>
      </c>
    </row>
    <row r="239">
      <c r="B239" s="34" t="s">
        <v>2509</v>
      </c>
      <c r="C239" s="35" t="s">
        <v>22</v>
      </c>
      <c r="D239" s="34" t="s">
        <v>2510</v>
      </c>
      <c r="E239" s="11" t="s">
        <v>9</v>
      </c>
    </row>
    <row r="240">
      <c r="B240" s="34" t="s">
        <v>2508</v>
      </c>
      <c r="C240" s="35" t="s">
        <v>80</v>
      </c>
      <c r="D240" s="34" t="s">
        <v>1879</v>
      </c>
      <c r="E240" s="11" t="s">
        <v>13</v>
      </c>
    </row>
    <row r="241">
      <c r="B241" s="34" t="s">
        <v>599</v>
      </c>
      <c r="C241" s="35" t="s">
        <v>196</v>
      </c>
      <c r="D241" s="34" t="s">
        <v>2510</v>
      </c>
      <c r="E241" s="11" t="s">
        <v>9</v>
      </c>
    </row>
    <row r="242">
      <c r="B242" s="34" t="s">
        <v>2509</v>
      </c>
      <c r="C242" s="35" t="s">
        <v>2326</v>
      </c>
      <c r="D242" s="34" t="s">
        <v>1879</v>
      </c>
      <c r="E242" s="11" t="s">
        <v>13</v>
      </c>
    </row>
    <row r="243">
      <c r="B243" s="72" t="s">
        <v>2511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34" t="s">
        <v>2512</v>
      </c>
      <c r="C245" s="35" t="s">
        <v>295</v>
      </c>
      <c r="D245" s="34" t="s">
        <v>2513</v>
      </c>
      <c r="E245" s="11" t="s">
        <v>33</v>
      </c>
    </row>
    <row r="246">
      <c r="B246" s="34" t="s">
        <v>2371</v>
      </c>
      <c r="C246" s="35" t="s">
        <v>55</v>
      </c>
      <c r="D246" s="34" t="s">
        <v>2514</v>
      </c>
      <c r="E246" s="11" t="s">
        <v>37</v>
      </c>
    </row>
    <row r="247">
      <c r="B247" s="34" t="s">
        <v>1907</v>
      </c>
      <c r="C247" s="35" t="s">
        <v>218</v>
      </c>
      <c r="D247" s="34" t="s">
        <v>2512</v>
      </c>
      <c r="E247" s="11" t="s">
        <v>33</v>
      </c>
    </row>
    <row r="248">
      <c r="B248" s="34" t="s">
        <v>2371</v>
      </c>
      <c r="C248" s="35" t="s">
        <v>193</v>
      </c>
      <c r="D248" s="34" t="s">
        <v>2513</v>
      </c>
      <c r="E248" s="11" t="s">
        <v>37</v>
      </c>
    </row>
    <row r="249">
      <c r="B249" s="34" t="s">
        <v>1907</v>
      </c>
      <c r="C249" s="35" t="s">
        <v>41</v>
      </c>
      <c r="D249" s="34" t="s">
        <v>2514</v>
      </c>
      <c r="E249" s="11" t="s">
        <v>33</v>
      </c>
    </row>
    <row r="250">
      <c r="B250" s="34" t="s">
        <v>2371</v>
      </c>
      <c r="C250" s="35" t="s">
        <v>534</v>
      </c>
      <c r="D250" s="34" t="s">
        <v>2512</v>
      </c>
      <c r="E250" s="11" t="s">
        <v>37</v>
      </c>
    </row>
    <row r="251">
      <c r="B251" s="34" t="s">
        <v>1907</v>
      </c>
      <c r="C251" s="35" t="s">
        <v>232</v>
      </c>
      <c r="D251" s="34" t="s">
        <v>2513</v>
      </c>
      <c r="E251" s="11" t="s">
        <v>33</v>
      </c>
    </row>
    <row r="252">
      <c r="B252" s="34" t="s">
        <v>2514</v>
      </c>
      <c r="C252" s="35" t="s">
        <v>63</v>
      </c>
      <c r="D252" s="34" t="s">
        <v>2512</v>
      </c>
      <c r="E252" s="11" t="s">
        <v>37</v>
      </c>
    </row>
    <row r="253">
      <c r="B253" s="34" t="s">
        <v>1907</v>
      </c>
      <c r="C253" s="35" t="s">
        <v>19</v>
      </c>
      <c r="D253" s="34" t="s">
        <v>2371</v>
      </c>
      <c r="E253" s="11" t="s">
        <v>33</v>
      </c>
    </row>
    <row r="254">
      <c r="B254" s="34" t="s">
        <v>2514</v>
      </c>
      <c r="C254" s="35" t="s">
        <v>261</v>
      </c>
      <c r="D254" s="34" t="s">
        <v>2513</v>
      </c>
      <c r="E254" s="11" t="s">
        <v>37</v>
      </c>
    </row>
    <row r="255">
      <c r="B255" s="34" t="s">
        <v>2513</v>
      </c>
      <c r="C255" s="35" t="s">
        <v>66</v>
      </c>
      <c r="D255" s="34" t="s">
        <v>2512</v>
      </c>
      <c r="E255" s="11" t="s">
        <v>33</v>
      </c>
    </row>
    <row r="256">
      <c r="B256" s="34" t="s">
        <v>2514</v>
      </c>
      <c r="C256" s="35" t="s">
        <v>411</v>
      </c>
      <c r="D256" s="34" t="s">
        <v>2371</v>
      </c>
      <c r="E256" s="11" t="s">
        <v>37</v>
      </c>
    </row>
    <row r="257">
      <c r="B257" s="34" t="s">
        <v>2512</v>
      </c>
      <c r="C257" s="35" t="s">
        <v>28</v>
      </c>
      <c r="D257" s="34" t="s">
        <v>1907</v>
      </c>
      <c r="E257" s="11" t="s">
        <v>33</v>
      </c>
    </row>
    <row r="258">
      <c r="B258" s="34" t="s">
        <v>2513</v>
      </c>
      <c r="C258" s="35" t="s">
        <v>2515</v>
      </c>
      <c r="D258" s="34" t="s">
        <v>2371</v>
      </c>
      <c r="E258" s="11" t="s">
        <v>37</v>
      </c>
    </row>
    <row r="259">
      <c r="B259" s="34" t="s">
        <v>2514</v>
      </c>
      <c r="C259" s="35" t="s">
        <v>16</v>
      </c>
      <c r="D259" s="34" t="s">
        <v>1907</v>
      </c>
      <c r="E259" s="11" t="s">
        <v>33</v>
      </c>
    </row>
    <row r="260">
      <c r="B260" s="34" t="s">
        <v>2512</v>
      </c>
      <c r="C260" s="35" t="s">
        <v>2516</v>
      </c>
      <c r="D260" s="34" t="s">
        <v>2371</v>
      </c>
      <c r="E260" s="11" t="s">
        <v>37</v>
      </c>
    </row>
    <row r="261">
      <c r="B261" s="34" t="s">
        <v>2513</v>
      </c>
      <c r="C261" s="35" t="s">
        <v>1377</v>
      </c>
      <c r="D261" s="34" t="s">
        <v>1907</v>
      </c>
      <c r="E261" s="11" t="s">
        <v>33</v>
      </c>
    </row>
    <row r="262">
      <c r="B262" s="34" t="s">
        <v>2512</v>
      </c>
      <c r="C262" s="35" t="s">
        <v>190</v>
      </c>
      <c r="D262" s="34" t="s">
        <v>2514</v>
      </c>
      <c r="E262" s="21" t="s">
        <v>37</v>
      </c>
    </row>
    <row r="263">
      <c r="B263" s="34" t="s">
        <v>2371</v>
      </c>
      <c r="C263" s="35" t="s">
        <v>249</v>
      </c>
      <c r="D263" s="34" t="s">
        <v>1907</v>
      </c>
      <c r="E263" s="11" t="s">
        <v>33</v>
      </c>
    </row>
    <row r="264">
      <c r="B264" s="34" t="s">
        <v>2513</v>
      </c>
      <c r="C264" s="35" t="s">
        <v>72</v>
      </c>
      <c r="D264" s="34" t="s">
        <v>2514</v>
      </c>
      <c r="E264" s="11" t="s">
        <v>37</v>
      </c>
    </row>
    <row r="265">
      <c r="B265" s="28" t="s">
        <v>2267</v>
      </c>
      <c r="C265" s="2"/>
      <c r="D265" s="3"/>
      <c r="E265" s="2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34" t="s">
        <v>1017</v>
      </c>
      <c r="C267" s="35" t="s">
        <v>284</v>
      </c>
      <c r="D267" s="34" t="s">
        <v>2517</v>
      </c>
      <c r="E267" s="11" t="s">
        <v>33</v>
      </c>
    </row>
    <row r="268">
      <c r="B268" s="34" t="s">
        <v>2067</v>
      </c>
      <c r="C268" s="35" t="s">
        <v>699</v>
      </c>
      <c r="D268" s="34" t="s">
        <v>1965</v>
      </c>
      <c r="E268" s="11" t="s">
        <v>37</v>
      </c>
    </row>
    <row r="269">
      <c r="B269" s="34" t="s">
        <v>1791</v>
      </c>
      <c r="C269" s="35" t="s">
        <v>11</v>
      </c>
      <c r="D269" s="34" t="s">
        <v>1017</v>
      </c>
      <c r="E269" s="11" t="s">
        <v>33</v>
      </c>
    </row>
    <row r="270">
      <c r="B270" s="34" t="s">
        <v>2067</v>
      </c>
      <c r="C270" s="35" t="s">
        <v>195</v>
      </c>
      <c r="D270" s="34" t="s">
        <v>2517</v>
      </c>
      <c r="E270" s="11" t="s">
        <v>37</v>
      </c>
    </row>
    <row r="271">
      <c r="B271" s="34" t="s">
        <v>1791</v>
      </c>
      <c r="C271" s="35" t="s">
        <v>58</v>
      </c>
      <c r="D271" s="34" t="s">
        <v>1965</v>
      </c>
      <c r="E271" s="11" t="s">
        <v>33</v>
      </c>
    </row>
    <row r="272">
      <c r="B272" s="34" t="s">
        <v>2067</v>
      </c>
      <c r="C272" s="35" t="s">
        <v>2518</v>
      </c>
      <c r="D272" s="34" t="s">
        <v>1017</v>
      </c>
      <c r="E272" s="11" t="s">
        <v>37</v>
      </c>
    </row>
    <row r="273">
      <c r="B273" s="34" t="s">
        <v>1791</v>
      </c>
      <c r="C273" s="35" t="s">
        <v>25</v>
      </c>
      <c r="D273" s="34" t="s">
        <v>2517</v>
      </c>
      <c r="E273" s="11" t="s">
        <v>33</v>
      </c>
    </row>
    <row r="274">
      <c r="B274" s="34" t="s">
        <v>1965</v>
      </c>
      <c r="C274" s="35" t="s">
        <v>494</v>
      </c>
      <c r="D274" s="34" t="s">
        <v>1017</v>
      </c>
      <c r="E274" s="11" t="s">
        <v>37</v>
      </c>
    </row>
    <row r="275">
      <c r="B275" s="34" t="s">
        <v>1791</v>
      </c>
      <c r="C275" s="35" t="s">
        <v>11</v>
      </c>
      <c r="D275" s="34" t="s">
        <v>2067</v>
      </c>
      <c r="E275" s="11" t="s">
        <v>33</v>
      </c>
    </row>
    <row r="276">
      <c r="B276" s="34" t="s">
        <v>1965</v>
      </c>
      <c r="C276" s="35" t="s">
        <v>239</v>
      </c>
      <c r="D276" s="34" t="s">
        <v>2517</v>
      </c>
      <c r="E276" s="11" t="s">
        <v>37</v>
      </c>
    </row>
    <row r="277">
      <c r="B277" s="34" t="s">
        <v>2517</v>
      </c>
      <c r="C277" s="35" t="s">
        <v>190</v>
      </c>
      <c r="D277" s="34" t="s">
        <v>1017</v>
      </c>
      <c r="E277" s="11" t="s">
        <v>33</v>
      </c>
    </row>
    <row r="278">
      <c r="B278" s="34" t="s">
        <v>1965</v>
      </c>
      <c r="C278" s="35" t="s">
        <v>21</v>
      </c>
      <c r="D278" s="34" t="s">
        <v>2067</v>
      </c>
      <c r="E278" s="11" t="s">
        <v>37</v>
      </c>
    </row>
    <row r="279">
      <c r="B279" s="34" t="s">
        <v>1017</v>
      </c>
      <c r="C279" s="35" t="s">
        <v>65</v>
      </c>
      <c r="D279" s="34" t="s">
        <v>1791</v>
      </c>
      <c r="E279" s="11" t="s">
        <v>33</v>
      </c>
    </row>
    <row r="280">
      <c r="B280" s="34" t="s">
        <v>2517</v>
      </c>
      <c r="C280" s="35" t="s">
        <v>11</v>
      </c>
      <c r="D280" s="34" t="s">
        <v>2067</v>
      </c>
      <c r="E280" s="11" t="s">
        <v>37</v>
      </c>
    </row>
    <row r="281">
      <c r="B281" s="34" t="s">
        <v>1965</v>
      </c>
      <c r="C281" s="35" t="s">
        <v>81</v>
      </c>
      <c r="D281" s="34" t="s">
        <v>1791</v>
      </c>
      <c r="E281" s="11" t="s">
        <v>33</v>
      </c>
    </row>
    <row r="282">
      <c r="B282" s="34" t="s">
        <v>1017</v>
      </c>
      <c r="C282" s="35" t="s">
        <v>239</v>
      </c>
      <c r="D282" s="34" t="s">
        <v>2067</v>
      </c>
      <c r="E282" s="11" t="s">
        <v>37</v>
      </c>
    </row>
    <row r="283">
      <c r="B283" s="34" t="s">
        <v>2517</v>
      </c>
      <c r="C283" s="35" t="s">
        <v>64</v>
      </c>
      <c r="D283" s="34" t="s">
        <v>1791</v>
      </c>
      <c r="E283" s="11" t="s">
        <v>33</v>
      </c>
    </row>
    <row r="284">
      <c r="B284" s="34" t="s">
        <v>1017</v>
      </c>
      <c r="C284" s="35" t="s">
        <v>2519</v>
      </c>
      <c r="D284" s="34" t="s">
        <v>1965</v>
      </c>
      <c r="E284" s="11" t="s">
        <v>37</v>
      </c>
    </row>
    <row r="285">
      <c r="B285" s="34" t="s">
        <v>2067</v>
      </c>
      <c r="C285" s="35" t="s">
        <v>190</v>
      </c>
      <c r="D285" s="34" t="s">
        <v>1791</v>
      </c>
      <c r="E285" s="11" t="s">
        <v>33</v>
      </c>
    </row>
    <row r="286">
      <c r="B286" s="34" t="s">
        <v>2517</v>
      </c>
      <c r="C286" s="35" t="s">
        <v>55</v>
      </c>
      <c r="D286" s="34" t="s">
        <v>1965</v>
      </c>
      <c r="E286" s="11" t="s">
        <v>37</v>
      </c>
    </row>
    <row r="287">
      <c r="B287" s="28" t="s">
        <v>2520</v>
      </c>
      <c r="C287" s="2"/>
      <c r="D287" s="3"/>
      <c r="E287" s="2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34" t="s">
        <v>1873</v>
      </c>
      <c r="C289" s="33" t="s">
        <v>260</v>
      </c>
      <c r="D289" s="34" t="s">
        <v>2145</v>
      </c>
      <c r="E289" s="11" t="s">
        <v>9</v>
      </c>
    </row>
    <row r="290">
      <c r="B290" s="34" t="s">
        <v>761</v>
      </c>
      <c r="C290" s="33" t="s">
        <v>43</v>
      </c>
      <c r="D290" s="34" t="s">
        <v>1692</v>
      </c>
      <c r="E290" s="11" t="s">
        <v>13</v>
      </c>
    </row>
    <row r="291">
      <c r="B291" s="34" t="s">
        <v>2521</v>
      </c>
      <c r="C291" s="33" t="s">
        <v>218</v>
      </c>
      <c r="D291" s="34" t="s">
        <v>1873</v>
      </c>
      <c r="E291" s="11" t="s">
        <v>9</v>
      </c>
    </row>
    <row r="292">
      <c r="B292" s="34" t="s">
        <v>761</v>
      </c>
      <c r="C292" s="33" t="s">
        <v>88</v>
      </c>
      <c r="D292" s="34" t="s">
        <v>2145</v>
      </c>
      <c r="E292" s="11" t="s">
        <v>13</v>
      </c>
    </row>
    <row r="293">
      <c r="B293" s="34" t="s">
        <v>2521</v>
      </c>
      <c r="C293" s="33" t="s">
        <v>14</v>
      </c>
      <c r="D293" s="34" t="s">
        <v>1692</v>
      </c>
      <c r="E293" s="11" t="s">
        <v>9</v>
      </c>
    </row>
    <row r="294">
      <c r="B294" s="34" t="s">
        <v>761</v>
      </c>
      <c r="C294" s="33" t="s">
        <v>872</v>
      </c>
      <c r="D294" s="34" t="s">
        <v>1873</v>
      </c>
      <c r="E294" s="11" t="s">
        <v>13</v>
      </c>
    </row>
    <row r="295">
      <c r="B295" s="34" t="s">
        <v>2521</v>
      </c>
      <c r="C295" s="33" t="s">
        <v>302</v>
      </c>
      <c r="D295" s="34" t="s">
        <v>2145</v>
      </c>
      <c r="E295" s="11" t="s">
        <v>9</v>
      </c>
    </row>
    <row r="296">
      <c r="B296" s="34" t="s">
        <v>1692</v>
      </c>
      <c r="C296" s="33" t="s">
        <v>196</v>
      </c>
      <c r="D296" s="34" t="s">
        <v>1873</v>
      </c>
      <c r="E296" s="11" t="s">
        <v>13</v>
      </c>
    </row>
    <row r="297">
      <c r="B297" s="34" t="s">
        <v>2521</v>
      </c>
      <c r="C297" s="33" t="s">
        <v>218</v>
      </c>
      <c r="D297" s="34" t="s">
        <v>761</v>
      </c>
      <c r="E297" s="11" t="s">
        <v>9</v>
      </c>
    </row>
    <row r="298">
      <c r="B298" s="34" t="s">
        <v>1692</v>
      </c>
      <c r="C298" s="33" t="s">
        <v>2522</v>
      </c>
      <c r="D298" s="34" t="s">
        <v>2145</v>
      </c>
      <c r="E298" s="11" t="s">
        <v>13</v>
      </c>
    </row>
    <row r="299">
      <c r="B299" s="34" t="s">
        <v>2145</v>
      </c>
      <c r="C299" s="33" t="s">
        <v>282</v>
      </c>
      <c r="D299" s="34" t="s">
        <v>1873</v>
      </c>
      <c r="E299" s="11" t="s">
        <v>9</v>
      </c>
    </row>
    <row r="300">
      <c r="B300" s="34" t="s">
        <v>1692</v>
      </c>
      <c r="C300" s="33" t="s">
        <v>65</v>
      </c>
      <c r="D300" s="34" t="s">
        <v>761</v>
      </c>
      <c r="E300" s="11" t="s">
        <v>13</v>
      </c>
    </row>
    <row r="301">
      <c r="B301" s="34" t="s">
        <v>1873</v>
      </c>
      <c r="C301" s="35" t="s">
        <v>276</v>
      </c>
      <c r="D301" s="34" t="s">
        <v>2521</v>
      </c>
      <c r="E301" s="11" t="s">
        <v>9</v>
      </c>
    </row>
    <row r="302">
      <c r="B302" s="34" t="s">
        <v>2145</v>
      </c>
      <c r="C302" s="35" t="s">
        <v>428</v>
      </c>
      <c r="D302" s="34" t="s">
        <v>761</v>
      </c>
      <c r="E302" s="11" t="s">
        <v>13</v>
      </c>
    </row>
    <row r="303">
      <c r="B303" s="34" t="s">
        <v>1692</v>
      </c>
      <c r="C303" s="35" t="s">
        <v>82</v>
      </c>
      <c r="D303" s="34" t="s">
        <v>2521</v>
      </c>
      <c r="E303" s="11" t="s">
        <v>9</v>
      </c>
    </row>
    <row r="304">
      <c r="B304" s="34" t="s">
        <v>1873</v>
      </c>
      <c r="C304" s="35" t="s">
        <v>239</v>
      </c>
      <c r="D304" s="34" t="s">
        <v>761</v>
      </c>
      <c r="E304" s="11" t="s">
        <v>13</v>
      </c>
    </row>
    <row r="305">
      <c r="B305" s="34" t="s">
        <v>2145</v>
      </c>
      <c r="C305" s="35" t="s">
        <v>319</v>
      </c>
      <c r="D305" s="34" t="s">
        <v>2521</v>
      </c>
      <c r="E305" s="11" t="s">
        <v>9</v>
      </c>
    </row>
    <row r="306">
      <c r="B306" s="34" t="s">
        <v>1873</v>
      </c>
      <c r="C306" s="35" t="s">
        <v>50</v>
      </c>
      <c r="D306" s="34" t="s">
        <v>1692</v>
      </c>
      <c r="E306" s="11" t="s">
        <v>13</v>
      </c>
    </row>
    <row r="307">
      <c r="B307" s="34" t="s">
        <v>761</v>
      </c>
      <c r="C307" s="35" t="s">
        <v>283</v>
      </c>
      <c r="D307" s="34" t="s">
        <v>2521</v>
      </c>
      <c r="E307" s="11" t="s">
        <v>9</v>
      </c>
    </row>
    <row r="308">
      <c r="B308" s="34" t="s">
        <v>2145</v>
      </c>
      <c r="C308" s="35" t="s">
        <v>17</v>
      </c>
      <c r="D308" s="34" t="s">
        <v>1692</v>
      </c>
      <c r="E308" s="11" t="s">
        <v>13</v>
      </c>
    </row>
    <row r="309">
      <c r="B309" s="72" t="s">
        <v>2523</v>
      </c>
      <c r="C309" s="2"/>
      <c r="D309" s="3"/>
      <c r="E309" s="2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8" t="s">
        <v>2524</v>
      </c>
      <c r="C311" s="35" t="s">
        <v>68</v>
      </c>
      <c r="D311" s="34" t="s">
        <v>2083</v>
      </c>
      <c r="E311" s="11" t="s">
        <v>33</v>
      </c>
    </row>
    <row r="312">
      <c r="B312" s="34" t="s">
        <v>1230</v>
      </c>
      <c r="C312" s="35" t="s">
        <v>62</v>
      </c>
      <c r="D312" s="34" t="s">
        <v>2525</v>
      </c>
      <c r="E312" s="11" t="s">
        <v>37</v>
      </c>
    </row>
    <row r="313">
      <c r="B313" s="8" t="s">
        <v>1988</v>
      </c>
      <c r="C313" s="79" t="s">
        <v>2526</v>
      </c>
      <c r="D313" s="8" t="s">
        <v>2524</v>
      </c>
      <c r="E313" s="21" t="s">
        <v>33</v>
      </c>
      <c r="J313" s="36" t="s">
        <v>663</v>
      </c>
    </row>
    <row r="314">
      <c r="B314" s="34" t="s">
        <v>1230</v>
      </c>
      <c r="C314" s="35" t="s">
        <v>19</v>
      </c>
      <c r="D314" s="34" t="s">
        <v>2083</v>
      </c>
      <c r="E314" s="11" t="s">
        <v>37</v>
      </c>
    </row>
    <row r="315">
      <c r="B315" s="8" t="s">
        <v>1988</v>
      </c>
      <c r="C315" s="79" t="s">
        <v>2526</v>
      </c>
      <c r="D315" s="34" t="s">
        <v>2525</v>
      </c>
      <c r="E315" s="21" t="s">
        <v>33</v>
      </c>
    </row>
    <row r="316">
      <c r="B316" s="34" t="s">
        <v>1230</v>
      </c>
      <c r="C316" s="35" t="s">
        <v>18</v>
      </c>
      <c r="D316" s="8" t="s">
        <v>2524</v>
      </c>
      <c r="E316" s="11" t="s">
        <v>37</v>
      </c>
    </row>
    <row r="317">
      <c r="B317" s="8" t="s">
        <v>1988</v>
      </c>
      <c r="C317" s="79" t="s">
        <v>2526</v>
      </c>
      <c r="D317" s="34" t="s">
        <v>2083</v>
      </c>
      <c r="E317" s="21" t="s">
        <v>33</v>
      </c>
    </row>
    <row r="318">
      <c r="B318" s="34" t="s">
        <v>2525</v>
      </c>
      <c r="C318" s="35" t="s">
        <v>260</v>
      </c>
      <c r="D318" s="8" t="s">
        <v>2524</v>
      </c>
      <c r="E318" s="11" t="s">
        <v>37</v>
      </c>
    </row>
    <row r="319">
      <c r="B319" s="8" t="s">
        <v>1988</v>
      </c>
      <c r="C319" s="35" t="s">
        <v>239</v>
      </c>
      <c r="D319" s="34" t="s">
        <v>1230</v>
      </c>
      <c r="E319" s="11" t="s">
        <v>33</v>
      </c>
    </row>
    <row r="320">
      <c r="B320" s="34" t="s">
        <v>2525</v>
      </c>
      <c r="C320" s="35" t="s">
        <v>82</v>
      </c>
      <c r="D320" s="34" t="s">
        <v>2083</v>
      </c>
      <c r="E320" s="11" t="s">
        <v>37</v>
      </c>
    </row>
    <row r="321">
      <c r="B321" s="34" t="s">
        <v>2083</v>
      </c>
      <c r="C321" s="35" t="s">
        <v>41</v>
      </c>
      <c r="D321" s="8" t="s">
        <v>2524</v>
      </c>
      <c r="E321" s="11" t="s">
        <v>33</v>
      </c>
    </row>
    <row r="322">
      <c r="B322" s="34" t="s">
        <v>2525</v>
      </c>
      <c r="C322" s="35" t="s">
        <v>319</v>
      </c>
      <c r="D322" s="34" t="s">
        <v>1230</v>
      </c>
      <c r="E322" s="11" t="s">
        <v>37</v>
      </c>
    </row>
    <row r="323">
      <c r="B323" s="8" t="s">
        <v>2524</v>
      </c>
      <c r="C323" s="35" t="s">
        <v>581</v>
      </c>
      <c r="D323" s="8" t="s">
        <v>1988</v>
      </c>
      <c r="E323" s="11" t="s">
        <v>33</v>
      </c>
    </row>
    <row r="324">
      <c r="B324" s="34" t="s">
        <v>2083</v>
      </c>
      <c r="C324" s="35" t="s">
        <v>16</v>
      </c>
      <c r="D324" s="34" t="s">
        <v>1230</v>
      </c>
      <c r="E324" s="11" t="s">
        <v>37</v>
      </c>
    </row>
    <row r="325">
      <c r="B325" s="34" t="s">
        <v>2525</v>
      </c>
      <c r="C325" s="35" t="s">
        <v>11</v>
      </c>
      <c r="D325" s="8" t="s">
        <v>1988</v>
      </c>
      <c r="E325" s="11" t="s">
        <v>33</v>
      </c>
    </row>
    <row r="326">
      <c r="B326" s="8" t="s">
        <v>2524</v>
      </c>
      <c r="C326" s="35" t="s">
        <v>780</v>
      </c>
      <c r="D326" s="34" t="s">
        <v>1230</v>
      </c>
      <c r="E326" s="11" t="s">
        <v>37</v>
      </c>
    </row>
    <row r="327">
      <c r="B327" s="34" t="s">
        <v>2083</v>
      </c>
      <c r="C327" s="35" t="s">
        <v>261</v>
      </c>
      <c r="D327" s="8" t="s">
        <v>1988</v>
      </c>
      <c r="E327" s="11" t="s">
        <v>33</v>
      </c>
    </row>
    <row r="328">
      <c r="B328" s="8" t="s">
        <v>2524</v>
      </c>
      <c r="C328" s="35" t="s">
        <v>68</v>
      </c>
      <c r="D328" s="34" t="s">
        <v>2525</v>
      </c>
      <c r="E328" s="11" t="s">
        <v>37</v>
      </c>
    </row>
    <row r="329">
      <c r="B329" s="34" t="s">
        <v>1230</v>
      </c>
      <c r="C329" s="35" t="s">
        <v>21</v>
      </c>
      <c r="D329" s="8" t="s">
        <v>1988</v>
      </c>
      <c r="E329" s="11" t="s">
        <v>33</v>
      </c>
    </row>
    <row r="330">
      <c r="B330" s="34" t="s">
        <v>2083</v>
      </c>
      <c r="C330" s="35" t="s">
        <v>426</v>
      </c>
      <c r="D330" s="34" t="s">
        <v>2525</v>
      </c>
      <c r="E330" s="11" t="s">
        <v>37</v>
      </c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  <c r="I333" s="36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4"/>
    <hyperlink r:id="rId283" ref="E316"/>
    <hyperlink r:id="rId284" ref="E318"/>
    <hyperlink r:id="rId285" ref="E319"/>
    <hyperlink r:id="rId286" ref="E320"/>
    <hyperlink r:id="rId287" ref="E321"/>
    <hyperlink r:id="rId288" ref="E322"/>
    <hyperlink r:id="rId289" ref="E323"/>
    <hyperlink r:id="rId290" ref="E324"/>
    <hyperlink r:id="rId291" ref="E325"/>
    <hyperlink r:id="rId292" ref="E326"/>
    <hyperlink r:id="rId293" ref="E327"/>
    <hyperlink r:id="rId294" ref="E328"/>
    <hyperlink r:id="rId295" ref="E329"/>
    <hyperlink r:id="rId296" ref="E330"/>
  </hyperlinks>
  <drawing r:id="rId297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/>
      <c r="B1" s="1" t="s">
        <v>2527</v>
      </c>
      <c r="C1" s="2"/>
      <c r="D1" s="3"/>
      <c r="E1" s="29"/>
    </row>
    <row r="2">
      <c r="A2" s="66"/>
      <c r="B2" s="6" t="s">
        <v>2</v>
      </c>
      <c r="C2" s="6" t="s">
        <v>3</v>
      </c>
      <c r="D2" s="6" t="s">
        <v>4</v>
      </c>
      <c r="E2" s="6" t="s">
        <v>5</v>
      </c>
    </row>
    <row r="3">
      <c r="A3" s="66"/>
      <c r="B3" s="34" t="s">
        <v>2528</v>
      </c>
      <c r="C3" s="33" t="s">
        <v>328</v>
      </c>
      <c r="D3" s="34" t="s">
        <v>2529</v>
      </c>
      <c r="E3" s="11" t="s">
        <v>9</v>
      </c>
    </row>
    <row r="4">
      <c r="A4" s="66"/>
      <c r="B4" s="32" t="s">
        <v>2530</v>
      </c>
      <c r="C4" s="33" t="s">
        <v>62</v>
      </c>
      <c r="D4" s="32" t="s">
        <v>2531</v>
      </c>
      <c r="E4" s="11" t="s">
        <v>13</v>
      </c>
    </row>
    <row r="5">
      <c r="A5" s="66"/>
      <c r="B5" s="34" t="s">
        <v>1945</v>
      </c>
      <c r="C5" s="33" t="s">
        <v>1552</v>
      </c>
      <c r="D5" s="34" t="s">
        <v>2528</v>
      </c>
      <c r="E5" s="11" t="s">
        <v>9</v>
      </c>
    </row>
    <row r="6">
      <c r="A6" s="66"/>
      <c r="B6" s="32" t="s">
        <v>2530</v>
      </c>
      <c r="C6" s="33" t="s">
        <v>68</v>
      </c>
      <c r="D6" s="34" t="s">
        <v>2529</v>
      </c>
      <c r="E6" s="11" t="s">
        <v>13</v>
      </c>
    </row>
    <row r="7">
      <c r="A7" s="66"/>
      <c r="B7" s="34" t="s">
        <v>1945</v>
      </c>
      <c r="C7" s="33" t="s">
        <v>274</v>
      </c>
      <c r="D7" s="32" t="s">
        <v>2531</v>
      </c>
      <c r="E7" s="11" t="s">
        <v>9</v>
      </c>
    </row>
    <row r="8">
      <c r="A8" s="66"/>
      <c r="B8" s="32" t="s">
        <v>2530</v>
      </c>
      <c r="C8" s="33" t="s">
        <v>260</v>
      </c>
      <c r="D8" s="34" t="s">
        <v>2528</v>
      </c>
      <c r="E8" s="11" t="s">
        <v>13</v>
      </c>
    </row>
    <row r="9">
      <c r="A9" s="66"/>
      <c r="B9" s="34" t="s">
        <v>1945</v>
      </c>
      <c r="C9" s="33" t="s">
        <v>81</v>
      </c>
      <c r="D9" s="34" t="s">
        <v>2529</v>
      </c>
      <c r="E9" s="11" t="s">
        <v>9</v>
      </c>
    </row>
    <row r="10">
      <c r="A10" s="66"/>
      <c r="B10" s="32" t="s">
        <v>2531</v>
      </c>
      <c r="C10" s="33" t="s">
        <v>217</v>
      </c>
      <c r="D10" s="34" t="s">
        <v>2528</v>
      </c>
      <c r="E10" s="11" t="s">
        <v>13</v>
      </c>
    </row>
    <row r="11">
      <c r="A11" s="66"/>
      <c r="B11" s="34" t="s">
        <v>1945</v>
      </c>
      <c r="C11" s="33" t="s">
        <v>195</v>
      </c>
      <c r="D11" s="32" t="s">
        <v>2530</v>
      </c>
      <c r="E11" s="11" t="s">
        <v>9</v>
      </c>
    </row>
    <row r="12">
      <c r="A12" s="66"/>
      <c r="B12" s="32" t="s">
        <v>2531</v>
      </c>
      <c r="C12" s="33" t="s">
        <v>43</v>
      </c>
      <c r="D12" s="34" t="s">
        <v>2529</v>
      </c>
      <c r="E12" s="11" t="s">
        <v>13</v>
      </c>
    </row>
    <row r="13">
      <c r="A13" s="66"/>
      <c r="B13" s="34" t="s">
        <v>2529</v>
      </c>
      <c r="C13" s="33" t="s">
        <v>482</v>
      </c>
      <c r="D13" s="34" t="s">
        <v>2528</v>
      </c>
      <c r="E13" s="11" t="s">
        <v>9</v>
      </c>
    </row>
    <row r="14">
      <c r="A14" s="66"/>
      <c r="B14" s="32" t="s">
        <v>2531</v>
      </c>
      <c r="C14" s="33" t="s">
        <v>590</v>
      </c>
      <c r="D14" s="32" t="s">
        <v>2530</v>
      </c>
      <c r="E14" s="11" t="s">
        <v>13</v>
      </c>
    </row>
    <row r="15">
      <c r="A15" s="66"/>
      <c r="B15" s="34" t="s">
        <v>2528</v>
      </c>
      <c r="C15" s="35" t="s">
        <v>25</v>
      </c>
      <c r="D15" s="34" t="s">
        <v>1945</v>
      </c>
      <c r="E15" s="11" t="s">
        <v>9</v>
      </c>
    </row>
    <row r="16">
      <c r="A16" s="66"/>
      <c r="B16" s="34" t="s">
        <v>2529</v>
      </c>
      <c r="C16" s="35" t="s">
        <v>25</v>
      </c>
      <c r="D16" s="32" t="s">
        <v>2530</v>
      </c>
      <c r="E16" s="11" t="s">
        <v>13</v>
      </c>
    </row>
    <row r="17">
      <c r="A17" s="66"/>
      <c r="B17" s="32" t="s">
        <v>2531</v>
      </c>
      <c r="C17" s="35" t="s">
        <v>293</v>
      </c>
      <c r="D17" s="34" t="s">
        <v>1945</v>
      </c>
      <c r="E17" s="11" t="s">
        <v>9</v>
      </c>
    </row>
    <row r="18">
      <c r="A18" s="66"/>
      <c r="B18" s="34" t="s">
        <v>2528</v>
      </c>
      <c r="C18" s="35" t="s">
        <v>26</v>
      </c>
      <c r="D18" s="32" t="s">
        <v>2530</v>
      </c>
      <c r="E18" s="11" t="s">
        <v>13</v>
      </c>
    </row>
    <row r="19">
      <c r="A19" s="66"/>
      <c r="B19" s="34" t="s">
        <v>2529</v>
      </c>
      <c r="C19" s="35" t="s">
        <v>69</v>
      </c>
      <c r="D19" s="34" t="s">
        <v>1945</v>
      </c>
      <c r="E19" s="11" t="s">
        <v>9</v>
      </c>
    </row>
    <row r="20">
      <c r="A20" s="66"/>
      <c r="B20" s="34" t="s">
        <v>2528</v>
      </c>
      <c r="C20" s="35" t="s">
        <v>815</v>
      </c>
      <c r="D20" s="32" t="s">
        <v>2531</v>
      </c>
      <c r="E20" s="11" t="s">
        <v>13</v>
      </c>
    </row>
    <row r="21">
      <c r="A21" s="66"/>
      <c r="B21" s="32" t="s">
        <v>2530</v>
      </c>
      <c r="C21" s="35" t="s">
        <v>43</v>
      </c>
      <c r="D21" s="34" t="s">
        <v>1945</v>
      </c>
      <c r="E21" s="11" t="s">
        <v>9</v>
      </c>
    </row>
    <row r="22">
      <c r="A22" s="66"/>
      <c r="B22" s="34" t="s">
        <v>2529</v>
      </c>
      <c r="C22" s="35" t="s">
        <v>802</v>
      </c>
      <c r="D22" s="32" t="s">
        <v>2531</v>
      </c>
      <c r="E22" s="11" t="s">
        <v>13</v>
      </c>
    </row>
    <row r="23">
      <c r="A23" s="66"/>
      <c r="B23" s="1" t="s">
        <v>2532</v>
      </c>
      <c r="C23" s="2"/>
      <c r="D23" s="3"/>
      <c r="E23" s="29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2533</v>
      </c>
      <c r="C25" s="33" t="s">
        <v>193</v>
      </c>
      <c r="D25" s="34" t="s">
        <v>2534</v>
      </c>
      <c r="E25" s="11" t="s">
        <v>9</v>
      </c>
    </row>
    <row r="26">
      <c r="A26" s="66"/>
      <c r="B26" s="32" t="s">
        <v>2535</v>
      </c>
      <c r="C26" s="33" t="s">
        <v>21</v>
      </c>
      <c r="D26" s="32" t="s">
        <v>1984</v>
      </c>
      <c r="E26" s="11" t="s">
        <v>13</v>
      </c>
    </row>
    <row r="27">
      <c r="A27" s="66"/>
      <c r="B27" s="34" t="s">
        <v>2536</v>
      </c>
      <c r="C27" s="33" t="s">
        <v>716</v>
      </c>
      <c r="D27" s="34" t="s">
        <v>2533</v>
      </c>
      <c r="E27" s="11" t="s">
        <v>9</v>
      </c>
    </row>
    <row r="28">
      <c r="A28" s="66"/>
      <c r="B28" s="32" t="s">
        <v>2535</v>
      </c>
      <c r="C28" s="33" t="s">
        <v>190</v>
      </c>
      <c r="D28" s="34" t="s">
        <v>2534</v>
      </c>
      <c r="E28" s="11" t="s">
        <v>13</v>
      </c>
    </row>
    <row r="29">
      <c r="A29" s="66"/>
      <c r="B29" s="34" t="s">
        <v>2536</v>
      </c>
      <c r="C29" s="33" t="s">
        <v>233</v>
      </c>
      <c r="D29" s="32" t="s">
        <v>1984</v>
      </c>
      <c r="E29" s="11" t="s">
        <v>9</v>
      </c>
    </row>
    <row r="30">
      <c r="A30" s="66"/>
      <c r="B30" s="32" t="s">
        <v>2535</v>
      </c>
      <c r="C30" s="33" t="s">
        <v>282</v>
      </c>
      <c r="D30" s="34" t="s">
        <v>2533</v>
      </c>
      <c r="E30" s="11" t="s">
        <v>13</v>
      </c>
    </row>
    <row r="31">
      <c r="A31" s="66"/>
      <c r="B31" s="34" t="s">
        <v>2536</v>
      </c>
      <c r="C31" s="33" t="s">
        <v>378</v>
      </c>
      <c r="D31" s="34" t="s">
        <v>2534</v>
      </c>
      <c r="E31" s="11" t="s">
        <v>9</v>
      </c>
    </row>
    <row r="32">
      <c r="A32" s="66"/>
      <c r="B32" s="32" t="s">
        <v>1984</v>
      </c>
      <c r="C32" s="33" t="s">
        <v>289</v>
      </c>
      <c r="D32" s="34" t="s">
        <v>2533</v>
      </c>
      <c r="E32" s="11" t="s">
        <v>13</v>
      </c>
    </row>
    <row r="33">
      <c r="A33" s="66"/>
      <c r="B33" s="34" t="s">
        <v>2536</v>
      </c>
      <c r="C33" s="33" t="s">
        <v>435</v>
      </c>
      <c r="D33" s="32" t="s">
        <v>2535</v>
      </c>
      <c r="E33" s="11" t="s">
        <v>9</v>
      </c>
    </row>
    <row r="34">
      <c r="A34" s="66"/>
      <c r="B34" s="32" t="s">
        <v>1984</v>
      </c>
      <c r="C34" s="33" t="s">
        <v>68</v>
      </c>
      <c r="D34" s="34" t="s">
        <v>2534</v>
      </c>
      <c r="E34" s="11" t="s">
        <v>13</v>
      </c>
    </row>
    <row r="35">
      <c r="A35" s="66"/>
      <c r="B35" s="34" t="s">
        <v>2534</v>
      </c>
      <c r="C35" s="33" t="s">
        <v>22</v>
      </c>
      <c r="D35" s="34" t="s">
        <v>2533</v>
      </c>
      <c r="E35" s="11" t="s">
        <v>9</v>
      </c>
    </row>
    <row r="36">
      <c r="A36" s="66"/>
      <c r="B36" s="32" t="s">
        <v>1984</v>
      </c>
      <c r="C36" s="33" t="s">
        <v>1832</v>
      </c>
      <c r="D36" s="32" t="s">
        <v>2535</v>
      </c>
      <c r="E36" s="11" t="s">
        <v>13</v>
      </c>
    </row>
    <row r="37">
      <c r="A37" s="66"/>
      <c r="B37" s="34" t="s">
        <v>2533</v>
      </c>
      <c r="C37" s="35" t="s">
        <v>11</v>
      </c>
      <c r="D37" s="34" t="s">
        <v>2536</v>
      </c>
      <c r="E37" s="11" t="s">
        <v>9</v>
      </c>
    </row>
    <row r="38">
      <c r="A38" s="66"/>
      <c r="B38" s="34" t="s">
        <v>2534</v>
      </c>
      <c r="C38" s="35" t="s">
        <v>25</v>
      </c>
      <c r="D38" s="32" t="s">
        <v>2535</v>
      </c>
      <c r="E38" s="11" t="s">
        <v>13</v>
      </c>
    </row>
    <row r="39">
      <c r="A39" s="66"/>
      <c r="B39" s="32" t="s">
        <v>1984</v>
      </c>
      <c r="C39" s="35" t="s">
        <v>835</v>
      </c>
      <c r="D39" s="34" t="s">
        <v>2536</v>
      </c>
      <c r="E39" s="11" t="s">
        <v>9</v>
      </c>
    </row>
    <row r="40">
      <c r="A40" s="66"/>
      <c r="B40" s="34" t="s">
        <v>2533</v>
      </c>
      <c r="C40" s="35" t="s">
        <v>48</v>
      </c>
      <c r="D40" s="32" t="s">
        <v>2535</v>
      </c>
      <c r="E40" s="11" t="s">
        <v>13</v>
      </c>
    </row>
    <row r="41">
      <c r="A41" s="66"/>
      <c r="B41" s="34" t="s">
        <v>2534</v>
      </c>
      <c r="C41" s="35" t="s">
        <v>201</v>
      </c>
      <c r="D41" s="34" t="s">
        <v>2536</v>
      </c>
      <c r="E41" s="11" t="s">
        <v>9</v>
      </c>
    </row>
    <row r="42">
      <c r="A42" s="66"/>
      <c r="B42" s="34" t="s">
        <v>2533</v>
      </c>
      <c r="C42" s="35" t="s">
        <v>41</v>
      </c>
      <c r="D42" s="32" t="s">
        <v>1984</v>
      </c>
      <c r="E42" s="11" t="s">
        <v>13</v>
      </c>
    </row>
    <row r="43">
      <c r="A43" s="66"/>
      <c r="B43" s="32" t="s">
        <v>2535</v>
      </c>
      <c r="C43" s="35" t="s">
        <v>83</v>
      </c>
      <c r="D43" s="34" t="s">
        <v>2536</v>
      </c>
      <c r="E43" s="11" t="s">
        <v>9</v>
      </c>
    </row>
    <row r="44">
      <c r="A44" s="67"/>
      <c r="B44" s="34" t="s">
        <v>2534</v>
      </c>
      <c r="C44" s="35" t="s">
        <v>488</v>
      </c>
      <c r="D44" s="32" t="s">
        <v>1984</v>
      </c>
      <c r="E44" s="11" t="s">
        <v>13</v>
      </c>
    </row>
    <row r="45">
      <c r="B45" s="1" t="s">
        <v>2537</v>
      </c>
      <c r="C45" s="2"/>
      <c r="D45" s="3"/>
      <c r="E45" s="14"/>
    </row>
    <row r="46">
      <c r="B46" s="16" t="s">
        <v>2</v>
      </c>
      <c r="C46" s="16" t="s">
        <v>3</v>
      </c>
      <c r="D46" s="16" t="s">
        <v>4</v>
      </c>
      <c r="E46" s="16" t="s">
        <v>5</v>
      </c>
    </row>
    <row r="47">
      <c r="B47" s="32" t="s">
        <v>2538</v>
      </c>
      <c r="C47" s="35" t="s">
        <v>17</v>
      </c>
      <c r="D47" s="32" t="s">
        <v>2539</v>
      </c>
      <c r="E47" s="11" t="s">
        <v>9</v>
      </c>
    </row>
    <row r="48">
      <c r="B48" s="32" t="s">
        <v>2540</v>
      </c>
      <c r="C48" s="35" t="s">
        <v>68</v>
      </c>
      <c r="D48" s="32" t="s">
        <v>2541</v>
      </c>
      <c r="E48" s="11" t="s">
        <v>13</v>
      </c>
    </row>
    <row r="49">
      <c r="B49" s="32" t="s">
        <v>2542</v>
      </c>
      <c r="C49" s="35" t="s">
        <v>68</v>
      </c>
      <c r="D49" s="32" t="s">
        <v>2538</v>
      </c>
      <c r="E49" s="11" t="s">
        <v>9</v>
      </c>
    </row>
    <row r="50">
      <c r="B50" s="32" t="s">
        <v>2540</v>
      </c>
      <c r="C50" s="35" t="s">
        <v>201</v>
      </c>
      <c r="D50" s="32" t="s">
        <v>2539</v>
      </c>
      <c r="E50" s="11" t="s">
        <v>13</v>
      </c>
    </row>
    <row r="51">
      <c r="B51" s="32" t="s">
        <v>2542</v>
      </c>
      <c r="C51" s="35" t="s">
        <v>270</v>
      </c>
      <c r="D51" s="32" t="s">
        <v>2541</v>
      </c>
      <c r="E51" s="11" t="s">
        <v>9</v>
      </c>
    </row>
    <row r="52">
      <c r="B52" s="32" t="s">
        <v>2540</v>
      </c>
      <c r="C52" s="35" t="s">
        <v>38</v>
      </c>
      <c r="D52" s="32" t="s">
        <v>2538</v>
      </c>
      <c r="E52" s="11" t="s">
        <v>13</v>
      </c>
    </row>
    <row r="53">
      <c r="B53" s="32" t="s">
        <v>2542</v>
      </c>
      <c r="C53" s="35" t="s">
        <v>411</v>
      </c>
      <c r="D53" s="32" t="s">
        <v>2539</v>
      </c>
      <c r="E53" s="11" t="s">
        <v>9</v>
      </c>
    </row>
    <row r="54">
      <c r="B54" s="32" t="s">
        <v>2541</v>
      </c>
      <c r="C54" s="35" t="s">
        <v>658</v>
      </c>
      <c r="D54" s="32" t="s">
        <v>2538</v>
      </c>
      <c r="E54" s="11" t="s">
        <v>13</v>
      </c>
    </row>
    <row r="55">
      <c r="B55" s="32" t="s">
        <v>2542</v>
      </c>
      <c r="C55" s="35" t="s">
        <v>26</v>
      </c>
      <c r="D55" s="32" t="s">
        <v>2540</v>
      </c>
      <c r="E55" s="11" t="s">
        <v>9</v>
      </c>
    </row>
    <row r="56">
      <c r="B56" s="32" t="s">
        <v>2541</v>
      </c>
      <c r="C56" s="35" t="s">
        <v>260</v>
      </c>
      <c r="D56" s="32" t="s">
        <v>2539</v>
      </c>
      <c r="E56" s="11" t="s">
        <v>13</v>
      </c>
    </row>
    <row r="57">
      <c r="B57" s="32" t="s">
        <v>2539</v>
      </c>
      <c r="C57" s="35" t="s">
        <v>81</v>
      </c>
      <c r="D57" s="32" t="s">
        <v>2538</v>
      </c>
      <c r="E57" s="11" t="s">
        <v>9</v>
      </c>
    </row>
    <row r="58">
      <c r="B58" s="32" t="s">
        <v>2541</v>
      </c>
      <c r="C58" s="35" t="s">
        <v>18</v>
      </c>
      <c r="D58" s="32" t="s">
        <v>2540</v>
      </c>
      <c r="E58" s="11" t="s">
        <v>13</v>
      </c>
    </row>
    <row r="59">
      <c r="B59" s="32" t="s">
        <v>2538</v>
      </c>
      <c r="C59" s="35" t="s">
        <v>351</v>
      </c>
      <c r="D59" s="32" t="s">
        <v>2542</v>
      </c>
      <c r="E59" s="11" t="s">
        <v>9</v>
      </c>
    </row>
    <row r="60">
      <c r="B60" s="32" t="s">
        <v>2539</v>
      </c>
      <c r="C60" s="35" t="s">
        <v>22</v>
      </c>
      <c r="D60" s="32" t="s">
        <v>2540</v>
      </c>
      <c r="E60" s="11" t="s">
        <v>13</v>
      </c>
    </row>
    <row r="61">
      <c r="B61" s="32" t="s">
        <v>2541</v>
      </c>
      <c r="C61" s="35" t="s">
        <v>203</v>
      </c>
      <c r="D61" s="32" t="s">
        <v>2542</v>
      </c>
      <c r="E61" s="11" t="s">
        <v>9</v>
      </c>
    </row>
    <row r="62">
      <c r="B62" s="32" t="s">
        <v>2538</v>
      </c>
      <c r="C62" s="35" t="s">
        <v>197</v>
      </c>
      <c r="D62" s="32" t="s">
        <v>2540</v>
      </c>
      <c r="E62" s="11" t="s">
        <v>13</v>
      </c>
    </row>
    <row r="63">
      <c r="B63" s="32" t="s">
        <v>2539</v>
      </c>
      <c r="C63" s="35" t="s">
        <v>18</v>
      </c>
      <c r="D63" s="32" t="s">
        <v>2542</v>
      </c>
      <c r="E63" s="11" t="s">
        <v>9</v>
      </c>
    </row>
    <row r="64">
      <c r="B64" s="32" t="s">
        <v>2538</v>
      </c>
      <c r="C64" s="35" t="s">
        <v>88</v>
      </c>
      <c r="D64" s="32" t="s">
        <v>2541</v>
      </c>
      <c r="E64" s="11" t="s">
        <v>13</v>
      </c>
    </row>
    <row r="65">
      <c r="B65" s="32" t="s">
        <v>2540</v>
      </c>
      <c r="C65" s="35" t="s">
        <v>282</v>
      </c>
      <c r="D65" s="32" t="s">
        <v>2542</v>
      </c>
      <c r="E65" s="11" t="s">
        <v>9</v>
      </c>
    </row>
    <row r="66">
      <c r="B66" s="32" t="s">
        <v>2539</v>
      </c>
      <c r="C66" s="35" t="s">
        <v>687</v>
      </c>
      <c r="D66" s="32" t="s">
        <v>2541</v>
      </c>
      <c r="E66" s="11" t="s">
        <v>13</v>
      </c>
    </row>
    <row r="67">
      <c r="B67" s="1" t="s">
        <v>2099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16" t="s">
        <v>5</v>
      </c>
    </row>
    <row r="69">
      <c r="B69" s="32" t="s">
        <v>2543</v>
      </c>
      <c r="C69" s="35" t="s">
        <v>378</v>
      </c>
      <c r="D69" s="32" t="s">
        <v>2544</v>
      </c>
      <c r="E69" s="11" t="s">
        <v>9</v>
      </c>
    </row>
    <row r="70">
      <c r="B70" s="32" t="s">
        <v>2545</v>
      </c>
      <c r="C70" s="35" t="s">
        <v>20</v>
      </c>
      <c r="D70" s="32" t="s">
        <v>2546</v>
      </c>
      <c r="E70" s="11" t="s">
        <v>13</v>
      </c>
    </row>
    <row r="71">
      <c r="B71" s="32" t="s">
        <v>2128</v>
      </c>
      <c r="C71" s="35" t="s">
        <v>17</v>
      </c>
      <c r="D71" s="32" t="s">
        <v>2543</v>
      </c>
      <c r="E71" s="11" t="s">
        <v>9</v>
      </c>
    </row>
    <row r="72">
      <c r="B72" s="32" t="s">
        <v>2545</v>
      </c>
      <c r="C72" s="35" t="s">
        <v>578</v>
      </c>
      <c r="D72" s="32" t="s">
        <v>2544</v>
      </c>
      <c r="E72" s="11" t="s">
        <v>13</v>
      </c>
    </row>
    <row r="73">
      <c r="B73" s="32" t="s">
        <v>2128</v>
      </c>
      <c r="C73" s="35" t="s">
        <v>31</v>
      </c>
      <c r="D73" s="32" t="s">
        <v>2546</v>
      </c>
      <c r="E73" s="11" t="s">
        <v>9</v>
      </c>
    </row>
    <row r="74">
      <c r="B74" s="32" t="s">
        <v>2545</v>
      </c>
      <c r="C74" s="35" t="s">
        <v>16</v>
      </c>
      <c r="D74" s="32" t="s">
        <v>2543</v>
      </c>
      <c r="E74" s="11" t="s">
        <v>13</v>
      </c>
    </row>
    <row r="75">
      <c r="B75" s="32" t="s">
        <v>2128</v>
      </c>
      <c r="C75" s="35" t="s">
        <v>16</v>
      </c>
      <c r="D75" s="32" t="s">
        <v>2544</v>
      </c>
      <c r="E75" s="11" t="s">
        <v>9</v>
      </c>
    </row>
    <row r="76">
      <c r="B76" s="32" t="s">
        <v>2546</v>
      </c>
      <c r="C76" s="35" t="s">
        <v>197</v>
      </c>
      <c r="D76" s="32" t="s">
        <v>2543</v>
      </c>
      <c r="E76" s="11" t="s">
        <v>13</v>
      </c>
    </row>
    <row r="77">
      <c r="B77" s="32" t="s">
        <v>2128</v>
      </c>
      <c r="C77" s="35" t="s">
        <v>7</v>
      </c>
      <c r="D77" s="32" t="s">
        <v>2545</v>
      </c>
      <c r="E77" s="11" t="s">
        <v>9</v>
      </c>
    </row>
    <row r="78">
      <c r="B78" s="32" t="s">
        <v>2546</v>
      </c>
      <c r="C78" s="35" t="s">
        <v>260</v>
      </c>
      <c r="D78" s="32" t="s">
        <v>2544</v>
      </c>
      <c r="E78" s="11" t="s">
        <v>13</v>
      </c>
    </row>
    <row r="79">
      <c r="B79" s="32" t="s">
        <v>2544</v>
      </c>
      <c r="C79" s="35" t="s">
        <v>62</v>
      </c>
      <c r="D79" s="32" t="s">
        <v>2543</v>
      </c>
      <c r="E79" s="11" t="s">
        <v>9</v>
      </c>
    </row>
    <row r="80">
      <c r="B80" s="32" t="s">
        <v>2546</v>
      </c>
      <c r="C80" s="35" t="s">
        <v>82</v>
      </c>
      <c r="D80" s="32" t="s">
        <v>2545</v>
      </c>
      <c r="E80" s="11" t="s">
        <v>13</v>
      </c>
    </row>
    <row r="81">
      <c r="B81" s="32" t="s">
        <v>2543</v>
      </c>
      <c r="C81" s="35" t="s">
        <v>18</v>
      </c>
      <c r="D81" s="32" t="s">
        <v>2128</v>
      </c>
      <c r="E81" s="11" t="s">
        <v>9</v>
      </c>
    </row>
    <row r="82">
      <c r="B82" s="32" t="s">
        <v>2544</v>
      </c>
      <c r="C82" s="35" t="s">
        <v>11</v>
      </c>
      <c r="D82" s="32" t="s">
        <v>2545</v>
      </c>
      <c r="E82" s="11" t="s">
        <v>13</v>
      </c>
    </row>
    <row r="83">
      <c r="B83" s="32" t="s">
        <v>2546</v>
      </c>
      <c r="C83" s="35" t="s">
        <v>82</v>
      </c>
      <c r="D83" s="32" t="s">
        <v>2128</v>
      </c>
      <c r="E83" s="11" t="s">
        <v>9</v>
      </c>
    </row>
    <row r="84">
      <c r="B84" s="32" t="s">
        <v>2543</v>
      </c>
      <c r="C84" s="35" t="s">
        <v>17</v>
      </c>
      <c r="D84" s="32" t="s">
        <v>2545</v>
      </c>
      <c r="E84" s="11" t="s">
        <v>13</v>
      </c>
    </row>
    <row r="85">
      <c r="B85" s="32" t="s">
        <v>2544</v>
      </c>
      <c r="C85" s="35" t="s">
        <v>509</v>
      </c>
      <c r="D85" s="32" t="s">
        <v>2128</v>
      </c>
      <c r="E85" s="11" t="s">
        <v>9</v>
      </c>
    </row>
    <row r="86">
      <c r="B86" s="32" t="s">
        <v>2543</v>
      </c>
      <c r="C86" s="35" t="s">
        <v>196</v>
      </c>
      <c r="D86" s="32" t="s">
        <v>2546</v>
      </c>
      <c r="E86" s="11" t="s">
        <v>13</v>
      </c>
    </row>
    <row r="87">
      <c r="B87" s="32" t="s">
        <v>2545</v>
      </c>
      <c r="C87" s="35" t="s">
        <v>187</v>
      </c>
      <c r="D87" s="32" t="s">
        <v>2128</v>
      </c>
      <c r="E87" s="11" t="s">
        <v>9</v>
      </c>
    </row>
    <row r="88">
      <c r="B88" s="32" t="s">
        <v>2544</v>
      </c>
      <c r="C88" s="35" t="s">
        <v>17</v>
      </c>
      <c r="D88" s="32" t="s">
        <v>2546</v>
      </c>
      <c r="E88" s="11" t="s">
        <v>13</v>
      </c>
    </row>
    <row r="89">
      <c r="B89" s="1" t="s">
        <v>2547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16" t="s">
        <v>5</v>
      </c>
    </row>
    <row r="91">
      <c r="B91" s="32" t="s">
        <v>2346</v>
      </c>
      <c r="C91" s="35" t="s">
        <v>82</v>
      </c>
      <c r="D91" s="32" t="s">
        <v>1572</v>
      </c>
      <c r="E91" s="11" t="s">
        <v>33</v>
      </c>
    </row>
    <row r="92">
      <c r="B92" s="32" t="s">
        <v>2548</v>
      </c>
      <c r="C92" s="33" t="s">
        <v>440</v>
      </c>
      <c r="D92" s="32" t="s">
        <v>2549</v>
      </c>
      <c r="E92" s="11" t="s">
        <v>37</v>
      </c>
    </row>
    <row r="93">
      <c r="B93" s="32" t="s">
        <v>2330</v>
      </c>
      <c r="C93" s="33" t="s">
        <v>337</v>
      </c>
      <c r="D93" s="32" t="s">
        <v>2346</v>
      </c>
      <c r="E93" s="11" t="s">
        <v>33</v>
      </c>
    </row>
    <row r="94">
      <c r="B94" s="32" t="s">
        <v>2548</v>
      </c>
      <c r="C94" s="33" t="s">
        <v>190</v>
      </c>
      <c r="D94" s="32" t="s">
        <v>1572</v>
      </c>
      <c r="E94" s="11" t="s">
        <v>37</v>
      </c>
    </row>
    <row r="95">
      <c r="B95" s="32" t="s">
        <v>2330</v>
      </c>
      <c r="C95" s="33" t="s">
        <v>27</v>
      </c>
      <c r="D95" s="32" t="s">
        <v>2549</v>
      </c>
      <c r="E95" s="11" t="s">
        <v>33</v>
      </c>
    </row>
    <row r="96">
      <c r="B96" s="32" t="s">
        <v>2548</v>
      </c>
      <c r="C96" s="33" t="s">
        <v>233</v>
      </c>
      <c r="D96" s="32" t="s">
        <v>2346</v>
      </c>
      <c r="E96" s="11" t="s">
        <v>37</v>
      </c>
    </row>
    <row r="97">
      <c r="B97" s="32" t="s">
        <v>2330</v>
      </c>
      <c r="C97" s="33" t="s">
        <v>43</v>
      </c>
      <c r="D97" s="32" t="s">
        <v>1572</v>
      </c>
      <c r="E97" s="11" t="s">
        <v>33</v>
      </c>
    </row>
    <row r="98">
      <c r="B98" s="32" t="s">
        <v>2549</v>
      </c>
      <c r="C98" s="33" t="s">
        <v>329</v>
      </c>
      <c r="D98" s="32" t="s">
        <v>2346</v>
      </c>
      <c r="E98" s="11" t="s">
        <v>37</v>
      </c>
    </row>
    <row r="99">
      <c r="B99" s="32" t="s">
        <v>2330</v>
      </c>
      <c r="C99" s="33" t="s">
        <v>19</v>
      </c>
      <c r="D99" s="32" t="s">
        <v>2548</v>
      </c>
      <c r="E99" s="11" t="s">
        <v>33</v>
      </c>
    </row>
    <row r="100">
      <c r="B100" s="32" t="s">
        <v>2549</v>
      </c>
      <c r="C100" s="33" t="s">
        <v>614</v>
      </c>
      <c r="D100" s="32" t="s">
        <v>1572</v>
      </c>
      <c r="E100" s="11" t="s">
        <v>37</v>
      </c>
    </row>
    <row r="101">
      <c r="B101" s="32" t="s">
        <v>1572</v>
      </c>
      <c r="C101" s="33" t="s">
        <v>2550</v>
      </c>
      <c r="D101" s="32" t="s">
        <v>2346</v>
      </c>
      <c r="E101" s="11" t="s">
        <v>33</v>
      </c>
    </row>
    <row r="102">
      <c r="B102" s="32" t="s">
        <v>2549</v>
      </c>
      <c r="C102" s="33" t="s">
        <v>1622</v>
      </c>
      <c r="D102" s="32" t="s">
        <v>2548</v>
      </c>
      <c r="E102" s="11" t="s">
        <v>37</v>
      </c>
    </row>
    <row r="103">
      <c r="B103" s="32" t="s">
        <v>2346</v>
      </c>
      <c r="C103" s="35" t="s">
        <v>14</v>
      </c>
      <c r="D103" s="32" t="s">
        <v>2330</v>
      </c>
      <c r="E103" s="11" t="s">
        <v>33</v>
      </c>
    </row>
    <row r="104">
      <c r="B104" s="32" t="s">
        <v>1572</v>
      </c>
      <c r="C104" s="35" t="s">
        <v>190</v>
      </c>
      <c r="D104" s="32" t="s">
        <v>2548</v>
      </c>
      <c r="E104" s="11" t="s">
        <v>37</v>
      </c>
    </row>
    <row r="105">
      <c r="B105" s="32" t="s">
        <v>2549</v>
      </c>
      <c r="C105" s="35" t="s">
        <v>81</v>
      </c>
      <c r="D105" s="32" t="s">
        <v>2330</v>
      </c>
      <c r="E105" s="11" t="s">
        <v>33</v>
      </c>
    </row>
    <row r="106">
      <c r="B106" s="32" t="s">
        <v>2346</v>
      </c>
      <c r="C106" s="35" t="s">
        <v>190</v>
      </c>
      <c r="D106" s="32" t="s">
        <v>2548</v>
      </c>
      <c r="E106" s="11" t="s">
        <v>37</v>
      </c>
    </row>
    <row r="107">
      <c r="B107" s="32" t="s">
        <v>1572</v>
      </c>
      <c r="C107" s="35" t="s">
        <v>88</v>
      </c>
      <c r="D107" s="32" t="s">
        <v>2330</v>
      </c>
      <c r="E107" s="11" t="s">
        <v>33</v>
      </c>
    </row>
    <row r="108">
      <c r="B108" s="32" t="s">
        <v>2346</v>
      </c>
      <c r="C108" s="35" t="s">
        <v>43</v>
      </c>
      <c r="D108" s="32" t="s">
        <v>2549</v>
      </c>
      <c r="E108" s="11" t="s">
        <v>37</v>
      </c>
    </row>
    <row r="109">
      <c r="B109" s="32" t="s">
        <v>2548</v>
      </c>
      <c r="C109" s="35" t="s">
        <v>389</v>
      </c>
      <c r="D109" s="32" t="s">
        <v>2330</v>
      </c>
      <c r="E109" s="11" t="s">
        <v>33</v>
      </c>
    </row>
    <row r="110">
      <c r="B110" s="32" t="s">
        <v>1572</v>
      </c>
      <c r="C110" s="35" t="s">
        <v>62</v>
      </c>
      <c r="D110" s="32" t="s">
        <v>2549</v>
      </c>
      <c r="E110" s="11" t="s">
        <v>37</v>
      </c>
    </row>
    <row r="111">
      <c r="B111" s="1" t="s">
        <v>2551</v>
      </c>
      <c r="C111" s="2"/>
      <c r="D111" s="3"/>
      <c r="E111" s="4"/>
    </row>
    <row r="112"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B113" s="32" t="s">
        <v>2552</v>
      </c>
      <c r="C113" s="35" t="s">
        <v>239</v>
      </c>
      <c r="D113" s="32" t="s">
        <v>1749</v>
      </c>
      <c r="E113" s="11" t="s">
        <v>33</v>
      </c>
      <c r="H113" s="36" t="s">
        <v>663</v>
      </c>
    </row>
    <row r="114">
      <c r="B114" s="32" t="s">
        <v>2166</v>
      </c>
      <c r="C114" s="35" t="s">
        <v>27</v>
      </c>
      <c r="D114" s="32" t="s">
        <v>2553</v>
      </c>
      <c r="E114" s="11" t="s">
        <v>37</v>
      </c>
    </row>
    <row r="115">
      <c r="B115" s="32" t="s">
        <v>730</v>
      </c>
      <c r="C115" s="35" t="s">
        <v>70</v>
      </c>
      <c r="D115" s="32" t="s">
        <v>2552</v>
      </c>
      <c r="E115" s="11" t="s">
        <v>33</v>
      </c>
    </row>
    <row r="116">
      <c r="B116" s="32" t="s">
        <v>2166</v>
      </c>
      <c r="C116" s="35" t="s">
        <v>81</v>
      </c>
      <c r="D116" s="32" t="s">
        <v>1749</v>
      </c>
      <c r="E116" s="11" t="s">
        <v>37</v>
      </c>
    </row>
    <row r="117">
      <c r="B117" s="32" t="s">
        <v>730</v>
      </c>
      <c r="C117" s="35" t="s">
        <v>72</v>
      </c>
      <c r="D117" s="32" t="s">
        <v>2553</v>
      </c>
      <c r="E117" s="11" t="s">
        <v>33</v>
      </c>
    </row>
    <row r="118">
      <c r="B118" s="32" t="s">
        <v>2166</v>
      </c>
      <c r="C118" s="35" t="s">
        <v>81</v>
      </c>
      <c r="D118" s="32" t="s">
        <v>2552</v>
      </c>
      <c r="E118" s="11" t="s">
        <v>37</v>
      </c>
    </row>
    <row r="119">
      <c r="B119" s="32" t="s">
        <v>730</v>
      </c>
      <c r="C119" s="35" t="s">
        <v>351</v>
      </c>
      <c r="D119" s="32" t="s">
        <v>1749</v>
      </c>
      <c r="E119" s="11" t="s">
        <v>33</v>
      </c>
    </row>
    <row r="120">
      <c r="B120" s="32" t="s">
        <v>2553</v>
      </c>
      <c r="C120" s="35" t="s">
        <v>18</v>
      </c>
      <c r="D120" s="32" t="s">
        <v>2552</v>
      </c>
      <c r="E120" s="11" t="s">
        <v>37</v>
      </c>
    </row>
    <row r="121">
      <c r="B121" s="32" t="s">
        <v>730</v>
      </c>
      <c r="C121" s="35" t="s">
        <v>513</v>
      </c>
      <c r="D121" s="32" t="s">
        <v>2166</v>
      </c>
      <c r="E121" s="11" t="s">
        <v>33</v>
      </c>
    </row>
    <row r="122">
      <c r="B122" s="32" t="s">
        <v>2553</v>
      </c>
      <c r="C122" s="35" t="s">
        <v>11</v>
      </c>
      <c r="D122" s="32" t="s">
        <v>1749</v>
      </c>
      <c r="E122" s="11" t="s">
        <v>37</v>
      </c>
    </row>
    <row r="123">
      <c r="B123" s="32" t="s">
        <v>1749</v>
      </c>
      <c r="C123" s="35" t="s">
        <v>250</v>
      </c>
      <c r="D123" s="32" t="s">
        <v>2552</v>
      </c>
      <c r="E123" s="11" t="s">
        <v>33</v>
      </c>
    </row>
    <row r="124">
      <c r="B124" s="32" t="s">
        <v>2553</v>
      </c>
      <c r="C124" s="35" t="s">
        <v>18</v>
      </c>
      <c r="D124" s="32" t="s">
        <v>2166</v>
      </c>
      <c r="E124" s="11" t="s">
        <v>37</v>
      </c>
    </row>
    <row r="125">
      <c r="B125" s="32" t="s">
        <v>2552</v>
      </c>
      <c r="C125" s="35" t="s">
        <v>38</v>
      </c>
      <c r="D125" s="32" t="s">
        <v>730</v>
      </c>
      <c r="E125" s="11" t="s">
        <v>33</v>
      </c>
    </row>
    <row r="126">
      <c r="B126" s="32" t="s">
        <v>1749</v>
      </c>
      <c r="C126" s="35" t="s">
        <v>286</v>
      </c>
      <c r="D126" s="32" t="s">
        <v>2166</v>
      </c>
      <c r="E126" s="11" t="s">
        <v>37</v>
      </c>
    </row>
    <row r="127">
      <c r="B127" s="32" t="s">
        <v>2553</v>
      </c>
      <c r="C127" s="35" t="s">
        <v>319</v>
      </c>
      <c r="D127" s="32" t="s">
        <v>730</v>
      </c>
      <c r="E127" s="11" t="s">
        <v>33</v>
      </c>
    </row>
    <row r="128">
      <c r="B128" s="32" t="s">
        <v>2552</v>
      </c>
      <c r="C128" s="35" t="s">
        <v>48</v>
      </c>
      <c r="D128" s="32" t="s">
        <v>2166</v>
      </c>
      <c r="E128" s="11" t="s">
        <v>37</v>
      </c>
    </row>
    <row r="129">
      <c r="B129" s="32" t="s">
        <v>1749</v>
      </c>
      <c r="C129" s="35" t="s">
        <v>194</v>
      </c>
      <c r="D129" s="32" t="s">
        <v>730</v>
      </c>
      <c r="E129" s="11" t="s">
        <v>33</v>
      </c>
    </row>
    <row r="130">
      <c r="B130" s="32" t="s">
        <v>2552</v>
      </c>
      <c r="C130" s="35" t="s">
        <v>426</v>
      </c>
      <c r="D130" s="32" t="s">
        <v>2553</v>
      </c>
      <c r="E130" s="11" t="s">
        <v>37</v>
      </c>
    </row>
    <row r="131">
      <c r="B131" s="32" t="s">
        <v>2166</v>
      </c>
      <c r="C131" s="35" t="s">
        <v>65</v>
      </c>
      <c r="D131" s="32" t="s">
        <v>730</v>
      </c>
      <c r="E131" s="11" t="s">
        <v>33</v>
      </c>
    </row>
    <row r="132">
      <c r="B132" s="32" t="s">
        <v>1749</v>
      </c>
      <c r="C132" s="35" t="s">
        <v>426</v>
      </c>
      <c r="D132" s="32" t="s">
        <v>2553</v>
      </c>
      <c r="E132" s="11" t="s">
        <v>37</v>
      </c>
    </row>
    <row r="133">
      <c r="B133" s="1" t="s">
        <v>2554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32" t="s">
        <v>2555</v>
      </c>
      <c r="C135" s="35" t="s">
        <v>21</v>
      </c>
      <c r="D135" s="32" t="s">
        <v>1130</v>
      </c>
      <c r="E135" s="11" t="s">
        <v>9</v>
      </c>
    </row>
    <row r="136">
      <c r="B136" s="32" t="s">
        <v>2556</v>
      </c>
      <c r="C136" s="35" t="s">
        <v>195</v>
      </c>
      <c r="D136" s="32" t="s">
        <v>2557</v>
      </c>
      <c r="E136" s="11" t="s">
        <v>13</v>
      </c>
    </row>
    <row r="137">
      <c r="B137" s="32" t="s">
        <v>2558</v>
      </c>
      <c r="C137" s="35" t="s">
        <v>47</v>
      </c>
      <c r="D137" s="32" t="s">
        <v>2555</v>
      </c>
      <c r="E137" s="11" t="s">
        <v>9</v>
      </c>
    </row>
    <row r="138">
      <c r="B138" s="32" t="s">
        <v>2556</v>
      </c>
      <c r="C138" s="35" t="s">
        <v>190</v>
      </c>
      <c r="D138" s="32" t="s">
        <v>1130</v>
      </c>
      <c r="E138" s="11" t="s">
        <v>13</v>
      </c>
    </row>
    <row r="139">
      <c r="B139" s="32" t="s">
        <v>2558</v>
      </c>
      <c r="C139" s="35" t="s">
        <v>28</v>
      </c>
      <c r="D139" s="32" t="s">
        <v>2557</v>
      </c>
      <c r="E139" s="11" t="s">
        <v>9</v>
      </c>
    </row>
    <row r="140">
      <c r="B140" s="32" t="s">
        <v>2556</v>
      </c>
      <c r="C140" s="35" t="s">
        <v>21</v>
      </c>
      <c r="D140" s="32" t="s">
        <v>2555</v>
      </c>
      <c r="E140" s="11" t="s">
        <v>13</v>
      </c>
    </row>
    <row r="141">
      <c r="B141" s="32" t="s">
        <v>2558</v>
      </c>
      <c r="C141" s="35" t="s">
        <v>302</v>
      </c>
      <c r="D141" s="32" t="s">
        <v>1130</v>
      </c>
      <c r="E141" s="11" t="s">
        <v>9</v>
      </c>
    </row>
    <row r="142">
      <c r="B142" s="32" t="s">
        <v>2557</v>
      </c>
      <c r="C142" s="35" t="s">
        <v>16</v>
      </c>
      <c r="D142" s="32" t="s">
        <v>2555</v>
      </c>
      <c r="E142" s="11" t="s">
        <v>13</v>
      </c>
    </row>
    <row r="143">
      <c r="B143" s="32" t="s">
        <v>2558</v>
      </c>
      <c r="C143" s="35" t="s">
        <v>70</v>
      </c>
      <c r="D143" s="32" t="s">
        <v>2556</v>
      </c>
      <c r="E143" s="11" t="s">
        <v>9</v>
      </c>
    </row>
    <row r="144">
      <c r="B144" s="32" t="s">
        <v>2557</v>
      </c>
      <c r="C144" s="35" t="s">
        <v>23</v>
      </c>
      <c r="D144" s="32" t="s">
        <v>1130</v>
      </c>
      <c r="E144" s="11" t="s">
        <v>13</v>
      </c>
    </row>
    <row r="145">
      <c r="B145" s="32" t="s">
        <v>1130</v>
      </c>
      <c r="C145" s="35" t="s">
        <v>215</v>
      </c>
      <c r="D145" s="32" t="s">
        <v>2555</v>
      </c>
      <c r="E145" s="11" t="s">
        <v>9</v>
      </c>
    </row>
    <row r="146">
      <c r="B146" s="32" t="s">
        <v>2557</v>
      </c>
      <c r="C146" s="35" t="s">
        <v>2559</v>
      </c>
      <c r="D146" s="32" t="s">
        <v>2556</v>
      </c>
      <c r="E146" s="11" t="s">
        <v>13</v>
      </c>
    </row>
    <row r="147">
      <c r="B147" s="32" t="s">
        <v>2555</v>
      </c>
      <c r="C147" s="35" t="s">
        <v>201</v>
      </c>
      <c r="D147" s="32" t="s">
        <v>2558</v>
      </c>
      <c r="E147" s="11" t="s">
        <v>9</v>
      </c>
    </row>
    <row r="148">
      <c r="B148" s="32" t="s">
        <v>1130</v>
      </c>
      <c r="C148" s="35" t="s">
        <v>477</v>
      </c>
      <c r="D148" s="32" t="s">
        <v>2556</v>
      </c>
      <c r="E148" s="11" t="s">
        <v>13</v>
      </c>
    </row>
    <row r="149">
      <c r="B149" s="32" t="s">
        <v>2557</v>
      </c>
      <c r="C149" s="35" t="s">
        <v>67</v>
      </c>
      <c r="D149" s="32" t="s">
        <v>2558</v>
      </c>
      <c r="E149" s="11" t="s">
        <v>9</v>
      </c>
    </row>
    <row r="150">
      <c r="B150" s="32" t="s">
        <v>2555</v>
      </c>
      <c r="C150" s="35" t="s">
        <v>857</v>
      </c>
      <c r="D150" s="32" t="s">
        <v>2556</v>
      </c>
      <c r="E150" s="11" t="s">
        <v>13</v>
      </c>
    </row>
    <row r="151">
      <c r="B151" s="32" t="s">
        <v>1130</v>
      </c>
      <c r="C151" s="35" t="s">
        <v>220</v>
      </c>
      <c r="D151" s="32" t="s">
        <v>2558</v>
      </c>
      <c r="E151" s="11" t="s">
        <v>9</v>
      </c>
    </row>
    <row r="152">
      <c r="B152" s="32" t="s">
        <v>2555</v>
      </c>
      <c r="C152" s="35" t="s">
        <v>269</v>
      </c>
      <c r="D152" s="32" t="s">
        <v>2557</v>
      </c>
      <c r="E152" s="11" t="s">
        <v>13</v>
      </c>
    </row>
    <row r="153">
      <c r="B153" s="32" t="s">
        <v>2556</v>
      </c>
      <c r="C153" s="35" t="s">
        <v>506</v>
      </c>
      <c r="D153" s="32" t="s">
        <v>2558</v>
      </c>
      <c r="E153" s="11" t="s">
        <v>9</v>
      </c>
    </row>
    <row r="154">
      <c r="B154" s="32" t="s">
        <v>1130</v>
      </c>
      <c r="C154" s="35" t="s">
        <v>69</v>
      </c>
      <c r="D154" s="32" t="s">
        <v>2557</v>
      </c>
      <c r="E154" s="11" t="s">
        <v>13</v>
      </c>
    </row>
    <row r="155">
      <c r="B155" s="1" t="s">
        <v>2560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B157" s="32" t="s">
        <v>2561</v>
      </c>
      <c r="C157" s="35" t="s">
        <v>68</v>
      </c>
      <c r="D157" s="32" t="s">
        <v>2562</v>
      </c>
      <c r="E157" s="11" t="s">
        <v>9</v>
      </c>
    </row>
    <row r="158">
      <c r="B158" s="32" t="s">
        <v>1480</v>
      </c>
      <c r="C158" s="35" t="s">
        <v>22</v>
      </c>
      <c r="D158" s="32" t="s">
        <v>2563</v>
      </c>
      <c r="E158" s="11" t="s">
        <v>13</v>
      </c>
    </row>
    <row r="159">
      <c r="B159" s="32" t="s">
        <v>2564</v>
      </c>
      <c r="C159" s="35" t="s">
        <v>328</v>
      </c>
      <c r="D159" s="32" t="s">
        <v>2561</v>
      </c>
      <c r="E159" s="11" t="s">
        <v>9</v>
      </c>
    </row>
    <row r="160">
      <c r="B160" s="32" t="s">
        <v>1480</v>
      </c>
      <c r="C160" s="35" t="s">
        <v>509</v>
      </c>
      <c r="D160" s="32" t="s">
        <v>2562</v>
      </c>
      <c r="E160" s="11" t="s">
        <v>13</v>
      </c>
    </row>
    <row r="161">
      <c r="B161" s="32" t="s">
        <v>2564</v>
      </c>
      <c r="C161" s="35" t="s">
        <v>351</v>
      </c>
      <c r="D161" s="32" t="s">
        <v>2563</v>
      </c>
      <c r="E161" s="11" t="s">
        <v>9</v>
      </c>
    </row>
    <row r="162">
      <c r="B162" s="32" t="s">
        <v>1480</v>
      </c>
      <c r="C162" s="35" t="s">
        <v>22</v>
      </c>
      <c r="D162" s="32" t="s">
        <v>2561</v>
      </c>
      <c r="E162" s="11" t="s">
        <v>13</v>
      </c>
    </row>
    <row r="163">
      <c r="B163" s="32" t="s">
        <v>2564</v>
      </c>
      <c r="C163" s="35" t="s">
        <v>17</v>
      </c>
      <c r="D163" s="32" t="s">
        <v>2562</v>
      </c>
      <c r="E163" s="11" t="s">
        <v>9</v>
      </c>
    </row>
    <row r="164">
      <c r="B164" s="32" t="s">
        <v>2563</v>
      </c>
      <c r="C164" s="35" t="s">
        <v>232</v>
      </c>
      <c r="D164" s="32" t="s">
        <v>2561</v>
      </c>
      <c r="E164" s="11" t="s">
        <v>13</v>
      </c>
    </row>
    <row r="165">
      <c r="B165" s="32" t="s">
        <v>2564</v>
      </c>
      <c r="C165" s="35" t="s">
        <v>11</v>
      </c>
      <c r="D165" s="32" t="s">
        <v>1480</v>
      </c>
      <c r="E165" s="11" t="s">
        <v>9</v>
      </c>
    </row>
    <row r="166">
      <c r="B166" s="32" t="s">
        <v>2563</v>
      </c>
      <c r="C166" s="35" t="s">
        <v>68</v>
      </c>
      <c r="D166" s="32" t="s">
        <v>2562</v>
      </c>
      <c r="E166" s="11" t="s">
        <v>13</v>
      </c>
    </row>
    <row r="167">
      <c r="B167" s="32" t="s">
        <v>2562</v>
      </c>
      <c r="C167" s="35" t="s">
        <v>260</v>
      </c>
      <c r="D167" s="32" t="s">
        <v>2561</v>
      </c>
      <c r="E167" s="11" t="s">
        <v>9</v>
      </c>
    </row>
    <row r="168">
      <c r="B168" s="32" t="s">
        <v>2563</v>
      </c>
      <c r="C168" s="35" t="s">
        <v>58</v>
      </c>
      <c r="D168" s="32" t="s">
        <v>1480</v>
      </c>
      <c r="E168" s="11" t="s">
        <v>13</v>
      </c>
    </row>
    <row r="169">
      <c r="B169" s="32" t="s">
        <v>2561</v>
      </c>
      <c r="C169" s="35" t="s">
        <v>21</v>
      </c>
      <c r="D169" s="32" t="s">
        <v>2564</v>
      </c>
      <c r="E169" s="11" t="s">
        <v>9</v>
      </c>
    </row>
    <row r="170">
      <c r="B170" s="32" t="s">
        <v>2562</v>
      </c>
      <c r="C170" s="35" t="s">
        <v>220</v>
      </c>
      <c r="D170" s="32" t="s">
        <v>1480</v>
      </c>
      <c r="E170" s="11" t="s">
        <v>13</v>
      </c>
    </row>
    <row r="171">
      <c r="B171" s="32" t="s">
        <v>2563</v>
      </c>
      <c r="C171" s="35" t="s">
        <v>87</v>
      </c>
      <c r="D171" s="32" t="s">
        <v>2564</v>
      </c>
      <c r="E171" s="11" t="s">
        <v>9</v>
      </c>
    </row>
    <row r="172">
      <c r="B172" s="32" t="s">
        <v>2561</v>
      </c>
      <c r="C172" s="35" t="s">
        <v>2565</v>
      </c>
      <c r="D172" s="32" t="s">
        <v>1480</v>
      </c>
      <c r="E172" s="11" t="s">
        <v>13</v>
      </c>
    </row>
    <row r="173">
      <c r="B173" s="32" t="s">
        <v>2562</v>
      </c>
      <c r="C173" s="35" t="s">
        <v>22</v>
      </c>
      <c r="D173" s="32" t="s">
        <v>2564</v>
      </c>
      <c r="E173" s="11" t="s">
        <v>9</v>
      </c>
    </row>
    <row r="174">
      <c r="B174" s="32" t="s">
        <v>2561</v>
      </c>
      <c r="C174" s="35" t="s">
        <v>82</v>
      </c>
      <c r="D174" s="32" t="s">
        <v>2563</v>
      </c>
      <c r="E174" s="11" t="s">
        <v>13</v>
      </c>
    </row>
    <row r="175">
      <c r="B175" s="32" t="s">
        <v>1480</v>
      </c>
      <c r="C175" s="35" t="s">
        <v>2566</v>
      </c>
      <c r="D175" s="32" t="s">
        <v>2564</v>
      </c>
      <c r="E175" s="11" t="s">
        <v>9</v>
      </c>
    </row>
    <row r="176">
      <c r="B176" s="32" t="s">
        <v>2562</v>
      </c>
      <c r="C176" s="35" t="s">
        <v>329</v>
      </c>
      <c r="D176" s="32" t="s">
        <v>2563</v>
      </c>
      <c r="E176" s="11" t="s">
        <v>13</v>
      </c>
    </row>
    <row r="177">
      <c r="B177" s="1" t="s">
        <v>2567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16" t="s">
        <v>5</v>
      </c>
      <c r="H178" s="36"/>
    </row>
    <row r="179">
      <c r="B179" s="32" t="s">
        <v>2371</v>
      </c>
      <c r="C179" s="33" t="s">
        <v>282</v>
      </c>
      <c r="D179" s="32" t="s">
        <v>2568</v>
      </c>
      <c r="E179" s="11" t="s">
        <v>33</v>
      </c>
    </row>
    <row r="180">
      <c r="B180" s="32" t="s">
        <v>2569</v>
      </c>
      <c r="C180" s="33" t="s">
        <v>201</v>
      </c>
      <c r="D180" s="32" t="s">
        <v>2570</v>
      </c>
      <c r="E180" s="11" t="s">
        <v>37</v>
      </c>
    </row>
    <row r="181">
      <c r="B181" s="32" t="s">
        <v>1964</v>
      </c>
      <c r="C181" s="33" t="s">
        <v>837</v>
      </c>
      <c r="D181" s="32" t="s">
        <v>2371</v>
      </c>
      <c r="E181" s="24" t="s">
        <v>33</v>
      </c>
    </row>
    <row r="182">
      <c r="B182" s="32" t="s">
        <v>2569</v>
      </c>
      <c r="C182" s="33" t="s">
        <v>64</v>
      </c>
      <c r="D182" s="32" t="s">
        <v>2568</v>
      </c>
      <c r="E182" s="11" t="s">
        <v>37</v>
      </c>
    </row>
    <row r="183">
      <c r="B183" s="32" t="s">
        <v>1964</v>
      </c>
      <c r="C183" s="33" t="s">
        <v>62</v>
      </c>
      <c r="D183" s="32" t="s">
        <v>2570</v>
      </c>
      <c r="E183" s="24" t="s">
        <v>33</v>
      </c>
    </row>
    <row r="184">
      <c r="B184" s="32" t="s">
        <v>2569</v>
      </c>
      <c r="C184" s="33" t="s">
        <v>81</v>
      </c>
      <c r="D184" s="32" t="s">
        <v>2371</v>
      </c>
      <c r="E184" s="11" t="s">
        <v>37</v>
      </c>
    </row>
    <row r="185">
      <c r="B185" s="32" t="s">
        <v>1964</v>
      </c>
      <c r="C185" s="33" t="s">
        <v>1425</v>
      </c>
      <c r="D185" s="32" t="s">
        <v>2568</v>
      </c>
      <c r="E185" s="24" t="s">
        <v>33</v>
      </c>
    </row>
    <row r="186">
      <c r="B186" s="32" t="s">
        <v>2570</v>
      </c>
      <c r="C186" s="33" t="s">
        <v>217</v>
      </c>
      <c r="D186" s="32" t="s">
        <v>2371</v>
      </c>
      <c r="E186" s="11" t="s">
        <v>37</v>
      </c>
    </row>
    <row r="187">
      <c r="B187" s="32" t="s">
        <v>1964</v>
      </c>
      <c r="C187" s="33" t="s">
        <v>1633</v>
      </c>
      <c r="D187" s="32" t="s">
        <v>2569</v>
      </c>
      <c r="E187" s="24" t="s">
        <v>33</v>
      </c>
    </row>
    <row r="188">
      <c r="B188" s="32" t="s">
        <v>2570</v>
      </c>
      <c r="C188" s="33" t="s">
        <v>55</v>
      </c>
      <c r="D188" s="32" t="s">
        <v>2568</v>
      </c>
      <c r="E188" s="11" t="s">
        <v>37</v>
      </c>
    </row>
    <row r="189">
      <c r="B189" s="32" t="s">
        <v>2568</v>
      </c>
      <c r="C189" s="33" t="s">
        <v>11</v>
      </c>
      <c r="D189" s="32" t="s">
        <v>2371</v>
      </c>
      <c r="E189" s="24" t="s">
        <v>33</v>
      </c>
    </row>
    <row r="190">
      <c r="B190" s="32" t="s">
        <v>2570</v>
      </c>
      <c r="C190" s="33" t="s">
        <v>321</v>
      </c>
      <c r="D190" s="32" t="s">
        <v>2569</v>
      </c>
      <c r="E190" s="11" t="s">
        <v>37</v>
      </c>
    </row>
    <row r="191">
      <c r="B191" s="32" t="s">
        <v>2371</v>
      </c>
      <c r="C191" s="35" t="s">
        <v>289</v>
      </c>
      <c r="D191" s="32" t="s">
        <v>1964</v>
      </c>
      <c r="E191" s="24" t="s">
        <v>33</v>
      </c>
    </row>
    <row r="192">
      <c r="B192" s="32" t="s">
        <v>2568</v>
      </c>
      <c r="C192" s="35" t="s">
        <v>412</v>
      </c>
      <c r="D192" s="32" t="s">
        <v>2569</v>
      </c>
      <c r="E192" s="11" t="s">
        <v>37</v>
      </c>
    </row>
    <row r="193">
      <c r="B193" s="32" t="s">
        <v>2570</v>
      </c>
      <c r="C193" s="35" t="s">
        <v>64</v>
      </c>
      <c r="D193" s="32" t="s">
        <v>1964</v>
      </c>
      <c r="E193" s="24" t="s">
        <v>33</v>
      </c>
    </row>
    <row r="194">
      <c r="B194" s="32" t="s">
        <v>2371</v>
      </c>
      <c r="C194" s="35" t="s">
        <v>17</v>
      </c>
      <c r="D194" s="32" t="s">
        <v>2569</v>
      </c>
      <c r="E194" s="11" t="s">
        <v>37</v>
      </c>
    </row>
    <row r="195">
      <c r="B195" s="32" t="s">
        <v>2568</v>
      </c>
      <c r="C195" s="35" t="s">
        <v>376</v>
      </c>
      <c r="D195" s="32" t="s">
        <v>1964</v>
      </c>
      <c r="E195" s="24" t="s">
        <v>33</v>
      </c>
    </row>
    <row r="196">
      <c r="B196" s="32" t="s">
        <v>2371</v>
      </c>
      <c r="C196" s="35" t="s">
        <v>273</v>
      </c>
      <c r="D196" s="32" t="s">
        <v>2570</v>
      </c>
      <c r="E196" s="11" t="s">
        <v>37</v>
      </c>
    </row>
    <row r="197">
      <c r="B197" s="32" t="s">
        <v>2569</v>
      </c>
      <c r="C197" s="35" t="s">
        <v>195</v>
      </c>
      <c r="D197" s="32" t="s">
        <v>1964</v>
      </c>
      <c r="E197" s="24" t="s">
        <v>33</v>
      </c>
    </row>
    <row r="198">
      <c r="B198" s="32" t="s">
        <v>2568</v>
      </c>
      <c r="C198" s="35" t="s">
        <v>43</v>
      </c>
      <c r="D198" s="32" t="s">
        <v>2570</v>
      </c>
      <c r="E198" s="11" t="s">
        <v>37</v>
      </c>
    </row>
    <row r="199">
      <c r="B199" s="1" t="s">
        <v>2571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B201" s="32" t="s">
        <v>2572</v>
      </c>
      <c r="C201" s="33" t="s">
        <v>7</v>
      </c>
      <c r="D201" s="32" t="s">
        <v>124</v>
      </c>
      <c r="E201" s="11" t="s">
        <v>33</v>
      </c>
    </row>
    <row r="202">
      <c r="B202" s="32" t="s">
        <v>1912</v>
      </c>
      <c r="C202" s="33" t="s">
        <v>62</v>
      </c>
      <c r="D202" s="32" t="s">
        <v>1442</v>
      </c>
      <c r="E202" s="11" t="s">
        <v>37</v>
      </c>
    </row>
    <row r="203">
      <c r="B203" s="32" t="s">
        <v>279</v>
      </c>
      <c r="C203" s="33" t="s">
        <v>82</v>
      </c>
      <c r="D203" s="32" t="s">
        <v>2572</v>
      </c>
      <c r="E203" s="11" t="s">
        <v>33</v>
      </c>
    </row>
    <row r="204">
      <c r="B204" s="32" t="s">
        <v>1912</v>
      </c>
      <c r="C204" s="33" t="s">
        <v>378</v>
      </c>
      <c r="D204" s="32" t="s">
        <v>124</v>
      </c>
      <c r="E204" s="11" t="s">
        <v>37</v>
      </c>
    </row>
    <row r="205">
      <c r="B205" s="32" t="s">
        <v>279</v>
      </c>
      <c r="C205" s="33" t="s">
        <v>726</v>
      </c>
      <c r="D205" s="32" t="s">
        <v>1442</v>
      </c>
      <c r="E205" s="11" t="s">
        <v>33</v>
      </c>
    </row>
    <row r="206">
      <c r="B206" s="32" t="s">
        <v>1912</v>
      </c>
      <c r="C206" s="33" t="s">
        <v>17</v>
      </c>
      <c r="D206" s="32" t="s">
        <v>2572</v>
      </c>
      <c r="E206" s="11" t="s">
        <v>37</v>
      </c>
    </row>
    <row r="207">
      <c r="B207" s="32" t="s">
        <v>279</v>
      </c>
      <c r="C207" s="33" t="s">
        <v>416</v>
      </c>
      <c r="D207" s="32" t="s">
        <v>124</v>
      </c>
      <c r="E207" s="11" t="s">
        <v>33</v>
      </c>
    </row>
    <row r="208">
      <c r="B208" s="32" t="s">
        <v>1442</v>
      </c>
      <c r="C208" s="33" t="s">
        <v>260</v>
      </c>
      <c r="D208" s="32" t="s">
        <v>2572</v>
      </c>
      <c r="E208" s="11" t="s">
        <v>37</v>
      </c>
    </row>
    <row r="209">
      <c r="B209" s="32" t="s">
        <v>279</v>
      </c>
      <c r="C209" s="33" t="s">
        <v>190</v>
      </c>
      <c r="D209" s="32" t="s">
        <v>1912</v>
      </c>
      <c r="E209" s="11" t="s">
        <v>33</v>
      </c>
    </row>
    <row r="210">
      <c r="B210" s="32" t="s">
        <v>1442</v>
      </c>
      <c r="C210" s="33" t="s">
        <v>370</v>
      </c>
      <c r="D210" s="32" t="s">
        <v>124</v>
      </c>
      <c r="E210" s="11" t="s">
        <v>37</v>
      </c>
    </row>
    <row r="211">
      <c r="B211" s="32" t="s">
        <v>124</v>
      </c>
      <c r="C211" s="33" t="s">
        <v>250</v>
      </c>
      <c r="D211" s="32" t="s">
        <v>2572</v>
      </c>
      <c r="E211" s="11" t="s">
        <v>33</v>
      </c>
    </row>
    <row r="212">
      <c r="B212" s="32" t="s">
        <v>1442</v>
      </c>
      <c r="C212" s="33" t="s">
        <v>20</v>
      </c>
      <c r="D212" s="32" t="s">
        <v>1912</v>
      </c>
      <c r="E212" s="11" t="s">
        <v>37</v>
      </c>
    </row>
    <row r="213">
      <c r="B213" s="32" t="s">
        <v>2572</v>
      </c>
      <c r="C213" s="35" t="s">
        <v>2573</v>
      </c>
      <c r="D213" s="32" t="s">
        <v>279</v>
      </c>
      <c r="E213" s="11" t="s">
        <v>33</v>
      </c>
    </row>
    <row r="214">
      <c r="B214" s="32" t="s">
        <v>124</v>
      </c>
      <c r="C214" s="35" t="s">
        <v>64</v>
      </c>
      <c r="D214" s="32" t="s">
        <v>1912</v>
      </c>
      <c r="E214" s="11" t="s">
        <v>37</v>
      </c>
    </row>
    <row r="215">
      <c r="B215" s="32" t="s">
        <v>1442</v>
      </c>
      <c r="C215" s="35" t="s">
        <v>197</v>
      </c>
      <c r="D215" s="32" t="s">
        <v>279</v>
      </c>
      <c r="E215" s="11" t="s">
        <v>33</v>
      </c>
    </row>
    <row r="216">
      <c r="B216" s="32" t="s">
        <v>2572</v>
      </c>
      <c r="C216" s="35" t="s">
        <v>196</v>
      </c>
      <c r="D216" s="32" t="s">
        <v>1912</v>
      </c>
      <c r="E216" s="11" t="s">
        <v>37</v>
      </c>
    </row>
    <row r="217">
      <c r="B217" s="32" t="s">
        <v>124</v>
      </c>
      <c r="C217" s="35" t="s">
        <v>1005</v>
      </c>
      <c r="D217" s="32" t="s">
        <v>279</v>
      </c>
      <c r="E217" s="11" t="s">
        <v>33</v>
      </c>
    </row>
    <row r="218">
      <c r="B218" s="32" t="s">
        <v>2572</v>
      </c>
      <c r="C218" s="35" t="s">
        <v>43</v>
      </c>
      <c r="D218" s="32" t="s">
        <v>1442</v>
      </c>
      <c r="E218" s="11" t="s">
        <v>37</v>
      </c>
    </row>
    <row r="219">
      <c r="B219" s="32" t="s">
        <v>1912</v>
      </c>
      <c r="C219" s="35" t="s">
        <v>18</v>
      </c>
      <c r="D219" s="32" t="s">
        <v>279</v>
      </c>
      <c r="E219" s="11" t="s">
        <v>33</v>
      </c>
    </row>
    <row r="220">
      <c r="B220" s="32" t="s">
        <v>124</v>
      </c>
      <c r="C220" s="35" t="s">
        <v>2574</v>
      </c>
      <c r="D220" s="32" t="s">
        <v>1442</v>
      </c>
      <c r="E220" s="11" t="s">
        <v>37</v>
      </c>
    </row>
    <row r="221">
      <c r="B221" s="28" t="s">
        <v>2575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34" t="s">
        <v>2576</v>
      </c>
      <c r="C223" s="35" t="s">
        <v>16</v>
      </c>
      <c r="D223" s="34" t="s">
        <v>2577</v>
      </c>
      <c r="E223" s="11" t="s">
        <v>9</v>
      </c>
    </row>
    <row r="224">
      <c r="B224" s="34" t="s">
        <v>2578</v>
      </c>
      <c r="C224" s="35" t="s">
        <v>11</v>
      </c>
      <c r="D224" s="34" t="s">
        <v>2579</v>
      </c>
      <c r="E224" s="11" t="s">
        <v>13</v>
      </c>
    </row>
    <row r="225">
      <c r="B225" s="8" t="s">
        <v>1352</v>
      </c>
      <c r="C225" s="35" t="s">
        <v>64</v>
      </c>
      <c r="D225" s="34" t="s">
        <v>2576</v>
      </c>
      <c r="E225" s="11" t="s">
        <v>9</v>
      </c>
    </row>
    <row r="226">
      <c r="B226" s="34" t="s">
        <v>2578</v>
      </c>
      <c r="C226" s="35" t="s">
        <v>19</v>
      </c>
      <c r="D226" s="34" t="s">
        <v>2577</v>
      </c>
      <c r="E226" s="11" t="s">
        <v>13</v>
      </c>
    </row>
    <row r="227">
      <c r="B227" s="8" t="s">
        <v>1352</v>
      </c>
      <c r="C227" s="35" t="s">
        <v>195</v>
      </c>
      <c r="D227" s="34" t="s">
        <v>2579</v>
      </c>
      <c r="E227" s="11" t="s">
        <v>9</v>
      </c>
    </row>
    <row r="228">
      <c r="B228" s="34" t="s">
        <v>2578</v>
      </c>
      <c r="C228" s="35" t="s">
        <v>193</v>
      </c>
      <c r="D228" s="34" t="s">
        <v>2576</v>
      </c>
      <c r="E228" s="11" t="s">
        <v>13</v>
      </c>
    </row>
    <row r="229">
      <c r="B229" s="8" t="s">
        <v>1352</v>
      </c>
      <c r="C229" s="35" t="s">
        <v>218</v>
      </c>
      <c r="D229" s="34" t="s">
        <v>2577</v>
      </c>
      <c r="E229" s="11" t="s">
        <v>9</v>
      </c>
    </row>
    <row r="230">
      <c r="B230" s="34" t="s">
        <v>2579</v>
      </c>
      <c r="C230" s="35" t="s">
        <v>31</v>
      </c>
      <c r="D230" s="34" t="s">
        <v>2576</v>
      </c>
      <c r="E230" s="11" t="s">
        <v>13</v>
      </c>
    </row>
    <row r="231">
      <c r="B231" s="8" t="s">
        <v>1352</v>
      </c>
      <c r="C231" s="35" t="s">
        <v>55</v>
      </c>
      <c r="D231" s="34" t="s">
        <v>2578</v>
      </c>
      <c r="E231" s="11" t="s">
        <v>9</v>
      </c>
    </row>
    <row r="232">
      <c r="B232" s="34" t="s">
        <v>2579</v>
      </c>
      <c r="C232" s="35" t="s">
        <v>251</v>
      </c>
      <c r="D232" s="34" t="s">
        <v>2577</v>
      </c>
      <c r="E232" s="11" t="s">
        <v>13</v>
      </c>
    </row>
    <row r="233">
      <c r="B233" s="34" t="s">
        <v>2577</v>
      </c>
      <c r="C233" s="35" t="s">
        <v>64</v>
      </c>
      <c r="D233" s="34" t="s">
        <v>2576</v>
      </c>
      <c r="E233" s="11" t="s">
        <v>9</v>
      </c>
    </row>
    <row r="234">
      <c r="B234" s="34" t="s">
        <v>2579</v>
      </c>
      <c r="C234" s="35" t="s">
        <v>240</v>
      </c>
      <c r="D234" s="34" t="s">
        <v>2578</v>
      </c>
      <c r="E234" s="11" t="s">
        <v>13</v>
      </c>
    </row>
    <row r="235">
      <c r="B235" s="34" t="s">
        <v>2576</v>
      </c>
      <c r="C235" s="35" t="s">
        <v>195</v>
      </c>
      <c r="D235" s="8" t="s">
        <v>1352</v>
      </c>
      <c r="E235" s="11" t="s">
        <v>9</v>
      </c>
    </row>
    <row r="236">
      <c r="B236" s="34" t="s">
        <v>2577</v>
      </c>
      <c r="C236" s="35" t="s">
        <v>71</v>
      </c>
      <c r="D236" s="34" t="s">
        <v>2578</v>
      </c>
      <c r="E236" s="11" t="s">
        <v>13</v>
      </c>
    </row>
    <row r="237">
      <c r="B237" s="34" t="s">
        <v>2579</v>
      </c>
      <c r="C237" s="35" t="s">
        <v>362</v>
      </c>
      <c r="D237" s="8" t="s">
        <v>1352</v>
      </c>
      <c r="E237" s="11" t="s">
        <v>9</v>
      </c>
    </row>
    <row r="238">
      <c r="B238" s="34" t="s">
        <v>2576</v>
      </c>
      <c r="C238" s="35" t="s">
        <v>363</v>
      </c>
      <c r="D238" s="34" t="s">
        <v>2578</v>
      </c>
      <c r="E238" s="11" t="s">
        <v>13</v>
      </c>
    </row>
    <row r="239">
      <c r="B239" s="34" t="s">
        <v>2577</v>
      </c>
      <c r="C239" s="35" t="s">
        <v>65</v>
      </c>
      <c r="D239" s="8" t="s">
        <v>1352</v>
      </c>
      <c r="E239" s="11" t="s">
        <v>9</v>
      </c>
    </row>
    <row r="240">
      <c r="B240" s="34" t="s">
        <v>2576</v>
      </c>
      <c r="C240" s="35" t="s">
        <v>733</v>
      </c>
      <c r="D240" s="34" t="s">
        <v>2579</v>
      </c>
      <c r="E240" s="11" t="s">
        <v>13</v>
      </c>
    </row>
    <row r="241">
      <c r="B241" s="34" t="s">
        <v>2578</v>
      </c>
      <c r="C241" s="35" t="s">
        <v>465</v>
      </c>
      <c r="D241" s="8" t="s">
        <v>1352</v>
      </c>
      <c r="E241" s="11" t="s">
        <v>9</v>
      </c>
    </row>
    <row r="242">
      <c r="B242" s="34" t="s">
        <v>2577</v>
      </c>
      <c r="C242" s="35" t="s">
        <v>11</v>
      </c>
      <c r="D242" s="34" t="s">
        <v>2579</v>
      </c>
      <c r="E242" s="11" t="s">
        <v>13</v>
      </c>
    </row>
    <row r="243">
      <c r="B243" s="28" t="s">
        <v>2200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34" t="s">
        <v>2028</v>
      </c>
      <c r="C245" s="35" t="s">
        <v>197</v>
      </c>
      <c r="D245" s="34" t="s">
        <v>2580</v>
      </c>
      <c r="E245" s="11" t="s">
        <v>9</v>
      </c>
    </row>
    <row r="246">
      <c r="B246" s="34" t="s">
        <v>2581</v>
      </c>
      <c r="C246" s="35" t="s">
        <v>354</v>
      </c>
      <c r="D246" s="34" t="s">
        <v>2582</v>
      </c>
      <c r="E246" s="11" t="s">
        <v>13</v>
      </c>
    </row>
    <row r="247">
      <c r="B247" s="8" t="s">
        <v>315</v>
      </c>
      <c r="C247" s="35" t="s">
        <v>193</v>
      </c>
      <c r="D247" s="34" t="s">
        <v>2028</v>
      </c>
      <c r="E247" s="11" t="s">
        <v>9</v>
      </c>
    </row>
    <row r="248">
      <c r="B248" s="34" t="s">
        <v>2581</v>
      </c>
      <c r="C248" s="35" t="s">
        <v>545</v>
      </c>
      <c r="D248" s="34" t="s">
        <v>2580</v>
      </c>
      <c r="E248" s="11" t="s">
        <v>13</v>
      </c>
    </row>
    <row r="249">
      <c r="B249" s="8" t="s">
        <v>315</v>
      </c>
      <c r="C249" s="35" t="s">
        <v>197</v>
      </c>
      <c r="D249" s="34" t="s">
        <v>2582</v>
      </c>
      <c r="E249" s="11" t="s">
        <v>9</v>
      </c>
    </row>
    <row r="250">
      <c r="B250" s="34" t="s">
        <v>2581</v>
      </c>
      <c r="C250" s="35" t="s">
        <v>17</v>
      </c>
      <c r="D250" s="34" t="s">
        <v>2028</v>
      </c>
      <c r="E250" s="11" t="s">
        <v>13</v>
      </c>
    </row>
    <row r="251">
      <c r="B251" s="8" t="s">
        <v>315</v>
      </c>
      <c r="C251" s="35" t="s">
        <v>285</v>
      </c>
      <c r="D251" s="34" t="s">
        <v>2580</v>
      </c>
      <c r="E251" s="11" t="s">
        <v>9</v>
      </c>
    </row>
    <row r="252">
      <c r="B252" s="34" t="s">
        <v>2582</v>
      </c>
      <c r="C252" s="35" t="s">
        <v>68</v>
      </c>
      <c r="D252" s="34" t="s">
        <v>2028</v>
      </c>
      <c r="E252" s="11" t="s">
        <v>13</v>
      </c>
    </row>
    <row r="253">
      <c r="B253" s="8" t="s">
        <v>315</v>
      </c>
      <c r="C253" s="35" t="s">
        <v>17</v>
      </c>
      <c r="D253" s="34" t="s">
        <v>2581</v>
      </c>
      <c r="E253" s="11" t="s">
        <v>9</v>
      </c>
    </row>
    <row r="254">
      <c r="B254" s="34" t="s">
        <v>2582</v>
      </c>
      <c r="C254" s="35" t="s">
        <v>1478</v>
      </c>
      <c r="D254" s="34" t="s">
        <v>2580</v>
      </c>
      <c r="E254" s="11" t="s">
        <v>13</v>
      </c>
    </row>
    <row r="255">
      <c r="B255" s="34" t="s">
        <v>2580</v>
      </c>
      <c r="C255" s="35" t="s">
        <v>16</v>
      </c>
      <c r="D255" s="34" t="s">
        <v>2028</v>
      </c>
      <c r="E255" s="11" t="s">
        <v>9</v>
      </c>
    </row>
    <row r="256">
      <c r="B256" s="34" t="s">
        <v>2582</v>
      </c>
      <c r="C256" s="35" t="s">
        <v>11</v>
      </c>
      <c r="D256" s="34" t="s">
        <v>2581</v>
      </c>
      <c r="E256" s="11" t="s">
        <v>13</v>
      </c>
    </row>
    <row r="257">
      <c r="B257" s="34" t="s">
        <v>2028</v>
      </c>
      <c r="C257" s="35" t="s">
        <v>35</v>
      </c>
      <c r="D257" s="8" t="s">
        <v>315</v>
      </c>
      <c r="E257" s="11" t="s">
        <v>9</v>
      </c>
    </row>
    <row r="258">
      <c r="B258" s="34" t="s">
        <v>2580</v>
      </c>
      <c r="C258" s="35" t="s">
        <v>494</v>
      </c>
      <c r="D258" s="34" t="s">
        <v>2581</v>
      </c>
      <c r="E258" s="11" t="s">
        <v>13</v>
      </c>
    </row>
    <row r="259">
      <c r="B259" s="34" t="s">
        <v>2582</v>
      </c>
      <c r="C259" s="35" t="s">
        <v>25</v>
      </c>
      <c r="D259" s="8" t="s">
        <v>315</v>
      </c>
      <c r="E259" s="11" t="s">
        <v>9</v>
      </c>
    </row>
    <row r="260">
      <c r="B260" s="34" t="s">
        <v>2028</v>
      </c>
      <c r="C260" s="35" t="s">
        <v>196</v>
      </c>
      <c r="D260" s="34" t="s">
        <v>2581</v>
      </c>
      <c r="E260" s="11" t="s">
        <v>13</v>
      </c>
    </row>
    <row r="261">
      <c r="B261" s="34" t="s">
        <v>2580</v>
      </c>
      <c r="C261" s="35" t="s">
        <v>389</v>
      </c>
      <c r="D261" s="8" t="s">
        <v>315</v>
      </c>
      <c r="E261" s="11" t="s">
        <v>9</v>
      </c>
    </row>
    <row r="262">
      <c r="B262" s="34" t="s">
        <v>2028</v>
      </c>
      <c r="C262" s="35" t="s">
        <v>239</v>
      </c>
      <c r="D262" s="34" t="s">
        <v>2582</v>
      </c>
      <c r="E262" s="11" t="s">
        <v>13</v>
      </c>
    </row>
    <row r="263">
      <c r="B263" s="34" t="s">
        <v>2581</v>
      </c>
      <c r="C263" s="35" t="s">
        <v>48</v>
      </c>
      <c r="D263" s="8" t="s">
        <v>315</v>
      </c>
      <c r="E263" s="11" t="s">
        <v>9</v>
      </c>
    </row>
    <row r="264">
      <c r="B264" s="34" t="s">
        <v>2580</v>
      </c>
      <c r="C264" s="35" t="s">
        <v>215</v>
      </c>
      <c r="D264" s="34" t="s">
        <v>2582</v>
      </c>
      <c r="E264" s="11" t="s">
        <v>13</v>
      </c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2"/>
    <hyperlink r:id="rId164" ref="E184"/>
    <hyperlink r:id="rId165" ref="E186"/>
    <hyperlink r:id="rId166" ref="E188"/>
    <hyperlink r:id="rId167" ref="E190"/>
    <hyperlink r:id="rId168" ref="E192"/>
    <hyperlink r:id="rId169" ref="E194"/>
    <hyperlink r:id="rId170" ref="E196"/>
    <hyperlink r:id="rId171" ref="E198"/>
    <hyperlink r:id="rId172" ref="E201"/>
    <hyperlink r:id="rId173" ref="E202"/>
    <hyperlink r:id="rId174" ref="E203"/>
    <hyperlink r:id="rId175" ref="E204"/>
    <hyperlink r:id="rId176" ref="E205"/>
    <hyperlink r:id="rId177" ref="E206"/>
    <hyperlink r:id="rId178" ref="E207"/>
    <hyperlink r:id="rId179" ref="E208"/>
    <hyperlink r:id="rId180" ref="E209"/>
    <hyperlink r:id="rId181" ref="E210"/>
    <hyperlink r:id="rId182" ref="E211"/>
    <hyperlink r:id="rId183" ref="E212"/>
    <hyperlink r:id="rId184" ref="E213"/>
    <hyperlink r:id="rId185" ref="E214"/>
    <hyperlink r:id="rId186" ref="E215"/>
    <hyperlink r:id="rId187" ref="E216"/>
    <hyperlink r:id="rId188" ref="E217"/>
    <hyperlink r:id="rId189" ref="E218"/>
    <hyperlink r:id="rId190" ref="E219"/>
    <hyperlink r:id="rId191" ref="E220"/>
    <hyperlink r:id="rId192" ref="E223"/>
    <hyperlink r:id="rId193" ref="E224"/>
    <hyperlink r:id="rId194" ref="E225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6"/>
    <hyperlink r:id="rId214" ref="E247"/>
    <hyperlink r:id="rId215" ref="E248"/>
    <hyperlink r:id="rId216" ref="E249"/>
    <hyperlink r:id="rId217" ref="E250"/>
    <hyperlink r:id="rId218" ref="E251"/>
    <hyperlink r:id="rId219" ref="E252"/>
    <hyperlink r:id="rId220" ref="E253"/>
    <hyperlink r:id="rId221" ref="E254"/>
    <hyperlink r:id="rId222" ref="E255"/>
    <hyperlink r:id="rId223" ref="E256"/>
    <hyperlink r:id="rId224" ref="E257"/>
    <hyperlink r:id="rId225" ref="E258"/>
    <hyperlink r:id="rId226" ref="E259"/>
    <hyperlink r:id="rId227" ref="E260"/>
    <hyperlink r:id="rId228" ref="E261"/>
    <hyperlink r:id="rId229" ref="E262"/>
    <hyperlink r:id="rId230" ref="E263"/>
    <hyperlink r:id="rId231" ref="E264"/>
  </hyperlinks>
  <drawing r:id="rId232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/>
      <c r="B1" s="1" t="s">
        <v>2085</v>
      </c>
      <c r="C1" s="2"/>
      <c r="D1" s="3"/>
      <c r="E1" s="29"/>
    </row>
    <row r="2">
      <c r="A2" s="66"/>
      <c r="B2" s="6" t="s">
        <v>2</v>
      </c>
      <c r="C2" s="6" t="s">
        <v>3</v>
      </c>
      <c r="D2" s="6" t="s">
        <v>4</v>
      </c>
      <c r="E2" s="6" t="s">
        <v>5</v>
      </c>
    </row>
    <row r="3">
      <c r="A3" s="66"/>
      <c r="B3" s="34" t="s">
        <v>1898</v>
      </c>
      <c r="C3" s="33" t="s">
        <v>17</v>
      </c>
      <c r="D3" s="34" t="s">
        <v>2583</v>
      </c>
      <c r="E3" s="11" t="s">
        <v>9</v>
      </c>
    </row>
    <row r="4">
      <c r="A4" s="66"/>
      <c r="B4" s="8" t="s">
        <v>2087</v>
      </c>
      <c r="C4" s="33" t="s">
        <v>64</v>
      </c>
      <c r="D4" s="32" t="s">
        <v>2584</v>
      </c>
      <c r="E4" s="11" t="s">
        <v>13</v>
      </c>
    </row>
    <row r="5">
      <c r="A5" s="66"/>
      <c r="B5" s="34" t="s">
        <v>2585</v>
      </c>
      <c r="C5" s="33" t="s">
        <v>11</v>
      </c>
      <c r="D5" s="34" t="s">
        <v>1898</v>
      </c>
      <c r="E5" s="24" t="s">
        <v>9</v>
      </c>
    </row>
    <row r="6">
      <c r="A6" s="66"/>
      <c r="B6" s="8" t="s">
        <v>2087</v>
      </c>
      <c r="C6" s="33" t="s">
        <v>83</v>
      </c>
      <c r="D6" s="34" t="s">
        <v>2583</v>
      </c>
      <c r="E6" s="11" t="s">
        <v>13</v>
      </c>
    </row>
    <row r="7">
      <c r="A7" s="66"/>
      <c r="B7" s="34" t="s">
        <v>2585</v>
      </c>
      <c r="C7" s="33" t="s">
        <v>285</v>
      </c>
      <c r="D7" s="32" t="s">
        <v>2584</v>
      </c>
      <c r="E7" s="24" t="s">
        <v>9</v>
      </c>
    </row>
    <row r="8">
      <c r="A8" s="66"/>
      <c r="B8" s="8" t="s">
        <v>2087</v>
      </c>
      <c r="C8" s="33" t="s">
        <v>570</v>
      </c>
      <c r="D8" s="34" t="s">
        <v>1898</v>
      </c>
      <c r="E8" s="11" t="s">
        <v>13</v>
      </c>
    </row>
    <row r="9">
      <c r="A9" s="66"/>
      <c r="B9" s="34" t="s">
        <v>2585</v>
      </c>
      <c r="C9" s="33" t="s">
        <v>201</v>
      </c>
      <c r="D9" s="34" t="s">
        <v>2583</v>
      </c>
      <c r="E9" s="24" t="s">
        <v>9</v>
      </c>
    </row>
    <row r="10">
      <c r="A10" s="66"/>
      <c r="B10" s="32" t="s">
        <v>2584</v>
      </c>
      <c r="C10" s="33" t="s">
        <v>289</v>
      </c>
      <c r="D10" s="34" t="s">
        <v>1898</v>
      </c>
      <c r="E10" s="11" t="s">
        <v>13</v>
      </c>
    </row>
    <row r="11">
      <c r="A11" s="66"/>
      <c r="B11" s="34" t="s">
        <v>2585</v>
      </c>
      <c r="C11" s="33" t="s">
        <v>218</v>
      </c>
      <c r="D11" s="8" t="s">
        <v>2087</v>
      </c>
      <c r="E11" s="24" t="s">
        <v>9</v>
      </c>
    </row>
    <row r="12">
      <c r="A12" s="66"/>
      <c r="B12" s="32" t="s">
        <v>2584</v>
      </c>
      <c r="C12" s="33" t="s">
        <v>19</v>
      </c>
      <c r="D12" s="34" t="s">
        <v>2583</v>
      </c>
      <c r="E12" s="11" t="s">
        <v>13</v>
      </c>
    </row>
    <row r="13">
      <c r="A13" s="66"/>
      <c r="B13" s="34" t="s">
        <v>2583</v>
      </c>
      <c r="C13" s="33" t="s">
        <v>35</v>
      </c>
      <c r="D13" s="34" t="s">
        <v>1898</v>
      </c>
      <c r="E13" s="24" t="s">
        <v>9</v>
      </c>
    </row>
    <row r="14">
      <c r="A14" s="66"/>
      <c r="B14" s="32" t="s">
        <v>2584</v>
      </c>
      <c r="C14" s="33" t="s">
        <v>47</v>
      </c>
      <c r="D14" s="8" t="s">
        <v>2087</v>
      </c>
      <c r="E14" s="11" t="s">
        <v>13</v>
      </c>
    </row>
    <row r="15">
      <c r="A15" s="66"/>
      <c r="B15" s="34" t="s">
        <v>1898</v>
      </c>
      <c r="C15" s="35" t="s">
        <v>201</v>
      </c>
      <c r="D15" s="34" t="s">
        <v>2585</v>
      </c>
      <c r="E15" s="24" t="s">
        <v>9</v>
      </c>
    </row>
    <row r="16">
      <c r="A16" s="66"/>
      <c r="B16" s="34" t="s">
        <v>2583</v>
      </c>
      <c r="C16" s="35" t="s">
        <v>1855</v>
      </c>
      <c r="D16" s="8" t="s">
        <v>2087</v>
      </c>
      <c r="E16" s="11" t="s">
        <v>13</v>
      </c>
    </row>
    <row r="17">
      <c r="A17" s="66"/>
      <c r="B17" s="32" t="s">
        <v>2584</v>
      </c>
      <c r="C17" s="35" t="s">
        <v>196</v>
      </c>
      <c r="D17" s="34" t="s">
        <v>2585</v>
      </c>
      <c r="E17" s="24" t="s">
        <v>9</v>
      </c>
    </row>
    <row r="18">
      <c r="A18" s="66"/>
      <c r="B18" s="34" t="s">
        <v>1898</v>
      </c>
      <c r="C18" s="35" t="s">
        <v>243</v>
      </c>
      <c r="D18" s="8" t="s">
        <v>2087</v>
      </c>
      <c r="E18" s="11" t="s">
        <v>13</v>
      </c>
    </row>
    <row r="19">
      <c r="A19" s="66"/>
      <c r="B19" s="34" t="s">
        <v>2583</v>
      </c>
      <c r="C19" s="35" t="s">
        <v>38</v>
      </c>
      <c r="D19" s="34" t="s">
        <v>2585</v>
      </c>
      <c r="E19" s="24" t="s">
        <v>9</v>
      </c>
    </row>
    <row r="20">
      <c r="A20" s="66"/>
      <c r="B20" s="34" t="s">
        <v>1898</v>
      </c>
      <c r="C20" s="35" t="s">
        <v>426</v>
      </c>
      <c r="D20" s="32" t="s">
        <v>2584</v>
      </c>
      <c r="E20" s="11" t="s">
        <v>13</v>
      </c>
    </row>
    <row r="21">
      <c r="A21" s="66"/>
      <c r="B21" s="8" t="s">
        <v>2087</v>
      </c>
      <c r="C21" s="35" t="s">
        <v>195</v>
      </c>
      <c r="D21" s="34" t="s">
        <v>2585</v>
      </c>
      <c r="E21" s="24" t="s">
        <v>9</v>
      </c>
    </row>
    <row r="22">
      <c r="A22" s="66"/>
      <c r="B22" s="34" t="s">
        <v>2583</v>
      </c>
      <c r="C22" s="35" t="s">
        <v>285</v>
      </c>
      <c r="D22" s="32" t="s">
        <v>2584</v>
      </c>
      <c r="E22" s="11" t="s">
        <v>13</v>
      </c>
    </row>
    <row r="23">
      <c r="A23" s="66"/>
      <c r="B23" s="1" t="s">
        <v>2586</v>
      </c>
      <c r="C23" s="2"/>
      <c r="D23" s="3"/>
      <c r="E23" s="29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2006</v>
      </c>
      <c r="C25" s="33" t="s">
        <v>404</v>
      </c>
      <c r="D25" s="34" t="s">
        <v>2144</v>
      </c>
      <c r="E25" s="11" t="s">
        <v>9</v>
      </c>
    </row>
    <row r="26">
      <c r="A26" s="66"/>
      <c r="B26" s="8" t="s">
        <v>2587</v>
      </c>
      <c r="C26" s="33" t="s">
        <v>283</v>
      </c>
      <c r="D26" s="32" t="s">
        <v>2588</v>
      </c>
      <c r="E26" s="11" t="s">
        <v>13</v>
      </c>
    </row>
    <row r="27">
      <c r="A27" s="66"/>
      <c r="B27" s="34" t="s">
        <v>1812</v>
      </c>
      <c r="C27" s="33" t="s">
        <v>239</v>
      </c>
      <c r="D27" s="34" t="s">
        <v>2006</v>
      </c>
      <c r="E27" s="11" t="s">
        <v>9</v>
      </c>
    </row>
    <row r="28">
      <c r="A28" s="66"/>
      <c r="B28" s="8" t="s">
        <v>2587</v>
      </c>
      <c r="C28" s="33" t="s">
        <v>64</v>
      </c>
      <c r="D28" s="34" t="s">
        <v>2144</v>
      </c>
      <c r="E28" s="11" t="s">
        <v>13</v>
      </c>
    </row>
    <row r="29">
      <c r="A29" s="66"/>
      <c r="B29" s="34" t="s">
        <v>1812</v>
      </c>
      <c r="C29" s="33" t="s">
        <v>68</v>
      </c>
      <c r="D29" s="32" t="s">
        <v>2588</v>
      </c>
      <c r="E29" s="11" t="s">
        <v>9</v>
      </c>
    </row>
    <row r="30">
      <c r="A30" s="66"/>
      <c r="B30" s="8" t="s">
        <v>2587</v>
      </c>
      <c r="C30" s="33" t="s">
        <v>217</v>
      </c>
      <c r="D30" s="34" t="s">
        <v>2006</v>
      </c>
      <c r="E30" s="11" t="s">
        <v>13</v>
      </c>
    </row>
    <row r="31">
      <c r="A31" s="66"/>
      <c r="B31" s="34" t="s">
        <v>1812</v>
      </c>
      <c r="C31" s="33" t="s">
        <v>11</v>
      </c>
      <c r="D31" s="34" t="s">
        <v>2144</v>
      </c>
      <c r="E31" s="11" t="s">
        <v>9</v>
      </c>
    </row>
    <row r="32">
      <c r="A32" s="66"/>
      <c r="B32" s="32" t="s">
        <v>2588</v>
      </c>
      <c r="C32" s="33" t="s">
        <v>251</v>
      </c>
      <c r="D32" s="34" t="s">
        <v>2006</v>
      </c>
      <c r="E32" s="11" t="s">
        <v>13</v>
      </c>
    </row>
    <row r="33">
      <c r="A33" s="66"/>
      <c r="B33" s="34" t="s">
        <v>1812</v>
      </c>
      <c r="C33" s="33" t="s">
        <v>201</v>
      </c>
      <c r="D33" s="8" t="s">
        <v>2587</v>
      </c>
      <c r="E33" s="11" t="s">
        <v>9</v>
      </c>
    </row>
    <row r="34">
      <c r="A34" s="66"/>
      <c r="B34" s="32" t="s">
        <v>2588</v>
      </c>
      <c r="C34" s="33" t="s">
        <v>22</v>
      </c>
      <c r="D34" s="34" t="s">
        <v>2144</v>
      </c>
      <c r="E34" s="11" t="s">
        <v>13</v>
      </c>
    </row>
    <row r="35">
      <c r="A35" s="66"/>
      <c r="B35" s="34" t="s">
        <v>2144</v>
      </c>
      <c r="C35" s="33" t="s">
        <v>68</v>
      </c>
      <c r="D35" s="34" t="s">
        <v>2006</v>
      </c>
      <c r="E35" s="11" t="s">
        <v>9</v>
      </c>
    </row>
    <row r="36">
      <c r="A36" s="66"/>
      <c r="B36" s="32" t="s">
        <v>2588</v>
      </c>
      <c r="C36" s="33" t="s">
        <v>48</v>
      </c>
      <c r="D36" s="8" t="s">
        <v>2587</v>
      </c>
      <c r="E36" s="11" t="s">
        <v>13</v>
      </c>
    </row>
    <row r="37">
      <c r="A37" s="66"/>
      <c r="B37" s="34" t="s">
        <v>2006</v>
      </c>
      <c r="C37" s="35" t="s">
        <v>201</v>
      </c>
      <c r="D37" s="34" t="s">
        <v>1812</v>
      </c>
      <c r="E37" s="11" t="s">
        <v>9</v>
      </c>
    </row>
    <row r="38">
      <c r="A38" s="66"/>
      <c r="B38" s="34" t="s">
        <v>2144</v>
      </c>
      <c r="C38" s="35" t="s">
        <v>305</v>
      </c>
      <c r="D38" s="8" t="s">
        <v>2587</v>
      </c>
      <c r="E38" s="11" t="s">
        <v>13</v>
      </c>
    </row>
    <row r="39">
      <c r="A39" s="66"/>
      <c r="B39" s="32" t="s">
        <v>2588</v>
      </c>
      <c r="C39" s="35" t="s">
        <v>217</v>
      </c>
      <c r="D39" s="34" t="s">
        <v>1812</v>
      </c>
      <c r="E39" s="11" t="s">
        <v>9</v>
      </c>
    </row>
    <row r="40">
      <c r="A40" s="66"/>
      <c r="B40" s="34" t="s">
        <v>2006</v>
      </c>
      <c r="C40" s="35" t="s">
        <v>7</v>
      </c>
      <c r="D40" s="8" t="s">
        <v>2587</v>
      </c>
      <c r="E40" s="11" t="s">
        <v>13</v>
      </c>
    </row>
    <row r="41">
      <c r="A41" s="66"/>
      <c r="B41" s="34" t="s">
        <v>2144</v>
      </c>
      <c r="C41" s="35" t="s">
        <v>16</v>
      </c>
      <c r="D41" s="34" t="s">
        <v>1812</v>
      </c>
      <c r="E41" s="11" t="s">
        <v>9</v>
      </c>
    </row>
    <row r="42">
      <c r="A42" s="66"/>
      <c r="B42" s="34" t="s">
        <v>2006</v>
      </c>
      <c r="C42" s="35" t="s">
        <v>18</v>
      </c>
      <c r="D42" s="32" t="s">
        <v>2588</v>
      </c>
      <c r="E42" s="11" t="s">
        <v>13</v>
      </c>
    </row>
    <row r="43">
      <c r="A43" s="66"/>
      <c r="B43" s="8" t="s">
        <v>2587</v>
      </c>
      <c r="C43" s="35" t="s">
        <v>51</v>
      </c>
      <c r="D43" s="34" t="s">
        <v>1812</v>
      </c>
      <c r="E43" s="11" t="s">
        <v>9</v>
      </c>
    </row>
    <row r="44">
      <c r="A44" s="67"/>
      <c r="B44" s="34" t="s">
        <v>2144</v>
      </c>
      <c r="C44" s="35" t="s">
        <v>22</v>
      </c>
      <c r="D44" s="32" t="s">
        <v>2588</v>
      </c>
      <c r="E44" s="11" t="s">
        <v>13</v>
      </c>
    </row>
    <row r="45">
      <c r="B45" s="1" t="s">
        <v>1400</v>
      </c>
      <c r="C45" s="2"/>
      <c r="D45" s="3"/>
      <c r="E45" s="14"/>
    </row>
    <row r="46">
      <c r="B46" s="16" t="s">
        <v>2</v>
      </c>
      <c r="C46" s="16" t="s">
        <v>3</v>
      </c>
      <c r="D46" s="16" t="s">
        <v>4</v>
      </c>
      <c r="E46" s="16" t="s">
        <v>5</v>
      </c>
    </row>
    <row r="47">
      <c r="B47" s="32" t="s">
        <v>2589</v>
      </c>
      <c r="C47" s="35" t="s">
        <v>196</v>
      </c>
      <c r="D47" s="32" t="s">
        <v>2590</v>
      </c>
      <c r="E47" s="11" t="s">
        <v>9</v>
      </c>
    </row>
    <row r="48">
      <c r="B48" s="32" t="s">
        <v>2591</v>
      </c>
      <c r="C48" s="35" t="s">
        <v>282</v>
      </c>
      <c r="D48" s="32" t="s">
        <v>2592</v>
      </c>
      <c r="E48" s="11" t="s">
        <v>13</v>
      </c>
    </row>
    <row r="49">
      <c r="B49" s="32" t="s">
        <v>2593</v>
      </c>
      <c r="C49" s="35" t="s">
        <v>217</v>
      </c>
      <c r="D49" s="32" t="s">
        <v>2589</v>
      </c>
      <c r="E49" s="11" t="s">
        <v>9</v>
      </c>
    </row>
    <row r="50">
      <c r="B50" s="32" t="s">
        <v>2591</v>
      </c>
      <c r="C50" s="35" t="s">
        <v>38</v>
      </c>
      <c r="D50" s="32" t="s">
        <v>2590</v>
      </c>
      <c r="E50" s="11" t="s">
        <v>13</v>
      </c>
    </row>
    <row r="51">
      <c r="B51" s="32" t="s">
        <v>2593</v>
      </c>
      <c r="C51" s="35" t="s">
        <v>69</v>
      </c>
      <c r="D51" s="32" t="s">
        <v>2592</v>
      </c>
      <c r="E51" s="11" t="s">
        <v>9</v>
      </c>
    </row>
    <row r="52">
      <c r="B52" s="32" t="s">
        <v>2591</v>
      </c>
      <c r="C52" s="35" t="s">
        <v>289</v>
      </c>
      <c r="D52" s="32" t="s">
        <v>2589</v>
      </c>
      <c r="E52" s="11" t="s">
        <v>13</v>
      </c>
    </row>
    <row r="53">
      <c r="B53" s="32" t="s">
        <v>2593</v>
      </c>
      <c r="C53" s="35" t="s">
        <v>55</v>
      </c>
      <c r="D53" s="32" t="s">
        <v>2590</v>
      </c>
      <c r="E53" s="11" t="s">
        <v>9</v>
      </c>
    </row>
    <row r="54">
      <c r="B54" s="32" t="s">
        <v>2592</v>
      </c>
      <c r="C54" s="35" t="s">
        <v>81</v>
      </c>
      <c r="D54" s="32" t="s">
        <v>2589</v>
      </c>
      <c r="E54" s="11" t="s">
        <v>13</v>
      </c>
    </row>
    <row r="55">
      <c r="B55" s="32" t="s">
        <v>2593</v>
      </c>
      <c r="C55" s="35" t="s">
        <v>232</v>
      </c>
      <c r="D55" s="32" t="s">
        <v>2591</v>
      </c>
      <c r="E55" s="11" t="s">
        <v>9</v>
      </c>
    </row>
    <row r="56">
      <c r="B56" s="32" t="s">
        <v>2592</v>
      </c>
      <c r="C56" s="35" t="s">
        <v>716</v>
      </c>
      <c r="D56" s="32" t="s">
        <v>2590</v>
      </c>
      <c r="E56" s="11" t="s">
        <v>13</v>
      </c>
    </row>
    <row r="57">
      <c r="B57" s="32" t="s">
        <v>2590</v>
      </c>
      <c r="C57" s="35" t="s">
        <v>43</v>
      </c>
      <c r="D57" s="32" t="s">
        <v>2589</v>
      </c>
      <c r="E57" s="11" t="s">
        <v>9</v>
      </c>
    </row>
    <row r="58">
      <c r="B58" s="32" t="s">
        <v>2592</v>
      </c>
      <c r="C58" s="35" t="s">
        <v>270</v>
      </c>
      <c r="D58" s="32" t="s">
        <v>2591</v>
      </c>
      <c r="E58" s="11" t="s">
        <v>13</v>
      </c>
    </row>
    <row r="59">
      <c r="B59" s="32" t="s">
        <v>2589</v>
      </c>
      <c r="C59" s="35" t="s">
        <v>35</v>
      </c>
      <c r="D59" s="32" t="s">
        <v>2593</v>
      </c>
      <c r="E59" s="11" t="s">
        <v>9</v>
      </c>
    </row>
    <row r="60">
      <c r="B60" s="32" t="s">
        <v>2590</v>
      </c>
      <c r="C60" s="35" t="s">
        <v>22</v>
      </c>
      <c r="D60" s="32" t="s">
        <v>2591</v>
      </c>
      <c r="E60" s="11" t="s">
        <v>13</v>
      </c>
    </row>
    <row r="61">
      <c r="B61" s="32" t="s">
        <v>2592</v>
      </c>
      <c r="C61" s="35" t="s">
        <v>239</v>
      </c>
      <c r="D61" s="32" t="s">
        <v>2593</v>
      </c>
      <c r="E61" s="11" t="s">
        <v>9</v>
      </c>
    </row>
    <row r="62">
      <c r="B62" s="32" t="s">
        <v>2589</v>
      </c>
      <c r="C62" s="35" t="s">
        <v>43</v>
      </c>
      <c r="D62" s="32" t="s">
        <v>2591</v>
      </c>
      <c r="E62" s="11" t="s">
        <v>13</v>
      </c>
    </row>
    <row r="63">
      <c r="B63" s="32" t="s">
        <v>2590</v>
      </c>
      <c r="C63" s="35" t="s">
        <v>68</v>
      </c>
      <c r="D63" s="32" t="s">
        <v>2593</v>
      </c>
      <c r="E63" s="11" t="s">
        <v>9</v>
      </c>
    </row>
    <row r="64">
      <c r="B64" s="32" t="s">
        <v>2589</v>
      </c>
      <c r="C64" s="35" t="s">
        <v>354</v>
      </c>
      <c r="D64" s="32" t="s">
        <v>2592</v>
      </c>
      <c r="E64" s="11" t="s">
        <v>13</v>
      </c>
    </row>
    <row r="65">
      <c r="B65" s="32" t="s">
        <v>2591</v>
      </c>
      <c r="C65" s="35" t="s">
        <v>339</v>
      </c>
      <c r="D65" s="32" t="s">
        <v>2593</v>
      </c>
      <c r="E65" s="11" t="s">
        <v>9</v>
      </c>
    </row>
    <row r="66">
      <c r="B66" s="32" t="s">
        <v>2590</v>
      </c>
      <c r="C66" s="35" t="s">
        <v>87</v>
      </c>
      <c r="D66" s="32" t="s">
        <v>2592</v>
      </c>
      <c r="E66" s="11" t="s">
        <v>13</v>
      </c>
    </row>
    <row r="67">
      <c r="B67" s="1" t="s">
        <v>2099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16" t="s">
        <v>5</v>
      </c>
    </row>
    <row r="69">
      <c r="B69" s="32" t="s">
        <v>2243</v>
      </c>
      <c r="C69" s="35" t="s">
        <v>455</v>
      </c>
      <c r="D69" s="32" t="s">
        <v>1998</v>
      </c>
      <c r="E69" s="11" t="s">
        <v>9</v>
      </c>
    </row>
    <row r="70">
      <c r="B70" s="32" t="s">
        <v>2594</v>
      </c>
      <c r="C70" s="35" t="s">
        <v>286</v>
      </c>
      <c r="D70" s="32" t="s">
        <v>2595</v>
      </c>
      <c r="E70" s="11" t="s">
        <v>13</v>
      </c>
    </row>
    <row r="71">
      <c r="B71" s="32" t="s">
        <v>315</v>
      </c>
      <c r="C71" s="35" t="s">
        <v>195</v>
      </c>
      <c r="D71" s="32" t="s">
        <v>2243</v>
      </c>
      <c r="E71" s="11" t="s">
        <v>9</v>
      </c>
    </row>
    <row r="72">
      <c r="B72" s="32" t="s">
        <v>2594</v>
      </c>
      <c r="C72" s="35" t="s">
        <v>83</v>
      </c>
      <c r="D72" s="32" t="s">
        <v>1998</v>
      </c>
      <c r="E72" s="11" t="s">
        <v>13</v>
      </c>
    </row>
    <row r="73">
      <c r="B73" s="32" t="s">
        <v>315</v>
      </c>
      <c r="C73" s="35" t="s">
        <v>245</v>
      </c>
      <c r="D73" s="32" t="s">
        <v>2595</v>
      </c>
      <c r="E73" s="11" t="s">
        <v>9</v>
      </c>
    </row>
    <row r="74">
      <c r="B74" s="32" t="s">
        <v>2594</v>
      </c>
      <c r="C74" s="35" t="s">
        <v>2596</v>
      </c>
      <c r="D74" s="32" t="s">
        <v>2243</v>
      </c>
      <c r="E74" s="11" t="s">
        <v>13</v>
      </c>
    </row>
    <row r="75">
      <c r="B75" s="32" t="s">
        <v>315</v>
      </c>
      <c r="C75" s="35" t="s">
        <v>22</v>
      </c>
      <c r="D75" s="32" t="s">
        <v>1998</v>
      </c>
      <c r="E75" s="11" t="s">
        <v>9</v>
      </c>
    </row>
    <row r="76">
      <c r="B76" s="32" t="s">
        <v>2595</v>
      </c>
      <c r="C76" s="35" t="s">
        <v>212</v>
      </c>
      <c r="D76" s="32" t="s">
        <v>2243</v>
      </c>
      <c r="E76" s="11" t="s">
        <v>13</v>
      </c>
    </row>
    <row r="77">
      <c r="B77" s="32" t="s">
        <v>315</v>
      </c>
      <c r="C77" s="35" t="s">
        <v>289</v>
      </c>
      <c r="D77" s="32" t="s">
        <v>2594</v>
      </c>
      <c r="E77" s="11" t="s">
        <v>9</v>
      </c>
    </row>
    <row r="78">
      <c r="B78" s="32" t="s">
        <v>2595</v>
      </c>
      <c r="C78" s="35" t="s">
        <v>11</v>
      </c>
      <c r="D78" s="32" t="s">
        <v>1998</v>
      </c>
      <c r="E78" s="11" t="s">
        <v>13</v>
      </c>
    </row>
    <row r="79">
      <c r="B79" s="32" t="s">
        <v>1998</v>
      </c>
      <c r="C79" s="35" t="s">
        <v>45</v>
      </c>
      <c r="D79" s="32" t="s">
        <v>2243</v>
      </c>
      <c r="E79" s="11" t="s">
        <v>9</v>
      </c>
    </row>
    <row r="80">
      <c r="B80" s="32" t="s">
        <v>2595</v>
      </c>
      <c r="C80" s="35" t="s">
        <v>411</v>
      </c>
      <c r="D80" s="32" t="s">
        <v>2594</v>
      </c>
      <c r="E80" s="11" t="s">
        <v>13</v>
      </c>
    </row>
    <row r="81">
      <c r="B81" s="32" t="s">
        <v>2243</v>
      </c>
      <c r="C81" s="35" t="s">
        <v>72</v>
      </c>
      <c r="D81" s="32" t="s">
        <v>315</v>
      </c>
      <c r="E81" s="11" t="s">
        <v>9</v>
      </c>
    </row>
    <row r="82">
      <c r="B82" s="32" t="s">
        <v>1998</v>
      </c>
      <c r="C82" s="35" t="s">
        <v>14</v>
      </c>
      <c r="D82" s="32" t="s">
        <v>2594</v>
      </c>
      <c r="E82" s="11" t="s">
        <v>13</v>
      </c>
    </row>
    <row r="83">
      <c r="B83" s="32" t="s">
        <v>2595</v>
      </c>
      <c r="C83" s="35" t="s">
        <v>70</v>
      </c>
      <c r="D83" s="32" t="s">
        <v>315</v>
      </c>
      <c r="E83" s="11" t="s">
        <v>9</v>
      </c>
    </row>
    <row r="84">
      <c r="B84" s="32" t="s">
        <v>2243</v>
      </c>
      <c r="C84" s="35" t="s">
        <v>1748</v>
      </c>
      <c r="D84" s="32" t="s">
        <v>2594</v>
      </c>
      <c r="E84" s="11" t="s">
        <v>13</v>
      </c>
    </row>
    <row r="85">
      <c r="B85" s="32" t="s">
        <v>1998</v>
      </c>
      <c r="C85" s="35" t="s">
        <v>286</v>
      </c>
      <c r="D85" s="32" t="s">
        <v>315</v>
      </c>
      <c r="E85" s="11" t="s">
        <v>9</v>
      </c>
    </row>
    <row r="86">
      <c r="B86" s="32" t="s">
        <v>2243</v>
      </c>
      <c r="C86" s="35" t="s">
        <v>11</v>
      </c>
      <c r="D86" s="32" t="s">
        <v>2595</v>
      </c>
      <c r="E86" s="11" t="s">
        <v>13</v>
      </c>
    </row>
    <row r="87">
      <c r="B87" s="32" t="s">
        <v>2594</v>
      </c>
      <c r="C87" s="35" t="s">
        <v>72</v>
      </c>
      <c r="D87" s="32" t="s">
        <v>315</v>
      </c>
      <c r="E87" s="11" t="s">
        <v>9</v>
      </c>
    </row>
    <row r="88">
      <c r="B88" s="32" t="s">
        <v>1998</v>
      </c>
      <c r="C88" s="35" t="s">
        <v>2189</v>
      </c>
      <c r="D88" s="32" t="s">
        <v>2595</v>
      </c>
      <c r="E88" s="11" t="s">
        <v>13</v>
      </c>
    </row>
    <row r="89">
      <c r="B89" s="1" t="s">
        <v>2597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16" t="s">
        <v>5</v>
      </c>
    </row>
    <row r="91">
      <c r="B91" s="32" t="s">
        <v>2598</v>
      </c>
      <c r="C91" s="33" t="s">
        <v>239</v>
      </c>
      <c r="D91" s="32" t="s">
        <v>2599</v>
      </c>
      <c r="E91" s="11" t="s">
        <v>33</v>
      </c>
    </row>
    <row r="92">
      <c r="B92" s="32" t="s">
        <v>2517</v>
      </c>
      <c r="C92" s="57" t="s">
        <v>449</v>
      </c>
      <c r="D92" s="32" t="s">
        <v>2600</v>
      </c>
      <c r="E92" s="24" t="s">
        <v>37</v>
      </c>
    </row>
    <row r="93">
      <c r="B93" s="32" t="s">
        <v>2601</v>
      </c>
      <c r="C93" s="33" t="s">
        <v>68</v>
      </c>
      <c r="D93" s="32" t="s">
        <v>2598</v>
      </c>
      <c r="E93" s="11" t="s">
        <v>33</v>
      </c>
    </row>
    <row r="94">
      <c r="B94" s="32" t="s">
        <v>2517</v>
      </c>
      <c r="C94" s="33" t="s">
        <v>81</v>
      </c>
      <c r="D94" s="32" t="s">
        <v>2599</v>
      </c>
      <c r="E94" s="11" t="s">
        <v>37</v>
      </c>
    </row>
    <row r="95">
      <c r="B95" s="32" t="s">
        <v>2601</v>
      </c>
      <c r="C95" s="57" t="s">
        <v>449</v>
      </c>
      <c r="D95" s="32" t="s">
        <v>2600</v>
      </c>
      <c r="E95" s="24" t="s">
        <v>33</v>
      </c>
    </row>
    <row r="96">
      <c r="B96" s="32" t="s">
        <v>2517</v>
      </c>
      <c r="C96" s="33" t="s">
        <v>291</v>
      </c>
      <c r="D96" s="32" t="s">
        <v>2598</v>
      </c>
      <c r="E96" s="11" t="s">
        <v>37</v>
      </c>
    </row>
    <row r="97">
      <c r="B97" s="32" t="s">
        <v>2601</v>
      </c>
      <c r="C97" s="33" t="s">
        <v>83</v>
      </c>
      <c r="D97" s="32" t="s">
        <v>2599</v>
      </c>
      <c r="E97" s="11" t="s">
        <v>33</v>
      </c>
    </row>
    <row r="98">
      <c r="B98" s="32" t="s">
        <v>2600</v>
      </c>
      <c r="C98" s="57" t="s">
        <v>449</v>
      </c>
      <c r="D98" s="32" t="s">
        <v>2598</v>
      </c>
      <c r="E98" s="24" t="s">
        <v>37</v>
      </c>
    </row>
    <row r="99">
      <c r="B99" s="32" t="s">
        <v>2601</v>
      </c>
      <c r="C99" s="33" t="s">
        <v>460</v>
      </c>
      <c r="D99" s="32" t="s">
        <v>2517</v>
      </c>
      <c r="E99" s="11" t="s">
        <v>33</v>
      </c>
    </row>
    <row r="100">
      <c r="B100" s="32" t="s">
        <v>2600</v>
      </c>
      <c r="C100" s="57" t="s">
        <v>449</v>
      </c>
      <c r="D100" s="32" t="s">
        <v>2599</v>
      </c>
      <c r="E100" s="24" t="s">
        <v>37</v>
      </c>
    </row>
    <row r="101">
      <c r="B101" s="32" t="s">
        <v>2599</v>
      </c>
      <c r="C101" s="33" t="s">
        <v>17</v>
      </c>
      <c r="D101" s="32" t="s">
        <v>2598</v>
      </c>
      <c r="E101" s="11" t="s">
        <v>33</v>
      </c>
    </row>
    <row r="102">
      <c r="B102" s="32" t="s">
        <v>2600</v>
      </c>
      <c r="C102" s="57" t="s">
        <v>449</v>
      </c>
      <c r="D102" s="32" t="s">
        <v>2517</v>
      </c>
      <c r="E102" s="24" t="s">
        <v>37</v>
      </c>
    </row>
    <row r="103">
      <c r="B103" s="32" t="s">
        <v>2598</v>
      </c>
      <c r="C103" s="33" t="s">
        <v>282</v>
      </c>
      <c r="D103" s="32" t="s">
        <v>2601</v>
      </c>
      <c r="E103" s="11" t="s">
        <v>33</v>
      </c>
    </row>
    <row r="104">
      <c r="B104" s="32" t="s">
        <v>2599</v>
      </c>
      <c r="C104" s="33" t="s">
        <v>16</v>
      </c>
      <c r="D104" s="32" t="s">
        <v>2517</v>
      </c>
      <c r="E104" s="11" t="s">
        <v>37</v>
      </c>
    </row>
    <row r="105">
      <c r="B105" s="32" t="s">
        <v>2600</v>
      </c>
      <c r="C105" s="57" t="s">
        <v>449</v>
      </c>
      <c r="D105" s="32" t="s">
        <v>2601</v>
      </c>
      <c r="E105" s="24" t="s">
        <v>33</v>
      </c>
    </row>
    <row r="106">
      <c r="B106" s="32" t="s">
        <v>2598</v>
      </c>
      <c r="C106" s="33" t="s">
        <v>2602</v>
      </c>
      <c r="D106" s="32" t="s">
        <v>2517</v>
      </c>
      <c r="E106" s="11" t="s">
        <v>37</v>
      </c>
    </row>
    <row r="107">
      <c r="B107" s="32" t="s">
        <v>2599</v>
      </c>
      <c r="C107" s="33" t="s">
        <v>1672</v>
      </c>
      <c r="D107" s="32" t="s">
        <v>2601</v>
      </c>
      <c r="E107" s="11" t="s">
        <v>33</v>
      </c>
    </row>
    <row r="108">
      <c r="B108" s="32" t="s">
        <v>2598</v>
      </c>
      <c r="C108" s="57" t="s">
        <v>449</v>
      </c>
      <c r="D108" s="32" t="s">
        <v>2600</v>
      </c>
      <c r="E108" s="24" t="s">
        <v>37</v>
      </c>
    </row>
    <row r="109">
      <c r="B109" s="32" t="s">
        <v>2517</v>
      </c>
      <c r="C109" s="35" t="s">
        <v>71</v>
      </c>
      <c r="D109" s="32" t="s">
        <v>2601</v>
      </c>
      <c r="E109" s="11" t="s">
        <v>33</v>
      </c>
    </row>
    <row r="110">
      <c r="B110" s="32" t="s">
        <v>2599</v>
      </c>
      <c r="C110" s="57" t="s">
        <v>449</v>
      </c>
      <c r="D110" s="32" t="s">
        <v>2600</v>
      </c>
      <c r="E110" s="24" t="s">
        <v>37</v>
      </c>
    </row>
    <row r="111">
      <c r="B111" s="1" t="s">
        <v>2603</v>
      </c>
      <c r="C111" s="2"/>
      <c r="D111" s="3"/>
      <c r="E111" s="4"/>
      <c r="H111" s="57"/>
    </row>
    <row r="112">
      <c r="B112" s="16" t="s">
        <v>2</v>
      </c>
      <c r="C112" s="16" t="s">
        <v>3</v>
      </c>
      <c r="D112" s="16" t="s">
        <v>4</v>
      </c>
      <c r="E112" s="16" t="s">
        <v>5</v>
      </c>
      <c r="I112" s="36" t="s">
        <v>663</v>
      </c>
    </row>
    <row r="113">
      <c r="B113" s="32" t="s">
        <v>2604</v>
      </c>
      <c r="C113" s="33" t="s">
        <v>87</v>
      </c>
      <c r="D113" s="32" t="s">
        <v>1762</v>
      </c>
      <c r="E113" s="11" t="s">
        <v>33</v>
      </c>
    </row>
    <row r="114">
      <c r="B114" s="32" t="s">
        <v>1104</v>
      </c>
      <c r="C114" s="57" t="s">
        <v>449</v>
      </c>
      <c r="D114" s="32" t="s">
        <v>2605</v>
      </c>
      <c r="E114" s="24" t="s">
        <v>37</v>
      </c>
    </row>
    <row r="115">
      <c r="B115" s="32" t="s">
        <v>2013</v>
      </c>
      <c r="C115" s="33" t="s">
        <v>325</v>
      </c>
      <c r="D115" s="32" t="s">
        <v>2604</v>
      </c>
      <c r="E115" s="11" t="s">
        <v>33</v>
      </c>
    </row>
    <row r="116">
      <c r="B116" s="32" t="s">
        <v>1104</v>
      </c>
      <c r="C116" s="33" t="s">
        <v>250</v>
      </c>
      <c r="D116" s="32" t="s">
        <v>1762</v>
      </c>
      <c r="E116" s="11" t="s">
        <v>37</v>
      </c>
    </row>
    <row r="117">
      <c r="B117" s="32" t="s">
        <v>2013</v>
      </c>
      <c r="C117" s="57" t="s">
        <v>449</v>
      </c>
      <c r="D117" s="32" t="s">
        <v>2605</v>
      </c>
      <c r="E117" s="24" t="s">
        <v>33</v>
      </c>
    </row>
    <row r="118">
      <c r="B118" s="32" t="s">
        <v>1104</v>
      </c>
      <c r="C118" s="33" t="s">
        <v>196</v>
      </c>
      <c r="D118" s="32" t="s">
        <v>2604</v>
      </c>
      <c r="E118" s="11" t="s">
        <v>37</v>
      </c>
    </row>
    <row r="119">
      <c r="B119" s="32" t="s">
        <v>2013</v>
      </c>
      <c r="C119" s="33" t="s">
        <v>17</v>
      </c>
      <c r="D119" s="32" t="s">
        <v>1762</v>
      </c>
      <c r="E119" s="11" t="s">
        <v>33</v>
      </c>
    </row>
    <row r="120">
      <c r="B120" s="32" t="s">
        <v>2605</v>
      </c>
      <c r="C120" s="57" t="s">
        <v>449</v>
      </c>
      <c r="D120" s="32" t="s">
        <v>2604</v>
      </c>
      <c r="E120" s="24" t="s">
        <v>37</v>
      </c>
    </row>
    <row r="121">
      <c r="B121" s="32" t="s">
        <v>2013</v>
      </c>
      <c r="C121" s="33" t="s">
        <v>68</v>
      </c>
      <c r="D121" s="32" t="s">
        <v>1104</v>
      </c>
      <c r="E121" s="11" t="s">
        <v>33</v>
      </c>
    </row>
    <row r="122">
      <c r="B122" s="32" t="s">
        <v>2605</v>
      </c>
      <c r="C122" s="57" t="s">
        <v>449</v>
      </c>
      <c r="D122" s="32" t="s">
        <v>1762</v>
      </c>
      <c r="E122" s="24" t="s">
        <v>37</v>
      </c>
    </row>
    <row r="123">
      <c r="B123" s="32" t="s">
        <v>1762</v>
      </c>
      <c r="C123" s="33" t="s">
        <v>201</v>
      </c>
      <c r="D123" s="32" t="s">
        <v>2604</v>
      </c>
      <c r="E123" s="11" t="s">
        <v>33</v>
      </c>
    </row>
    <row r="124">
      <c r="B124" s="32" t="s">
        <v>2605</v>
      </c>
      <c r="C124" s="57" t="s">
        <v>449</v>
      </c>
      <c r="D124" s="32" t="s">
        <v>1104</v>
      </c>
      <c r="E124" s="24" t="s">
        <v>37</v>
      </c>
    </row>
    <row r="125">
      <c r="B125" s="32" t="s">
        <v>2604</v>
      </c>
      <c r="C125" s="33" t="s">
        <v>297</v>
      </c>
      <c r="D125" s="32" t="s">
        <v>2013</v>
      </c>
      <c r="E125" s="11" t="s">
        <v>33</v>
      </c>
    </row>
    <row r="126">
      <c r="B126" s="32" t="s">
        <v>1762</v>
      </c>
      <c r="C126" s="33" t="s">
        <v>64</v>
      </c>
      <c r="D126" s="32" t="s">
        <v>1104</v>
      </c>
      <c r="E126" s="11" t="s">
        <v>37</v>
      </c>
      <c r="J126" s="57"/>
    </row>
    <row r="127">
      <c r="B127" s="32" t="s">
        <v>2605</v>
      </c>
      <c r="C127" s="57" t="s">
        <v>449</v>
      </c>
      <c r="D127" s="32" t="s">
        <v>2013</v>
      </c>
      <c r="E127" s="24" t="s">
        <v>33</v>
      </c>
    </row>
    <row r="128">
      <c r="B128" s="32" t="s">
        <v>2604</v>
      </c>
      <c r="C128" s="33" t="s">
        <v>195</v>
      </c>
      <c r="D128" s="32" t="s">
        <v>1104</v>
      </c>
      <c r="E128" s="11" t="s">
        <v>37</v>
      </c>
    </row>
    <row r="129">
      <c r="B129" s="32" t="s">
        <v>1762</v>
      </c>
      <c r="C129" s="33" t="s">
        <v>1425</v>
      </c>
      <c r="D129" s="32" t="s">
        <v>2013</v>
      </c>
      <c r="E129" s="11" t="s">
        <v>33</v>
      </c>
    </row>
    <row r="130">
      <c r="B130" s="32" t="s">
        <v>2604</v>
      </c>
      <c r="C130" s="57" t="s">
        <v>449</v>
      </c>
      <c r="D130" s="32" t="s">
        <v>2605</v>
      </c>
      <c r="E130" s="24" t="s">
        <v>37</v>
      </c>
    </row>
    <row r="131">
      <c r="B131" s="32" t="s">
        <v>1104</v>
      </c>
      <c r="C131" s="33" t="s">
        <v>260</v>
      </c>
      <c r="D131" s="32" t="s">
        <v>2013</v>
      </c>
      <c r="E131" s="11" t="s">
        <v>33</v>
      </c>
      <c r="G131" s="57"/>
    </row>
    <row r="132">
      <c r="B132" s="32" t="s">
        <v>1762</v>
      </c>
      <c r="C132" s="57" t="s">
        <v>449</v>
      </c>
      <c r="D132" s="32" t="s">
        <v>2605</v>
      </c>
      <c r="E132" s="24" t="s">
        <v>37</v>
      </c>
    </row>
    <row r="133">
      <c r="B133" s="1" t="s">
        <v>2382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32" t="s">
        <v>2606</v>
      </c>
      <c r="C135" s="35" t="s">
        <v>195</v>
      </c>
      <c r="D135" s="32" t="s">
        <v>560</v>
      </c>
      <c r="E135" s="11" t="s">
        <v>9</v>
      </c>
    </row>
    <row r="136">
      <c r="B136" s="32" t="s">
        <v>2607</v>
      </c>
      <c r="C136" s="35" t="s">
        <v>19</v>
      </c>
      <c r="D136" s="32" t="s">
        <v>2269</v>
      </c>
      <c r="E136" s="11" t="s">
        <v>13</v>
      </c>
    </row>
    <row r="137">
      <c r="B137" s="32" t="s">
        <v>2608</v>
      </c>
      <c r="C137" s="35" t="s">
        <v>251</v>
      </c>
      <c r="D137" s="32" t="s">
        <v>2606</v>
      </c>
      <c r="E137" s="11" t="s">
        <v>9</v>
      </c>
    </row>
    <row r="138">
      <c r="A138" s="36" t="s">
        <v>229</v>
      </c>
      <c r="B138" s="32" t="s">
        <v>2607</v>
      </c>
      <c r="C138" s="35" t="s">
        <v>232</v>
      </c>
      <c r="D138" s="32" t="s">
        <v>560</v>
      </c>
      <c r="E138" s="11" t="s">
        <v>13</v>
      </c>
    </row>
    <row r="139">
      <c r="B139" s="32" t="s">
        <v>2608</v>
      </c>
      <c r="C139" s="35" t="s">
        <v>45</v>
      </c>
      <c r="D139" s="32" t="s">
        <v>2269</v>
      </c>
      <c r="E139" s="11" t="s">
        <v>9</v>
      </c>
    </row>
    <row r="140">
      <c r="B140" s="32" t="s">
        <v>2607</v>
      </c>
      <c r="C140" s="35" t="s">
        <v>55</v>
      </c>
      <c r="D140" s="32" t="s">
        <v>2606</v>
      </c>
      <c r="E140" s="11" t="s">
        <v>13</v>
      </c>
    </row>
    <row r="141">
      <c r="B141" s="32" t="s">
        <v>2608</v>
      </c>
      <c r="C141" s="35" t="s">
        <v>17</v>
      </c>
      <c r="D141" s="32" t="s">
        <v>560</v>
      </c>
      <c r="E141" s="11" t="s">
        <v>9</v>
      </c>
    </row>
    <row r="142">
      <c r="B142" s="32" t="s">
        <v>2269</v>
      </c>
      <c r="C142" s="35" t="s">
        <v>533</v>
      </c>
      <c r="D142" s="32" t="s">
        <v>2606</v>
      </c>
      <c r="E142" s="11" t="s">
        <v>13</v>
      </c>
    </row>
    <row r="143">
      <c r="B143" s="32" t="s">
        <v>2608</v>
      </c>
      <c r="C143" s="35" t="s">
        <v>41</v>
      </c>
      <c r="D143" s="32" t="s">
        <v>2607</v>
      </c>
      <c r="E143" s="11" t="s">
        <v>9</v>
      </c>
    </row>
    <row r="144">
      <c r="B144" s="32" t="s">
        <v>2269</v>
      </c>
      <c r="C144" s="35" t="s">
        <v>18</v>
      </c>
      <c r="D144" s="32" t="s">
        <v>560</v>
      </c>
      <c r="E144" s="11" t="s">
        <v>13</v>
      </c>
    </row>
    <row r="145">
      <c r="B145" s="32" t="s">
        <v>560</v>
      </c>
      <c r="C145" s="35" t="s">
        <v>1019</v>
      </c>
      <c r="D145" s="32" t="s">
        <v>2606</v>
      </c>
      <c r="E145" s="11" t="s">
        <v>9</v>
      </c>
    </row>
    <row r="146">
      <c r="B146" s="32" t="s">
        <v>2269</v>
      </c>
      <c r="C146" s="35" t="s">
        <v>82</v>
      </c>
      <c r="D146" s="32" t="s">
        <v>2607</v>
      </c>
      <c r="E146" s="11" t="s">
        <v>13</v>
      </c>
    </row>
    <row r="147">
      <c r="B147" s="32" t="s">
        <v>2606</v>
      </c>
      <c r="C147" s="35" t="s">
        <v>17</v>
      </c>
      <c r="D147" s="32" t="s">
        <v>2608</v>
      </c>
      <c r="E147" s="11" t="s">
        <v>9</v>
      </c>
    </row>
    <row r="148">
      <c r="B148" s="32" t="s">
        <v>560</v>
      </c>
      <c r="C148" s="35" t="s">
        <v>52</v>
      </c>
      <c r="D148" s="32" t="s">
        <v>2607</v>
      </c>
      <c r="E148" s="11" t="s">
        <v>13</v>
      </c>
    </row>
    <row r="149">
      <c r="B149" s="32" t="s">
        <v>2269</v>
      </c>
      <c r="C149" s="35" t="s">
        <v>196</v>
      </c>
      <c r="D149" s="32" t="s">
        <v>2608</v>
      </c>
      <c r="E149" s="11" t="s">
        <v>9</v>
      </c>
    </row>
    <row r="150">
      <c r="B150" s="32" t="s">
        <v>2606</v>
      </c>
      <c r="C150" s="35" t="s">
        <v>16</v>
      </c>
      <c r="D150" s="32" t="s">
        <v>2607</v>
      </c>
      <c r="E150" s="11" t="s">
        <v>13</v>
      </c>
    </row>
    <row r="151">
      <c r="B151" s="32" t="s">
        <v>560</v>
      </c>
      <c r="C151" s="35" t="s">
        <v>35</v>
      </c>
      <c r="D151" s="32" t="s">
        <v>2608</v>
      </c>
      <c r="E151" s="11" t="s">
        <v>9</v>
      </c>
    </row>
    <row r="152">
      <c r="B152" s="32" t="s">
        <v>2606</v>
      </c>
      <c r="C152" s="35" t="s">
        <v>270</v>
      </c>
      <c r="D152" s="32" t="s">
        <v>2269</v>
      </c>
      <c r="E152" s="11" t="s">
        <v>13</v>
      </c>
    </row>
    <row r="153">
      <c r="B153" s="32" t="s">
        <v>2607</v>
      </c>
      <c r="C153" s="35" t="s">
        <v>25</v>
      </c>
      <c r="D153" s="32" t="s">
        <v>2608</v>
      </c>
      <c r="E153" s="11" t="s">
        <v>9</v>
      </c>
    </row>
    <row r="154">
      <c r="B154" s="32" t="s">
        <v>560</v>
      </c>
      <c r="C154" s="35" t="s">
        <v>190</v>
      </c>
      <c r="D154" s="32" t="s">
        <v>2269</v>
      </c>
      <c r="E154" s="11" t="s">
        <v>13</v>
      </c>
    </row>
    <row r="155">
      <c r="B155" s="1" t="s">
        <v>2609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B157" s="32" t="s">
        <v>104</v>
      </c>
      <c r="C157" s="35" t="s">
        <v>28</v>
      </c>
      <c r="D157" s="32" t="s">
        <v>2610</v>
      </c>
      <c r="E157" s="11" t="s">
        <v>9</v>
      </c>
    </row>
    <row r="158">
      <c r="B158" s="32" t="s">
        <v>2611</v>
      </c>
      <c r="C158" s="35" t="s">
        <v>11</v>
      </c>
      <c r="D158" s="32" t="s">
        <v>2612</v>
      </c>
      <c r="E158" s="11" t="s">
        <v>13</v>
      </c>
    </row>
    <row r="159">
      <c r="B159" s="32" t="s">
        <v>2613</v>
      </c>
      <c r="C159" s="35" t="s">
        <v>195</v>
      </c>
      <c r="D159" s="32" t="s">
        <v>104</v>
      </c>
      <c r="E159" s="11" t="s">
        <v>9</v>
      </c>
    </row>
    <row r="160">
      <c r="B160" s="32" t="s">
        <v>2611</v>
      </c>
      <c r="C160" s="35" t="s">
        <v>196</v>
      </c>
      <c r="D160" s="32" t="s">
        <v>2610</v>
      </c>
      <c r="E160" s="11" t="s">
        <v>13</v>
      </c>
    </row>
    <row r="161">
      <c r="B161" s="32" t="s">
        <v>2613</v>
      </c>
      <c r="C161" s="35" t="s">
        <v>17</v>
      </c>
      <c r="D161" s="32" t="s">
        <v>2612</v>
      </c>
      <c r="E161" s="11" t="s">
        <v>9</v>
      </c>
    </row>
    <row r="162">
      <c r="B162" s="32" t="s">
        <v>2611</v>
      </c>
      <c r="C162" s="35" t="s">
        <v>231</v>
      </c>
      <c r="D162" s="32" t="s">
        <v>104</v>
      </c>
      <c r="E162" s="11" t="s">
        <v>13</v>
      </c>
    </row>
    <row r="163">
      <c r="B163" s="32" t="s">
        <v>2613</v>
      </c>
      <c r="C163" s="35" t="s">
        <v>19</v>
      </c>
      <c r="D163" s="32" t="s">
        <v>2610</v>
      </c>
      <c r="E163" s="11" t="s">
        <v>9</v>
      </c>
    </row>
    <row r="164">
      <c r="B164" s="32" t="s">
        <v>2612</v>
      </c>
      <c r="C164" s="35" t="s">
        <v>81</v>
      </c>
      <c r="D164" s="32" t="s">
        <v>104</v>
      </c>
      <c r="E164" s="11" t="s">
        <v>13</v>
      </c>
    </row>
    <row r="165">
      <c r="B165" s="32" t="s">
        <v>2613</v>
      </c>
      <c r="C165" s="35" t="s">
        <v>251</v>
      </c>
      <c r="D165" s="32" t="s">
        <v>2611</v>
      </c>
      <c r="E165" s="11" t="s">
        <v>9</v>
      </c>
    </row>
    <row r="166">
      <c r="B166" s="32" t="s">
        <v>2612</v>
      </c>
      <c r="C166" s="35" t="s">
        <v>460</v>
      </c>
      <c r="D166" s="32" t="s">
        <v>2610</v>
      </c>
      <c r="E166" s="11" t="s">
        <v>13</v>
      </c>
    </row>
    <row r="167">
      <c r="B167" s="32" t="s">
        <v>2610</v>
      </c>
      <c r="C167" s="35" t="s">
        <v>14</v>
      </c>
      <c r="D167" s="32" t="s">
        <v>104</v>
      </c>
      <c r="E167" s="11" t="s">
        <v>9</v>
      </c>
    </row>
    <row r="168">
      <c r="B168" s="32" t="s">
        <v>2612</v>
      </c>
      <c r="C168" s="35" t="s">
        <v>55</v>
      </c>
      <c r="D168" s="32" t="s">
        <v>2611</v>
      </c>
      <c r="E168" s="11" t="s">
        <v>13</v>
      </c>
    </row>
    <row r="169">
      <c r="B169" s="32" t="s">
        <v>104</v>
      </c>
      <c r="C169" s="35" t="s">
        <v>17</v>
      </c>
      <c r="D169" s="32" t="s">
        <v>2613</v>
      </c>
      <c r="E169" s="11" t="s">
        <v>9</v>
      </c>
    </row>
    <row r="170">
      <c r="B170" s="32" t="s">
        <v>2610</v>
      </c>
      <c r="C170" s="35" t="s">
        <v>52</v>
      </c>
      <c r="D170" s="32" t="s">
        <v>2611</v>
      </c>
      <c r="E170" s="11" t="s">
        <v>13</v>
      </c>
    </row>
    <row r="171">
      <c r="B171" s="32" t="s">
        <v>2612</v>
      </c>
      <c r="C171" s="35" t="s">
        <v>218</v>
      </c>
      <c r="D171" s="32" t="s">
        <v>2613</v>
      </c>
      <c r="E171" s="11" t="s">
        <v>9</v>
      </c>
    </row>
    <row r="172">
      <c r="B172" s="32" t="s">
        <v>104</v>
      </c>
      <c r="C172" s="35" t="s">
        <v>45</v>
      </c>
      <c r="D172" s="32" t="s">
        <v>2611</v>
      </c>
      <c r="E172" s="11" t="s">
        <v>13</v>
      </c>
    </row>
    <row r="173">
      <c r="B173" s="32" t="s">
        <v>2610</v>
      </c>
      <c r="C173" s="35" t="s">
        <v>78</v>
      </c>
      <c r="D173" s="32" t="s">
        <v>2613</v>
      </c>
      <c r="E173" s="11" t="s">
        <v>9</v>
      </c>
    </row>
    <row r="174">
      <c r="B174" s="32" t="s">
        <v>104</v>
      </c>
      <c r="C174" s="35" t="s">
        <v>270</v>
      </c>
      <c r="D174" s="32" t="s">
        <v>2612</v>
      </c>
      <c r="E174" s="11" t="s">
        <v>13</v>
      </c>
    </row>
    <row r="175">
      <c r="B175" s="32" t="s">
        <v>2611</v>
      </c>
      <c r="C175" s="35" t="s">
        <v>25</v>
      </c>
      <c r="D175" s="32" t="s">
        <v>2613</v>
      </c>
      <c r="E175" s="11" t="s">
        <v>9</v>
      </c>
    </row>
    <row r="176">
      <c r="B176" s="32" t="s">
        <v>2610</v>
      </c>
      <c r="C176" s="35" t="s">
        <v>68</v>
      </c>
      <c r="D176" s="32" t="s">
        <v>2612</v>
      </c>
      <c r="E176" s="11" t="s">
        <v>13</v>
      </c>
    </row>
    <row r="177">
      <c r="B177" s="1" t="s">
        <v>2614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B179" s="32" t="s">
        <v>2615</v>
      </c>
      <c r="C179" s="35" t="s">
        <v>11</v>
      </c>
      <c r="D179" s="32" t="s">
        <v>436</v>
      </c>
      <c r="E179" s="11" t="s">
        <v>33</v>
      </c>
    </row>
    <row r="180">
      <c r="B180" s="32" t="s">
        <v>1257</v>
      </c>
      <c r="C180" s="57" t="s">
        <v>449</v>
      </c>
      <c r="D180" s="32" t="s">
        <v>2616</v>
      </c>
      <c r="E180" s="24" t="s">
        <v>37</v>
      </c>
      <c r="G180" s="35"/>
    </row>
    <row r="181">
      <c r="B181" s="32" t="s">
        <v>1615</v>
      </c>
      <c r="C181" s="35" t="s">
        <v>31</v>
      </c>
      <c r="D181" s="32" t="s">
        <v>2615</v>
      </c>
      <c r="E181" s="11" t="s">
        <v>33</v>
      </c>
    </row>
    <row r="182">
      <c r="B182" s="32" t="s">
        <v>1257</v>
      </c>
      <c r="C182" s="35" t="s">
        <v>197</v>
      </c>
      <c r="D182" s="32" t="s">
        <v>436</v>
      </c>
      <c r="E182" s="11" t="s">
        <v>37</v>
      </c>
    </row>
    <row r="183">
      <c r="B183" s="32" t="s">
        <v>1615</v>
      </c>
      <c r="C183" s="57" t="s">
        <v>449</v>
      </c>
      <c r="D183" s="32" t="s">
        <v>2616</v>
      </c>
      <c r="E183" s="24" t="s">
        <v>33</v>
      </c>
    </row>
    <row r="184">
      <c r="B184" s="32" t="s">
        <v>1257</v>
      </c>
      <c r="C184" s="35" t="s">
        <v>16</v>
      </c>
      <c r="D184" s="32" t="s">
        <v>2615</v>
      </c>
      <c r="E184" s="11" t="s">
        <v>37</v>
      </c>
    </row>
    <row r="185">
      <c r="B185" s="32" t="s">
        <v>1615</v>
      </c>
      <c r="C185" s="35" t="s">
        <v>270</v>
      </c>
      <c r="D185" s="32" t="s">
        <v>436</v>
      </c>
      <c r="E185" s="11" t="s">
        <v>33</v>
      </c>
    </row>
    <row r="186">
      <c r="B186" s="32" t="s">
        <v>2616</v>
      </c>
      <c r="C186" s="57" t="s">
        <v>449</v>
      </c>
      <c r="D186" s="32" t="s">
        <v>2615</v>
      </c>
      <c r="E186" s="24" t="s">
        <v>37</v>
      </c>
    </row>
    <row r="187">
      <c r="B187" s="32" t="s">
        <v>1615</v>
      </c>
      <c r="C187" s="35" t="s">
        <v>17</v>
      </c>
      <c r="D187" s="32" t="s">
        <v>1257</v>
      </c>
      <c r="E187" s="11" t="s">
        <v>33</v>
      </c>
    </row>
    <row r="188">
      <c r="B188" s="32" t="s">
        <v>2616</v>
      </c>
      <c r="C188" s="57" t="s">
        <v>449</v>
      </c>
      <c r="D188" s="32" t="s">
        <v>436</v>
      </c>
      <c r="E188" s="24" t="s">
        <v>37</v>
      </c>
    </row>
    <row r="189">
      <c r="B189" s="32" t="s">
        <v>436</v>
      </c>
      <c r="C189" s="35" t="s">
        <v>43</v>
      </c>
      <c r="D189" s="32" t="s">
        <v>2615</v>
      </c>
      <c r="E189" s="11" t="s">
        <v>33</v>
      </c>
    </row>
    <row r="190">
      <c r="B190" s="32" t="s">
        <v>2616</v>
      </c>
      <c r="C190" s="57" t="s">
        <v>449</v>
      </c>
      <c r="D190" s="32" t="s">
        <v>1257</v>
      </c>
      <c r="E190" s="24" t="s">
        <v>37</v>
      </c>
    </row>
    <row r="191">
      <c r="B191" s="32" t="s">
        <v>2615</v>
      </c>
      <c r="C191" s="35" t="s">
        <v>82</v>
      </c>
      <c r="D191" s="32" t="s">
        <v>1615</v>
      </c>
      <c r="E191" s="11" t="s">
        <v>33</v>
      </c>
    </row>
    <row r="192">
      <c r="B192" s="32" t="s">
        <v>436</v>
      </c>
      <c r="C192" s="35" t="s">
        <v>19</v>
      </c>
      <c r="D192" s="32" t="s">
        <v>1257</v>
      </c>
      <c r="E192" s="11" t="s">
        <v>37</v>
      </c>
    </row>
    <row r="193">
      <c r="B193" s="32" t="s">
        <v>2616</v>
      </c>
      <c r="C193" s="57" t="s">
        <v>449</v>
      </c>
      <c r="D193" s="32" t="s">
        <v>1615</v>
      </c>
      <c r="E193" s="24" t="s">
        <v>33</v>
      </c>
      <c r="H193" s="57"/>
    </row>
    <row r="194">
      <c r="B194" s="32" t="s">
        <v>2615</v>
      </c>
      <c r="C194" s="35" t="s">
        <v>69</v>
      </c>
      <c r="D194" s="32" t="s">
        <v>1257</v>
      </c>
      <c r="E194" s="11" t="s">
        <v>37</v>
      </c>
    </row>
    <row r="195">
      <c r="B195" s="32" t="s">
        <v>436</v>
      </c>
      <c r="C195" s="35" t="s">
        <v>20</v>
      </c>
      <c r="D195" s="32" t="s">
        <v>1615</v>
      </c>
      <c r="E195" s="11" t="s">
        <v>33</v>
      </c>
    </row>
    <row r="196">
      <c r="B196" s="32" t="s">
        <v>2615</v>
      </c>
      <c r="C196" s="57" t="s">
        <v>449</v>
      </c>
      <c r="D196" s="32" t="s">
        <v>2616</v>
      </c>
      <c r="E196" s="24" t="s">
        <v>37</v>
      </c>
    </row>
    <row r="197">
      <c r="B197" s="32" t="s">
        <v>1257</v>
      </c>
      <c r="C197" s="35" t="s">
        <v>260</v>
      </c>
      <c r="D197" s="32" t="s">
        <v>1615</v>
      </c>
      <c r="E197" s="11" t="s">
        <v>33</v>
      </c>
    </row>
    <row r="198">
      <c r="B198" s="32" t="s">
        <v>436</v>
      </c>
      <c r="C198" s="57" t="s">
        <v>449</v>
      </c>
      <c r="D198" s="32" t="s">
        <v>2616</v>
      </c>
      <c r="E198" s="24" t="s">
        <v>37</v>
      </c>
    </row>
    <row r="199">
      <c r="B199" s="1" t="s">
        <v>2617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B201" s="32" t="s">
        <v>2618</v>
      </c>
      <c r="C201" s="35" t="s">
        <v>22</v>
      </c>
      <c r="D201" s="32" t="s">
        <v>2061</v>
      </c>
      <c r="E201" s="11" t="s">
        <v>33</v>
      </c>
    </row>
    <row r="202">
      <c r="B202" s="32" t="s">
        <v>2404</v>
      </c>
      <c r="C202" s="57" t="s">
        <v>449</v>
      </c>
      <c r="D202" s="32" t="s">
        <v>2619</v>
      </c>
      <c r="E202" s="24" t="s">
        <v>37</v>
      </c>
    </row>
    <row r="203">
      <c r="B203" s="32" t="s">
        <v>583</v>
      </c>
      <c r="C203" s="35" t="s">
        <v>190</v>
      </c>
      <c r="D203" s="32" t="s">
        <v>2618</v>
      </c>
      <c r="E203" s="11" t="s">
        <v>33</v>
      </c>
    </row>
    <row r="204">
      <c r="B204" s="32" t="s">
        <v>2404</v>
      </c>
      <c r="C204" s="35" t="s">
        <v>24</v>
      </c>
      <c r="D204" s="32" t="s">
        <v>2061</v>
      </c>
      <c r="E204" s="11" t="s">
        <v>37</v>
      </c>
    </row>
    <row r="205">
      <c r="B205" s="32" t="s">
        <v>583</v>
      </c>
      <c r="C205" s="57" t="s">
        <v>449</v>
      </c>
      <c r="D205" s="32" t="s">
        <v>2619</v>
      </c>
      <c r="E205" s="24" t="s">
        <v>33</v>
      </c>
    </row>
    <row r="206">
      <c r="B206" s="32" t="s">
        <v>2404</v>
      </c>
      <c r="C206" s="35" t="s">
        <v>509</v>
      </c>
      <c r="D206" s="32" t="s">
        <v>2618</v>
      </c>
      <c r="E206" s="11" t="s">
        <v>37</v>
      </c>
    </row>
    <row r="207">
      <c r="B207" s="32" t="s">
        <v>583</v>
      </c>
      <c r="C207" s="35" t="s">
        <v>35</v>
      </c>
      <c r="D207" s="32" t="s">
        <v>2061</v>
      </c>
      <c r="E207" s="11" t="s">
        <v>33</v>
      </c>
    </row>
    <row r="208">
      <c r="B208" s="32" t="s">
        <v>2619</v>
      </c>
      <c r="C208" s="57" t="s">
        <v>449</v>
      </c>
      <c r="D208" s="32" t="s">
        <v>2618</v>
      </c>
      <c r="E208" s="24" t="s">
        <v>37</v>
      </c>
    </row>
    <row r="209">
      <c r="B209" s="32" t="s">
        <v>583</v>
      </c>
      <c r="C209" s="35" t="s">
        <v>566</v>
      </c>
      <c r="D209" s="32" t="s">
        <v>2404</v>
      </c>
      <c r="E209" s="11" t="s">
        <v>33</v>
      </c>
    </row>
    <row r="210">
      <c r="B210" s="32" t="s">
        <v>2619</v>
      </c>
      <c r="C210" s="57" t="s">
        <v>449</v>
      </c>
      <c r="D210" s="32" t="s">
        <v>2061</v>
      </c>
      <c r="E210" s="24" t="s">
        <v>37</v>
      </c>
    </row>
    <row r="211">
      <c r="B211" s="32" t="s">
        <v>2061</v>
      </c>
      <c r="C211" s="35" t="s">
        <v>43</v>
      </c>
      <c r="D211" s="32" t="s">
        <v>2618</v>
      </c>
      <c r="E211" s="11" t="s">
        <v>33</v>
      </c>
    </row>
    <row r="212">
      <c r="B212" s="32" t="s">
        <v>2619</v>
      </c>
      <c r="C212" s="57" t="s">
        <v>449</v>
      </c>
      <c r="D212" s="32" t="s">
        <v>2404</v>
      </c>
      <c r="E212" s="24" t="s">
        <v>37</v>
      </c>
    </row>
    <row r="213">
      <c r="B213" s="32" t="s">
        <v>2618</v>
      </c>
      <c r="C213" s="35" t="s">
        <v>220</v>
      </c>
      <c r="D213" s="32" t="s">
        <v>583</v>
      </c>
      <c r="E213" s="11" t="s">
        <v>33</v>
      </c>
    </row>
    <row r="214">
      <c r="B214" s="32" t="s">
        <v>2061</v>
      </c>
      <c r="C214" s="35" t="s">
        <v>58</v>
      </c>
      <c r="D214" s="32" t="s">
        <v>2404</v>
      </c>
      <c r="E214" s="11" t="s">
        <v>37</v>
      </c>
    </row>
    <row r="215">
      <c r="B215" s="32" t="s">
        <v>2619</v>
      </c>
      <c r="C215" s="57" t="s">
        <v>449</v>
      </c>
      <c r="D215" s="32" t="s">
        <v>583</v>
      </c>
      <c r="E215" s="24" t="s">
        <v>33</v>
      </c>
    </row>
    <row r="216">
      <c r="B216" s="32" t="s">
        <v>2618</v>
      </c>
      <c r="C216" s="35" t="s">
        <v>20</v>
      </c>
      <c r="D216" s="32" t="s">
        <v>2404</v>
      </c>
      <c r="E216" s="11" t="s">
        <v>37</v>
      </c>
    </row>
    <row r="217">
      <c r="B217" s="32" t="s">
        <v>2061</v>
      </c>
      <c r="C217" s="35" t="s">
        <v>11</v>
      </c>
      <c r="D217" s="32" t="s">
        <v>583</v>
      </c>
      <c r="E217" s="11" t="s">
        <v>33</v>
      </c>
    </row>
    <row r="218">
      <c r="B218" s="32" t="s">
        <v>2618</v>
      </c>
      <c r="C218" s="57" t="s">
        <v>449</v>
      </c>
      <c r="D218" s="32" t="s">
        <v>2619</v>
      </c>
      <c r="E218" s="24" t="s">
        <v>37</v>
      </c>
    </row>
    <row r="219">
      <c r="B219" s="32" t="s">
        <v>2404</v>
      </c>
      <c r="C219" s="35" t="s">
        <v>55</v>
      </c>
      <c r="D219" s="32" t="s">
        <v>583</v>
      </c>
      <c r="E219" s="11" t="s">
        <v>33</v>
      </c>
    </row>
    <row r="220">
      <c r="B220" s="32" t="s">
        <v>2061</v>
      </c>
      <c r="C220" s="57" t="s">
        <v>449</v>
      </c>
      <c r="D220" s="32" t="s">
        <v>2619</v>
      </c>
      <c r="E220" s="24" t="s">
        <v>37</v>
      </c>
    </row>
    <row r="221">
      <c r="B221" s="28" t="s">
        <v>2394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34" t="s">
        <v>2620</v>
      </c>
      <c r="C223" s="35" t="s">
        <v>72</v>
      </c>
      <c r="D223" s="34" t="s">
        <v>883</v>
      </c>
      <c r="E223" s="11" t="s">
        <v>9</v>
      </c>
    </row>
    <row r="224">
      <c r="B224" s="34" t="s">
        <v>2465</v>
      </c>
      <c r="C224" s="35" t="s">
        <v>26</v>
      </c>
      <c r="D224" s="34" t="s">
        <v>2621</v>
      </c>
      <c r="E224" s="11" t="s">
        <v>13</v>
      </c>
    </row>
    <row r="225">
      <c r="B225" s="34" t="s">
        <v>2622</v>
      </c>
      <c r="C225" s="35" t="s">
        <v>231</v>
      </c>
      <c r="D225" s="34" t="s">
        <v>2620</v>
      </c>
      <c r="E225" s="11" t="s">
        <v>9</v>
      </c>
    </row>
    <row r="226">
      <c r="B226" s="34" t="s">
        <v>2465</v>
      </c>
      <c r="C226" s="35" t="s">
        <v>44</v>
      </c>
      <c r="D226" s="34" t="s">
        <v>883</v>
      </c>
      <c r="E226" s="11" t="s">
        <v>13</v>
      </c>
    </row>
    <row r="227">
      <c r="B227" s="34" t="s">
        <v>2622</v>
      </c>
      <c r="C227" s="35" t="s">
        <v>797</v>
      </c>
      <c r="D227" s="34" t="s">
        <v>2621</v>
      </c>
      <c r="E227" s="11" t="s">
        <v>9</v>
      </c>
    </row>
    <row r="228">
      <c r="B228" s="34" t="s">
        <v>2465</v>
      </c>
      <c r="C228" s="35" t="s">
        <v>286</v>
      </c>
      <c r="D228" s="34" t="s">
        <v>2620</v>
      </c>
      <c r="E228" s="11" t="s">
        <v>13</v>
      </c>
    </row>
    <row r="229">
      <c r="B229" s="34" t="s">
        <v>2622</v>
      </c>
      <c r="C229" s="35" t="s">
        <v>27</v>
      </c>
      <c r="D229" s="34" t="s">
        <v>883</v>
      </c>
      <c r="E229" s="11" t="s">
        <v>9</v>
      </c>
    </row>
    <row r="230">
      <c r="B230" s="34" t="s">
        <v>2621</v>
      </c>
      <c r="C230" s="35" t="s">
        <v>699</v>
      </c>
      <c r="D230" s="34" t="s">
        <v>2620</v>
      </c>
      <c r="E230" s="11" t="s">
        <v>13</v>
      </c>
    </row>
    <row r="231">
      <c r="B231" s="34" t="s">
        <v>2622</v>
      </c>
      <c r="C231" s="35" t="s">
        <v>82</v>
      </c>
      <c r="D231" s="34" t="s">
        <v>2465</v>
      </c>
      <c r="E231" s="11" t="s">
        <v>9</v>
      </c>
    </row>
    <row r="232">
      <c r="B232" s="34" t="s">
        <v>2621</v>
      </c>
      <c r="C232" s="35" t="s">
        <v>190</v>
      </c>
      <c r="D232" s="34" t="s">
        <v>883</v>
      </c>
      <c r="E232" s="11" t="s">
        <v>13</v>
      </c>
    </row>
    <row r="233">
      <c r="B233" s="34" t="s">
        <v>883</v>
      </c>
      <c r="C233" s="35" t="s">
        <v>195</v>
      </c>
      <c r="D233" s="34" t="s">
        <v>2620</v>
      </c>
      <c r="E233" s="11" t="s">
        <v>9</v>
      </c>
    </row>
    <row r="234">
      <c r="B234" s="34" t="s">
        <v>2621</v>
      </c>
      <c r="C234" s="35" t="s">
        <v>555</v>
      </c>
      <c r="D234" s="34" t="s">
        <v>2465</v>
      </c>
      <c r="E234" s="11" t="s">
        <v>13</v>
      </c>
    </row>
    <row r="235">
      <c r="B235" s="34" t="s">
        <v>2620</v>
      </c>
      <c r="C235" s="35" t="s">
        <v>273</v>
      </c>
      <c r="D235" s="34" t="s">
        <v>2622</v>
      </c>
      <c r="E235" s="11" t="s">
        <v>9</v>
      </c>
    </row>
    <row r="236">
      <c r="B236" s="34" t="s">
        <v>883</v>
      </c>
      <c r="C236" s="35" t="s">
        <v>11</v>
      </c>
      <c r="D236" s="34" t="s">
        <v>2465</v>
      </c>
      <c r="E236" s="11" t="s">
        <v>13</v>
      </c>
    </row>
    <row r="237">
      <c r="B237" s="34" t="s">
        <v>2621</v>
      </c>
      <c r="C237" s="35" t="s">
        <v>49</v>
      </c>
      <c r="D237" s="34" t="s">
        <v>2622</v>
      </c>
      <c r="E237" s="11" t="s">
        <v>9</v>
      </c>
    </row>
    <row r="238">
      <c r="B238" s="34" t="s">
        <v>2620</v>
      </c>
      <c r="C238" s="35" t="s">
        <v>544</v>
      </c>
      <c r="D238" s="34" t="s">
        <v>2465</v>
      </c>
      <c r="E238" s="11" t="s">
        <v>13</v>
      </c>
    </row>
    <row r="239">
      <c r="B239" s="34" t="s">
        <v>883</v>
      </c>
      <c r="C239" s="35" t="s">
        <v>42</v>
      </c>
      <c r="D239" s="34" t="s">
        <v>2622</v>
      </c>
      <c r="E239" s="11" t="s">
        <v>9</v>
      </c>
    </row>
    <row r="240">
      <c r="B240" s="34" t="s">
        <v>2620</v>
      </c>
      <c r="C240" s="35" t="s">
        <v>78</v>
      </c>
      <c r="D240" s="34" t="s">
        <v>2621</v>
      </c>
      <c r="E240" s="11" t="s">
        <v>13</v>
      </c>
    </row>
    <row r="241">
      <c r="B241" s="34" t="s">
        <v>2465</v>
      </c>
      <c r="C241" s="35" t="s">
        <v>578</v>
      </c>
      <c r="D241" s="34" t="s">
        <v>2622</v>
      </c>
      <c r="E241" s="11" t="s">
        <v>9</v>
      </c>
    </row>
    <row r="242">
      <c r="B242" s="34" t="s">
        <v>883</v>
      </c>
      <c r="C242" s="35" t="s">
        <v>187</v>
      </c>
      <c r="D242" s="34" t="s">
        <v>2621</v>
      </c>
      <c r="E242" s="11" t="s">
        <v>13</v>
      </c>
    </row>
    <row r="243">
      <c r="B243" s="28" t="s">
        <v>1456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34" t="s">
        <v>2623</v>
      </c>
      <c r="C245" s="35" t="s">
        <v>48</v>
      </c>
      <c r="D245" s="34" t="s">
        <v>2624</v>
      </c>
      <c r="E245" s="11" t="s">
        <v>9</v>
      </c>
    </row>
    <row r="246">
      <c r="B246" s="34" t="s">
        <v>36</v>
      </c>
      <c r="C246" s="35" t="s">
        <v>62</v>
      </c>
      <c r="D246" s="34" t="s">
        <v>2625</v>
      </c>
      <c r="E246" s="11" t="s">
        <v>13</v>
      </c>
    </row>
    <row r="247">
      <c r="B247" s="34" t="s">
        <v>2626</v>
      </c>
      <c r="C247" s="35" t="s">
        <v>35</v>
      </c>
      <c r="D247" s="34" t="s">
        <v>2623</v>
      </c>
      <c r="E247" s="11" t="s">
        <v>9</v>
      </c>
    </row>
    <row r="248">
      <c r="B248" s="34" t="s">
        <v>36</v>
      </c>
      <c r="C248" s="35" t="s">
        <v>64</v>
      </c>
      <c r="D248" s="34" t="s">
        <v>2624</v>
      </c>
      <c r="E248" s="11" t="s">
        <v>13</v>
      </c>
    </row>
    <row r="249">
      <c r="B249" s="34" t="s">
        <v>2626</v>
      </c>
      <c r="C249" s="35" t="s">
        <v>212</v>
      </c>
      <c r="D249" s="34" t="s">
        <v>2625</v>
      </c>
      <c r="E249" s="11" t="s">
        <v>9</v>
      </c>
    </row>
    <row r="250">
      <c r="B250" s="34" t="s">
        <v>36</v>
      </c>
      <c r="C250" s="35" t="s">
        <v>19</v>
      </c>
      <c r="D250" s="34" t="s">
        <v>2623</v>
      </c>
      <c r="E250" s="11" t="s">
        <v>13</v>
      </c>
    </row>
    <row r="251">
      <c r="B251" s="34" t="s">
        <v>2626</v>
      </c>
      <c r="C251" s="35" t="s">
        <v>82</v>
      </c>
      <c r="D251" s="34" t="s">
        <v>2624</v>
      </c>
      <c r="E251" s="11" t="s">
        <v>9</v>
      </c>
    </row>
    <row r="252">
      <c r="B252" s="34" t="s">
        <v>2625</v>
      </c>
      <c r="C252" s="35" t="s">
        <v>1266</v>
      </c>
      <c r="D252" s="34" t="s">
        <v>2623</v>
      </c>
      <c r="E252" s="11" t="s">
        <v>13</v>
      </c>
    </row>
    <row r="253">
      <c r="B253" s="34" t="s">
        <v>2626</v>
      </c>
      <c r="C253" s="35" t="s">
        <v>28</v>
      </c>
      <c r="D253" s="34" t="s">
        <v>36</v>
      </c>
      <c r="E253" s="11" t="s">
        <v>9</v>
      </c>
    </row>
    <row r="254">
      <c r="B254" s="34" t="s">
        <v>2625</v>
      </c>
      <c r="C254" s="35" t="s">
        <v>261</v>
      </c>
      <c r="D254" s="34" t="s">
        <v>2624</v>
      </c>
      <c r="E254" s="11" t="s">
        <v>13</v>
      </c>
    </row>
    <row r="255">
      <c r="B255" s="34" t="s">
        <v>2624</v>
      </c>
      <c r="C255" s="35" t="s">
        <v>212</v>
      </c>
      <c r="D255" s="34" t="s">
        <v>2623</v>
      </c>
      <c r="E255" s="11" t="s">
        <v>9</v>
      </c>
    </row>
    <row r="256">
      <c r="B256" s="34" t="s">
        <v>2625</v>
      </c>
      <c r="C256" s="35" t="s">
        <v>1013</v>
      </c>
      <c r="D256" s="34" t="s">
        <v>36</v>
      </c>
      <c r="E256" s="11" t="s">
        <v>13</v>
      </c>
    </row>
    <row r="257">
      <c r="B257" s="34" t="s">
        <v>2623</v>
      </c>
      <c r="C257" s="35" t="s">
        <v>62</v>
      </c>
      <c r="D257" s="34" t="s">
        <v>2626</v>
      </c>
      <c r="E257" s="11" t="s">
        <v>9</v>
      </c>
    </row>
    <row r="258">
      <c r="B258" s="34" t="s">
        <v>2624</v>
      </c>
      <c r="C258" s="35" t="s">
        <v>260</v>
      </c>
      <c r="D258" s="34" t="s">
        <v>36</v>
      </c>
      <c r="E258" s="11" t="s">
        <v>13</v>
      </c>
    </row>
    <row r="259">
      <c r="B259" s="34" t="s">
        <v>2625</v>
      </c>
      <c r="C259" s="35" t="s">
        <v>16</v>
      </c>
      <c r="D259" s="34" t="s">
        <v>2626</v>
      </c>
      <c r="E259" s="11" t="s">
        <v>9</v>
      </c>
    </row>
    <row r="260">
      <c r="B260" s="34" t="s">
        <v>2623</v>
      </c>
      <c r="C260" s="35" t="s">
        <v>196</v>
      </c>
      <c r="D260" s="34" t="s">
        <v>36</v>
      </c>
      <c r="E260" s="11" t="s">
        <v>13</v>
      </c>
    </row>
    <row r="261">
      <c r="B261" s="34" t="s">
        <v>2624</v>
      </c>
      <c r="C261" s="35" t="s">
        <v>286</v>
      </c>
      <c r="D261" s="34" t="s">
        <v>2626</v>
      </c>
      <c r="E261" s="11" t="s">
        <v>9</v>
      </c>
    </row>
    <row r="262">
      <c r="B262" s="34" t="s">
        <v>2623</v>
      </c>
      <c r="C262" s="35" t="s">
        <v>947</v>
      </c>
      <c r="D262" s="34" t="s">
        <v>2625</v>
      </c>
      <c r="E262" s="11" t="s">
        <v>13</v>
      </c>
    </row>
    <row r="263">
      <c r="B263" s="34" t="s">
        <v>36</v>
      </c>
      <c r="C263" s="35" t="s">
        <v>802</v>
      </c>
      <c r="D263" s="34" t="s">
        <v>2626</v>
      </c>
      <c r="E263" s="11" t="s">
        <v>9</v>
      </c>
    </row>
    <row r="264">
      <c r="B264" s="34" t="s">
        <v>2624</v>
      </c>
      <c r="C264" s="35" t="s">
        <v>35</v>
      </c>
      <c r="D264" s="34" t="s">
        <v>2625</v>
      </c>
      <c r="E264" s="11" t="s">
        <v>13</v>
      </c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6"/>
    <hyperlink r:id="rId4" ref="E8"/>
    <hyperlink r:id="rId5" ref="E10"/>
    <hyperlink r:id="rId6" ref="E12"/>
    <hyperlink r:id="rId7" ref="E14"/>
    <hyperlink r:id="rId8" ref="E16"/>
    <hyperlink r:id="rId9" ref="E18"/>
    <hyperlink r:id="rId10" ref="E20"/>
    <hyperlink r:id="rId11" ref="E22"/>
    <hyperlink r:id="rId12" ref="E25"/>
    <hyperlink r:id="rId13" ref="E26"/>
    <hyperlink r:id="rId14" ref="E27"/>
    <hyperlink r:id="rId15" ref="E28"/>
    <hyperlink r:id="rId16" ref="E29"/>
    <hyperlink r:id="rId17" ref="E30"/>
    <hyperlink r:id="rId18" ref="E31"/>
    <hyperlink r:id="rId19" ref="E32"/>
    <hyperlink r:id="rId20" ref="E33"/>
    <hyperlink r:id="rId21" ref="E34"/>
    <hyperlink r:id="rId22" ref="E35"/>
    <hyperlink r:id="rId23" ref="E36"/>
    <hyperlink r:id="rId24" ref="E37"/>
    <hyperlink r:id="rId25" ref="E38"/>
    <hyperlink r:id="rId26" ref="E39"/>
    <hyperlink r:id="rId27" ref="E40"/>
    <hyperlink r:id="rId28" ref="E41"/>
    <hyperlink r:id="rId29" ref="E42"/>
    <hyperlink r:id="rId30" ref="E43"/>
    <hyperlink r:id="rId31" ref="E44"/>
    <hyperlink r:id="rId32" ref="E47"/>
    <hyperlink r:id="rId33" ref="E48"/>
    <hyperlink r:id="rId34" ref="E49"/>
    <hyperlink r:id="rId35" ref="E50"/>
    <hyperlink r:id="rId36" ref="E51"/>
    <hyperlink r:id="rId37" ref="E52"/>
    <hyperlink r:id="rId38" ref="E53"/>
    <hyperlink r:id="rId39" ref="E54"/>
    <hyperlink r:id="rId40" ref="E55"/>
    <hyperlink r:id="rId41" ref="E56"/>
    <hyperlink r:id="rId42" ref="E57"/>
    <hyperlink r:id="rId43" ref="E58"/>
    <hyperlink r:id="rId44" ref="E59"/>
    <hyperlink r:id="rId45" ref="E60"/>
    <hyperlink r:id="rId46" ref="E61"/>
    <hyperlink r:id="rId47" ref="E62"/>
    <hyperlink r:id="rId48" ref="E63"/>
    <hyperlink r:id="rId49" ref="E64"/>
    <hyperlink r:id="rId50" ref="E65"/>
    <hyperlink r:id="rId51" ref="E66"/>
    <hyperlink r:id="rId52" ref="E69"/>
    <hyperlink r:id="rId53" ref="E70"/>
    <hyperlink r:id="rId54" ref="E71"/>
    <hyperlink r:id="rId55" ref="E72"/>
    <hyperlink r:id="rId56" ref="E73"/>
    <hyperlink r:id="rId57" ref="E74"/>
    <hyperlink r:id="rId58" ref="E75"/>
    <hyperlink r:id="rId59" ref="E76"/>
    <hyperlink r:id="rId60" ref="E77"/>
    <hyperlink r:id="rId61" ref="E78"/>
    <hyperlink r:id="rId62" ref="E79"/>
    <hyperlink r:id="rId63" ref="E80"/>
    <hyperlink r:id="rId64" ref="E81"/>
    <hyperlink r:id="rId65" ref="E82"/>
    <hyperlink r:id="rId66" ref="E83"/>
    <hyperlink r:id="rId67" ref="E84"/>
    <hyperlink r:id="rId68" ref="E85"/>
    <hyperlink r:id="rId69" ref="E86"/>
    <hyperlink r:id="rId70" ref="E87"/>
    <hyperlink r:id="rId71" ref="E88"/>
    <hyperlink r:id="rId72" ref="E91"/>
    <hyperlink r:id="rId73" ref="E93"/>
    <hyperlink r:id="rId74" ref="E94"/>
    <hyperlink r:id="rId75" ref="E96"/>
    <hyperlink r:id="rId76" ref="E97"/>
    <hyperlink r:id="rId77" ref="E99"/>
    <hyperlink r:id="rId78" ref="E101"/>
    <hyperlink r:id="rId79" ref="E103"/>
    <hyperlink r:id="rId80" ref="E104"/>
    <hyperlink r:id="rId81" ref="E106"/>
    <hyperlink r:id="rId82" ref="E107"/>
    <hyperlink r:id="rId83" ref="E109"/>
    <hyperlink r:id="rId84" ref="E113"/>
    <hyperlink r:id="rId85" ref="E115"/>
    <hyperlink r:id="rId86" ref="E116"/>
    <hyperlink r:id="rId87" ref="E118"/>
    <hyperlink r:id="rId88" ref="E119"/>
    <hyperlink r:id="rId89" ref="E121"/>
    <hyperlink r:id="rId90" ref="E123"/>
    <hyperlink r:id="rId91" ref="E125"/>
    <hyperlink r:id="rId92" ref="E126"/>
    <hyperlink r:id="rId93" ref="E128"/>
    <hyperlink r:id="rId94" ref="E129"/>
    <hyperlink r:id="rId95" ref="E131"/>
    <hyperlink r:id="rId96" ref="E135"/>
    <hyperlink r:id="rId97" ref="E136"/>
    <hyperlink r:id="rId98" ref="E137"/>
    <hyperlink r:id="rId99" ref="E138"/>
    <hyperlink r:id="rId100" ref="E139"/>
    <hyperlink r:id="rId101" ref="E140"/>
    <hyperlink r:id="rId102" ref="E141"/>
    <hyperlink r:id="rId103" ref="E142"/>
    <hyperlink r:id="rId104" ref="E143"/>
    <hyperlink r:id="rId105" ref="E144"/>
    <hyperlink r:id="rId106" ref="E145"/>
    <hyperlink r:id="rId107" ref="E146"/>
    <hyperlink r:id="rId108" ref="E147"/>
    <hyperlink r:id="rId109" ref="E148"/>
    <hyperlink r:id="rId110" ref="E149"/>
    <hyperlink r:id="rId111" ref="E150"/>
    <hyperlink r:id="rId112" ref="E151"/>
    <hyperlink r:id="rId113" ref="E152"/>
    <hyperlink r:id="rId114" ref="E153"/>
    <hyperlink r:id="rId115" ref="E154"/>
    <hyperlink r:id="rId116" ref="E157"/>
    <hyperlink r:id="rId117" ref="E158"/>
    <hyperlink r:id="rId118" ref="E159"/>
    <hyperlink r:id="rId119" ref="E160"/>
    <hyperlink r:id="rId120" ref="E161"/>
    <hyperlink r:id="rId121" ref="E162"/>
    <hyperlink r:id="rId122" ref="E163"/>
    <hyperlink r:id="rId123" ref="E164"/>
    <hyperlink r:id="rId124" ref="E165"/>
    <hyperlink r:id="rId125" ref="E166"/>
    <hyperlink r:id="rId126" ref="E167"/>
    <hyperlink r:id="rId127" ref="E168"/>
    <hyperlink r:id="rId128" ref="E169"/>
    <hyperlink r:id="rId129" ref="E170"/>
    <hyperlink r:id="rId130" ref="E171"/>
    <hyperlink r:id="rId131" ref="E172"/>
    <hyperlink r:id="rId132" ref="E173"/>
    <hyperlink r:id="rId133" ref="E174"/>
    <hyperlink r:id="rId134" ref="E175"/>
    <hyperlink r:id="rId135" ref="E176"/>
    <hyperlink r:id="rId136" ref="E179"/>
    <hyperlink r:id="rId137" ref="E181"/>
    <hyperlink r:id="rId138" ref="E182"/>
    <hyperlink r:id="rId139" ref="E184"/>
    <hyperlink r:id="rId140" ref="E185"/>
    <hyperlink r:id="rId141" ref="E187"/>
    <hyperlink r:id="rId142" ref="E189"/>
    <hyperlink r:id="rId143" ref="E191"/>
    <hyperlink r:id="rId144" ref="E192"/>
    <hyperlink r:id="rId145" ref="E194"/>
    <hyperlink r:id="rId146" ref="E195"/>
    <hyperlink r:id="rId147" ref="E197"/>
    <hyperlink r:id="rId148" ref="E201"/>
    <hyperlink r:id="rId149" ref="E203"/>
    <hyperlink r:id="rId150" ref="E204"/>
    <hyperlink r:id="rId151" ref="E206"/>
    <hyperlink r:id="rId152" ref="E207"/>
    <hyperlink r:id="rId153" ref="E209"/>
    <hyperlink r:id="rId154" ref="E211"/>
    <hyperlink r:id="rId155" ref="E213"/>
    <hyperlink r:id="rId156" ref="E214"/>
    <hyperlink r:id="rId157" ref="E216"/>
    <hyperlink r:id="rId158" ref="E217"/>
    <hyperlink r:id="rId159" ref="E219"/>
    <hyperlink r:id="rId160" ref="E223"/>
    <hyperlink r:id="rId161" ref="E224"/>
    <hyperlink r:id="rId162" ref="E225"/>
    <hyperlink r:id="rId163" ref="E226"/>
    <hyperlink r:id="rId164" ref="E227"/>
    <hyperlink r:id="rId165" ref="E228"/>
    <hyperlink r:id="rId166" ref="E229"/>
    <hyperlink r:id="rId167" ref="E230"/>
    <hyperlink r:id="rId168" ref="E231"/>
    <hyperlink r:id="rId169" ref="E232"/>
    <hyperlink r:id="rId170" ref="E233"/>
    <hyperlink r:id="rId171" ref="E234"/>
    <hyperlink r:id="rId172" ref="E235"/>
    <hyperlink r:id="rId173" ref="E236"/>
    <hyperlink r:id="rId174" ref="E237"/>
    <hyperlink r:id="rId175" ref="E238"/>
    <hyperlink r:id="rId176" ref="E239"/>
    <hyperlink r:id="rId177" ref="E240"/>
    <hyperlink r:id="rId178" ref="E241"/>
    <hyperlink r:id="rId179" ref="E242"/>
    <hyperlink r:id="rId180" ref="E245"/>
    <hyperlink r:id="rId181" ref="E246"/>
    <hyperlink r:id="rId182" ref="E247"/>
    <hyperlink r:id="rId183" ref="E248"/>
    <hyperlink r:id="rId184" ref="E249"/>
    <hyperlink r:id="rId185" ref="E250"/>
    <hyperlink r:id="rId186" ref="E251"/>
    <hyperlink r:id="rId187" ref="E252"/>
    <hyperlink r:id="rId188" ref="E253"/>
    <hyperlink r:id="rId189" ref="E254"/>
    <hyperlink r:id="rId190" ref="E255"/>
    <hyperlink r:id="rId191" ref="E256"/>
    <hyperlink r:id="rId192" ref="E257"/>
    <hyperlink r:id="rId193" ref="E258"/>
    <hyperlink r:id="rId194" ref="E259"/>
    <hyperlink r:id="rId195" ref="E260"/>
    <hyperlink r:id="rId196" ref="E261"/>
    <hyperlink r:id="rId197" ref="E262"/>
    <hyperlink r:id="rId198" ref="E263"/>
    <hyperlink r:id="rId199" ref="E264"/>
  </hyperlinks>
  <drawing r:id="rId200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/>
      <c r="B1" s="1" t="s">
        <v>2143</v>
      </c>
      <c r="C1" s="2"/>
      <c r="D1" s="3"/>
      <c r="E1" s="29"/>
    </row>
    <row r="2">
      <c r="A2" s="66"/>
      <c r="B2" s="6" t="s">
        <v>2</v>
      </c>
      <c r="C2" s="6" t="s">
        <v>3</v>
      </c>
      <c r="D2" s="6" t="s">
        <v>4</v>
      </c>
      <c r="E2" s="6" t="s">
        <v>5</v>
      </c>
    </row>
    <row r="3">
      <c r="A3" s="66"/>
      <c r="B3" s="34" t="s">
        <v>2627</v>
      </c>
      <c r="C3" s="33" t="s">
        <v>1478</v>
      </c>
      <c r="D3" s="34" t="s">
        <v>2628</v>
      </c>
      <c r="E3" s="11" t="s">
        <v>9</v>
      </c>
    </row>
    <row r="4">
      <c r="A4" s="66"/>
      <c r="B4" s="8" t="s">
        <v>1925</v>
      </c>
      <c r="C4" s="33" t="s">
        <v>494</v>
      </c>
      <c r="D4" s="32" t="s">
        <v>2629</v>
      </c>
      <c r="E4" s="11" t="s">
        <v>13</v>
      </c>
    </row>
    <row r="5">
      <c r="A5" s="66"/>
      <c r="B5" s="34" t="s">
        <v>2144</v>
      </c>
      <c r="C5" s="33" t="s">
        <v>18</v>
      </c>
      <c r="D5" s="34" t="s">
        <v>2627</v>
      </c>
      <c r="E5" s="11" t="s">
        <v>9</v>
      </c>
    </row>
    <row r="6">
      <c r="A6" s="66"/>
      <c r="B6" s="8" t="s">
        <v>1925</v>
      </c>
      <c r="C6" s="33" t="s">
        <v>31</v>
      </c>
      <c r="D6" s="34" t="s">
        <v>2628</v>
      </c>
      <c r="E6" s="11" t="s">
        <v>13</v>
      </c>
    </row>
    <row r="7">
      <c r="A7" s="66"/>
      <c r="B7" s="34" t="s">
        <v>2144</v>
      </c>
      <c r="C7" s="33" t="s">
        <v>82</v>
      </c>
      <c r="D7" s="32" t="s">
        <v>2629</v>
      </c>
      <c r="E7" s="11" t="s">
        <v>9</v>
      </c>
    </row>
    <row r="8">
      <c r="A8" s="66"/>
      <c r="B8" s="8" t="s">
        <v>1925</v>
      </c>
      <c r="C8" s="33" t="s">
        <v>218</v>
      </c>
      <c r="D8" s="34" t="s">
        <v>2627</v>
      </c>
      <c r="E8" s="11" t="s">
        <v>13</v>
      </c>
    </row>
    <row r="9">
      <c r="A9" s="66"/>
      <c r="B9" s="34" t="s">
        <v>2144</v>
      </c>
      <c r="C9" s="33" t="s">
        <v>561</v>
      </c>
      <c r="D9" s="34" t="s">
        <v>2628</v>
      </c>
      <c r="E9" s="11" t="s">
        <v>9</v>
      </c>
    </row>
    <row r="10">
      <c r="A10" s="66"/>
      <c r="B10" s="32" t="s">
        <v>2629</v>
      </c>
      <c r="C10" s="33" t="s">
        <v>19</v>
      </c>
      <c r="D10" s="34" t="s">
        <v>2627</v>
      </c>
      <c r="E10" s="11" t="s">
        <v>13</v>
      </c>
    </row>
    <row r="11">
      <c r="A11" s="66"/>
      <c r="B11" s="34" t="s">
        <v>2144</v>
      </c>
      <c r="C11" s="33" t="s">
        <v>43</v>
      </c>
      <c r="D11" s="8" t="s">
        <v>1925</v>
      </c>
      <c r="E11" s="11" t="s">
        <v>9</v>
      </c>
    </row>
    <row r="12">
      <c r="A12" s="66"/>
      <c r="B12" s="32" t="s">
        <v>2629</v>
      </c>
      <c r="C12" s="33" t="s">
        <v>78</v>
      </c>
      <c r="D12" s="34" t="s">
        <v>2628</v>
      </c>
      <c r="E12" s="11" t="s">
        <v>13</v>
      </c>
    </row>
    <row r="13">
      <c r="A13" s="66"/>
      <c r="B13" s="34" t="s">
        <v>2628</v>
      </c>
      <c r="C13" s="33" t="s">
        <v>55</v>
      </c>
      <c r="D13" s="34" t="s">
        <v>2627</v>
      </c>
      <c r="E13" s="11" t="s">
        <v>9</v>
      </c>
    </row>
    <row r="14">
      <c r="A14" s="66"/>
      <c r="B14" s="32" t="s">
        <v>2629</v>
      </c>
      <c r="C14" s="33" t="s">
        <v>217</v>
      </c>
      <c r="D14" s="8" t="s">
        <v>1925</v>
      </c>
      <c r="E14" s="11" t="s">
        <v>13</v>
      </c>
    </row>
    <row r="15">
      <c r="A15" s="66"/>
      <c r="B15" s="34" t="s">
        <v>2627</v>
      </c>
      <c r="C15" s="35" t="s">
        <v>68</v>
      </c>
      <c r="D15" s="34" t="s">
        <v>2144</v>
      </c>
      <c r="E15" s="11" t="s">
        <v>9</v>
      </c>
    </row>
    <row r="16">
      <c r="A16" s="66"/>
      <c r="B16" s="34" t="s">
        <v>2628</v>
      </c>
      <c r="C16" s="35" t="s">
        <v>7</v>
      </c>
      <c r="D16" s="8" t="s">
        <v>1925</v>
      </c>
      <c r="E16" s="11" t="s">
        <v>13</v>
      </c>
    </row>
    <row r="17">
      <c r="A17" s="66"/>
      <c r="B17" s="32" t="s">
        <v>2629</v>
      </c>
      <c r="C17" s="35" t="s">
        <v>190</v>
      </c>
      <c r="D17" s="34" t="s">
        <v>2144</v>
      </c>
      <c r="E17" s="11" t="s">
        <v>9</v>
      </c>
    </row>
    <row r="18">
      <c r="A18" s="66"/>
      <c r="B18" s="34" t="s">
        <v>2627</v>
      </c>
      <c r="C18" s="35" t="s">
        <v>28</v>
      </c>
      <c r="D18" s="8" t="s">
        <v>1925</v>
      </c>
      <c r="E18" s="11" t="s">
        <v>13</v>
      </c>
    </row>
    <row r="19">
      <c r="A19" s="66"/>
      <c r="B19" s="34" t="s">
        <v>2628</v>
      </c>
      <c r="C19" s="35" t="s">
        <v>62</v>
      </c>
      <c r="D19" s="34" t="s">
        <v>2144</v>
      </c>
      <c r="E19" s="11" t="s">
        <v>9</v>
      </c>
    </row>
    <row r="20">
      <c r="A20" s="66"/>
      <c r="B20" s="34" t="s">
        <v>2627</v>
      </c>
      <c r="C20" s="35" t="s">
        <v>251</v>
      </c>
      <c r="D20" s="32" t="s">
        <v>2629</v>
      </c>
      <c r="E20" s="11" t="s">
        <v>13</v>
      </c>
    </row>
    <row r="21">
      <c r="A21" s="66"/>
      <c r="B21" s="8" t="s">
        <v>1925</v>
      </c>
      <c r="C21" s="35" t="s">
        <v>196</v>
      </c>
      <c r="D21" s="34" t="s">
        <v>2144</v>
      </c>
      <c r="E21" s="11" t="s">
        <v>9</v>
      </c>
    </row>
    <row r="22">
      <c r="A22" s="66"/>
      <c r="B22" s="34" t="s">
        <v>2628</v>
      </c>
      <c r="C22" s="35" t="s">
        <v>83</v>
      </c>
      <c r="D22" s="32" t="s">
        <v>2629</v>
      </c>
      <c r="E22" s="11" t="s">
        <v>13</v>
      </c>
    </row>
    <row r="23">
      <c r="A23" s="66"/>
      <c r="B23" s="1" t="s">
        <v>2532</v>
      </c>
      <c r="C23" s="2"/>
      <c r="D23" s="3"/>
      <c r="E23" s="29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1647</v>
      </c>
      <c r="C25" s="33" t="s">
        <v>285</v>
      </c>
      <c r="D25" s="34" t="s">
        <v>2630</v>
      </c>
      <c r="E25" s="11" t="s">
        <v>9</v>
      </c>
    </row>
    <row r="26">
      <c r="A26" s="66"/>
      <c r="B26" s="8" t="s">
        <v>2631</v>
      </c>
      <c r="C26" s="33" t="s">
        <v>306</v>
      </c>
      <c r="D26" s="32" t="s">
        <v>2632</v>
      </c>
      <c r="E26" s="11" t="s">
        <v>13</v>
      </c>
    </row>
    <row r="27">
      <c r="A27" s="66"/>
      <c r="B27" s="34" t="s">
        <v>2633</v>
      </c>
      <c r="C27" s="33" t="s">
        <v>400</v>
      </c>
      <c r="D27" s="34" t="s">
        <v>1647</v>
      </c>
      <c r="E27" s="11" t="s">
        <v>9</v>
      </c>
    </row>
    <row r="28">
      <c r="A28" s="66"/>
      <c r="B28" s="8" t="s">
        <v>2631</v>
      </c>
      <c r="C28" s="33" t="s">
        <v>88</v>
      </c>
      <c r="D28" s="34" t="s">
        <v>2630</v>
      </c>
      <c r="E28" s="11" t="s">
        <v>13</v>
      </c>
    </row>
    <row r="29">
      <c r="A29" s="66"/>
      <c r="B29" s="34" t="s">
        <v>2633</v>
      </c>
      <c r="C29" s="33" t="s">
        <v>16</v>
      </c>
      <c r="D29" s="32" t="s">
        <v>2632</v>
      </c>
      <c r="E29" s="11" t="s">
        <v>9</v>
      </c>
    </row>
    <row r="30">
      <c r="A30" s="66"/>
      <c r="B30" s="8" t="s">
        <v>2631</v>
      </c>
      <c r="C30" s="33" t="s">
        <v>286</v>
      </c>
      <c r="D30" s="34" t="s">
        <v>1647</v>
      </c>
      <c r="E30" s="11" t="s">
        <v>13</v>
      </c>
    </row>
    <row r="31">
      <c r="A31" s="66"/>
      <c r="B31" s="34" t="s">
        <v>2633</v>
      </c>
      <c r="C31" s="33" t="s">
        <v>17</v>
      </c>
      <c r="D31" s="34" t="s">
        <v>2630</v>
      </c>
      <c r="E31" s="11" t="s">
        <v>9</v>
      </c>
    </row>
    <row r="32">
      <c r="A32" s="66"/>
      <c r="B32" s="32" t="s">
        <v>2632</v>
      </c>
      <c r="C32" s="33" t="s">
        <v>26</v>
      </c>
      <c r="D32" s="34" t="s">
        <v>1647</v>
      </c>
      <c r="E32" s="11" t="s">
        <v>13</v>
      </c>
    </row>
    <row r="33">
      <c r="A33" s="66"/>
      <c r="B33" s="34" t="s">
        <v>2633</v>
      </c>
      <c r="C33" s="33" t="s">
        <v>17</v>
      </c>
      <c r="D33" s="8" t="s">
        <v>2631</v>
      </c>
      <c r="E33" s="11" t="s">
        <v>9</v>
      </c>
    </row>
    <row r="34">
      <c r="A34" s="66"/>
      <c r="B34" s="32" t="s">
        <v>2632</v>
      </c>
      <c r="C34" s="33" t="s">
        <v>19</v>
      </c>
      <c r="D34" s="34" t="s">
        <v>2630</v>
      </c>
      <c r="E34" s="11" t="s">
        <v>13</v>
      </c>
    </row>
    <row r="35">
      <c r="A35" s="66"/>
      <c r="B35" s="34" t="s">
        <v>2630</v>
      </c>
      <c r="C35" s="33" t="s">
        <v>43</v>
      </c>
      <c r="D35" s="34" t="s">
        <v>1647</v>
      </c>
      <c r="E35" s="11" t="s">
        <v>9</v>
      </c>
    </row>
    <row r="36">
      <c r="A36" s="66"/>
      <c r="B36" s="32" t="s">
        <v>2632</v>
      </c>
      <c r="C36" s="33" t="s">
        <v>912</v>
      </c>
      <c r="D36" s="8" t="s">
        <v>2631</v>
      </c>
      <c r="E36" s="11" t="s">
        <v>13</v>
      </c>
    </row>
    <row r="37">
      <c r="A37" s="66"/>
      <c r="B37" s="34" t="s">
        <v>1647</v>
      </c>
      <c r="C37" s="35" t="s">
        <v>28</v>
      </c>
      <c r="D37" s="34" t="s">
        <v>2633</v>
      </c>
      <c r="E37" s="11" t="s">
        <v>9</v>
      </c>
    </row>
    <row r="38">
      <c r="A38" s="66"/>
      <c r="B38" s="34" t="s">
        <v>2630</v>
      </c>
      <c r="C38" s="35" t="s">
        <v>28</v>
      </c>
      <c r="D38" s="8" t="s">
        <v>2631</v>
      </c>
      <c r="E38" s="11" t="s">
        <v>13</v>
      </c>
    </row>
    <row r="39">
      <c r="A39" s="66"/>
      <c r="B39" s="32" t="s">
        <v>2632</v>
      </c>
      <c r="C39" s="35" t="s">
        <v>1025</v>
      </c>
      <c r="D39" s="34" t="s">
        <v>2633</v>
      </c>
      <c r="E39" s="11" t="s">
        <v>9</v>
      </c>
    </row>
    <row r="40">
      <c r="A40" s="66"/>
      <c r="B40" s="34" t="s">
        <v>1647</v>
      </c>
      <c r="C40" s="35" t="s">
        <v>48</v>
      </c>
      <c r="D40" s="8" t="s">
        <v>2631</v>
      </c>
      <c r="E40" s="11" t="s">
        <v>13</v>
      </c>
    </row>
    <row r="41">
      <c r="A41" s="66"/>
      <c r="B41" s="34" t="s">
        <v>2630</v>
      </c>
      <c r="C41" s="35" t="s">
        <v>302</v>
      </c>
      <c r="D41" s="34" t="s">
        <v>2633</v>
      </c>
      <c r="E41" s="11" t="s">
        <v>9</v>
      </c>
    </row>
    <row r="42">
      <c r="A42" s="66"/>
      <c r="B42" s="34" t="s">
        <v>1647</v>
      </c>
      <c r="C42" s="35" t="s">
        <v>328</v>
      </c>
      <c r="D42" s="32" t="s">
        <v>2632</v>
      </c>
      <c r="E42" s="11" t="s">
        <v>13</v>
      </c>
    </row>
    <row r="43">
      <c r="A43" s="66"/>
      <c r="B43" s="8" t="s">
        <v>2631</v>
      </c>
      <c r="C43" s="35" t="s">
        <v>842</v>
      </c>
      <c r="D43" s="34" t="s">
        <v>2633</v>
      </c>
      <c r="E43" s="11" t="s">
        <v>9</v>
      </c>
    </row>
    <row r="44">
      <c r="A44" s="67"/>
      <c r="B44" s="34" t="s">
        <v>2630</v>
      </c>
      <c r="C44" s="35" t="s">
        <v>44</v>
      </c>
      <c r="D44" s="32" t="s">
        <v>2632</v>
      </c>
      <c r="E44" s="11" t="s">
        <v>13</v>
      </c>
    </row>
    <row r="45">
      <c r="B45" s="1" t="s">
        <v>1659</v>
      </c>
      <c r="C45" s="2"/>
      <c r="D45" s="3"/>
      <c r="E45" s="14"/>
    </row>
    <row r="46">
      <c r="B46" s="16" t="s">
        <v>2</v>
      </c>
      <c r="C46" s="16" t="s">
        <v>3</v>
      </c>
      <c r="D46" s="16" t="s">
        <v>4</v>
      </c>
      <c r="E46" s="16" t="s">
        <v>5</v>
      </c>
    </row>
    <row r="47">
      <c r="B47" s="32" t="s">
        <v>2538</v>
      </c>
      <c r="C47" s="35" t="s">
        <v>190</v>
      </c>
      <c r="D47" s="32" t="s">
        <v>2322</v>
      </c>
      <c r="E47" s="11" t="s">
        <v>9</v>
      </c>
    </row>
    <row r="48">
      <c r="B48" s="32" t="s">
        <v>2634</v>
      </c>
      <c r="C48" s="35" t="s">
        <v>190</v>
      </c>
      <c r="D48" s="32" t="s">
        <v>2541</v>
      </c>
      <c r="E48" s="11" t="s">
        <v>13</v>
      </c>
    </row>
    <row r="49">
      <c r="B49" s="32" t="s">
        <v>2635</v>
      </c>
      <c r="C49" s="35" t="s">
        <v>16</v>
      </c>
      <c r="D49" s="32" t="s">
        <v>2538</v>
      </c>
      <c r="E49" s="11" t="s">
        <v>9</v>
      </c>
    </row>
    <row r="50">
      <c r="B50" s="32" t="s">
        <v>2634</v>
      </c>
      <c r="C50" s="35" t="s">
        <v>274</v>
      </c>
      <c r="D50" s="32" t="s">
        <v>2322</v>
      </c>
      <c r="E50" s="11" t="s">
        <v>13</v>
      </c>
    </row>
    <row r="51">
      <c r="B51" s="32" t="s">
        <v>2635</v>
      </c>
      <c r="C51" s="35" t="s">
        <v>282</v>
      </c>
      <c r="D51" s="32" t="s">
        <v>2541</v>
      </c>
      <c r="E51" s="11" t="s">
        <v>9</v>
      </c>
    </row>
    <row r="52">
      <c r="B52" s="32" t="s">
        <v>2634</v>
      </c>
      <c r="C52" s="35" t="s">
        <v>578</v>
      </c>
      <c r="D52" s="32" t="s">
        <v>2538</v>
      </c>
      <c r="E52" s="11" t="s">
        <v>13</v>
      </c>
    </row>
    <row r="53">
      <c r="B53" s="32" t="s">
        <v>2635</v>
      </c>
      <c r="C53" s="35" t="s">
        <v>196</v>
      </c>
      <c r="D53" s="32" t="s">
        <v>2322</v>
      </c>
      <c r="E53" s="11" t="s">
        <v>9</v>
      </c>
    </row>
    <row r="54">
      <c r="B54" s="32" t="s">
        <v>2541</v>
      </c>
      <c r="C54" s="35" t="s">
        <v>197</v>
      </c>
      <c r="D54" s="32" t="s">
        <v>2538</v>
      </c>
      <c r="E54" s="11" t="s">
        <v>13</v>
      </c>
    </row>
    <row r="55">
      <c r="B55" s="32" t="s">
        <v>2635</v>
      </c>
      <c r="C55" s="35" t="s">
        <v>35</v>
      </c>
      <c r="D55" s="32" t="s">
        <v>2634</v>
      </c>
      <c r="E55" s="11" t="s">
        <v>9</v>
      </c>
    </row>
    <row r="56">
      <c r="B56" s="32" t="s">
        <v>2541</v>
      </c>
      <c r="C56" s="35" t="s">
        <v>20</v>
      </c>
      <c r="D56" s="32" t="s">
        <v>2322</v>
      </c>
      <c r="E56" s="11" t="s">
        <v>13</v>
      </c>
    </row>
    <row r="57">
      <c r="B57" s="32" t="s">
        <v>2322</v>
      </c>
      <c r="C57" s="35" t="s">
        <v>239</v>
      </c>
      <c r="D57" s="32" t="s">
        <v>2538</v>
      </c>
      <c r="E57" s="11" t="s">
        <v>9</v>
      </c>
    </row>
    <row r="58">
      <c r="B58" s="32" t="s">
        <v>2541</v>
      </c>
      <c r="C58" s="35" t="s">
        <v>370</v>
      </c>
      <c r="D58" s="32" t="s">
        <v>2634</v>
      </c>
      <c r="E58" s="11" t="s">
        <v>13</v>
      </c>
    </row>
    <row r="59">
      <c r="B59" s="32" t="s">
        <v>2538</v>
      </c>
      <c r="C59" s="35" t="s">
        <v>64</v>
      </c>
      <c r="D59" s="32" t="s">
        <v>2635</v>
      </c>
      <c r="E59" s="11" t="s">
        <v>9</v>
      </c>
    </row>
    <row r="60">
      <c r="B60" s="32" t="s">
        <v>2322</v>
      </c>
      <c r="C60" s="35" t="s">
        <v>55</v>
      </c>
      <c r="D60" s="32" t="s">
        <v>2634</v>
      </c>
      <c r="E60" s="11" t="s">
        <v>13</v>
      </c>
    </row>
    <row r="61">
      <c r="B61" s="32" t="s">
        <v>2541</v>
      </c>
      <c r="C61" s="35" t="s">
        <v>18</v>
      </c>
      <c r="D61" s="32" t="s">
        <v>2635</v>
      </c>
      <c r="E61" s="11" t="s">
        <v>9</v>
      </c>
    </row>
    <row r="62">
      <c r="B62" s="32" t="s">
        <v>2538</v>
      </c>
      <c r="C62" s="35" t="s">
        <v>536</v>
      </c>
      <c r="D62" s="32" t="s">
        <v>2634</v>
      </c>
      <c r="E62" s="11" t="s">
        <v>13</v>
      </c>
    </row>
    <row r="63">
      <c r="B63" s="32" t="s">
        <v>2322</v>
      </c>
      <c r="C63" s="35" t="s">
        <v>14</v>
      </c>
      <c r="D63" s="32" t="s">
        <v>2635</v>
      </c>
      <c r="E63" s="11" t="s">
        <v>9</v>
      </c>
    </row>
    <row r="64">
      <c r="B64" s="32" t="s">
        <v>2538</v>
      </c>
      <c r="C64" s="35" t="s">
        <v>27</v>
      </c>
      <c r="D64" s="32" t="s">
        <v>2541</v>
      </c>
      <c r="E64" s="11" t="s">
        <v>13</v>
      </c>
    </row>
    <row r="65">
      <c r="B65" s="32" t="s">
        <v>2634</v>
      </c>
      <c r="C65" s="35" t="s">
        <v>16</v>
      </c>
      <c r="D65" s="32" t="s">
        <v>2635</v>
      </c>
      <c r="E65" s="11" t="s">
        <v>9</v>
      </c>
    </row>
    <row r="66">
      <c r="B66" s="32" t="s">
        <v>2322</v>
      </c>
      <c r="C66" s="35" t="s">
        <v>62</v>
      </c>
      <c r="D66" s="32" t="s">
        <v>2541</v>
      </c>
      <c r="E66" s="11" t="s">
        <v>13</v>
      </c>
    </row>
    <row r="67">
      <c r="B67" s="1" t="s">
        <v>2099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16" t="s">
        <v>5</v>
      </c>
    </row>
    <row r="69">
      <c r="B69" s="32" t="s">
        <v>2636</v>
      </c>
      <c r="C69" s="35" t="s">
        <v>18</v>
      </c>
      <c r="D69" s="32" t="s">
        <v>2637</v>
      </c>
      <c r="E69" s="11" t="s">
        <v>9</v>
      </c>
    </row>
    <row r="70">
      <c r="B70" s="32" t="s">
        <v>2638</v>
      </c>
      <c r="C70" s="35" t="s">
        <v>684</v>
      </c>
      <c r="D70" s="32" t="s">
        <v>585</v>
      </c>
      <c r="E70" s="11" t="s">
        <v>13</v>
      </c>
    </row>
    <row r="71">
      <c r="B71" s="32" t="s">
        <v>2639</v>
      </c>
      <c r="C71" s="35" t="s">
        <v>351</v>
      </c>
      <c r="D71" s="32" t="s">
        <v>2636</v>
      </c>
      <c r="E71" s="11" t="s">
        <v>9</v>
      </c>
    </row>
    <row r="72">
      <c r="B72" s="32" t="s">
        <v>2638</v>
      </c>
      <c r="C72" s="35" t="s">
        <v>87</v>
      </c>
      <c r="D72" s="32" t="s">
        <v>2637</v>
      </c>
      <c r="E72" s="11" t="s">
        <v>13</v>
      </c>
    </row>
    <row r="73">
      <c r="B73" s="32" t="s">
        <v>2639</v>
      </c>
      <c r="C73" s="35" t="s">
        <v>1022</v>
      </c>
      <c r="D73" s="32" t="s">
        <v>585</v>
      </c>
      <c r="E73" s="11" t="s">
        <v>9</v>
      </c>
    </row>
    <row r="74">
      <c r="B74" s="32" t="s">
        <v>2638</v>
      </c>
      <c r="C74" s="35" t="s">
        <v>1855</v>
      </c>
      <c r="D74" s="32" t="s">
        <v>2636</v>
      </c>
      <c r="E74" s="11" t="s">
        <v>13</v>
      </c>
    </row>
    <row r="75">
      <c r="B75" s="32" t="s">
        <v>2639</v>
      </c>
      <c r="C75" s="35" t="s">
        <v>218</v>
      </c>
      <c r="D75" s="32" t="s">
        <v>2637</v>
      </c>
      <c r="E75" s="11" t="s">
        <v>9</v>
      </c>
    </row>
    <row r="76">
      <c r="B76" s="32" t="s">
        <v>585</v>
      </c>
      <c r="C76" s="35" t="s">
        <v>64</v>
      </c>
      <c r="D76" s="32" t="s">
        <v>2636</v>
      </c>
      <c r="E76" s="11" t="s">
        <v>13</v>
      </c>
    </row>
    <row r="77">
      <c r="B77" s="32" t="s">
        <v>2639</v>
      </c>
      <c r="C77" s="35" t="s">
        <v>28</v>
      </c>
      <c r="D77" s="32" t="s">
        <v>2638</v>
      </c>
      <c r="E77" s="11" t="s">
        <v>9</v>
      </c>
    </row>
    <row r="78">
      <c r="B78" s="32" t="s">
        <v>585</v>
      </c>
      <c r="C78" s="35" t="s">
        <v>195</v>
      </c>
      <c r="D78" s="32" t="s">
        <v>2637</v>
      </c>
      <c r="E78" s="11" t="s">
        <v>13</v>
      </c>
    </row>
    <row r="79">
      <c r="B79" s="32" t="s">
        <v>2637</v>
      </c>
      <c r="C79" s="35" t="s">
        <v>494</v>
      </c>
      <c r="D79" s="32" t="s">
        <v>2636</v>
      </c>
      <c r="E79" s="11" t="s">
        <v>9</v>
      </c>
    </row>
    <row r="80">
      <c r="B80" s="32" t="s">
        <v>585</v>
      </c>
      <c r="C80" s="35" t="s">
        <v>19</v>
      </c>
      <c r="D80" s="32" t="s">
        <v>2638</v>
      </c>
      <c r="E80" s="11" t="s">
        <v>13</v>
      </c>
    </row>
    <row r="81">
      <c r="B81" s="32" t="s">
        <v>2636</v>
      </c>
      <c r="C81" s="35" t="s">
        <v>52</v>
      </c>
      <c r="D81" s="32" t="s">
        <v>2639</v>
      </c>
      <c r="E81" s="11" t="s">
        <v>9</v>
      </c>
    </row>
    <row r="82">
      <c r="B82" s="32" t="s">
        <v>2637</v>
      </c>
      <c r="C82" s="35" t="s">
        <v>282</v>
      </c>
      <c r="D82" s="32" t="s">
        <v>2638</v>
      </c>
      <c r="E82" s="11" t="s">
        <v>13</v>
      </c>
    </row>
    <row r="83">
      <c r="B83" s="32" t="s">
        <v>585</v>
      </c>
      <c r="C83" s="35" t="s">
        <v>217</v>
      </c>
      <c r="D83" s="32" t="s">
        <v>2639</v>
      </c>
      <c r="E83" s="11" t="s">
        <v>9</v>
      </c>
    </row>
    <row r="84">
      <c r="B84" s="32" t="s">
        <v>2636</v>
      </c>
      <c r="C84" s="35" t="s">
        <v>63</v>
      </c>
      <c r="D84" s="32" t="s">
        <v>2638</v>
      </c>
      <c r="E84" s="11" t="s">
        <v>13</v>
      </c>
    </row>
    <row r="85">
      <c r="B85" s="32" t="s">
        <v>2637</v>
      </c>
      <c r="C85" s="35" t="s">
        <v>81</v>
      </c>
      <c r="D85" s="32" t="s">
        <v>2639</v>
      </c>
      <c r="E85" s="11" t="s">
        <v>9</v>
      </c>
    </row>
    <row r="86">
      <c r="B86" s="32" t="s">
        <v>2636</v>
      </c>
      <c r="C86" s="35" t="s">
        <v>83</v>
      </c>
      <c r="D86" s="32" t="s">
        <v>585</v>
      </c>
      <c r="E86" s="11" t="s">
        <v>13</v>
      </c>
    </row>
    <row r="87">
      <c r="B87" s="32" t="s">
        <v>2638</v>
      </c>
      <c r="C87" s="35" t="s">
        <v>1937</v>
      </c>
      <c r="D87" s="32" t="s">
        <v>2639</v>
      </c>
      <c r="E87" s="11" t="s">
        <v>9</v>
      </c>
    </row>
    <row r="88">
      <c r="B88" s="32" t="s">
        <v>2637</v>
      </c>
      <c r="C88" s="35" t="s">
        <v>58</v>
      </c>
      <c r="D88" s="32" t="s">
        <v>585</v>
      </c>
      <c r="E88" s="11" t="s">
        <v>13</v>
      </c>
    </row>
    <row r="89">
      <c r="B89" s="1" t="s">
        <v>2640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16" t="s">
        <v>5</v>
      </c>
    </row>
    <row r="91">
      <c r="B91" s="32" t="s">
        <v>2641</v>
      </c>
      <c r="C91" s="33" t="s">
        <v>19</v>
      </c>
      <c r="D91" s="32" t="s">
        <v>2642</v>
      </c>
      <c r="E91" s="11" t="s">
        <v>33</v>
      </c>
    </row>
    <row r="92">
      <c r="B92" s="32" t="s">
        <v>2643</v>
      </c>
      <c r="C92" s="33" t="s">
        <v>352</v>
      </c>
      <c r="D92" s="32" t="s">
        <v>2644</v>
      </c>
      <c r="E92" s="11" t="s">
        <v>37</v>
      </c>
      <c r="J92" s="36" t="s">
        <v>663</v>
      </c>
    </row>
    <row r="93">
      <c r="B93" s="32" t="s">
        <v>2645</v>
      </c>
      <c r="C93" s="33" t="s">
        <v>239</v>
      </c>
      <c r="D93" s="32" t="s">
        <v>2641</v>
      </c>
      <c r="E93" s="11" t="s">
        <v>33</v>
      </c>
    </row>
    <row r="94">
      <c r="B94" s="32" t="s">
        <v>2643</v>
      </c>
      <c r="C94" s="33" t="s">
        <v>282</v>
      </c>
      <c r="D94" s="32" t="s">
        <v>2642</v>
      </c>
      <c r="E94" s="11" t="s">
        <v>37</v>
      </c>
    </row>
    <row r="95">
      <c r="B95" s="32" t="s">
        <v>2645</v>
      </c>
      <c r="C95" s="33" t="s">
        <v>48</v>
      </c>
      <c r="D95" s="32" t="s">
        <v>2644</v>
      </c>
      <c r="E95" s="11" t="s">
        <v>33</v>
      </c>
    </row>
    <row r="96">
      <c r="B96" s="32" t="s">
        <v>2643</v>
      </c>
      <c r="C96" s="33" t="s">
        <v>212</v>
      </c>
      <c r="D96" s="32" t="s">
        <v>2641</v>
      </c>
      <c r="E96" s="11" t="s">
        <v>37</v>
      </c>
    </row>
    <row r="97">
      <c r="B97" s="32" t="s">
        <v>2645</v>
      </c>
      <c r="C97" s="33" t="s">
        <v>64</v>
      </c>
      <c r="D97" s="32" t="s">
        <v>2642</v>
      </c>
      <c r="E97" s="11" t="s">
        <v>33</v>
      </c>
      <c r="L97" s="36" t="s">
        <v>663</v>
      </c>
    </row>
    <row r="98">
      <c r="B98" s="32" t="s">
        <v>2644</v>
      </c>
      <c r="C98" s="33" t="s">
        <v>201</v>
      </c>
      <c r="D98" s="32" t="s">
        <v>2641</v>
      </c>
      <c r="E98" s="11" t="s">
        <v>37</v>
      </c>
    </row>
    <row r="99">
      <c r="B99" s="32" t="s">
        <v>2645</v>
      </c>
      <c r="C99" s="33" t="s">
        <v>637</v>
      </c>
      <c r="D99" s="32" t="s">
        <v>2643</v>
      </c>
      <c r="E99" s="11" t="s">
        <v>33</v>
      </c>
    </row>
    <row r="100">
      <c r="B100" s="32" t="s">
        <v>2644</v>
      </c>
      <c r="C100" s="33" t="s">
        <v>87</v>
      </c>
      <c r="D100" s="32" t="s">
        <v>2642</v>
      </c>
      <c r="E100" s="11" t="s">
        <v>37</v>
      </c>
    </row>
    <row r="101">
      <c r="B101" s="32" t="s">
        <v>2642</v>
      </c>
      <c r="C101" s="33" t="s">
        <v>41</v>
      </c>
      <c r="D101" s="32" t="s">
        <v>2641</v>
      </c>
      <c r="E101" s="11" t="s">
        <v>33</v>
      </c>
    </row>
    <row r="102">
      <c r="B102" s="32" t="s">
        <v>2644</v>
      </c>
      <c r="C102" s="33" t="s">
        <v>16</v>
      </c>
      <c r="D102" s="32" t="s">
        <v>2643</v>
      </c>
      <c r="E102" s="11" t="s">
        <v>37</v>
      </c>
    </row>
    <row r="103">
      <c r="B103" s="32" t="s">
        <v>2641</v>
      </c>
      <c r="C103" s="35" t="s">
        <v>88</v>
      </c>
      <c r="D103" s="32" t="s">
        <v>2645</v>
      </c>
      <c r="E103" s="11" t="s">
        <v>33</v>
      </c>
    </row>
    <row r="104">
      <c r="B104" s="32" t="s">
        <v>2642</v>
      </c>
      <c r="C104" s="35" t="s">
        <v>58</v>
      </c>
      <c r="D104" s="32" t="s">
        <v>2643</v>
      </c>
      <c r="E104" s="11" t="s">
        <v>37</v>
      </c>
    </row>
    <row r="105">
      <c r="B105" s="32" t="s">
        <v>2644</v>
      </c>
      <c r="C105" s="35" t="s">
        <v>337</v>
      </c>
      <c r="D105" s="32" t="s">
        <v>2645</v>
      </c>
      <c r="E105" s="11" t="s">
        <v>33</v>
      </c>
    </row>
    <row r="106">
      <c r="B106" s="32" t="s">
        <v>2641</v>
      </c>
      <c r="C106" s="35" t="s">
        <v>43</v>
      </c>
      <c r="D106" s="32" t="s">
        <v>2643</v>
      </c>
      <c r="E106" s="11" t="s">
        <v>37</v>
      </c>
    </row>
    <row r="107">
      <c r="B107" s="32" t="s">
        <v>2642</v>
      </c>
      <c r="C107" s="35" t="s">
        <v>48</v>
      </c>
      <c r="D107" s="32" t="s">
        <v>2645</v>
      </c>
      <c r="E107" s="11" t="s">
        <v>33</v>
      </c>
    </row>
    <row r="108">
      <c r="B108" s="32" t="s">
        <v>2641</v>
      </c>
      <c r="C108" s="35" t="s">
        <v>82</v>
      </c>
      <c r="D108" s="32" t="s">
        <v>2644</v>
      </c>
      <c r="E108" s="11" t="s">
        <v>37</v>
      </c>
    </row>
    <row r="109">
      <c r="B109" s="32" t="s">
        <v>2643</v>
      </c>
      <c r="C109" s="35" t="s">
        <v>64</v>
      </c>
      <c r="D109" s="32" t="s">
        <v>2645</v>
      </c>
      <c r="E109" s="11" t="s">
        <v>33</v>
      </c>
    </row>
    <row r="110">
      <c r="B110" s="32" t="s">
        <v>2642</v>
      </c>
      <c r="C110" s="35" t="s">
        <v>88</v>
      </c>
      <c r="D110" s="32" t="s">
        <v>2644</v>
      </c>
      <c r="E110" s="11" t="s">
        <v>37</v>
      </c>
    </row>
    <row r="111">
      <c r="B111" s="1" t="s">
        <v>2646</v>
      </c>
      <c r="C111" s="2"/>
      <c r="D111" s="3"/>
      <c r="E111" s="4"/>
    </row>
    <row r="112"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B113" s="32" t="s">
        <v>2647</v>
      </c>
      <c r="C113" s="33" t="s">
        <v>58</v>
      </c>
      <c r="D113" s="32" t="s">
        <v>2648</v>
      </c>
      <c r="E113" s="11" t="s">
        <v>33</v>
      </c>
    </row>
    <row r="114">
      <c r="B114" s="32" t="s">
        <v>1901</v>
      </c>
      <c r="C114" s="33" t="s">
        <v>87</v>
      </c>
      <c r="D114" s="32" t="s">
        <v>2649</v>
      </c>
      <c r="E114" s="11" t="s">
        <v>37</v>
      </c>
    </row>
    <row r="115">
      <c r="B115" s="32" t="s">
        <v>1720</v>
      </c>
      <c r="C115" s="33" t="s">
        <v>88</v>
      </c>
      <c r="D115" s="32" t="s">
        <v>2647</v>
      </c>
      <c r="E115" s="11" t="s">
        <v>33</v>
      </c>
    </row>
    <row r="116">
      <c r="B116" s="32" t="s">
        <v>1901</v>
      </c>
      <c r="C116" s="33" t="s">
        <v>45</v>
      </c>
      <c r="D116" s="32" t="s">
        <v>2648</v>
      </c>
      <c r="E116" s="11" t="s">
        <v>37</v>
      </c>
    </row>
    <row r="117">
      <c r="B117" s="32" t="s">
        <v>1720</v>
      </c>
      <c r="C117" s="33" t="s">
        <v>590</v>
      </c>
      <c r="D117" s="32" t="s">
        <v>2649</v>
      </c>
      <c r="E117" s="11" t="s">
        <v>33</v>
      </c>
    </row>
    <row r="118">
      <c r="B118" s="32" t="s">
        <v>1901</v>
      </c>
      <c r="C118" s="33" t="s">
        <v>404</v>
      </c>
      <c r="D118" s="32" t="s">
        <v>2647</v>
      </c>
      <c r="E118" s="11" t="s">
        <v>37</v>
      </c>
    </row>
    <row r="119">
      <c r="B119" s="32" t="s">
        <v>1720</v>
      </c>
      <c r="C119" s="33" t="s">
        <v>197</v>
      </c>
      <c r="D119" s="32" t="s">
        <v>2648</v>
      </c>
      <c r="E119" s="11" t="s">
        <v>33</v>
      </c>
    </row>
    <row r="120">
      <c r="B120" s="32" t="s">
        <v>2649</v>
      </c>
      <c r="C120" s="33" t="s">
        <v>195</v>
      </c>
      <c r="D120" s="32" t="s">
        <v>2647</v>
      </c>
      <c r="E120" s="11" t="s">
        <v>37</v>
      </c>
    </row>
    <row r="121">
      <c r="B121" s="32" t="s">
        <v>1720</v>
      </c>
      <c r="C121" s="33" t="s">
        <v>378</v>
      </c>
      <c r="D121" s="32" t="s">
        <v>1901</v>
      </c>
      <c r="E121" s="11" t="s">
        <v>33</v>
      </c>
    </row>
    <row r="122">
      <c r="B122" s="32" t="s">
        <v>2649</v>
      </c>
      <c r="C122" s="33" t="s">
        <v>239</v>
      </c>
      <c r="D122" s="32" t="s">
        <v>2648</v>
      </c>
      <c r="E122" s="11" t="s">
        <v>37</v>
      </c>
    </row>
    <row r="123">
      <c r="B123" s="32" t="s">
        <v>2648</v>
      </c>
      <c r="C123" s="33" t="s">
        <v>24</v>
      </c>
      <c r="D123" s="32" t="s">
        <v>2647</v>
      </c>
      <c r="E123" s="11" t="s">
        <v>33</v>
      </c>
    </row>
    <row r="124">
      <c r="B124" s="32" t="s">
        <v>2649</v>
      </c>
      <c r="C124" s="33" t="s">
        <v>240</v>
      </c>
      <c r="D124" s="32" t="s">
        <v>1901</v>
      </c>
      <c r="E124" s="11" t="s">
        <v>37</v>
      </c>
    </row>
    <row r="125">
      <c r="B125" s="32" t="s">
        <v>2647</v>
      </c>
      <c r="C125" s="35" t="s">
        <v>217</v>
      </c>
      <c r="D125" s="32" t="s">
        <v>1720</v>
      </c>
      <c r="E125" s="11" t="s">
        <v>33</v>
      </c>
    </row>
    <row r="126">
      <c r="B126" s="32" t="s">
        <v>2648</v>
      </c>
      <c r="C126" s="35" t="s">
        <v>49</v>
      </c>
      <c r="D126" s="32" t="s">
        <v>1901</v>
      </c>
      <c r="E126" s="11" t="s">
        <v>37</v>
      </c>
    </row>
    <row r="127">
      <c r="B127" s="32" t="s">
        <v>2649</v>
      </c>
      <c r="C127" s="35" t="s">
        <v>83</v>
      </c>
      <c r="D127" s="32" t="s">
        <v>1720</v>
      </c>
      <c r="E127" s="11" t="s">
        <v>33</v>
      </c>
    </row>
    <row r="128">
      <c r="B128" s="32" t="s">
        <v>2647</v>
      </c>
      <c r="C128" s="35" t="s">
        <v>62</v>
      </c>
      <c r="D128" s="32" t="s">
        <v>1901</v>
      </c>
      <c r="E128" s="11" t="s">
        <v>37</v>
      </c>
    </row>
    <row r="129">
      <c r="B129" s="32" t="s">
        <v>2648</v>
      </c>
      <c r="C129" s="35" t="s">
        <v>195</v>
      </c>
      <c r="D129" s="32" t="s">
        <v>1720</v>
      </c>
      <c r="E129" s="11" t="s">
        <v>33</v>
      </c>
    </row>
    <row r="130">
      <c r="B130" s="32" t="s">
        <v>2647</v>
      </c>
      <c r="C130" s="35" t="s">
        <v>218</v>
      </c>
      <c r="D130" s="32" t="s">
        <v>2649</v>
      </c>
      <c r="E130" s="11" t="s">
        <v>37</v>
      </c>
    </row>
    <row r="131">
      <c r="B131" s="32" t="s">
        <v>1901</v>
      </c>
      <c r="C131" s="35" t="s">
        <v>261</v>
      </c>
      <c r="D131" s="32" t="s">
        <v>1720</v>
      </c>
      <c r="E131" s="11" t="s">
        <v>33</v>
      </c>
    </row>
    <row r="132">
      <c r="B132" s="32" t="s">
        <v>2648</v>
      </c>
      <c r="C132" s="35" t="s">
        <v>19</v>
      </c>
      <c r="D132" s="32" t="s">
        <v>2649</v>
      </c>
      <c r="E132" s="11" t="s">
        <v>37</v>
      </c>
    </row>
    <row r="133">
      <c r="B133" s="1" t="s">
        <v>2041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32" t="s">
        <v>1965</v>
      </c>
      <c r="C135" s="35" t="s">
        <v>282</v>
      </c>
      <c r="D135" s="32" t="s">
        <v>2650</v>
      </c>
      <c r="E135" s="11" t="s">
        <v>9</v>
      </c>
    </row>
    <row r="136">
      <c r="B136" s="32" t="s">
        <v>386</v>
      </c>
      <c r="C136" s="35" t="s">
        <v>87</v>
      </c>
      <c r="D136" s="32" t="s">
        <v>1684</v>
      </c>
      <c r="E136" s="11" t="s">
        <v>13</v>
      </c>
    </row>
    <row r="137">
      <c r="B137" s="32" t="s">
        <v>957</v>
      </c>
      <c r="C137" s="35" t="s">
        <v>190</v>
      </c>
      <c r="D137" s="32" t="s">
        <v>1965</v>
      </c>
      <c r="E137" s="11" t="s">
        <v>9</v>
      </c>
    </row>
    <row r="138">
      <c r="B138" s="32" t="s">
        <v>386</v>
      </c>
      <c r="C138" s="35" t="s">
        <v>81</v>
      </c>
      <c r="D138" s="32" t="s">
        <v>2650</v>
      </c>
      <c r="E138" s="11" t="s">
        <v>13</v>
      </c>
    </row>
    <row r="139">
      <c r="B139" s="32" t="s">
        <v>957</v>
      </c>
      <c r="C139" s="35" t="s">
        <v>283</v>
      </c>
      <c r="D139" s="32" t="s">
        <v>1684</v>
      </c>
      <c r="E139" s="11" t="s">
        <v>9</v>
      </c>
    </row>
    <row r="140">
      <c r="B140" s="32" t="s">
        <v>386</v>
      </c>
      <c r="C140" s="35" t="s">
        <v>218</v>
      </c>
      <c r="D140" s="32" t="s">
        <v>1965</v>
      </c>
      <c r="E140" s="11" t="s">
        <v>13</v>
      </c>
    </row>
    <row r="141">
      <c r="B141" s="32" t="s">
        <v>957</v>
      </c>
      <c r="C141" s="35" t="s">
        <v>886</v>
      </c>
      <c r="D141" s="32" t="s">
        <v>2650</v>
      </c>
      <c r="E141" s="11" t="s">
        <v>9</v>
      </c>
    </row>
    <row r="142">
      <c r="B142" s="32" t="s">
        <v>1684</v>
      </c>
      <c r="C142" s="35" t="s">
        <v>21</v>
      </c>
      <c r="D142" s="32" t="s">
        <v>1965</v>
      </c>
      <c r="E142" s="11" t="s">
        <v>13</v>
      </c>
    </row>
    <row r="143">
      <c r="B143" s="32" t="s">
        <v>957</v>
      </c>
      <c r="C143" s="35" t="s">
        <v>195</v>
      </c>
      <c r="D143" s="32" t="s">
        <v>386</v>
      </c>
      <c r="E143" s="11" t="s">
        <v>9</v>
      </c>
    </row>
    <row r="144">
      <c r="B144" s="32" t="s">
        <v>1684</v>
      </c>
      <c r="C144" s="35" t="s">
        <v>201</v>
      </c>
      <c r="D144" s="32" t="s">
        <v>2650</v>
      </c>
      <c r="E144" s="11" t="s">
        <v>13</v>
      </c>
    </row>
    <row r="145">
      <c r="B145" s="32" t="s">
        <v>2650</v>
      </c>
      <c r="C145" s="35" t="s">
        <v>201</v>
      </c>
      <c r="D145" s="32" t="s">
        <v>1965</v>
      </c>
      <c r="E145" s="11" t="s">
        <v>9</v>
      </c>
    </row>
    <row r="146">
      <c r="B146" s="32" t="s">
        <v>1684</v>
      </c>
      <c r="C146" s="35" t="s">
        <v>274</v>
      </c>
      <c r="D146" s="32" t="s">
        <v>386</v>
      </c>
      <c r="E146" s="11" t="s">
        <v>13</v>
      </c>
    </row>
    <row r="147">
      <c r="B147" s="32" t="s">
        <v>1965</v>
      </c>
      <c r="C147" s="35" t="s">
        <v>212</v>
      </c>
      <c r="D147" s="32" t="s">
        <v>957</v>
      </c>
      <c r="E147" s="11" t="s">
        <v>9</v>
      </c>
    </row>
    <row r="148">
      <c r="B148" s="32" t="s">
        <v>2650</v>
      </c>
      <c r="C148" s="35" t="s">
        <v>81</v>
      </c>
      <c r="D148" s="32" t="s">
        <v>386</v>
      </c>
      <c r="E148" s="11" t="s">
        <v>13</v>
      </c>
    </row>
    <row r="149">
      <c r="B149" s="32" t="s">
        <v>1684</v>
      </c>
      <c r="C149" s="35" t="s">
        <v>81</v>
      </c>
      <c r="D149" s="32" t="s">
        <v>957</v>
      </c>
      <c r="E149" s="11" t="s">
        <v>9</v>
      </c>
    </row>
    <row r="150">
      <c r="B150" s="32" t="s">
        <v>1965</v>
      </c>
      <c r="C150" s="35" t="s">
        <v>18</v>
      </c>
      <c r="D150" s="32" t="s">
        <v>386</v>
      </c>
      <c r="E150" s="11" t="s">
        <v>13</v>
      </c>
    </row>
    <row r="151">
      <c r="B151" s="32" t="s">
        <v>2650</v>
      </c>
      <c r="C151" s="35" t="s">
        <v>78</v>
      </c>
      <c r="D151" s="32" t="s">
        <v>957</v>
      </c>
      <c r="E151" s="11" t="s">
        <v>9</v>
      </c>
    </row>
    <row r="152">
      <c r="B152" s="32" t="s">
        <v>1965</v>
      </c>
      <c r="C152" s="37" t="s">
        <v>412</v>
      </c>
      <c r="D152" s="32" t="s">
        <v>1684</v>
      </c>
      <c r="E152" s="11" t="s">
        <v>13</v>
      </c>
    </row>
    <row r="153">
      <c r="B153" s="32" t="s">
        <v>386</v>
      </c>
      <c r="C153" s="35" t="s">
        <v>195</v>
      </c>
      <c r="D153" s="32" t="s">
        <v>957</v>
      </c>
      <c r="E153" s="11" t="s">
        <v>9</v>
      </c>
    </row>
    <row r="154">
      <c r="B154" s="32" t="s">
        <v>2650</v>
      </c>
      <c r="C154" s="35" t="s">
        <v>196</v>
      </c>
      <c r="D154" s="32" t="s">
        <v>1684</v>
      </c>
      <c r="E154" s="11" t="s">
        <v>13</v>
      </c>
    </row>
    <row r="155">
      <c r="B155" s="1" t="s">
        <v>1685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B157" s="32" t="s">
        <v>2651</v>
      </c>
      <c r="C157" s="35" t="s">
        <v>71</v>
      </c>
      <c r="D157" s="32" t="s">
        <v>2652</v>
      </c>
      <c r="E157" s="11" t="s">
        <v>9</v>
      </c>
    </row>
    <row r="158">
      <c r="B158" s="32" t="s">
        <v>1870</v>
      </c>
      <c r="C158" s="35" t="s">
        <v>196</v>
      </c>
      <c r="D158" s="32" t="s">
        <v>1359</v>
      </c>
      <c r="E158" s="11" t="s">
        <v>13</v>
      </c>
    </row>
    <row r="159">
      <c r="B159" s="32" t="s">
        <v>1039</v>
      </c>
      <c r="C159" s="35" t="s">
        <v>317</v>
      </c>
      <c r="D159" s="32" t="s">
        <v>2651</v>
      </c>
      <c r="E159" s="11" t="s">
        <v>9</v>
      </c>
    </row>
    <row r="160">
      <c r="B160" s="32" t="s">
        <v>1870</v>
      </c>
      <c r="C160" s="35" t="s">
        <v>190</v>
      </c>
      <c r="D160" s="32" t="s">
        <v>2652</v>
      </c>
      <c r="E160" s="11" t="s">
        <v>13</v>
      </c>
    </row>
    <row r="161">
      <c r="B161" s="32" t="s">
        <v>1039</v>
      </c>
      <c r="C161" s="35" t="s">
        <v>76</v>
      </c>
      <c r="D161" s="32" t="s">
        <v>1359</v>
      </c>
      <c r="E161" s="11" t="s">
        <v>9</v>
      </c>
    </row>
    <row r="162">
      <c r="B162" s="32" t="s">
        <v>1870</v>
      </c>
      <c r="C162" s="35" t="s">
        <v>351</v>
      </c>
      <c r="D162" s="32" t="s">
        <v>2651</v>
      </c>
      <c r="E162" s="11" t="s">
        <v>13</v>
      </c>
    </row>
    <row r="163">
      <c r="B163" s="32" t="s">
        <v>1039</v>
      </c>
      <c r="C163" s="35" t="s">
        <v>566</v>
      </c>
      <c r="D163" s="32" t="s">
        <v>2652</v>
      </c>
      <c r="E163" s="11" t="s">
        <v>9</v>
      </c>
    </row>
    <row r="164">
      <c r="B164" s="32" t="s">
        <v>1359</v>
      </c>
      <c r="C164" s="35" t="s">
        <v>243</v>
      </c>
      <c r="D164" s="32" t="s">
        <v>2651</v>
      </c>
      <c r="E164" s="11" t="s">
        <v>13</v>
      </c>
    </row>
    <row r="165">
      <c r="B165" s="32" t="s">
        <v>1039</v>
      </c>
      <c r="C165" s="35" t="s">
        <v>197</v>
      </c>
      <c r="D165" s="32" t="s">
        <v>1870</v>
      </c>
      <c r="E165" s="11" t="s">
        <v>9</v>
      </c>
    </row>
    <row r="166">
      <c r="B166" s="32" t="s">
        <v>1359</v>
      </c>
      <c r="C166" s="35" t="s">
        <v>197</v>
      </c>
      <c r="D166" s="32" t="s">
        <v>2652</v>
      </c>
      <c r="E166" s="11" t="s">
        <v>13</v>
      </c>
    </row>
    <row r="167">
      <c r="B167" s="32" t="s">
        <v>2652</v>
      </c>
      <c r="C167" s="35" t="s">
        <v>212</v>
      </c>
      <c r="D167" s="32" t="s">
        <v>2651</v>
      </c>
      <c r="E167" s="11" t="s">
        <v>9</v>
      </c>
    </row>
    <row r="168">
      <c r="B168" s="32" t="s">
        <v>1359</v>
      </c>
      <c r="C168" s="35" t="s">
        <v>566</v>
      </c>
      <c r="D168" s="32" t="s">
        <v>1870</v>
      </c>
      <c r="E168" s="11" t="s">
        <v>13</v>
      </c>
    </row>
    <row r="169">
      <c r="B169" s="32" t="s">
        <v>2651</v>
      </c>
      <c r="C169" s="35" t="s">
        <v>857</v>
      </c>
      <c r="D169" s="32" t="s">
        <v>1039</v>
      </c>
      <c r="E169" s="11" t="s">
        <v>9</v>
      </c>
    </row>
    <row r="170">
      <c r="B170" s="32" t="s">
        <v>2652</v>
      </c>
      <c r="C170" s="35" t="s">
        <v>16</v>
      </c>
      <c r="D170" s="32" t="s">
        <v>1870</v>
      </c>
      <c r="E170" s="11" t="s">
        <v>13</v>
      </c>
    </row>
    <row r="171">
      <c r="B171" s="32" t="s">
        <v>1359</v>
      </c>
      <c r="C171" s="35" t="s">
        <v>52</v>
      </c>
      <c r="D171" s="32" t="s">
        <v>1039</v>
      </c>
      <c r="E171" s="11" t="s">
        <v>9</v>
      </c>
    </row>
    <row r="172">
      <c r="B172" s="32" t="s">
        <v>2651</v>
      </c>
      <c r="C172" s="35" t="s">
        <v>23</v>
      </c>
      <c r="D172" s="32" t="s">
        <v>1870</v>
      </c>
      <c r="E172" s="11" t="s">
        <v>13</v>
      </c>
    </row>
    <row r="173">
      <c r="B173" s="32" t="s">
        <v>2652</v>
      </c>
      <c r="C173" s="35" t="s">
        <v>239</v>
      </c>
      <c r="D173" s="32" t="s">
        <v>1039</v>
      </c>
      <c r="E173" s="11" t="s">
        <v>9</v>
      </c>
    </row>
    <row r="174">
      <c r="B174" s="32" t="s">
        <v>2651</v>
      </c>
      <c r="C174" s="35" t="s">
        <v>319</v>
      </c>
      <c r="D174" s="32" t="s">
        <v>1359</v>
      </c>
      <c r="E174" s="11" t="s">
        <v>13</v>
      </c>
    </row>
    <row r="175">
      <c r="B175" s="32" t="s">
        <v>1870</v>
      </c>
      <c r="C175" s="35" t="s">
        <v>217</v>
      </c>
      <c r="D175" s="32" t="s">
        <v>1039</v>
      </c>
      <c r="E175" s="11" t="s">
        <v>9</v>
      </c>
    </row>
    <row r="176">
      <c r="B176" s="32" t="s">
        <v>2652</v>
      </c>
      <c r="C176" s="35" t="s">
        <v>1465</v>
      </c>
      <c r="D176" s="32" t="s">
        <v>1359</v>
      </c>
      <c r="E176" s="11" t="s">
        <v>13</v>
      </c>
    </row>
    <row r="177">
      <c r="B177" s="1" t="s">
        <v>2653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B179" s="32" t="s">
        <v>2654</v>
      </c>
      <c r="C179" s="33" t="s">
        <v>47</v>
      </c>
      <c r="D179" s="32" t="s">
        <v>1754</v>
      </c>
      <c r="E179" s="11" t="s">
        <v>33</v>
      </c>
    </row>
    <row r="180">
      <c r="B180" s="32" t="s">
        <v>2379</v>
      </c>
      <c r="C180" s="33" t="s">
        <v>18</v>
      </c>
      <c r="D180" s="32" t="s">
        <v>2078</v>
      </c>
      <c r="E180" s="11" t="s">
        <v>37</v>
      </c>
    </row>
    <row r="181">
      <c r="B181" s="32" t="s">
        <v>2655</v>
      </c>
      <c r="C181" s="33" t="s">
        <v>251</v>
      </c>
      <c r="D181" s="32" t="s">
        <v>2654</v>
      </c>
      <c r="E181" s="11" t="s">
        <v>33</v>
      </c>
    </row>
    <row r="182">
      <c r="B182" s="32" t="s">
        <v>2379</v>
      </c>
      <c r="C182" s="33" t="s">
        <v>197</v>
      </c>
      <c r="D182" s="32" t="s">
        <v>1754</v>
      </c>
      <c r="E182" s="11" t="s">
        <v>37</v>
      </c>
    </row>
    <row r="183">
      <c r="B183" s="32" t="s">
        <v>2655</v>
      </c>
      <c r="C183" s="33" t="s">
        <v>25</v>
      </c>
      <c r="D183" s="32" t="s">
        <v>2078</v>
      </c>
      <c r="E183" s="11" t="s">
        <v>33</v>
      </c>
    </row>
    <row r="184">
      <c r="B184" s="32" t="s">
        <v>2379</v>
      </c>
      <c r="C184" s="33" t="s">
        <v>25</v>
      </c>
      <c r="D184" s="32" t="s">
        <v>2654</v>
      </c>
      <c r="E184" s="11" t="s">
        <v>37</v>
      </c>
    </row>
    <row r="185">
      <c r="B185" s="32" t="s">
        <v>2655</v>
      </c>
      <c r="C185" s="33" t="s">
        <v>1952</v>
      </c>
      <c r="D185" s="32" t="s">
        <v>1754</v>
      </c>
      <c r="E185" s="11" t="s">
        <v>33</v>
      </c>
    </row>
    <row r="186">
      <c r="B186" s="32" t="s">
        <v>2078</v>
      </c>
      <c r="C186" s="33" t="s">
        <v>218</v>
      </c>
      <c r="D186" s="32" t="s">
        <v>2654</v>
      </c>
      <c r="E186" s="11" t="s">
        <v>37</v>
      </c>
    </row>
    <row r="187">
      <c r="B187" s="32" t="s">
        <v>2655</v>
      </c>
      <c r="C187" s="33" t="s">
        <v>370</v>
      </c>
      <c r="D187" s="32" t="s">
        <v>2379</v>
      </c>
      <c r="E187" s="11" t="s">
        <v>33</v>
      </c>
    </row>
    <row r="188">
      <c r="B188" s="32" t="s">
        <v>2078</v>
      </c>
      <c r="C188" s="33" t="s">
        <v>27</v>
      </c>
      <c r="D188" s="32" t="s">
        <v>1754</v>
      </c>
      <c r="E188" s="11" t="s">
        <v>37</v>
      </c>
    </row>
    <row r="189">
      <c r="B189" s="32" t="s">
        <v>1754</v>
      </c>
      <c r="C189" s="33" t="s">
        <v>68</v>
      </c>
      <c r="D189" s="32" t="s">
        <v>2654</v>
      </c>
      <c r="E189" s="11" t="s">
        <v>33</v>
      </c>
    </row>
    <row r="190">
      <c r="B190" s="32" t="s">
        <v>2078</v>
      </c>
      <c r="C190" s="33" t="s">
        <v>68</v>
      </c>
      <c r="D190" s="32" t="s">
        <v>2379</v>
      </c>
      <c r="E190" s="11" t="s">
        <v>37</v>
      </c>
    </row>
    <row r="191">
      <c r="B191" s="32" t="s">
        <v>2654</v>
      </c>
      <c r="C191" s="35" t="s">
        <v>259</v>
      </c>
      <c r="D191" s="32" t="s">
        <v>2655</v>
      </c>
      <c r="E191" s="11" t="s">
        <v>33</v>
      </c>
    </row>
    <row r="192">
      <c r="B192" s="32" t="s">
        <v>1754</v>
      </c>
      <c r="C192" s="35" t="s">
        <v>535</v>
      </c>
      <c r="D192" s="32" t="s">
        <v>2379</v>
      </c>
      <c r="E192" s="11" t="s">
        <v>37</v>
      </c>
    </row>
    <row r="193">
      <c r="B193" s="32" t="s">
        <v>2078</v>
      </c>
      <c r="C193" s="35" t="s">
        <v>196</v>
      </c>
      <c r="D193" s="32" t="s">
        <v>2655</v>
      </c>
      <c r="E193" s="11" t="s">
        <v>33</v>
      </c>
    </row>
    <row r="194">
      <c r="B194" s="32" t="s">
        <v>2654</v>
      </c>
      <c r="C194" s="35" t="s">
        <v>201</v>
      </c>
      <c r="D194" s="32" t="s">
        <v>2379</v>
      </c>
      <c r="E194" s="11" t="s">
        <v>37</v>
      </c>
    </row>
    <row r="195">
      <c r="B195" s="32" t="s">
        <v>1754</v>
      </c>
      <c r="C195" s="35" t="s">
        <v>270</v>
      </c>
      <c r="D195" s="32" t="s">
        <v>2655</v>
      </c>
      <c r="E195" s="11" t="s">
        <v>33</v>
      </c>
    </row>
    <row r="196">
      <c r="B196" s="32" t="s">
        <v>2654</v>
      </c>
      <c r="C196" s="35" t="s">
        <v>43</v>
      </c>
      <c r="D196" s="32" t="s">
        <v>2078</v>
      </c>
      <c r="E196" s="11" t="s">
        <v>37</v>
      </c>
    </row>
    <row r="197">
      <c r="B197" s="32" t="s">
        <v>2379</v>
      </c>
      <c r="C197" s="35" t="s">
        <v>2656</v>
      </c>
      <c r="D197" s="32" t="s">
        <v>2655</v>
      </c>
      <c r="E197" s="11" t="s">
        <v>33</v>
      </c>
    </row>
    <row r="198">
      <c r="B198" s="32" t="s">
        <v>1754</v>
      </c>
      <c r="C198" s="35" t="s">
        <v>69</v>
      </c>
      <c r="D198" s="32" t="s">
        <v>2078</v>
      </c>
      <c r="E198" s="11" t="s">
        <v>37</v>
      </c>
    </row>
    <row r="199">
      <c r="B199" s="1" t="s">
        <v>2657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B201" s="32" t="s">
        <v>2658</v>
      </c>
      <c r="C201" s="33" t="s">
        <v>66</v>
      </c>
      <c r="D201" s="32" t="s">
        <v>2659</v>
      </c>
      <c r="E201" s="11" t="s">
        <v>33</v>
      </c>
    </row>
    <row r="202">
      <c r="B202" s="32" t="s">
        <v>1185</v>
      </c>
      <c r="C202" s="33" t="s">
        <v>306</v>
      </c>
      <c r="D202" s="32" t="s">
        <v>2660</v>
      </c>
      <c r="E202" s="11" t="s">
        <v>37</v>
      </c>
    </row>
    <row r="203">
      <c r="B203" s="32" t="s">
        <v>2512</v>
      </c>
      <c r="C203" s="33" t="s">
        <v>65</v>
      </c>
      <c r="D203" s="32" t="s">
        <v>2658</v>
      </c>
      <c r="E203" s="11" t="s">
        <v>33</v>
      </c>
    </row>
    <row r="204">
      <c r="B204" s="32" t="s">
        <v>1185</v>
      </c>
      <c r="C204" s="33" t="s">
        <v>866</v>
      </c>
      <c r="D204" s="32" t="s">
        <v>2659</v>
      </c>
      <c r="E204" s="11" t="s">
        <v>37</v>
      </c>
    </row>
    <row r="205">
      <c r="B205" s="32" t="s">
        <v>2512</v>
      </c>
      <c r="C205" s="33" t="s">
        <v>494</v>
      </c>
      <c r="D205" s="32" t="s">
        <v>2660</v>
      </c>
      <c r="E205" s="11" t="s">
        <v>33</v>
      </c>
    </row>
    <row r="206">
      <c r="B206" s="32" t="s">
        <v>1185</v>
      </c>
      <c r="C206" s="33" t="s">
        <v>14</v>
      </c>
      <c r="D206" s="32" t="s">
        <v>2658</v>
      </c>
      <c r="E206" s="11" t="s">
        <v>37</v>
      </c>
    </row>
    <row r="207">
      <c r="B207" s="32" t="s">
        <v>2512</v>
      </c>
      <c r="C207" s="33" t="s">
        <v>259</v>
      </c>
      <c r="D207" s="32" t="s">
        <v>2659</v>
      </c>
      <c r="E207" s="11" t="s">
        <v>33</v>
      </c>
    </row>
    <row r="208">
      <c r="B208" s="32" t="s">
        <v>2660</v>
      </c>
      <c r="C208" s="33" t="s">
        <v>651</v>
      </c>
      <c r="D208" s="32" t="s">
        <v>2658</v>
      </c>
      <c r="E208" s="11" t="s">
        <v>37</v>
      </c>
    </row>
    <row r="209">
      <c r="B209" s="32" t="s">
        <v>2512</v>
      </c>
      <c r="C209" s="33" t="s">
        <v>286</v>
      </c>
      <c r="D209" s="32" t="s">
        <v>1185</v>
      </c>
      <c r="E209" s="11" t="s">
        <v>33</v>
      </c>
    </row>
    <row r="210">
      <c r="B210" s="32" t="s">
        <v>2660</v>
      </c>
      <c r="C210" s="33" t="s">
        <v>286</v>
      </c>
      <c r="D210" s="32" t="s">
        <v>2659</v>
      </c>
      <c r="E210" s="11" t="s">
        <v>37</v>
      </c>
    </row>
    <row r="211">
      <c r="B211" s="32" t="s">
        <v>2659</v>
      </c>
      <c r="C211" s="33" t="s">
        <v>23</v>
      </c>
      <c r="D211" s="32" t="s">
        <v>2658</v>
      </c>
      <c r="E211" s="11" t="s">
        <v>33</v>
      </c>
    </row>
    <row r="212">
      <c r="B212" s="32" t="s">
        <v>2660</v>
      </c>
      <c r="C212" s="33" t="s">
        <v>38</v>
      </c>
      <c r="D212" s="32" t="s">
        <v>1185</v>
      </c>
      <c r="E212" s="11" t="s">
        <v>37</v>
      </c>
    </row>
    <row r="213">
      <c r="B213" s="32" t="s">
        <v>2658</v>
      </c>
      <c r="C213" s="35" t="s">
        <v>14</v>
      </c>
      <c r="D213" s="32" t="s">
        <v>2512</v>
      </c>
      <c r="E213" s="11" t="s">
        <v>33</v>
      </c>
    </row>
    <row r="214">
      <c r="B214" s="32" t="s">
        <v>2659</v>
      </c>
      <c r="C214" s="35" t="s">
        <v>68</v>
      </c>
      <c r="D214" s="32" t="s">
        <v>1185</v>
      </c>
      <c r="E214" s="11" t="s">
        <v>37</v>
      </c>
    </row>
    <row r="215">
      <c r="B215" s="32" t="s">
        <v>2660</v>
      </c>
      <c r="C215" s="35" t="s">
        <v>27</v>
      </c>
      <c r="D215" s="32" t="s">
        <v>2512</v>
      </c>
      <c r="E215" s="11" t="s">
        <v>33</v>
      </c>
    </row>
    <row r="216">
      <c r="B216" s="32" t="s">
        <v>2658</v>
      </c>
      <c r="C216" s="35" t="s">
        <v>665</v>
      </c>
      <c r="D216" s="32" t="s">
        <v>1185</v>
      </c>
      <c r="E216" s="11" t="s">
        <v>37</v>
      </c>
    </row>
    <row r="217">
      <c r="B217" s="32" t="s">
        <v>2659</v>
      </c>
      <c r="C217" s="35" t="s">
        <v>212</v>
      </c>
      <c r="D217" s="32" t="s">
        <v>2512</v>
      </c>
      <c r="E217" s="11" t="s">
        <v>33</v>
      </c>
    </row>
    <row r="218">
      <c r="B218" s="32" t="s">
        <v>2658</v>
      </c>
      <c r="C218" s="35" t="s">
        <v>282</v>
      </c>
      <c r="D218" s="32" t="s">
        <v>2660</v>
      </c>
      <c r="E218" s="11" t="s">
        <v>37</v>
      </c>
    </row>
    <row r="219">
      <c r="B219" s="32" t="s">
        <v>1185</v>
      </c>
      <c r="C219" s="35" t="s">
        <v>43</v>
      </c>
      <c r="D219" s="32" t="s">
        <v>2512</v>
      </c>
      <c r="E219" s="11" t="s">
        <v>33</v>
      </c>
    </row>
    <row r="220">
      <c r="B220" s="32" t="s">
        <v>2659</v>
      </c>
      <c r="C220" s="35" t="s">
        <v>16</v>
      </c>
      <c r="D220" s="32" t="s">
        <v>2660</v>
      </c>
      <c r="E220" s="11" t="s">
        <v>37</v>
      </c>
    </row>
    <row r="221">
      <c r="B221" s="28" t="s">
        <v>2661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34" t="s">
        <v>2662</v>
      </c>
      <c r="C223" s="35" t="s">
        <v>239</v>
      </c>
      <c r="D223" s="8" t="s">
        <v>1033</v>
      </c>
      <c r="E223" s="11" t="s">
        <v>9</v>
      </c>
    </row>
    <row r="224">
      <c r="B224" s="34" t="s">
        <v>2333</v>
      </c>
      <c r="C224" s="35" t="s">
        <v>11</v>
      </c>
      <c r="D224" s="34" t="s">
        <v>202</v>
      </c>
      <c r="E224" s="11" t="s">
        <v>13</v>
      </c>
    </row>
    <row r="225">
      <c r="B225" s="34" t="s">
        <v>2663</v>
      </c>
      <c r="C225" s="35" t="s">
        <v>22</v>
      </c>
      <c r="D225" s="34" t="s">
        <v>2662</v>
      </c>
      <c r="E225" s="11" t="s">
        <v>9</v>
      </c>
    </row>
    <row r="226">
      <c r="B226" s="34" t="s">
        <v>2333</v>
      </c>
      <c r="C226" s="35" t="s">
        <v>71</v>
      </c>
      <c r="D226" s="8" t="s">
        <v>1033</v>
      </c>
      <c r="E226" s="11" t="s">
        <v>13</v>
      </c>
    </row>
    <row r="227">
      <c r="B227" s="34" t="s">
        <v>2663</v>
      </c>
      <c r="C227" s="35" t="s">
        <v>16</v>
      </c>
      <c r="D227" s="34" t="s">
        <v>202</v>
      </c>
      <c r="E227" s="11" t="s">
        <v>9</v>
      </c>
    </row>
    <row r="228">
      <c r="B228" s="34" t="s">
        <v>2333</v>
      </c>
      <c r="C228" s="35" t="s">
        <v>88</v>
      </c>
      <c r="D228" s="34" t="s">
        <v>2662</v>
      </c>
      <c r="E228" s="11" t="s">
        <v>13</v>
      </c>
    </row>
    <row r="229">
      <c r="B229" s="34" t="s">
        <v>2663</v>
      </c>
      <c r="C229" s="35" t="s">
        <v>71</v>
      </c>
      <c r="D229" s="8" t="s">
        <v>1033</v>
      </c>
      <c r="E229" s="11" t="s">
        <v>9</v>
      </c>
    </row>
    <row r="230">
      <c r="B230" s="34" t="s">
        <v>202</v>
      </c>
      <c r="C230" s="35" t="s">
        <v>81</v>
      </c>
      <c r="D230" s="34" t="s">
        <v>2662</v>
      </c>
      <c r="E230" s="11" t="s">
        <v>13</v>
      </c>
    </row>
    <row r="231">
      <c r="B231" s="34" t="s">
        <v>2663</v>
      </c>
      <c r="C231" s="35" t="s">
        <v>312</v>
      </c>
      <c r="D231" s="34" t="s">
        <v>2333</v>
      </c>
      <c r="E231" s="11" t="s">
        <v>9</v>
      </c>
    </row>
    <row r="232">
      <c r="B232" s="34" t="s">
        <v>202</v>
      </c>
      <c r="C232" s="35" t="s">
        <v>378</v>
      </c>
      <c r="D232" s="8" t="s">
        <v>1033</v>
      </c>
      <c r="E232" s="11" t="s">
        <v>13</v>
      </c>
    </row>
    <row r="233">
      <c r="B233" s="8" t="s">
        <v>1033</v>
      </c>
      <c r="C233" s="35" t="s">
        <v>41</v>
      </c>
      <c r="D233" s="34" t="s">
        <v>2662</v>
      </c>
      <c r="E233" s="11" t="s">
        <v>9</v>
      </c>
    </row>
    <row r="234">
      <c r="B234" s="34" t="s">
        <v>202</v>
      </c>
      <c r="C234" s="35" t="s">
        <v>276</v>
      </c>
      <c r="D234" s="34" t="s">
        <v>2333</v>
      </c>
      <c r="E234" s="11" t="s">
        <v>13</v>
      </c>
    </row>
    <row r="235">
      <c r="B235" s="34" t="s">
        <v>2662</v>
      </c>
      <c r="C235" s="35" t="s">
        <v>201</v>
      </c>
      <c r="D235" s="34" t="s">
        <v>2663</v>
      </c>
      <c r="E235" s="11" t="s">
        <v>9</v>
      </c>
    </row>
    <row r="236">
      <c r="B236" s="8" t="s">
        <v>1033</v>
      </c>
      <c r="C236" s="35" t="s">
        <v>239</v>
      </c>
      <c r="D236" s="34" t="s">
        <v>2333</v>
      </c>
      <c r="E236" s="11" t="s">
        <v>13</v>
      </c>
    </row>
    <row r="237">
      <c r="B237" s="34" t="s">
        <v>202</v>
      </c>
      <c r="C237" s="35" t="s">
        <v>81</v>
      </c>
      <c r="D237" s="34" t="s">
        <v>2663</v>
      </c>
      <c r="E237" s="11" t="s">
        <v>9</v>
      </c>
    </row>
    <row r="238">
      <c r="B238" s="34" t="s">
        <v>2662</v>
      </c>
      <c r="C238" s="35" t="s">
        <v>41</v>
      </c>
      <c r="D238" s="34" t="s">
        <v>2333</v>
      </c>
      <c r="E238" s="11" t="s">
        <v>13</v>
      </c>
    </row>
    <row r="239">
      <c r="B239" s="8" t="s">
        <v>1033</v>
      </c>
      <c r="C239" s="35" t="s">
        <v>196</v>
      </c>
      <c r="D239" s="34" t="s">
        <v>2663</v>
      </c>
      <c r="E239" s="11" t="s">
        <v>9</v>
      </c>
    </row>
    <row r="240">
      <c r="B240" s="34" t="s">
        <v>2662</v>
      </c>
      <c r="C240" s="35" t="s">
        <v>544</v>
      </c>
      <c r="D240" s="34" t="s">
        <v>202</v>
      </c>
      <c r="E240" s="11" t="s">
        <v>13</v>
      </c>
    </row>
    <row r="241">
      <c r="B241" s="34" t="s">
        <v>2333</v>
      </c>
      <c r="C241" s="35" t="s">
        <v>637</v>
      </c>
      <c r="D241" s="34" t="s">
        <v>2663</v>
      </c>
      <c r="E241" s="11" t="s">
        <v>9</v>
      </c>
    </row>
    <row r="242">
      <c r="B242" s="8" t="s">
        <v>1033</v>
      </c>
      <c r="C242" s="35" t="s">
        <v>16</v>
      </c>
      <c r="D242" s="34" t="s">
        <v>202</v>
      </c>
      <c r="E242" s="11" t="s">
        <v>13</v>
      </c>
    </row>
    <row r="243">
      <c r="B243" s="28" t="s">
        <v>2200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34" t="s">
        <v>2060</v>
      </c>
      <c r="C245" s="35" t="s">
        <v>295</v>
      </c>
      <c r="D245" s="8" t="s">
        <v>1590</v>
      </c>
      <c r="E245" s="11" t="s">
        <v>9</v>
      </c>
    </row>
    <row r="246">
      <c r="B246" s="34" t="s">
        <v>1368</v>
      </c>
      <c r="C246" s="35" t="s">
        <v>984</v>
      </c>
      <c r="D246" s="34" t="s">
        <v>2664</v>
      </c>
      <c r="E246" s="11" t="s">
        <v>13</v>
      </c>
    </row>
    <row r="247">
      <c r="B247" s="34" t="s">
        <v>2665</v>
      </c>
      <c r="C247" s="35" t="s">
        <v>187</v>
      </c>
      <c r="D247" s="34" t="s">
        <v>2060</v>
      </c>
      <c r="E247" s="11" t="s">
        <v>9</v>
      </c>
    </row>
    <row r="248">
      <c r="B248" s="34" t="s">
        <v>1368</v>
      </c>
      <c r="C248" s="35" t="s">
        <v>239</v>
      </c>
      <c r="D248" s="8" t="s">
        <v>1590</v>
      </c>
      <c r="E248" s="11" t="s">
        <v>13</v>
      </c>
    </row>
    <row r="249">
      <c r="B249" s="34" t="s">
        <v>2665</v>
      </c>
      <c r="C249" s="35" t="s">
        <v>267</v>
      </c>
      <c r="D249" s="34" t="s">
        <v>2664</v>
      </c>
      <c r="E249" s="11" t="s">
        <v>9</v>
      </c>
    </row>
    <row r="250">
      <c r="B250" s="34" t="s">
        <v>1368</v>
      </c>
      <c r="C250" s="35" t="s">
        <v>24</v>
      </c>
      <c r="D250" s="34" t="s">
        <v>2060</v>
      </c>
      <c r="E250" s="11" t="s">
        <v>13</v>
      </c>
    </row>
    <row r="251">
      <c r="B251" s="34" t="s">
        <v>2665</v>
      </c>
      <c r="C251" s="35" t="s">
        <v>64</v>
      </c>
      <c r="D251" s="8" t="s">
        <v>1590</v>
      </c>
      <c r="E251" s="11" t="s">
        <v>9</v>
      </c>
    </row>
    <row r="252">
      <c r="B252" s="34" t="s">
        <v>2664</v>
      </c>
      <c r="C252" s="35" t="s">
        <v>984</v>
      </c>
      <c r="D252" s="34" t="s">
        <v>2060</v>
      </c>
      <c r="E252" s="11" t="s">
        <v>13</v>
      </c>
    </row>
    <row r="253">
      <c r="B253" s="34" t="s">
        <v>2665</v>
      </c>
      <c r="C253" s="35" t="s">
        <v>446</v>
      </c>
      <c r="D253" s="34" t="s">
        <v>1368</v>
      </c>
      <c r="E253" s="11" t="s">
        <v>9</v>
      </c>
    </row>
    <row r="254">
      <c r="B254" s="34" t="s">
        <v>2664</v>
      </c>
      <c r="C254" s="35" t="s">
        <v>2666</v>
      </c>
      <c r="D254" s="8" t="s">
        <v>1590</v>
      </c>
      <c r="E254" s="11" t="s">
        <v>13</v>
      </c>
    </row>
    <row r="255">
      <c r="B255" s="8" t="s">
        <v>1590</v>
      </c>
      <c r="C255" s="35" t="s">
        <v>295</v>
      </c>
      <c r="D255" s="34" t="s">
        <v>2060</v>
      </c>
      <c r="E255" s="11" t="s">
        <v>9</v>
      </c>
    </row>
    <row r="256">
      <c r="B256" s="34" t="s">
        <v>2664</v>
      </c>
      <c r="C256" s="35" t="s">
        <v>64</v>
      </c>
      <c r="D256" s="34" t="s">
        <v>1368</v>
      </c>
      <c r="E256" s="11" t="s">
        <v>13</v>
      </c>
    </row>
    <row r="257">
      <c r="B257" s="34" t="s">
        <v>2060</v>
      </c>
      <c r="C257" s="35" t="s">
        <v>232</v>
      </c>
      <c r="D257" s="34" t="s">
        <v>2665</v>
      </c>
      <c r="E257" s="11" t="s">
        <v>9</v>
      </c>
    </row>
    <row r="258">
      <c r="B258" s="8" t="s">
        <v>1590</v>
      </c>
      <c r="C258" s="35" t="s">
        <v>16</v>
      </c>
      <c r="D258" s="34" t="s">
        <v>1368</v>
      </c>
      <c r="E258" s="11" t="s">
        <v>13</v>
      </c>
    </row>
    <row r="259">
      <c r="B259" s="34" t="s">
        <v>2664</v>
      </c>
      <c r="C259" s="35" t="s">
        <v>218</v>
      </c>
      <c r="D259" s="34" t="s">
        <v>2665</v>
      </c>
      <c r="E259" s="11" t="s">
        <v>9</v>
      </c>
    </row>
    <row r="260">
      <c r="B260" s="34" t="s">
        <v>2060</v>
      </c>
      <c r="C260" s="35" t="s">
        <v>815</v>
      </c>
      <c r="D260" s="34" t="s">
        <v>1368</v>
      </c>
      <c r="E260" s="11" t="s">
        <v>13</v>
      </c>
    </row>
    <row r="261">
      <c r="B261" s="8" t="s">
        <v>1590</v>
      </c>
      <c r="C261" s="35" t="s">
        <v>270</v>
      </c>
      <c r="D261" s="34" t="s">
        <v>2665</v>
      </c>
      <c r="E261" s="11" t="s">
        <v>9</v>
      </c>
    </row>
    <row r="262">
      <c r="B262" s="34" t="s">
        <v>2060</v>
      </c>
      <c r="C262" s="35" t="s">
        <v>64</v>
      </c>
      <c r="D262" s="34" t="s">
        <v>2664</v>
      </c>
      <c r="E262" s="11" t="s">
        <v>13</v>
      </c>
    </row>
    <row r="263">
      <c r="B263" s="34" t="s">
        <v>1368</v>
      </c>
      <c r="C263" s="35" t="s">
        <v>63</v>
      </c>
      <c r="D263" s="34" t="s">
        <v>2665</v>
      </c>
      <c r="E263" s="11" t="s">
        <v>9</v>
      </c>
    </row>
    <row r="264">
      <c r="B264" s="8" t="s">
        <v>1590</v>
      </c>
      <c r="C264" s="35" t="s">
        <v>16</v>
      </c>
      <c r="D264" s="34" t="s">
        <v>2664</v>
      </c>
      <c r="E264" s="11" t="s">
        <v>13</v>
      </c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/>
      <c r="B1" s="1" t="s">
        <v>2527</v>
      </c>
      <c r="C1" s="2"/>
      <c r="D1" s="3"/>
      <c r="E1" s="29"/>
    </row>
    <row r="2">
      <c r="A2" s="66"/>
      <c r="B2" s="6" t="s">
        <v>2</v>
      </c>
      <c r="C2" s="6" t="s">
        <v>3</v>
      </c>
      <c r="D2" s="6" t="s">
        <v>4</v>
      </c>
      <c r="E2" s="6" t="s">
        <v>5</v>
      </c>
    </row>
    <row r="3">
      <c r="A3" s="66"/>
      <c r="B3" s="34" t="s">
        <v>2667</v>
      </c>
      <c r="C3" s="33" t="s">
        <v>81</v>
      </c>
      <c r="D3" s="34" t="s">
        <v>2668</v>
      </c>
      <c r="E3" s="11" t="s">
        <v>9</v>
      </c>
    </row>
    <row r="4">
      <c r="A4" s="66"/>
      <c r="B4" s="34" t="s">
        <v>2669</v>
      </c>
      <c r="C4" s="33" t="s">
        <v>42</v>
      </c>
      <c r="D4" s="32" t="s">
        <v>2670</v>
      </c>
      <c r="E4" s="11" t="s">
        <v>13</v>
      </c>
    </row>
    <row r="5">
      <c r="A5" s="66"/>
      <c r="B5" s="34" t="s">
        <v>2671</v>
      </c>
      <c r="C5" s="33" t="s">
        <v>293</v>
      </c>
      <c r="D5" s="34" t="s">
        <v>2667</v>
      </c>
      <c r="E5" s="11" t="s">
        <v>9</v>
      </c>
    </row>
    <row r="6">
      <c r="A6" s="66"/>
      <c r="B6" s="34" t="s">
        <v>2669</v>
      </c>
      <c r="C6" s="33" t="s">
        <v>270</v>
      </c>
      <c r="D6" s="34" t="s">
        <v>2668</v>
      </c>
      <c r="E6" s="11" t="s">
        <v>13</v>
      </c>
    </row>
    <row r="7">
      <c r="A7" s="66"/>
      <c r="B7" s="34" t="s">
        <v>2671</v>
      </c>
      <c r="C7" s="33" t="s">
        <v>81</v>
      </c>
      <c r="D7" s="32" t="s">
        <v>2670</v>
      </c>
      <c r="E7" s="11" t="s">
        <v>9</v>
      </c>
    </row>
    <row r="8">
      <c r="A8" s="66"/>
      <c r="B8" s="34" t="s">
        <v>2669</v>
      </c>
      <c r="C8" s="33" t="s">
        <v>497</v>
      </c>
      <c r="D8" s="34" t="s">
        <v>2667</v>
      </c>
      <c r="E8" s="11" t="s">
        <v>13</v>
      </c>
    </row>
    <row r="9">
      <c r="A9" s="66"/>
      <c r="B9" s="34" t="s">
        <v>2671</v>
      </c>
      <c r="C9" s="33" t="s">
        <v>25</v>
      </c>
      <c r="D9" s="34" t="s">
        <v>2668</v>
      </c>
      <c r="E9" s="11" t="s">
        <v>9</v>
      </c>
    </row>
    <row r="10">
      <c r="A10" s="66"/>
      <c r="B10" s="32" t="s">
        <v>2670</v>
      </c>
      <c r="C10" s="33" t="s">
        <v>78</v>
      </c>
      <c r="D10" s="34" t="s">
        <v>2667</v>
      </c>
      <c r="E10" s="11" t="s">
        <v>13</v>
      </c>
    </row>
    <row r="11">
      <c r="A11" s="66"/>
      <c r="B11" s="34" t="s">
        <v>2671</v>
      </c>
      <c r="C11" s="33" t="s">
        <v>18</v>
      </c>
      <c r="D11" s="34" t="s">
        <v>2669</v>
      </c>
      <c r="E11" s="11" t="s">
        <v>9</v>
      </c>
    </row>
    <row r="12">
      <c r="A12" s="66"/>
      <c r="B12" s="32" t="s">
        <v>2670</v>
      </c>
      <c r="C12" s="33" t="s">
        <v>69</v>
      </c>
      <c r="D12" s="34" t="s">
        <v>2668</v>
      </c>
      <c r="E12" s="11" t="s">
        <v>13</v>
      </c>
    </row>
    <row r="13">
      <c r="A13" s="66"/>
      <c r="B13" s="34" t="s">
        <v>2668</v>
      </c>
      <c r="C13" s="33" t="s">
        <v>45</v>
      </c>
      <c r="D13" s="34" t="s">
        <v>2667</v>
      </c>
      <c r="E13" s="11" t="s">
        <v>9</v>
      </c>
    </row>
    <row r="14">
      <c r="A14" s="66"/>
      <c r="B14" s="32" t="s">
        <v>2670</v>
      </c>
      <c r="C14" s="33" t="s">
        <v>19</v>
      </c>
      <c r="D14" s="34" t="s">
        <v>2669</v>
      </c>
      <c r="E14" s="11" t="s">
        <v>13</v>
      </c>
    </row>
    <row r="15">
      <c r="A15" s="66"/>
      <c r="B15" s="34" t="s">
        <v>2667</v>
      </c>
      <c r="C15" s="35" t="s">
        <v>19</v>
      </c>
      <c r="D15" s="34" t="s">
        <v>2671</v>
      </c>
      <c r="E15" s="11" t="s">
        <v>9</v>
      </c>
    </row>
    <row r="16">
      <c r="A16" s="66"/>
      <c r="B16" s="34" t="s">
        <v>2668</v>
      </c>
      <c r="C16" s="35" t="s">
        <v>578</v>
      </c>
      <c r="D16" s="34" t="s">
        <v>2669</v>
      </c>
      <c r="E16" s="11" t="s">
        <v>13</v>
      </c>
    </row>
    <row r="17">
      <c r="A17" s="66"/>
      <c r="B17" s="32" t="s">
        <v>2670</v>
      </c>
      <c r="C17" s="35" t="s">
        <v>193</v>
      </c>
      <c r="D17" s="34" t="s">
        <v>2671</v>
      </c>
      <c r="E17" s="11" t="s">
        <v>9</v>
      </c>
    </row>
    <row r="18">
      <c r="A18" s="66"/>
      <c r="B18" s="34" t="s">
        <v>2667</v>
      </c>
      <c r="C18" s="35" t="s">
        <v>65</v>
      </c>
      <c r="D18" s="34" t="s">
        <v>2669</v>
      </c>
      <c r="E18" s="11" t="s">
        <v>13</v>
      </c>
    </row>
    <row r="19">
      <c r="A19" s="66"/>
      <c r="B19" s="34" t="s">
        <v>2668</v>
      </c>
      <c r="C19" s="35" t="s">
        <v>190</v>
      </c>
      <c r="D19" s="34" t="s">
        <v>2671</v>
      </c>
      <c r="E19" s="11" t="s">
        <v>9</v>
      </c>
    </row>
    <row r="20">
      <c r="A20" s="66"/>
      <c r="B20" s="34" t="s">
        <v>2667</v>
      </c>
      <c r="C20" s="35" t="s">
        <v>86</v>
      </c>
      <c r="D20" s="32" t="s">
        <v>2670</v>
      </c>
      <c r="E20" s="11" t="s">
        <v>13</v>
      </c>
    </row>
    <row r="21">
      <c r="A21" s="66"/>
      <c r="B21" s="34" t="s">
        <v>2669</v>
      </c>
      <c r="C21" s="35" t="s">
        <v>201</v>
      </c>
      <c r="D21" s="34" t="s">
        <v>2671</v>
      </c>
      <c r="E21" s="11" t="s">
        <v>9</v>
      </c>
    </row>
    <row r="22">
      <c r="A22" s="66"/>
      <c r="B22" s="34" t="s">
        <v>2668</v>
      </c>
      <c r="C22" s="35" t="s">
        <v>66</v>
      </c>
      <c r="D22" s="32" t="s">
        <v>2670</v>
      </c>
      <c r="E22" s="11" t="s">
        <v>13</v>
      </c>
    </row>
    <row r="23">
      <c r="A23" s="66"/>
      <c r="B23" s="1" t="s">
        <v>2220</v>
      </c>
      <c r="C23" s="2"/>
      <c r="D23" s="3"/>
      <c r="E23" s="29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2672</v>
      </c>
      <c r="C25" s="33" t="s">
        <v>352</v>
      </c>
      <c r="D25" s="34" t="s">
        <v>2221</v>
      </c>
      <c r="E25" s="11" t="s">
        <v>9</v>
      </c>
    </row>
    <row r="26">
      <c r="A26" s="66"/>
      <c r="B26" s="34" t="s">
        <v>2673</v>
      </c>
      <c r="C26" s="33" t="s">
        <v>2674</v>
      </c>
      <c r="D26" s="32" t="s">
        <v>2675</v>
      </c>
      <c r="E26" s="11" t="s">
        <v>13</v>
      </c>
    </row>
    <row r="27">
      <c r="A27" s="66"/>
      <c r="B27" s="34" t="s">
        <v>2676</v>
      </c>
      <c r="C27" s="33" t="s">
        <v>81</v>
      </c>
      <c r="D27" s="34" t="s">
        <v>2672</v>
      </c>
      <c r="E27" s="11" t="s">
        <v>9</v>
      </c>
    </row>
    <row r="28">
      <c r="A28" s="66"/>
      <c r="B28" s="34" t="s">
        <v>2673</v>
      </c>
      <c r="C28" s="33" t="s">
        <v>25</v>
      </c>
      <c r="D28" s="34" t="s">
        <v>2221</v>
      </c>
      <c r="E28" s="11" t="s">
        <v>13</v>
      </c>
    </row>
    <row r="29">
      <c r="A29" s="66"/>
      <c r="B29" s="34" t="s">
        <v>2676</v>
      </c>
      <c r="C29" s="33" t="s">
        <v>218</v>
      </c>
      <c r="D29" s="32" t="s">
        <v>2675</v>
      </c>
      <c r="E29" s="11" t="s">
        <v>9</v>
      </c>
    </row>
    <row r="30">
      <c r="A30" s="66"/>
      <c r="B30" s="34" t="s">
        <v>2673</v>
      </c>
      <c r="C30" s="33" t="s">
        <v>55</v>
      </c>
      <c r="D30" s="34" t="s">
        <v>2672</v>
      </c>
      <c r="E30" s="11" t="s">
        <v>13</v>
      </c>
    </row>
    <row r="31">
      <c r="A31" s="66"/>
      <c r="B31" s="34" t="s">
        <v>2676</v>
      </c>
      <c r="C31" s="33" t="s">
        <v>194</v>
      </c>
      <c r="D31" s="34" t="s">
        <v>2221</v>
      </c>
      <c r="E31" s="11" t="s">
        <v>9</v>
      </c>
    </row>
    <row r="32">
      <c r="A32" s="66"/>
      <c r="B32" s="32" t="s">
        <v>2675</v>
      </c>
      <c r="C32" s="33" t="s">
        <v>24</v>
      </c>
      <c r="D32" s="34" t="s">
        <v>2672</v>
      </c>
      <c r="E32" s="11" t="s">
        <v>13</v>
      </c>
    </row>
    <row r="33">
      <c r="A33" s="66"/>
      <c r="B33" s="34" t="s">
        <v>2676</v>
      </c>
      <c r="C33" s="33" t="s">
        <v>297</v>
      </c>
      <c r="D33" s="34" t="s">
        <v>2673</v>
      </c>
      <c r="E33" s="11" t="s">
        <v>9</v>
      </c>
    </row>
    <row r="34">
      <c r="A34" s="66"/>
      <c r="B34" s="32" t="s">
        <v>2675</v>
      </c>
      <c r="C34" s="33" t="s">
        <v>71</v>
      </c>
      <c r="D34" s="34" t="s">
        <v>2221</v>
      </c>
      <c r="E34" s="11" t="s">
        <v>13</v>
      </c>
    </row>
    <row r="35">
      <c r="A35" s="66"/>
      <c r="B35" s="34" t="s">
        <v>2221</v>
      </c>
      <c r="C35" s="33" t="s">
        <v>17</v>
      </c>
      <c r="D35" s="34" t="s">
        <v>2672</v>
      </c>
      <c r="E35" s="11" t="s">
        <v>9</v>
      </c>
    </row>
    <row r="36">
      <c r="A36" s="66"/>
      <c r="B36" s="32" t="s">
        <v>2675</v>
      </c>
      <c r="C36" s="33" t="s">
        <v>44</v>
      </c>
      <c r="D36" s="34" t="s">
        <v>2673</v>
      </c>
      <c r="E36" s="11" t="s">
        <v>13</v>
      </c>
    </row>
    <row r="37">
      <c r="A37" s="66"/>
      <c r="B37" s="34" t="s">
        <v>2672</v>
      </c>
      <c r="C37" s="35" t="s">
        <v>58</v>
      </c>
      <c r="D37" s="34" t="s">
        <v>2676</v>
      </c>
      <c r="E37" s="11" t="s">
        <v>9</v>
      </c>
    </row>
    <row r="38">
      <c r="A38" s="66"/>
      <c r="B38" s="34" t="s">
        <v>2221</v>
      </c>
      <c r="C38" s="35" t="s">
        <v>201</v>
      </c>
      <c r="D38" s="34" t="s">
        <v>2673</v>
      </c>
      <c r="E38" s="11" t="s">
        <v>13</v>
      </c>
    </row>
    <row r="39">
      <c r="A39" s="66"/>
      <c r="B39" s="32" t="s">
        <v>2675</v>
      </c>
      <c r="C39" s="35" t="s">
        <v>19</v>
      </c>
      <c r="D39" s="34" t="s">
        <v>2676</v>
      </c>
      <c r="E39" s="11" t="s">
        <v>9</v>
      </c>
    </row>
    <row r="40">
      <c r="A40" s="66"/>
      <c r="B40" s="34" t="s">
        <v>2672</v>
      </c>
      <c r="C40" s="35" t="s">
        <v>67</v>
      </c>
      <c r="D40" s="34" t="s">
        <v>2673</v>
      </c>
      <c r="E40" s="11" t="s">
        <v>13</v>
      </c>
    </row>
    <row r="41">
      <c r="A41" s="66"/>
      <c r="B41" s="34" t="s">
        <v>2221</v>
      </c>
      <c r="C41" s="35" t="s">
        <v>45</v>
      </c>
      <c r="D41" s="34" t="s">
        <v>2676</v>
      </c>
      <c r="E41" s="11" t="s">
        <v>9</v>
      </c>
    </row>
    <row r="42">
      <c r="A42" s="66"/>
      <c r="B42" s="34" t="s">
        <v>2672</v>
      </c>
      <c r="C42" s="35" t="s">
        <v>363</v>
      </c>
      <c r="D42" s="32" t="s">
        <v>2675</v>
      </c>
      <c r="E42" s="11" t="s">
        <v>13</v>
      </c>
    </row>
    <row r="43">
      <c r="A43" s="66"/>
      <c r="B43" s="34" t="s">
        <v>2673</v>
      </c>
      <c r="C43" s="35" t="s">
        <v>58</v>
      </c>
      <c r="D43" s="34" t="s">
        <v>2676</v>
      </c>
      <c r="E43" s="11" t="s">
        <v>9</v>
      </c>
    </row>
    <row r="44">
      <c r="A44" s="67"/>
      <c r="B44" s="34" t="s">
        <v>2221</v>
      </c>
      <c r="C44" s="35" t="s">
        <v>239</v>
      </c>
      <c r="D44" s="32" t="s">
        <v>2675</v>
      </c>
      <c r="E44" s="11" t="s">
        <v>13</v>
      </c>
    </row>
    <row r="45">
      <c r="B45" s="1" t="s">
        <v>2154</v>
      </c>
      <c r="C45" s="2"/>
      <c r="D45" s="3"/>
      <c r="E45" s="14"/>
    </row>
    <row r="46">
      <c r="B46" s="16" t="s">
        <v>2</v>
      </c>
      <c r="C46" s="16" t="s">
        <v>3</v>
      </c>
      <c r="D46" s="16" t="s">
        <v>4</v>
      </c>
      <c r="E46" s="16" t="s">
        <v>5</v>
      </c>
    </row>
    <row r="47">
      <c r="B47" s="32" t="s">
        <v>2155</v>
      </c>
      <c r="C47" s="35" t="s">
        <v>196</v>
      </c>
      <c r="D47" s="8" t="s">
        <v>2677</v>
      </c>
      <c r="E47" s="11" t="s">
        <v>9</v>
      </c>
    </row>
    <row r="48">
      <c r="B48" s="32" t="s">
        <v>529</v>
      </c>
      <c r="C48" s="35" t="s">
        <v>69</v>
      </c>
      <c r="D48" s="32" t="s">
        <v>647</v>
      </c>
      <c r="E48" s="11" t="s">
        <v>13</v>
      </c>
    </row>
    <row r="49">
      <c r="B49" s="32" t="s">
        <v>2156</v>
      </c>
      <c r="C49" s="35" t="s">
        <v>260</v>
      </c>
      <c r="D49" s="32" t="s">
        <v>2155</v>
      </c>
      <c r="E49" s="11" t="s">
        <v>9</v>
      </c>
    </row>
    <row r="50">
      <c r="B50" s="32" t="s">
        <v>529</v>
      </c>
      <c r="C50" s="35" t="s">
        <v>16</v>
      </c>
      <c r="D50" s="8" t="s">
        <v>2677</v>
      </c>
      <c r="E50" s="11" t="s">
        <v>13</v>
      </c>
    </row>
    <row r="51">
      <c r="B51" s="32" t="s">
        <v>2156</v>
      </c>
      <c r="C51" s="35" t="s">
        <v>20</v>
      </c>
      <c r="D51" s="32" t="s">
        <v>647</v>
      </c>
      <c r="E51" s="11" t="s">
        <v>9</v>
      </c>
    </row>
    <row r="52">
      <c r="B52" s="32" t="s">
        <v>529</v>
      </c>
      <c r="C52" s="35" t="s">
        <v>1718</v>
      </c>
      <c r="D52" s="32" t="s">
        <v>2155</v>
      </c>
      <c r="E52" s="11" t="s">
        <v>13</v>
      </c>
    </row>
    <row r="53">
      <c r="B53" s="32" t="s">
        <v>2156</v>
      </c>
      <c r="C53" s="35" t="s">
        <v>566</v>
      </c>
      <c r="D53" s="8" t="s">
        <v>2677</v>
      </c>
      <c r="E53" s="11" t="s">
        <v>9</v>
      </c>
    </row>
    <row r="54">
      <c r="B54" s="32" t="s">
        <v>647</v>
      </c>
      <c r="C54" s="35" t="s">
        <v>20</v>
      </c>
      <c r="D54" s="32" t="s">
        <v>2155</v>
      </c>
      <c r="E54" s="11" t="s">
        <v>13</v>
      </c>
    </row>
    <row r="55">
      <c r="B55" s="32" t="s">
        <v>2156</v>
      </c>
      <c r="C55" s="35" t="s">
        <v>260</v>
      </c>
      <c r="D55" s="32" t="s">
        <v>529</v>
      </c>
      <c r="E55" s="11" t="s">
        <v>9</v>
      </c>
    </row>
    <row r="56">
      <c r="B56" s="32" t="s">
        <v>647</v>
      </c>
      <c r="C56" s="35" t="s">
        <v>196</v>
      </c>
      <c r="D56" s="8" t="s">
        <v>2677</v>
      </c>
      <c r="E56" s="11" t="s">
        <v>13</v>
      </c>
    </row>
    <row r="57">
      <c r="B57" s="8" t="s">
        <v>2677</v>
      </c>
      <c r="C57" s="35" t="s">
        <v>261</v>
      </c>
      <c r="D57" s="32" t="s">
        <v>2155</v>
      </c>
      <c r="E57" s="11" t="s">
        <v>9</v>
      </c>
    </row>
    <row r="58">
      <c r="B58" s="32" t="s">
        <v>647</v>
      </c>
      <c r="C58" s="35" t="s">
        <v>2678</v>
      </c>
      <c r="D58" s="32" t="s">
        <v>529</v>
      </c>
      <c r="E58" s="11" t="s">
        <v>13</v>
      </c>
    </row>
    <row r="59">
      <c r="B59" s="32" t="s">
        <v>2155</v>
      </c>
      <c r="C59" s="35" t="s">
        <v>19</v>
      </c>
      <c r="D59" s="32" t="s">
        <v>2156</v>
      </c>
      <c r="E59" s="11" t="s">
        <v>9</v>
      </c>
    </row>
    <row r="60">
      <c r="B60" s="8" t="s">
        <v>2677</v>
      </c>
      <c r="C60" s="35" t="s">
        <v>196</v>
      </c>
      <c r="D60" s="32" t="s">
        <v>529</v>
      </c>
      <c r="E60" s="11" t="s">
        <v>13</v>
      </c>
    </row>
    <row r="61">
      <c r="B61" s="32" t="s">
        <v>647</v>
      </c>
      <c r="C61" s="35" t="s">
        <v>251</v>
      </c>
      <c r="D61" s="32" t="s">
        <v>2156</v>
      </c>
      <c r="E61" s="11" t="s">
        <v>9</v>
      </c>
    </row>
    <row r="62">
      <c r="B62" s="32" t="s">
        <v>2155</v>
      </c>
      <c r="C62" s="35" t="s">
        <v>27</v>
      </c>
      <c r="D62" s="32" t="s">
        <v>529</v>
      </c>
      <c r="E62" s="11" t="s">
        <v>13</v>
      </c>
    </row>
    <row r="63">
      <c r="B63" s="8" t="s">
        <v>2677</v>
      </c>
      <c r="C63" s="35" t="s">
        <v>49</v>
      </c>
      <c r="D63" s="32" t="s">
        <v>2156</v>
      </c>
      <c r="E63" s="11" t="s">
        <v>9</v>
      </c>
    </row>
    <row r="64">
      <c r="B64" s="32" t="s">
        <v>2155</v>
      </c>
      <c r="C64" s="35" t="s">
        <v>250</v>
      </c>
      <c r="D64" s="32" t="s">
        <v>647</v>
      </c>
      <c r="E64" s="11" t="s">
        <v>13</v>
      </c>
    </row>
    <row r="65">
      <c r="B65" s="32" t="s">
        <v>529</v>
      </c>
      <c r="C65" s="35" t="s">
        <v>190</v>
      </c>
      <c r="D65" s="32" t="s">
        <v>2156</v>
      </c>
      <c r="E65" s="11" t="s">
        <v>9</v>
      </c>
    </row>
    <row r="66">
      <c r="B66" s="8" t="s">
        <v>2677</v>
      </c>
      <c r="C66" s="35" t="s">
        <v>321</v>
      </c>
      <c r="D66" s="32" t="s">
        <v>647</v>
      </c>
      <c r="E66" s="11" t="s">
        <v>13</v>
      </c>
    </row>
    <row r="67">
      <c r="B67" s="1" t="s">
        <v>2099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16" t="s">
        <v>5</v>
      </c>
    </row>
    <row r="69">
      <c r="B69" s="32" t="s">
        <v>2543</v>
      </c>
      <c r="C69" s="35" t="s">
        <v>261</v>
      </c>
      <c r="D69" s="8" t="s">
        <v>2679</v>
      </c>
      <c r="E69" s="11" t="s">
        <v>9</v>
      </c>
    </row>
    <row r="70">
      <c r="B70" s="32" t="s">
        <v>2680</v>
      </c>
      <c r="C70" s="35" t="s">
        <v>66</v>
      </c>
      <c r="D70" s="32" t="s">
        <v>1422</v>
      </c>
      <c r="E70" s="11" t="s">
        <v>13</v>
      </c>
    </row>
    <row r="71">
      <c r="B71" s="32" t="s">
        <v>1423</v>
      </c>
      <c r="C71" s="35" t="s">
        <v>282</v>
      </c>
      <c r="D71" s="32" t="s">
        <v>2543</v>
      </c>
      <c r="E71" s="11" t="s">
        <v>9</v>
      </c>
    </row>
    <row r="72">
      <c r="B72" s="32" t="s">
        <v>2680</v>
      </c>
      <c r="C72" s="35" t="s">
        <v>316</v>
      </c>
      <c r="D72" s="8" t="s">
        <v>2679</v>
      </c>
      <c r="E72" s="11" t="s">
        <v>13</v>
      </c>
    </row>
    <row r="73">
      <c r="B73" s="32" t="s">
        <v>1423</v>
      </c>
      <c r="C73" s="35" t="s">
        <v>412</v>
      </c>
      <c r="D73" s="32" t="s">
        <v>1422</v>
      </c>
      <c r="E73" s="11" t="s">
        <v>9</v>
      </c>
    </row>
    <row r="74">
      <c r="B74" s="32" t="s">
        <v>2680</v>
      </c>
      <c r="C74" s="35" t="s">
        <v>42</v>
      </c>
      <c r="D74" s="45" t="s">
        <v>2543</v>
      </c>
      <c r="E74" s="11" t="s">
        <v>13</v>
      </c>
    </row>
    <row r="75">
      <c r="B75" s="32" t="s">
        <v>1423</v>
      </c>
      <c r="C75" s="35" t="s">
        <v>62</v>
      </c>
      <c r="D75" s="8" t="s">
        <v>2679</v>
      </c>
      <c r="E75" s="11" t="s">
        <v>9</v>
      </c>
    </row>
    <row r="76">
      <c r="B76" s="32" t="s">
        <v>1422</v>
      </c>
      <c r="C76" s="35" t="s">
        <v>82</v>
      </c>
      <c r="D76" s="32" t="s">
        <v>2543</v>
      </c>
      <c r="E76" s="11" t="s">
        <v>13</v>
      </c>
    </row>
    <row r="77">
      <c r="B77" s="32" t="s">
        <v>1423</v>
      </c>
      <c r="C77" s="35" t="s">
        <v>319</v>
      </c>
      <c r="D77" s="32" t="s">
        <v>2680</v>
      </c>
      <c r="E77" s="11" t="s">
        <v>9</v>
      </c>
    </row>
    <row r="78">
      <c r="B78" s="32" t="s">
        <v>1422</v>
      </c>
      <c r="C78" s="35" t="s">
        <v>193</v>
      </c>
      <c r="D78" s="8" t="s">
        <v>2679</v>
      </c>
      <c r="E78" s="11" t="s">
        <v>13</v>
      </c>
    </row>
    <row r="79">
      <c r="B79" s="8" t="s">
        <v>2679</v>
      </c>
      <c r="C79" s="35" t="s">
        <v>285</v>
      </c>
      <c r="D79" s="32" t="s">
        <v>2543</v>
      </c>
      <c r="E79" s="11" t="s">
        <v>9</v>
      </c>
    </row>
    <row r="80">
      <c r="B80" s="32" t="s">
        <v>1422</v>
      </c>
      <c r="C80" s="35" t="s">
        <v>47</v>
      </c>
      <c r="D80" s="32" t="s">
        <v>2680</v>
      </c>
      <c r="E80" s="11" t="s">
        <v>13</v>
      </c>
    </row>
    <row r="81">
      <c r="B81" s="32" t="s">
        <v>2543</v>
      </c>
      <c r="C81" s="35" t="s">
        <v>193</v>
      </c>
      <c r="D81" s="32" t="s">
        <v>1423</v>
      </c>
      <c r="E81" s="11" t="s">
        <v>9</v>
      </c>
    </row>
    <row r="82">
      <c r="B82" s="8" t="s">
        <v>2679</v>
      </c>
      <c r="C82" s="35" t="s">
        <v>217</v>
      </c>
      <c r="D82" s="32" t="s">
        <v>2680</v>
      </c>
      <c r="E82" s="11" t="s">
        <v>13</v>
      </c>
    </row>
    <row r="83">
      <c r="B83" s="32" t="s">
        <v>1422</v>
      </c>
      <c r="C83" s="35" t="s">
        <v>83</v>
      </c>
      <c r="D83" s="32" t="s">
        <v>1423</v>
      </c>
      <c r="E83" s="11" t="s">
        <v>9</v>
      </c>
    </row>
    <row r="84">
      <c r="B84" s="32" t="s">
        <v>2543</v>
      </c>
      <c r="C84" s="35" t="s">
        <v>78</v>
      </c>
      <c r="D84" s="32" t="s">
        <v>2680</v>
      </c>
      <c r="E84" s="11" t="s">
        <v>13</v>
      </c>
    </row>
    <row r="85">
      <c r="B85" s="8" t="s">
        <v>2679</v>
      </c>
      <c r="C85" s="35" t="s">
        <v>837</v>
      </c>
      <c r="D85" s="32" t="s">
        <v>1423</v>
      </c>
      <c r="E85" s="11" t="s">
        <v>9</v>
      </c>
    </row>
    <row r="86">
      <c r="B86" s="32" t="s">
        <v>2543</v>
      </c>
      <c r="C86" s="35" t="s">
        <v>261</v>
      </c>
      <c r="D86" s="32" t="s">
        <v>1422</v>
      </c>
      <c r="E86" s="11" t="s">
        <v>13</v>
      </c>
    </row>
    <row r="87">
      <c r="B87" s="32" t="s">
        <v>2680</v>
      </c>
      <c r="C87" s="35" t="s">
        <v>68</v>
      </c>
      <c r="D87" s="32" t="s">
        <v>1423</v>
      </c>
      <c r="E87" s="11" t="s">
        <v>9</v>
      </c>
    </row>
    <row r="88">
      <c r="B88" s="8" t="s">
        <v>2679</v>
      </c>
      <c r="C88" s="35" t="s">
        <v>21</v>
      </c>
      <c r="D88" s="32" t="s">
        <v>1422</v>
      </c>
      <c r="E88" s="11" t="s">
        <v>13</v>
      </c>
    </row>
    <row r="89">
      <c r="B89" s="72" t="s">
        <v>2681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16" t="s">
        <v>5</v>
      </c>
    </row>
    <row r="91">
      <c r="B91" s="32" t="s">
        <v>2682</v>
      </c>
      <c r="C91" s="33" t="s">
        <v>270</v>
      </c>
      <c r="D91" s="32" t="s">
        <v>881</v>
      </c>
      <c r="E91" s="80" t="s">
        <v>33</v>
      </c>
    </row>
    <row r="92">
      <c r="B92" s="32" t="s">
        <v>1228</v>
      </c>
      <c r="C92" s="33" t="s">
        <v>906</v>
      </c>
      <c r="D92" s="32" t="s">
        <v>1017</v>
      </c>
      <c r="E92" s="80" t="s">
        <v>37</v>
      </c>
    </row>
    <row r="93">
      <c r="B93" s="32" t="s">
        <v>1965</v>
      </c>
      <c r="C93" s="33" t="s">
        <v>17</v>
      </c>
      <c r="D93" s="32" t="s">
        <v>2682</v>
      </c>
      <c r="E93" s="80" t="s">
        <v>33</v>
      </c>
    </row>
    <row r="94">
      <c r="B94" s="32" t="s">
        <v>1228</v>
      </c>
      <c r="C94" s="33" t="s">
        <v>993</v>
      </c>
      <c r="D94" s="32" t="s">
        <v>881</v>
      </c>
      <c r="E94" s="80" t="s">
        <v>37</v>
      </c>
    </row>
    <row r="95">
      <c r="B95" s="32" t="s">
        <v>1965</v>
      </c>
      <c r="C95" s="33" t="s">
        <v>886</v>
      </c>
      <c r="D95" s="32" t="s">
        <v>1017</v>
      </c>
      <c r="E95" s="80" t="s">
        <v>33</v>
      </c>
    </row>
    <row r="96">
      <c r="B96" s="32" t="s">
        <v>1228</v>
      </c>
      <c r="C96" s="33" t="s">
        <v>250</v>
      </c>
      <c r="D96" s="32" t="s">
        <v>2682</v>
      </c>
      <c r="E96" s="80" t="s">
        <v>37</v>
      </c>
    </row>
    <row r="97">
      <c r="B97" s="32" t="s">
        <v>1965</v>
      </c>
      <c r="C97" s="33" t="s">
        <v>695</v>
      </c>
      <c r="D97" s="32" t="s">
        <v>881</v>
      </c>
      <c r="E97" s="80" t="s">
        <v>33</v>
      </c>
    </row>
    <row r="98">
      <c r="B98" s="32" t="s">
        <v>1017</v>
      </c>
      <c r="C98" s="33" t="s">
        <v>260</v>
      </c>
      <c r="D98" s="32" t="s">
        <v>2682</v>
      </c>
      <c r="E98" s="80" t="s">
        <v>37</v>
      </c>
    </row>
    <row r="99">
      <c r="B99" s="32" t="s">
        <v>1965</v>
      </c>
      <c r="C99" s="33" t="s">
        <v>282</v>
      </c>
      <c r="D99" s="32" t="s">
        <v>1228</v>
      </c>
      <c r="E99" s="80" t="s">
        <v>33</v>
      </c>
    </row>
    <row r="100">
      <c r="B100" s="32" t="s">
        <v>1017</v>
      </c>
      <c r="C100" s="33" t="s">
        <v>197</v>
      </c>
      <c r="D100" s="32" t="s">
        <v>881</v>
      </c>
      <c r="E100" s="80" t="s">
        <v>37</v>
      </c>
    </row>
    <row r="101">
      <c r="B101" s="32" t="s">
        <v>881</v>
      </c>
      <c r="C101" s="33" t="s">
        <v>17</v>
      </c>
      <c r="D101" s="32" t="s">
        <v>2682</v>
      </c>
      <c r="E101" s="80" t="s">
        <v>33</v>
      </c>
    </row>
    <row r="102">
      <c r="B102" s="32" t="s">
        <v>1017</v>
      </c>
      <c r="C102" s="33" t="s">
        <v>35</v>
      </c>
      <c r="D102" s="32" t="s">
        <v>1228</v>
      </c>
      <c r="E102" s="80" t="s">
        <v>37</v>
      </c>
      <c r="F102" s="36"/>
    </row>
    <row r="103">
      <c r="B103" s="32" t="s">
        <v>2682</v>
      </c>
      <c r="C103" s="35" t="s">
        <v>81</v>
      </c>
      <c r="D103" s="32" t="s">
        <v>1965</v>
      </c>
      <c r="E103" s="80" t="s">
        <v>33</v>
      </c>
    </row>
    <row r="104">
      <c r="B104" s="32" t="s">
        <v>881</v>
      </c>
      <c r="C104" s="35" t="s">
        <v>226</v>
      </c>
      <c r="D104" s="32" t="s">
        <v>1228</v>
      </c>
      <c r="E104" s="80" t="s">
        <v>37</v>
      </c>
    </row>
    <row r="105">
      <c r="B105" s="32" t="s">
        <v>1017</v>
      </c>
      <c r="C105" s="35" t="s">
        <v>286</v>
      </c>
      <c r="D105" s="32" t="s">
        <v>1965</v>
      </c>
      <c r="E105" s="80" t="s">
        <v>33</v>
      </c>
    </row>
    <row r="106">
      <c r="B106" s="32" t="s">
        <v>2682</v>
      </c>
      <c r="C106" s="35" t="s">
        <v>566</v>
      </c>
      <c r="D106" s="32" t="s">
        <v>1228</v>
      </c>
      <c r="E106" s="80" t="s">
        <v>37</v>
      </c>
    </row>
    <row r="107">
      <c r="B107" s="32" t="s">
        <v>881</v>
      </c>
      <c r="C107" s="35" t="s">
        <v>303</v>
      </c>
      <c r="D107" s="32" t="s">
        <v>1965</v>
      </c>
      <c r="E107" s="80" t="s">
        <v>33</v>
      </c>
    </row>
    <row r="108">
      <c r="B108" s="32" t="s">
        <v>2682</v>
      </c>
      <c r="C108" s="35" t="s">
        <v>201</v>
      </c>
      <c r="D108" s="32" t="s">
        <v>1017</v>
      </c>
      <c r="E108" s="80" t="s">
        <v>37</v>
      </c>
    </row>
    <row r="109">
      <c r="B109" s="32" t="s">
        <v>1228</v>
      </c>
      <c r="C109" s="35" t="s">
        <v>268</v>
      </c>
      <c r="D109" s="32" t="s">
        <v>1965</v>
      </c>
      <c r="E109" s="80" t="s">
        <v>33</v>
      </c>
    </row>
    <row r="110">
      <c r="B110" s="32" t="s">
        <v>881</v>
      </c>
      <c r="C110" s="35" t="s">
        <v>400</v>
      </c>
      <c r="D110" s="32" t="s">
        <v>1017</v>
      </c>
      <c r="E110" s="80" t="s">
        <v>37</v>
      </c>
    </row>
    <row r="111">
      <c r="B111" s="1" t="s">
        <v>2646</v>
      </c>
      <c r="C111" s="2"/>
      <c r="D111" s="3"/>
      <c r="E111" s="4"/>
      <c r="H111" s="36" t="s">
        <v>229</v>
      </c>
    </row>
    <row r="112"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B113" s="32" t="s">
        <v>2683</v>
      </c>
      <c r="C113" s="33" t="s">
        <v>22</v>
      </c>
      <c r="D113" s="32" t="s">
        <v>1759</v>
      </c>
      <c r="E113" s="80" t="s">
        <v>33</v>
      </c>
    </row>
    <row r="114">
      <c r="B114" s="32" t="s">
        <v>299</v>
      </c>
      <c r="C114" s="33" t="s">
        <v>542</v>
      </c>
      <c r="D114" s="32" t="s">
        <v>296</v>
      </c>
      <c r="E114" s="80" t="s">
        <v>37</v>
      </c>
    </row>
    <row r="115">
      <c r="B115" s="32" t="s">
        <v>1758</v>
      </c>
      <c r="C115" s="33" t="s">
        <v>413</v>
      </c>
      <c r="D115" s="32" t="s">
        <v>2683</v>
      </c>
      <c r="E115" s="80" t="s">
        <v>33</v>
      </c>
    </row>
    <row r="116">
      <c r="B116" s="32" t="s">
        <v>299</v>
      </c>
      <c r="C116" s="33" t="s">
        <v>650</v>
      </c>
      <c r="D116" s="32" t="s">
        <v>1759</v>
      </c>
      <c r="E116" s="80" t="s">
        <v>37</v>
      </c>
    </row>
    <row r="117">
      <c r="B117" s="32" t="s">
        <v>1758</v>
      </c>
      <c r="C117" s="33" t="s">
        <v>328</v>
      </c>
      <c r="D117" s="32" t="s">
        <v>296</v>
      </c>
      <c r="E117" s="80" t="s">
        <v>33</v>
      </c>
    </row>
    <row r="118">
      <c r="B118" s="32" t="s">
        <v>299</v>
      </c>
      <c r="C118" s="33" t="s">
        <v>68</v>
      </c>
      <c r="D118" s="32" t="s">
        <v>2683</v>
      </c>
      <c r="E118" s="80" t="s">
        <v>37</v>
      </c>
    </row>
    <row r="119">
      <c r="B119" s="32" t="s">
        <v>1758</v>
      </c>
      <c r="C119" s="33" t="s">
        <v>261</v>
      </c>
      <c r="D119" s="32" t="s">
        <v>1759</v>
      </c>
      <c r="E119" s="80" t="s">
        <v>33</v>
      </c>
    </row>
    <row r="120">
      <c r="B120" s="32" t="s">
        <v>296</v>
      </c>
      <c r="C120" s="33" t="s">
        <v>43</v>
      </c>
      <c r="D120" s="32" t="s">
        <v>2683</v>
      </c>
      <c r="E120" s="80" t="s">
        <v>37</v>
      </c>
    </row>
    <row r="121">
      <c r="B121" s="32" t="s">
        <v>1758</v>
      </c>
      <c r="C121" s="33" t="s">
        <v>260</v>
      </c>
      <c r="D121" s="32" t="s">
        <v>299</v>
      </c>
      <c r="E121" s="80" t="s">
        <v>33</v>
      </c>
    </row>
    <row r="122">
      <c r="B122" s="32" t="s">
        <v>296</v>
      </c>
      <c r="C122" s="33" t="s">
        <v>590</v>
      </c>
      <c r="D122" s="32" t="s">
        <v>1759</v>
      </c>
      <c r="E122" s="80" t="s">
        <v>37</v>
      </c>
    </row>
    <row r="123">
      <c r="B123" s="32" t="s">
        <v>1759</v>
      </c>
      <c r="C123" s="33" t="s">
        <v>289</v>
      </c>
      <c r="D123" s="32" t="s">
        <v>2683</v>
      </c>
      <c r="E123" s="80" t="s">
        <v>33</v>
      </c>
    </row>
    <row r="124">
      <c r="B124" s="32" t="s">
        <v>296</v>
      </c>
      <c r="C124" s="33" t="s">
        <v>49</v>
      </c>
      <c r="D124" s="32" t="s">
        <v>299</v>
      </c>
      <c r="E124" s="80" t="s">
        <v>37</v>
      </c>
    </row>
    <row r="125">
      <c r="B125" s="32" t="s">
        <v>2683</v>
      </c>
      <c r="C125" s="35" t="s">
        <v>351</v>
      </c>
      <c r="D125" s="32" t="s">
        <v>1758</v>
      </c>
      <c r="E125" s="80" t="s">
        <v>33</v>
      </c>
    </row>
    <row r="126">
      <c r="B126" s="32" t="s">
        <v>1759</v>
      </c>
      <c r="C126" s="35" t="s">
        <v>2684</v>
      </c>
      <c r="D126" s="32" t="s">
        <v>299</v>
      </c>
      <c r="E126" s="80" t="s">
        <v>37</v>
      </c>
    </row>
    <row r="127">
      <c r="B127" s="32" t="s">
        <v>296</v>
      </c>
      <c r="C127" s="35" t="s">
        <v>72</v>
      </c>
      <c r="D127" s="32" t="s">
        <v>1758</v>
      </c>
      <c r="E127" s="80" t="s">
        <v>33</v>
      </c>
    </row>
    <row r="128">
      <c r="B128" s="32" t="s">
        <v>2683</v>
      </c>
      <c r="C128" s="35" t="s">
        <v>699</v>
      </c>
      <c r="D128" s="32" t="s">
        <v>299</v>
      </c>
      <c r="E128" s="80" t="s">
        <v>37</v>
      </c>
    </row>
    <row r="129">
      <c r="B129" s="32" t="s">
        <v>1759</v>
      </c>
      <c r="C129" s="35" t="s">
        <v>17</v>
      </c>
      <c r="D129" s="32" t="s">
        <v>1758</v>
      </c>
      <c r="E129" s="80" t="s">
        <v>33</v>
      </c>
    </row>
    <row r="130">
      <c r="B130" s="32" t="s">
        <v>2683</v>
      </c>
      <c r="C130" s="35" t="s">
        <v>49</v>
      </c>
      <c r="D130" s="32" t="s">
        <v>296</v>
      </c>
      <c r="E130" s="80" t="s">
        <v>37</v>
      </c>
    </row>
    <row r="131">
      <c r="B131" s="32" t="s">
        <v>299</v>
      </c>
      <c r="C131" s="35" t="s">
        <v>297</v>
      </c>
      <c r="D131" s="32" t="s">
        <v>1758</v>
      </c>
      <c r="E131" s="80" t="s">
        <v>33</v>
      </c>
    </row>
    <row r="132">
      <c r="B132" s="32" t="s">
        <v>1759</v>
      </c>
      <c r="C132" s="35" t="s">
        <v>2256</v>
      </c>
      <c r="D132" s="32" t="s">
        <v>296</v>
      </c>
      <c r="E132" s="80" t="s">
        <v>37</v>
      </c>
    </row>
    <row r="133">
      <c r="B133" s="1" t="s">
        <v>2685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32" t="s">
        <v>2140</v>
      </c>
      <c r="C135" s="33" t="s">
        <v>2256</v>
      </c>
      <c r="D135" s="8" t="s">
        <v>2686</v>
      </c>
      <c r="E135" s="11" t="s">
        <v>9</v>
      </c>
    </row>
    <row r="136">
      <c r="B136" s="32" t="s">
        <v>2142</v>
      </c>
      <c r="C136" s="33" t="s">
        <v>212</v>
      </c>
      <c r="D136" s="32" t="s">
        <v>869</v>
      </c>
      <c r="E136" s="11" t="s">
        <v>13</v>
      </c>
    </row>
    <row r="137">
      <c r="B137" s="32" t="s">
        <v>2687</v>
      </c>
      <c r="C137" s="33" t="s">
        <v>25</v>
      </c>
      <c r="D137" s="32" t="s">
        <v>2140</v>
      </c>
      <c r="E137" s="11" t="s">
        <v>9</v>
      </c>
    </row>
    <row r="138">
      <c r="B138" s="32" t="s">
        <v>2142</v>
      </c>
      <c r="C138" s="33" t="s">
        <v>20</v>
      </c>
      <c r="D138" s="8" t="s">
        <v>2686</v>
      </c>
      <c r="E138" s="11" t="s">
        <v>13</v>
      </c>
    </row>
    <row r="139">
      <c r="B139" s="32" t="s">
        <v>2687</v>
      </c>
      <c r="C139" s="33" t="s">
        <v>282</v>
      </c>
      <c r="D139" s="32" t="s">
        <v>869</v>
      </c>
      <c r="E139" s="11" t="s">
        <v>9</v>
      </c>
    </row>
    <row r="140">
      <c r="B140" s="32" t="s">
        <v>2142</v>
      </c>
      <c r="C140" s="33" t="s">
        <v>35</v>
      </c>
      <c r="D140" s="32" t="s">
        <v>2140</v>
      </c>
      <c r="E140" s="11" t="s">
        <v>13</v>
      </c>
    </row>
    <row r="141">
      <c r="B141" s="32" t="s">
        <v>2687</v>
      </c>
      <c r="C141" s="33" t="s">
        <v>71</v>
      </c>
      <c r="D141" s="8" t="s">
        <v>2686</v>
      </c>
      <c r="E141" s="11" t="s">
        <v>9</v>
      </c>
    </row>
    <row r="142">
      <c r="B142" s="32" t="s">
        <v>869</v>
      </c>
      <c r="C142" s="33" t="s">
        <v>62</v>
      </c>
      <c r="D142" s="32" t="s">
        <v>2140</v>
      </c>
      <c r="E142" s="11" t="s">
        <v>13</v>
      </c>
    </row>
    <row r="143">
      <c r="B143" s="32" t="s">
        <v>2687</v>
      </c>
      <c r="C143" s="33" t="s">
        <v>217</v>
      </c>
      <c r="D143" s="32" t="s">
        <v>2142</v>
      </c>
      <c r="E143" s="11" t="s">
        <v>9</v>
      </c>
    </row>
    <row r="144">
      <c r="B144" s="32" t="s">
        <v>869</v>
      </c>
      <c r="C144" s="33" t="s">
        <v>196</v>
      </c>
      <c r="D144" s="8" t="s">
        <v>2686</v>
      </c>
      <c r="E144" s="11" t="s">
        <v>13</v>
      </c>
    </row>
    <row r="145">
      <c r="B145" s="8" t="s">
        <v>2686</v>
      </c>
      <c r="C145" s="33" t="s">
        <v>239</v>
      </c>
      <c r="D145" s="32" t="s">
        <v>2140</v>
      </c>
      <c r="E145" s="11" t="s">
        <v>9</v>
      </c>
    </row>
    <row r="146">
      <c r="B146" s="32" t="s">
        <v>869</v>
      </c>
      <c r="C146" s="33" t="s">
        <v>72</v>
      </c>
      <c r="D146" s="32" t="s">
        <v>2142</v>
      </c>
      <c r="E146" s="11" t="s">
        <v>13</v>
      </c>
    </row>
    <row r="147">
      <c r="B147" s="32" t="s">
        <v>2140</v>
      </c>
      <c r="C147" s="35" t="s">
        <v>87</v>
      </c>
      <c r="D147" s="32" t="s">
        <v>2687</v>
      </c>
      <c r="E147" s="11" t="s">
        <v>9</v>
      </c>
    </row>
    <row r="148">
      <c r="B148" s="8" t="s">
        <v>2686</v>
      </c>
      <c r="C148" s="35" t="s">
        <v>25</v>
      </c>
      <c r="D148" s="32" t="s">
        <v>2142</v>
      </c>
      <c r="E148" s="11" t="s">
        <v>13</v>
      </c>
    </row>
    <row r="149">
      <c r="B149" s="32" t="s">
        <v>869</v>
      </c>
      <c r="C149" s="35" t="s">
        <v>285</v>
      </c>
      <c r="D149" s="32" t="s">
        <v>2687</v>
      </c>
      <c r="E149" s="11" t="s">
        <v>9</v>
      </c>
    </row>
    <row r="150">
      <c r="B150" s="32" t="s">
        <v>2140</v>
      </c>
      <c r="C150" s="35" t="s">
        <v>240</v>
      </c>
      <c r="D150" s="32" t="s">
        <v>2142</v>
      </c>
      <c r="E150" s="11" t="s">
        <v>13</v>
      </c>
    </row>
    <row r="151">
      <c r="B151" s="8" t="s">
        <v>2686</v>
      </c>
      <c r="C151" s="35" t="s">
        <v>87</v>
      </c>
      <c r="D151" s="32" t="s">
        <v>2687</v>
      </c>
      <c r="E151" s="11" t="s">
        <v>9</v>
      </c>
    </row>
    <row r="152">
      <c r="B152" s="32" t="s">
        <v>2140</v>
      </c>
      <c r="C152" s="35" t="s">
        <v>69</v>
      </c>
      <c r="D152" s="32" t="s">
        <v>869</v>
      </c>
      <c r="E152" s="11" t="s">
        <v>13</v>
      </c>
    </row>
    <row r="153">
      <c r="B153" s="32" t="s">
        <v>2142</v>
      </c>
      <c r="C153" s="35" t="s">
        <v>218</v>
      </c>
      <c r="D153" s="32" t="s">
        <v>2687</v>
      </c>
      <c r="E153" s="11" t="s">
        <v>9</v>
      </c>
    </row>
    <row r="154">
      <c r="B154" s="8" t="s">
        <v>2686</v>
      </c>
      <c r="C154" s="35" t="s">
        <v>19</v>
      </c>
      <c r="D154" s="32" t="s">
        <v>869</v>
      </c>
      <c r="E154" s="11" t="s">
        <v>13</v>
      </c>
    </row>
    <row r="155">
      <c r="B155" s="1" t="s">
        <v>1685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B157" s="32" t="s">
        <v>2607</v>
      </c>
      <c r="C157" s="33" t="s">
        <v>83</v>
      </c>
      <c r="D157" s="8" t="s">
        <v>2688</v>
      </c>
      <c r="E157" s="11" t="s">
        <v>9</v>
      </c>
    </row>
    <row r="158">
      <c r="B158" s="32" t="s">
        <v>2219</v>
      </c>
      <c r="C158" s="33" t="s">
        <v>67</v>
      </c>
      <c r="D158" s="32" t="s">
        <v>2505</v>
      </c>
      <c r="E158" s="11" t="s">
        <v>13</v>
      </c>
    </row>
    <row r="159">
      <c r="B159" s="32" t="s">
        <v>2689</v>
      </c>
      <c r="C159" s="33" t="s">
        <v>329</v>
      </c>
      <c r="D159" s="32" t="s">
        <v>2607</v>
      </c>
      <c r="E159" s="11" t="s">
        <v>9</v>
      </c>
    </row>
    <row r="160">
      <c r="B160" s="32" t="s">
        <v>2219</v>
      </c>
      <c r="C160" s="37" t="s">
        <v>218</v>
      </c>
      <c r="D160" s="8" t="s">
        <v>2688</v>
      </c>
      <c r="E160" s="11" t="s">
        <v>13</v>
      </c>
    </row>
    <row r="161">
      <c r="B161" s="32" t="s">
        <v>2689</v>
      </c>
      <c r="C161" s="33" t="s">
        <v>22</v>
      </c>
      <c r="D161" s="32" t="s">
        <v>2505</v>
      </c>
      <c r="E161" s="11" t="s">
        <v>9</v>
      </c>
    </row>
    <row r="162">
      <c r="B162" s="32" t="s">
        <v>2219</v>
      </c>
      <c r="C162" s="33" t="s">
        <v>195</v>
      </c>
      <c r="D162" s="32" t="s">
        <v>2607</v>
      </c>
      <c r="E162" s="11" t="s">
        <v>13</v>
      </c>
    </row>
    <row r="163">
      <c r="B163" s="32" t="s">
        <v>2689</v>
      </c>
      <c r="C163" s="33" t="s">
        <v>82</v>
      </c>
      <c r="D163" s="8" t="s">
        <v>2688</v>
      </c>
      <c r="E163" s="11" t="s">
        <v>9</v>
      </c>
    </row>
    <row r="164">
      <c r="B164" s="32" t="s">
        <v>2505</v>
      </c>
      <c r="C164" s="33" t="s">
        <v>45</v>
      </c>
      <c r="D164" s="32" t="s">
        <v>2607</v>
      </c>
      <c r="E164" s="11" t="s">
        <v>13</v>
      </c>
    </row>
    <row r="165">
      <c r="B165" s="32" t="s">
        <v>2689</v>
      </c>
      <c r="C165" s="33" t="s">
        <v>370</v>
      </c>
      <c r="D165" s="32" t="s">
        <v>2219</v>
      </c>
      <c r="E165" s="11" t="s">
        <v>9</v>
      </c>
    </row>
    <row r="166">
      <c r="B166" s="32" t="s">
        <v>2505</v>
      </c>
      <c r="C166" s="33" t="s">
        <v>295</v>
      </c>
      <c r="D166" s="8" t="s">
        <v>2688</v>
      </c>
      <c r="E166" s="11" t="s">
        <v>13</v>
      </c>
    </row>
    <row r="167">
      <c r="B167" s="8" t="s">
        <v>2688</v>
      </c>
      <c r="C167" s="33" t="s">
        <v>260</v>
      </c>
      <c r="D167" s="32" t="s">
        <v>2607</v>
      </c>
      <c r="E167" s="11" t="s">
        <v>9</v>
      </c>
    </row>
    <row r="168">
      <c r="B168" s="32" t="s">
        <v>2505</v>
      </c>
      <c r="C168" s="33" t="s">
        <v>215</v>
      </c>
      <c r="D168" s="32" t="s">
        <v>2219</v>
      </c>
      <c r="E168" s="11" t="s">
        <v>13</v>
      </c>
    </row>
    <row r="169">
      <c r="B169" s="32" t="s">
        <v>2607</v>
      </c>
      <c r="C169" s="35" t="s">
        <v>201</v>
      </c>
      <c r="D169" s="32" t="s">
        <v>2689</v>
      </c>
      <c r="E169" s="11" t="s">
        <v>9</v>
      </c>
    </row>
    <row r="170">
      <c r="B170" s="8" t="s">
        <v>2688</v>
      </c>
      <c r="C170" s="35" t="s">
        <v>78</v>
      </c>
      <c r="D170" s="32" t="s">
        <v>2219</v>
      </c>
      <c r="E170" s="11" t="s">
        <v>13</v>
      </c>
    </row>
    <row r="171">
      <c r="B171" s="32" t="s">
        <v>2505</v>
      </c>
      <c r="C171" s="35" t="s">
        <v>239</v>
      </c>
      <c r="D171" s="32" t="s">
        <v>2689</v>
      </c>
      <c r="E171" s="11" t="s">
        <v>9</v>
      </c>
    </row>
    <row r="172">
      <c r="B172" s="32" t="s">
        <v>2607</v>
      </c>
      <c r="C172" s="35" t="s">
        <v>28</v>
      </c>
      <c r="D172" s="32" t="s">
        <v>2219</v>
      </c>
      <c r="E172" s="11" t="s">
        <v>13</v>
      </c>
    </row>
    <row r="173">
      <c r="B173" s="8" t="s">
        <v>2688</v>
      </c>
      <c r="C173" s="35" t="s">
        <v>218</v>
      </c>
      <c r="D173" s="32" t="s">
        <v>2689</v>
      </c>
      <c r="E173" s="11" t="s">
        <v>9</v>
      </c>
    </row>
    <row r="174">
      <c r="B174" s="32" t="s">
        <v>2607</v>
      </c>
      <c r="C174" s="35" t="s">
        <v>2690</v>
      </c>
      <c r="D174" s="32" t="s">
        <v>2505</v>
      </c>
      <c r="E174" s="11" t="s">
        <v>13</v>
      </c>
    </row>
    <row r="175">
      <c r="B175" s="32" t="s">
        <v>2219</v>
      </c>
      <c r="C175" s="35" t="s">
        <v>72</v>
      </c>
      <c r="D175" s="32" t="s">
        <v>2689</v>
      </c>
      <c r="E175" s="11" t="s">
        <v>9</v>
      </c>
    </row>
    <row r="176">
      <c r="B176" s="8" t="s">
        <v>2688</v>
      </c>
      <c r="C176" s="35" t="s">
        <v>267</v>
      </c>
      <c r="D176" s="32" t="s">
        <v>2505</v>
      </c>
      <c r="E176" s="11" t="s">
        <v>13</v>
      </c>
    </row>
    <row r="177">
      <c r="B177" s="1" t="s">
        <v>2653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B179" s="32" t="s">
        <v>2691</v>
      </c>
      <c r="C179" s="33" t="s">
        <v>81</v>
      </c>
      <c r="D179" s="32" t="s">
        <v>2692</v>
      </c>
      <c r="E179" s="80" t="s">
        <v>33</v>
      </c>
    </row>
    <row r="180">
      <c r="B180" s="32" t="s">
        <v>1143</v>
      </c>
      <c r="C180" s="33" t="s">
        <v>270</v>
      </c>
      <c r="D180" s="32" t="s">
        <v>2693</v>
      </c>
      <c r="E180" s="80" t="s">
        <v>37</v>
      </c>
    </row>
    <row r="181">
      <c r="B181" s="32" t="s">
        <v>2694</v>
      </c>
      <c r="C181" s="33" t="s">
        <v>1465</v>
      </c>
      <c r="D181" s="32" t="s">
        <v>2691</v>
      </c>
      <c r="E181" s="80" t="s">
        <v>33</v>
      </c>
    </row>
    <row r="182">
      <c r="B182" s="32" t="s">
        <v>1143</v>
      </c>
      <c r="C182" s="33" t="s">
        <v>25</v>
      </c>
      <c r="D182" s="32" t="s">
        <v>2692</v>
      </c>
      <c r="E182" s="80" t="s">
        <v>37</v>
      </c>
    </row>
    <row r="183">
      <c r="B183" s="32" t="s">
        <v>2694</v>
      </c>
      <c r="C183" s="33" t="s">
        <v>434</v>
      </c>
      <c r="D183" s="32" t="s">
        <v>2693</v>
      </c>
      <c r="E183" s="80" t="s">
        <v>33</v>
      </c>
    </row>
    <row r="184">
      <c r="B184" s="32" t="s">
        <v>1143</v>
      </c>
      <c r="C184" s="33" t="s">
        <v>284</v>
      </c>
      <c r="D184" s="32" t="s">
        <v>2691</v>
      </c>
      <c r="E184" s="80" t="s">
        <v>37</v>
      </c>
    </row>
    <row r="185">
      <c r="B185" s="32" t="s">
        <v>2694</v>
      </c>
      <c r="C185" s="33" t="s">
        <v>291</v>
      </c>
      <c r="D185" s="32" t="s">
        <v>2692</v>
      </c>
      <c r="E185" s="80" t="s">
        <v>33</v>
      </c>
    </row>
    <row r="186">
      <c r="B186" s="32" t="s">
        <v>2693</v>
      </c>
      <c r="C186" s="33" t="s">
        <v>706</v>
      </c>
      <c r="D186" s="32" t="s">
        <v>2691</v>
      </c>
      <c r="E186" s="80" t="s">
        <v>37</v>
      </c>
    </row>
    <row r="187">
      <c r="B187" s="32" t="s">
        <v>2694</v>
      </c>
      <c r="C187" s="33" t="s">
        <v>260</v>
      </c>
      <c r="D187" s="32" t="s">
        <v>1143</v>
      </c>
      <c r="E187" s="80" t="s">
        <v>33</v>
      </c>
    </row>
    <row r="188">
      <c r="B188" s="32" t="s">
        <v>2693</v>
      </c>
      <c r="C188" s="33" t="s">
        <v>355</v>
      </c>
      <c r="D188" s="32" t="s">
        <v>2692</v>
      </c>
      <c r="E188" s="80" t="s">
        <v>37</v>
      </c>
    </row>
    <row r="189">
      <c r="B189" s="32" t="s">
        <v>2692</v>
      </c>
      <c r="C189" s="33" t="s">
        <v>20</v>
      </c>
      <c r="D189" s="32" t="s">
        <v>2691</v>
      </c>
      <c r="E189" s="80" t="s">
        <v>33</v>
      </c>
    </row>
    <row r="190">
      <c r="B190" s="32" t="s">
        <v>2693</v>
      </c>
      <c r="C190" s="33" t="s">
        <v>984</v>
      </c>
      <c r="D190" s="32" t="s">
        <v>1143</v>
      </c>
      <c r="E190" s="80" t="s">
        <v>37</v>
      </c>
    </row>
    <row r="191">
      <c r="B191" s="32" t="s">
        <v>2691</v>
      </c>
      <c r="C191" s="35" t="s">
        <v>35</v>
      </c>
      <c r="D191" s="32" t="s">
        <v>2694</v>
      </c>
      <c r="E191" s="80" t="s">
        <v>33</v>
      </c>
    </row>
    <row r="192">
      <c r="B192" s="32" t="s">
        <v>2692</v>
      </c>
      <c r="C192" s="35" t="s">
        <v>68</v>
      </c>
      <c r="D192" s="32" t="s">
        <v>1143</v>
      </c>
      <c r="E192" s="80" t="s">
        <v>37</v>
      </c>
    </row>
    <row r="193">
      <c r="B193" s="32" t="s">
        <v>2693</v>
      </c>
      <c r="C193" s="35" t="s">
        <v>2343</v>
      </c>
      <c r="D193" s="32" t="s">
        <v>2694</v>
      </c>
      <c r="E193" s="80" t="s">
        <v>33</v>
      </c>
    </row>
    <row r="194">
      <c r="B194" s="32" t="s">
        <v>2691</v>
      </c>
      <c r="C194" s="35" t="s">
        <v>416</v>
      </c>
      <c r="D194" s="32" t="s">
        <v>1143</v>
      </c>
      <c r="E194" s="80" t="s">
        <v>37</v>
      </c>
    </row>
    <row r="195">
      <c r="B195" s="32" t="s">
        <v>2692</v>
      </c>
      <c r="C195" s="35" t="s">
        <v>302</v>
      </c>
      <c r="D195" s="32" t="s">
        <v>2694</v>
      </c>
      <c r="E195" s="80" t="s">
        <v>33</v>
      </c>
    </row>
    <row r="196">
      <c r="B196" s="32" t="s">
        <v>2691</v>
      </c>
      <c r="C196" s="35" t="s">
        <v>205</v>
      </c>
      <c r="D196" s="32" t="s">
        <v>2693</v>
      </c>
      <c r="E196" s="80" t="s">
        <v>37</v>
      </c>
    </row>
    <row r="197">
      <c r="B197" s="32" t="s">
        <v>1143</v>
      </c>
      <c r="C197" s="35" t="s">
        <v>283</v>
      </c>
      <c r="D197" s="32" t="s">
        <v>2694</v>
      </c>
      <c r="E197" s="80" t="s">
        <v>33</v>
      </c>
    </row>
    <row r="198">
      <c r="B198" s="32" t="s">
        <v>2692</v>
      </c>
      <c r="C198" s="35" t="s">
        <v>460</v>
      </c>
      <c r="D198" s="32" t="s">
        <v>2693</v>
      </c>
      <c r="E198" s="80" t="s">
        <v>37</v>
      </c>
    </row>
    <row r="199">
      <c r="B199" s="1" t="s">
        <v>2695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B201" s="32" t="s">
        <v>2696</v>
      </c>
      <c r="C201" s="33" t="s">
        <v>240</v>
      </c>
      <c r="D201" s="32" t="s">
        <v>2457</v>
      </c>
      <c r="E201" s="80" t="s">
        <v>33</v>
      </c>
    </row>
    <row r="202">
      <c r="B202" s="32" t="s">
        <v>1970</v>
      </c>
      <c r="C202" s="33" t="s">
        <v>352</v>
      </c>
      <c r="D202" s="32" t="s">
        <v>2697</v>
      </c>
      <c r="E202" s="80" t="s">
        <v>37</v>
      </c>
    </row>
    <row r="203">
      <c r="B203" s="32" t="s">
        <v>2698</v>
      </c>
      <c r="C203" s="33" t="s">
        <v>196</v>
      </c>
      <c r="D203" s="32" t="s">
        <v>2696</v>
      </c>
      <c r="E203" s="80" t="s">
        <v>33</v>
      </c>
    </row>
    <row r="204">
      <c r="B204" s="32" t="s">
        <v>1970</v>
      </c>
      <c r="C204" s="33" t="s">
        <v>295</v>
      </c>
      <c r="D204" s="32" t="s">
        <v>2457</v>
      </c>
      <c r="E204" s="80" t="s">
        <v>37</v>
      </c>
    </row>
    <row r="205">
      <c r="B205" s="32" t="s">
        <v>2698</v>
      </c>
      <c r="C205" s="33" t="s">
        <v>354</v>
      </c>
      <c r="D205" s="32" t="s">
        <v>2697</v>
      </c>
      <c r="E205" s="80" t="s">
        <v>33</v>
      </c>
    </row>
    <row r="206">
      <c r="B206" s="32" t="s">
        <v>1970</v>
      </c>
      <c r="C206" s="33" t="s">
        <v>16</v>
      </c>
      <c r="D206" s="32" t="s">
        <v>2696</v>
      </c>
      <c r="E206" s="80" t="s">
        <v>37</v>
      </c>
    </row>
    <row r="207">
      <c r="B207" s="32" t="s">
        <v>2698</v>
      </c>
      <c r="C207" s="33" t="s">
        <v>2699</v>
      </c>
      <c r="D207" s="32" t="s">
        <v>2457</v>
      </c>
      <c r="E207" s="80" t="s">
        <v>33</v>
      </c>
    </row>
    <row r="208">
      <c r="B208" s="32" t="s">
        <v>2697</v>
      </c>
      <c r="C208" s="33" t="s">
        <v>18</v>
      </c>
      <c r="D208" s="32" t="s">
        <v>2696</v>
      </c>
      <c r="E208" s="80" t="s">
        <v>37</v>
      </c>
    </row>
    <row r="209">
      <c r="B209" s="32" t="s">
        <v>2698</v>
      </c>
      <c r="C209" s="33" t="s">
        <v>428</v>
      </c>
      <c r="D209" s="32" t="s">
        <v>1970</v>
      </c>
      <c r="E209" s="80" t="s">
        <v>33</v>
      </c>
    </row>
    <row r="210">
      <c r="B210" s="32" t="s">
        <v>2697</v>
      </c>
      <c r="C210" s="33" t="s">
        <v>18</v>
      </c>
      <c r="D210" s="32" t="s">
        <v>2457</v>
      </c>
      <c r="E210" s="80" t="s">
        <v>37</v>
      </c>
    </row>
    <row r="211">
      <c r="B211" s="32" t="s">
        <v>2457</v>
      </c>
      <c r="C211" s="33" t="s">
        <v>43</v>
      </c>
      <c r="D211" s="32" t="s">
        <v>2696</v>
      </c>
      <c r="E211" s="80" t="s">
        <v>33</v>
      </c>
    </row>
    <row r="212">
      <c r="B212" s="32" t="s">
        <v>2697</v>
      </c>
      <c r="C212" s="33" t="s">
        <v>2325</v>
      </c>
      <c r="D212" s="32" t="s">
        <v>1970</v>
      </c>
      <c r="E212" s="80" t="s">
        <v>37</v>
      </c>
    </row>
    <row r="213">
      <c r="B213" s="32" t="s">
        <v>2696</v>
      </c>
      <c r="C213" s="35" t="s">
        <v>31</v>
      </c>
      <c r="D213" s="32" t="s">
        <v>2698</v>
      </c>
      <c r="E213" s="80" t="s">
        <v>33</v>
      </c>
    </row>
    <row r="214">
      <c r="B214" s="32" t="s">
        <v>2457</v>
      </c>
      <c r="C214" s="35" t="s">
        <v>304</v>
      </c>
      <c r="D214" s="32" t="s">
        <v>1970</v>
      </c>
      <c r="E214" s="80" t="s">
        <v>37</v>
      </c>
    </row>
    <row r="215">
      <c r="B215" s="32" t="s">
        <v>2697</v>
      </c>
      <c r="C215" s="35" t="s">
        <v>370</v>
      </c>
      <c r="D215" s="32" t="s">
        <v>2698</v>
      </c>
      <c r="E215" s="80" t="s">
        <v>33</v>
      </c>
    </row>
    <row r="216">
      <c r="B216" s="32" t="s">
        <v>2696</v>
      </c>
      <c r="C216" s="35" t="s">
        <v>319</v>
      </c>
      <c r="D216" s="32" t="s">
        <v>1970</v>
      </c>
      <c r="E216" s="80" t="s">
        <v>37</v>
      </c>
    </row>
    <row r="217">
      <c r="B217" s="32" t="s">
        <v>2457</v>
      </c>
      <c r="C217" s="35" t="s">
        <v>218</v>
      </c>
      <c r="D217" s="32" t="s">
        <v>2698</v>
      </c>
      <c r="E217" s="80" t="s">
        <v>33</v>
      </c>
    </row>
    <row r="218">
      <c r="B218" s="32" t="s">
        <v>2696</v>
      </c>
      <c r="C218" s="35" t="s">
        <v>194</v>
      </c>
      <c r="D218" s="32" t="s">
        <v>2697</v>
      </c>
      <c r="E218" s="80" t="s">
        <v>37</v>
      </c>
    </row>
    <row r="219">
      <c r="B219" s="32" t="s">
        <v>1970</v>
      </c>
      <c r="C219" s="35" t="s">
        <v>239</v>
      </c>
      <c r="D219" s="32" t="s">
        <v>2698</v>
      </c>
      <c r="E219" s="80" t="s">
        <v>33</v>
      </c>
    </row>
    <row r="220">
      <c r="B220" s="32" t="s">
        <v>2457</v>
      </c>
      <c r="C220" s="35" t="s">
        <v>362</v>
      </c>
      <c r="D220" s="32" t="s">
        <v>2697</v>
      </c>
      <c r="E220" s="80" t="s">
        <v>37</v>
      </c>
    </row>
    <row r="221">
      <c r="B221" s="28" t="s">
        <v>2394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34" t="s">
        <v>1389</v>
      </c>
      <c r="C223" s="33" t="s">
        <v>11</v>
      </c>
      <c r="D223" s="34" t="s">
        <v>2700</v>
      </c>
      <c r="E223" s="11" t="s">
        <v>9</v>
      </c>
    </row>
    <row r="224">
      <c r="B224" s="8" t="s">
        <v>2701</v>
      </c>
      <c r="C224" s="33" t="s">
        <v>62</v>
      </c>
      <c r="D224" s="34" t="s">
        <v>618</v>
      </c>
      <c r="E224" s="11" t="s">
        <v>13</v>
      </c>
    </row>
    <row r="225">
      <c r="B225" s="34" t="s">
        <v>2702</v>
      </c>
      <c r="C225" s="33" t="s">
        <v>41</v>
      </c>
      <c r="D225" s="34" t="s">
        <v>1389</v>
      </c>
      <c r="E225" s="11" t="s">
        <v>9</v>
      </c>
    </row>
    <row r="226">
      <c r="B226" s="8" t="s">
        <v>2701</v>
      </c>
      <c r="C226" s="33" t="s">
        <v>286</v>
      </c>
      <c r="D226" s="34" t="s">
        <v>2700</v>
      </c>
      <c r="E226" s="11" t="s">
        <v>13</v>
      </c>
    </row>
    <row r="227">
      <c r="B227" s="34" t="s">
        <v>2702</v>
      </c>
      <c r="C227" s="33" t="s">
        <v>72</v>
      </c>
      <c r="D227" s="34" t="s">
        <v>618</v>
      </c>
      <c r="E227" s="11" t="s">
        <v>9</v>
      </c>
    </row>
    <row r="228">
      <c r="B228" s="8" t="s">
        <v>2701</v>
      </c>
      <c r="C228" s="33" t="s">
        <v>18</v>
      </c>
      <c r="D228" s="34" t="s">
        <v>1389</v>
      </c>
      <c r="E228" s="11" t="s">
        <v>13</v>
      </c>
    </row>
    <row r="229">
      <c r="B229" s="34" t="s">
        <v>2702</v>
      </c>
      <c r="C229" s="33" t="s">
        <v>352</v>
      </c>
      <c r="D229" s="34" t="s">
        <v>2700</v>
      </c>
      <c r="E229" s="11" t="s">
        <v>9</v>
      </c>
    </row>
    <row r="230">
      <c r="B230" s="34" t="s">
        <v>618</v>
      </c>
      <c r="C230" s="33" t="s">
        <v>31</v>
      </c>
      <c r="D230" s="34" t="s">
        <v>1389</v>
      </c>
      <c r="E230" s="11" t="s">
        <v>13</v>
      </c>
    </row>
    <row r="231">
      <c r="B231" s="34" t="s">
        <v>2702</v>
      </c>
      <c r="C231" s="33" t="s">
        <v>536</v>
      </c>
      <c r="D231" s="8" t="s">
        <v>2701</v>
      </c>
      <c r="E231" s="11" t="s">
        <v>9</v>
      </c>
    </row>
    <row r="232">
      <c r="B232" s="34" t="s">
        <v>618</v>
      </c>
      <c r="C232" s="33" t="s">
        <v>218</v>
      </c>
      <c r="D232" s="34" t="s">
        <v>2700</v>
      </c>
      <c r="E232" s="11" t="s">
        <v>13</v>
      </c>
    </row>
    <row r="233">
      <c r="B233" s="34" t="s">
        <v>2700</v>
      </c>
      <c r="C233" s="33" t="s">
        <v>66</v>
      </c>
      <c r="D233" s="34" t="s">
        <v>1389</v>
      </c>
      <c r="E233" s="11" t="s">
        <v>9</v>
      </c>
    </row>
    <row r="234">
      <c r="B234" s="34" t="s">
        <v>618</v>
      </c>
      <c r="C234" s="33" t="s">
        <v>81</v>
      </c>
      <c r="D234" s="8" t="s">
        <v>2701</v>
      </c>
      <c r="E234" s="11" t="s">
        <v>13</v>
      </c>
    </row>
    <row r="235">
      <c r="B235" s="34" t="s">
        <v>1389</v>
      </c>
      <c r="C235" s="35" t="s">
        <v>312</v>
      </c>
      <c r="D235" s="34" t="s">
        <v>2702</v>
      </c>
      <c r="E235" s="11" t="s">
        <v>9</v>
      </c>
    </row>
    <row r="236">
      <c r="B236" s="34" t="s">
        <v>2700</v>
      </c>
      <c r="C236" s="35" t="s">
        <v>22</v>
      </c>
      <c r="D236" s="8" t="s">
        <v>2701</v>
      </c>
      <c r="E236" s="11" t="s">
        <v>13</v>
      </c>
    </row>
    <row r="237">
      <c r="B237" s="34" t="s">
        <v>618</v>
      </c>
      <c r="C237" s="35" t="s">
        <v>312</v>
      </c>
      <c r="D237" s="34" t="s">
        <v>2702</v>
      </c>
      <c r="E237" s="11" t="s">
        <v>9</v>
      </c>
    </row>
    <row r="238">
      <c r="B238" s="34" t="s">
        <v>1389</v>
      </c>
      <c r="C238" s="35" t="s">
        <v>81</v>
      </c>
      <c r="D238" s="8" t="s">
        <v>2701</v>
      </c>
      <c r="E238" s="11" t="s">
        <v>13</v>
      </c>
    </row>
    <row r="239">
      <c r="B239" s="34" t="s">
        <v>2700</v>
      </c>
      <c r="C239" s="35" t="s">
        <v>2367</v>
      </c>
      <c r="D239" s="34" t="s">
        <v>2702</v>
      </c>
      <c r="E239" s="11" t="s">
        <v>9</v>
      </c>
    </row>
    <row r="240">
      <c r="B240" s="34" t="s">
        <v>1389</v>
      </c>
      <c r="C240" s="35" t="s">
        <v>412</v>
      </c>
      <c r="D240" s="34" t="s">
        <v>618</v>
      </c>
      <c r="E240" s="11" t="s">
        <v>13</v>
      </c>
    </row>
    <row r="241">
      <c r="B241" s="8" t="s">
        <v>2701</v>
      </c>
      <c r="C241" s="35" t="s">
        <v>293</v>
      </c>
      <c r="D241" s="34" t="s">
        <v>2702</v>
      </c>
      <c r="E241" s="11" t="s">
        <v>9</v>
      </c>
    </row>
    <row r="242">
      <c r="B242" s="34" t="s">
        <v>2700</v>
      </c>
      <c r="C242" s="35" t="s">
        <v>218</v>
      </c>
      <c r="D242" s="34" t="s">
        <v>618</v>
      </c>
      <c r="E242" s="11" t="s">
        <v>13</v>
      </c>
    </row>
    <row r="243">
      <c r="B243" s="28" t="s">
        <v>2200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34" t="s">
        <v>2214</v>
      </c>
      <c r="C245" s="33" t="s">
        <v>283</v>
      </c>
      <c r="D245" s="34" t="s">
        <v>2665</v>
      </c>
      <c r="E245" s="11" t="s">
        <v>9</v>
      </c>
    </row>
    <row r="246">
      <c r="B246" s="8" t="s">
        <v>2492</v>
      </c>
      <c r="C246" s="33" t="s">
        <v>286</v>
      </c>
      <c r="D246" s="34" t="s">
        <v>2703</v>
      </c>
      <c r="E246" s="11" t="s">
        <v>13</v>
      </c>
    </row>
    <row r="247">
      <c r="B247" s="34" t="s">
        <v>2244</v>
      </c>
      <c r="C247" s="33" t="s">
        <v>824</v>
      </c>
      <c r="D247" s="34" t="s">
        <v>2214</v>
      </c>
      <c r="E247" s="11" t="s">
        <v>9</v>
      </c>
    </row>
    <row r="248">
      <c r="B248" s="8" t="s">
        <v>2492</v>
      </c>
      <c r="C248" s="33" t="s">
        <v>190</v>
      </c>
      <c r="D248" s="34" t="s">
        <v>2665</v>
      </c>
      <c r="E248" s="11" t="s">
        <v>13</v>
      </c>
    </row>
    <row r="249">
      <c r="B249" s="34" t="s">
        <v>2244</v>
      </c>
      <c r="C249" s="33" t="s">
        <v>52</v>
      </c>
      <c r="D249" s="34" t="s">
        <v>2703</v>
      </c>
      <c r="E249" s="11" t="s">
        <v>9</v>
      </c>
    </row>
    <row r="250">
      <c r="B250" s="8" t="s">
        <v>2492</v>
      </c>
      <c r="C250" s="33" t="s">
        <v>244</v>
      </c>
      <c r="D250" s="34" t="s">
        <v>2214</v>
      </c>
      <c r="E250" s="11" t="s">
        <v>13</v>
      </c>
    </row>
    <row r="251">
      <c r="B251" s="34" t="s">
        <v>2244</v>
      </c>
      <c r="C251" s="33" t="s">
        <v>68</v>
      </c>
      <c r="D251" s="34" t="s">
        <v>2665</v>
      </c>
      <c r="E251" s="11" t="s">
        <v>9</v>
      </c>
    </row>
    <row r="252">
      <c r="B252" s="34" t="s">
        <v>2703</v>
      </c>
      <c r="C252" s="33" t="s">
        <v>194</v>
      </c>
      <c r="D252" s="34" t="s">
        <v>2214</v>
      </c>
      <c r="E252" s="11" t="s">
        <v>13</v>
      </c>
    </row>
    <row r="253">
      <c r="B253" s="34" t="s">
        <v>2244</v>
      </c>
      <c r="C253" s="33" t="s">
        <v>43</v>
      </c>
      <c r="D253" s="8" t="s">
        <v>2492</v>
      </c>
      <c r="E253" s="11" t="s">
        <v>9</v>
      </c>
    </row>
    <row r="254">
      <c r="B254" s="34" t="s">
        <v>2703</v>
      </c>
      <c r="C254" s="33" t="s">
        <v>43</v>
      </c>
      <c r="D254" s="34" t="s">
        <v>2665</v>
      </c>
      <c r="E254" s="11" t="s">
        <v>13</v>
      </c>
    </row>
    <row r="255">
      <c r="B255" s="34" t="s">
        <v>2665</v>
      </c>
      <c r="C255" s="33" t="s">
        <v>19</v>
      </c>
      <c r="D255" s="34" t="s">
        <v>2214</v>
      </c>
      <c r="E255" s="11" t="s">
        <v>9</v>
      </c>
    </row>
    <row r="256">
      <c r="B256" s="34" t="s">
        <v>2703</v>
      </c>
      <c r="C256" s="33" t="s">
        <v>260</v>
      </c>
      <c r="D256" s="8" t="s">
        <v>2492</v>
      </c>
      <c r="E256" s="11" t="s">
        <v>13</v>
      </c>
    </row>
    <row r="257">
      <c r="B257" s="34" t="s">
        <v>2214</v>
      </c>
      <c r="C257" s="35" t="s">
        <v>187</v>
      </c>
      <c r="D257" s="34" t="s">
        <v>2244</v>
      </c>
      <c r="E257" s="11" t="s">
        <v>9</v>
      </c>
    </row>
    <row r="258">
      <c r="B258" s="34" t="s">
        <v>2665</v>
      </c>
      <c r="C258" s="35" t="s">
        <v>87</v>
      </c>
      <c r="D258" s="8" t="s">
        <v>2492</v>
      </c>
      <c r="E258" s="11" t="s">
        <v>13</v>
      </c>
    </row>
    <row r="259">
      <c r="B259" s="34" t="s">
        <v>2703</v>
      </c>
      <c r="C259" s="35" t="s">
        <v>1831</v>
      </c>
      <c r="D259" s="34" t="s">
        <v>2244</v>
      </c>
      <c r="E259" s="11" t="s">
        <v>9</v>
      </c>
    </row>
    <row r="260">
      <c r="B260" s="34" t="s">
        <v>2214</v>
      </c>
      <c r="C260" s="35" t="s">
        <v>239</v>
      </c>
      <c r="D260" s="8" t="s">
        <v>2492</v>
      </c>
      <c r="E260" s="11" t="s">
        <v>13</v>
      </c>
    </row>
    <row r="261">
      <c r="B261" s="34" t="s">
        <v>2665</v>
      </c>
      <c r="C261" s="35" t="s">
        <v>197</v>
      </c>
      <c r="D261" s="34" t="s">
        <v>2244</v>
      </c>
      <c r="E261" s="11" t="s">
        <v>9</v>
      </c>
    </row>
    <row r="262">
      <c r="B262" s="34" t="s">
        <v>2214</v>
      </c>
      <c r="C262" s="35" t="s">
        <v>88</v>
      </c>
      <c r="D262" s="34" t="s">
        <v>2703</v>
      </c>
      <c r="E262" s="11" t="s">
        <v>13</v>
      </c>
    </row>
    <row r="263">
      <c r="B263" s="8" t="s">
        <v>2492</v>
      </c>
      <c r="C263" s="35" t="s">
        <v>684</v>
      </c>
      <c r="D263" s="34" t="s">
        <v>2244</v>
      </c>
      <c r="E263" s="11" t="s">
        <v>9</v>
      </c>
    </row>
    <row r="264">
      <c r="B264" s="34" t="s">
        <v>2665</v>
      </c>
      <c r="C264" s="35" t="s">
        <v>196</v>
      </c>
      <c r="D264" s="34" t="s">
        <v>2703</v>
      </c>
      <c r="E264" s="11" t="s">
        <v>13</v>
      </c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/>
      <c r="B1" s="1" t="s">
        <v>2472</v>
      </c>
      <c r="C1" s="2"/>
      <c r="D1" s="3"/>
      <c r="E1" s="29"/>
    </row>
    <row r="2">
      <c r="A2" s="66"/>
      <c r="B2" s="6" t="s">
        <v>2</v>
      </c>
      <c r="C2" s="6" t="s">
        <v>3</v>
      </c>
      <c r="D2" s="6" t="s">
        <v>4</v>
      </c>
      <c r="E2" s="6" t="s">
        <v>5</v>
      </c>
    </row>
    <row r="3">
      <c r="A3" s="66"/>
      <c r="B3" s="34" t="s">
        <v>1904</v>
      </c>
      <c r="C3" s="33" t="s">
        <v>55</v>
      </c>
      <c r="D3" s="34" t="s">
        <v>1846</v>
      </c>
      <c r="E3" s="11" t="s">
        <v>9</v>
      </c>
    </row>
    <row r="4">
      <c r="A4" s="66"/>
      <c r="B4" s="34" t="s">
        <v>2704</v>
      </c>
      <c r="C4" s="33" t="s">
        <v>693</v>
      </c>
      <c r="D4" s="32" t="s">
        <v>2299</v>
      </c>
      <c r="E4" s="11" t="s">
        <v>13</v>
      </c>
    </row>
    <row r="5">
      <c r="A5" s="66"/>
      <c r="B5" s="34" t="s">
        <v>1706</v>
      </c>
      <c r="C5" s="33" t="s">
        <v>285</v>
      </c>
      <c r="D5" s="34" t="s">
        <v>1904</v>
      </c>
      <c r="E5" s="11" t="s">
        <v>9</v>
      </c>
    </row>
    <row r="6">
      <c r="A6" s="66"/>
      <c r="B6" s="34" t="s">
        <v>2704</v>
      </c>
      <c r="C6" s="33" t="s">
        <v>545</v>
      </c>
      <c r="D6" s="34" t="s">
        <v>1846</v>
      </c>
      <c r="E6" s="11" t="s">
        <v>13</v>
      </c>
    </row>
    <row r="7">
      <c r="A7" s="66"/>
      <c r="B7" s="34" t="s">
        <v>1706</v>
      </c>
      <c r="C7" s="33" t="s">
        <v>370</v>
      </c>
      <c r="D7" s="32" t="s">
        <v>2299</v>
      </c>
      <c r="E7" s="11" t="s">
        <v>9</v>
      </c>
    </row>
    <row r="8">
      <c r="A8" s="66"/>
      <c r="B8" s="34" t="s">
        <v>2704</v>
      </c>
      <c r="C8" s="33" t="s">
        <v>291</v>
      </c>
      <c r="D8" s="34" t="s">
        <v>1904</v>
      </c>
      <c r="E8" s="11" t="s">
        <v>13</v>
      </c>
    </row>
    <row r="9">
      <c r="A9" s="66"/>
      <c r="B9" s="34" t="s">
        <v>1706</v>
      </c>
      <c r="C9" s="33" t="s">
        <v>357</v>
      </c>
      <c r="D9" s="34" t="s">
        <v>1846</v>
      </c>
      <c r="E9" s="11" t="s">
        <v>9</v>
      </c>
    </row>
    <row r="10">
      <c r="A10" s="66"/>
      <c r="B10" s="32" t="s">
        <v>2299</v>
      </c>
      <c r="C10" s="33" t="s">
        <v>22</v>
      </c>
      <c r="D10" s="34" t="s">
        <v>1904</v>
      </c>
      <c r="E10" s="11" t="s">
        <v>13</v>
      </c>
    </row>
    <row r="11">
      <c r="A11" s="66"/>
      <c r="B11" s="34" t="s">
        <v>1706</v>
      </c>
      <c r="C11" s="33" t="s">
        <v>686</v>
      </c>
      <c r="D11" s="34" t="s">
        <v>2704</v>
      </c>
      <c r="E11" s="11" t="s">
        <v>9</v>
      </c>
    </row>
    <row r="12">
      <c r="A12" s="66"/>
      <c r="B12" s="32" t="s">
        <v>2299</v>
      </c>
      <c r="C12" s="33" t="s">
        <v>69</v>
      </c>
      <c r="D12" s="34" t="s">
        <v>1846</v>
      </c>
      <c r="E12" s="11" t="s">
        <v>13</v>
      </c>
    </row>
    <row r="13">
      <c r="A13" s="66"/>
      <c r="B13" s="34" t="s">
        <v>1846</v>
      </c>
      <c r="C13" s="33" t="s">
        <v>43</v>
      </c>
      <c r="D13" s="34" t="s">
        <v>1904</v>
      </c>
      <c r="E13" s="11" t="s">
        <v>9</v>
      </c>
    </row>
    <row r="14">
      <c r="A14" s="66"/>
      <c r="B14" s="32" t="s">
        <v>2299</v>
      </c>
      <c r="C14" s="33" t="s">
        <v>337</v>
      </c>
      <c r="D14" s="34" t="s">
        <v>2704</v>
      </c>
      <c r="E14" s="11" t="s">
        <v>13</v>
      </c>
    </row>
    <row r="15">
      <c r="A15" s="66"/>
      <c r="B15" s="34" t="s">
        <v>1904</v>
      </c>
      <c r="C15" s="35" t="s">
        <v>22</v>
      </c>
      <c r="D15" s="34" t="s">
        <v>1706</v>
      </c>
      <c r="E15" s="11" t="s">
        <v>9</v>
      </c>
    </row>
    <row r="16">
      <c r="A16" s="66"/>
      <c r="B16" s="34" t="s">
        <v>1846</v>
      </c>
      <c r="C16" s="35" t="s">
        <v>16</v>
      </c>
      <c r="D16" s="34" t="s">
        <v>2704</v>
      </c>
      <c r="E16" s="11" t="s">
        <v>13</v>
      </c>
    </row>
    <row r="17">
      <c r="A17" s="66"/>
      <c r="B17" s="32" t="s">
        <v>2299</v>
      </c>
      <c r="C17" s="35" t="s">
        <v>251</v>
      </c>
      <c r="D17" s="34" t="s">
        <v>1706</v>
      </c>
      <c r="E17" s="11" t="s">
        <v>9</v>
      </c>
    </row>
    <row r="18">
      <c r="A18" s="66"/>
      <c r="B18" s="34" t="s">
        <v>1904</v>
      </c>
      <c r="C18" s="35" t="s">
        <v>260</v>
      </c>
      <c r="D18" s="34" t="s">
        <v>2704</v>
      </c>
      <c r="E18" s="11" t="s">
        <v>13</v>
      </c>
    </row>
    <row r="19">
      <c r="A19" s="66"/>
      <c r="B19" s="34" t="s">
        <v>1846</v>
      </c>
      <c r="C19" s="35" t="s">
        <v>260</v>
      </c>
      <c r="D19" s="34" t="s">
        <v>1706</v>
      </c>
      <c r="E19" s="11" t="s">
        <v>9</v>
      </c>
    </row>
    <row r="20">
      <c r="A20" s="66"/>
      <c r="B20" s="34" t="s">
        <v>1904</v>
      </c>
      <c r="C20" s="35" t="s">
        <v>64</v>
      </c>
      <c r="D20" s="32" t="s">
        <v>2299</v>
      </c>
      <c r="E20" s="11" t="s">
        <v>13</v>
      </c>
    </row>
    <row r="21">
      <c r="A21" s="66"/>
      <c r="B21" s="34" t="s">
        <v>2704</v>
      </c>
      <c r="C21" s="35" t="s">
        <v>14</v>
      </c>
      <c r="D21" s="34" t="s">
        <v>1706</v>
      </c>
      <c r="E21" s="11" t="s">
        <v>9</v>
      </c>
    </row>
    <row r="22">
      <c r="A22" s="66"/>
      <c r="B22" s="34" t="s">
        <v>1846</v>
      </c>
      <c r="C22" s="35" t="s">
        <v>249</v>
      </c>
      <c r="D22" s="32" t="s">
        <v>2299</v>
      </c>
      <c r="E22" s="11" t="s">
        <v>13</v>
      </c>
    </row>
    <row r="23">
      <c r="A23" s="66"/>
      <c r="B23" s="1" t="s">
        <v>2532</v>
      </c>
      <c r="C23" s="2"/>
      <c r="D23" s="3"/>
      <c r="E23" s="29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1713</v>
      </c>
      <c r="C25" s="33" t="s">
        <v>212</v>
      </c>
      <c r="D25" s="34" t="s">
        <v>2705</v>
      </c>
      <c r="E25" s="11" t="s">
        <v>9</v>
      </c>
    </row>
    <row r="26">
      <c r="A26" s="66"/>
      <c r="B26" s="34" t="s">
        <v>2706</v>
      </c>
      <c r="C26" s="33" t="s">
        <v>2707</v>
      </c>
      <c r="D26" s="32" t="s">
        <v>2708</v>
      </c>
      <c r="E26" s="11" t="s">
        <v>13</v>
      </c>
    </row>
    <row r="27">
      <c r="A27" s="66"/>
      <c r="B27" s="34" t="s">
        <v>2631</v>
      </c>
      <c r="C27" s="33" t="s">
        <v>78</v>
      </c>
      <c r="D27" s="34" t="s">
        <v>1713</v>
      </c>
      <c r="E27" s="11" t="s">
        <v>9</v>
      </c>
    </row>
    <row r="28">
      <c r="A28" s="66"/>
      <c r="B28" s="34" t="s">
        <v>2706</v>
      </c>
      <c r="C28" s="33" t="s">
        <v>472</v>
      </c>
      <c r="D28" s="34" t="s">
        <v>2705</v>
      </c>
      <c r="E28" s="11" t="s">
        <v>13</v>
      </c>
    </row>
    <row r="29">
      <c r="A29" s="66"/>
      <c r="B29" s="34" t="s">
        <v>2631</v>
      </c>
      <c r="C29" s="33" t="s">
        <v>69</v>
      </c>
      <c r="D29" s="32" t="s">
        <v>2708</v>
      </c>
      <c r="E29" s="11" t="s">
        <v>9</v>
      </c>
    </row>
    <row r="30">
      <c r="A30" s="66"/>
      <c r="B30" s="34" t="s">
        <v>2706</v>
      </c>
      <c r="C30" s="33" t="s">
        <v>17</v>
      </c>
      <c r="D30" s="34" t="s">
        <v>1713</v>
      </c>
      <c r="E30" s="11" t="s">
        <v>13</v>
      </c>
    </row>
    <row r="31">
      <c r="A31" s="66"/>
      <c r="B31" s="34" t="s">
        <v>2631</v>
      </c>
      <c r="C31" s="33" t="s">
        <v>22</v>
      </c>
      <c r="D31" s="34" t="s">
        <v>2705</v>
      </c>
      <c r="E31" s="11" t="s">
        <v>9</v>
      </c>
    </row>
    <row r="32">
      <c r="A32" s="66"/>
      <c r="B32" s="32" t="s">
        <v>2708</v>
      </c>
      <c r="C32" s="33" t="s">
        <v>239</v>
      </c>
      <c r="D32" s="34" t="s">
        <v>1713</v>
      </c>
      <c r="E32" s="11" t="s">
        <v>13</v>
      </c>
    </row>
    <row r="33">
      <c r="A33" s="66"/>
      <c r="B33" s="34" t="s">
        <v>2631</v>
      </c>
      <c r="C33" s="33" t="s">
        <v>64</v>
      </c>
      <c r="D33" s="34" t="s">
        <v>2706</v>
      </c>
      <c r="E33" s="11" t="s">
        <v>9</v>
      </c>
    </row>
    <row r="34">
      <c r="A34" s="66"/>
      <c r="B34" s="32" t="s">
        <v>2708</v>
      </c>
      <c r="C34" s="33" t="s">
        <v>43</v>
      </c>
      <c r="D34" s="34" t="s">
        <v>2705</v>
      </c>
      <c r="E34" s="11" t="s">
        <v>13</v>
      </c>
    </row>
    <row r="35">
      <c r="A35" s="66"/>
      <c r="B35" s="34" t="s">
        <v>2705</v>
      </c>
      <c r="C35" s="33" t="s">
        <v>68</v>
      </c>
      <c r="D35" s="34" t="s">
        <v>1713</v>
      </c>
      <c r="E35" s="11" t="s">
        <v>9</v>
      </c>
    </row>
    <row r="36">
      <c r="A36" s="66"/>
      <c r="B36" s="32" t="s">
        <v>2708</v>
      </c>
      <c r="C36" s="33" t="s">
        <v>2709</v>
      </c>
      <c r="D36" s="34" t="s">
        <v>2706</v>
      </c>
      <c r="E36" s="11" t="s">
        <v>13</v>
      </c>
    </row>
    <row r="37">
      <c r="A37" s="66"/>
      <c r="B37" s="34" t="s">
        <v>1713</v>
      </c>
      <c r="C37" s="35" t="s">
        <v>194</v>
      </c>
      <c r="D37" s="34" t="s">
        <v>2631</v>
      </c>
      <c r="E37" s="11" t="s">
        <v>9</v>
      </c>
    </row>
    <row r="38">
      <c r="A38" s="66"/>
      <c r="B38" s="34" t="s">
        <v>2705</v>
      </c>
      <c r="C38" s="35" t="s">
        <v>25</v>
      </c>
      <c r="D38" s="34" t="s">
        <v>2706</v>
      </c>
      <c r="E38" s="11" t="s">
        <v>13</v>
      </c>
    </row>
    <row r="39">
      <c r="A39" s="66"/>
      <c r="B39" s="32" t="s">
        <v>2708</v>
      </c>
      <c r="C39" s="35" t="s">
        <v>196</v>
      </c>
      <c r="D39" s="34" t="s">
        <v>2631</v>
      </c>
      <c r="E39" s="11" t="s">
        <v>9</v>
      </c>
    </row>
    <row r="40">
      <c r="A40" s="66"/>
      <c r="B40" s="34" t="s">
        <v>1713</v>
      </c>
      <c r="C40" s="35" t="s">
        <v>488</v>
      </c>
      <c r="D40" s="34" t="s">
        <v>2706</v>
      </c>
      <c r="E40" s="11" t="s">
        <v>13</v>
      </c>
    </row>
    <row r="41">
      <c r="A41" s="66"/>
      <c r="B41" s="34" t="s">
        <v>2705</v>
      </c>
      <c r="C41" s="35" t="s">
        <v>31</v>
      </c>
      <c r="D41" s="34" t="s">
        <v>2631</v>
      </c>
      <c r="E41" s="11" t="s">
        <v>9</v>
      </c>
    </row>
    <row r="42">
      <c r="A42" s="66"/>
      <c r="B42" s="34" t="s">
        <v>1713</v>
      </c>
      <c r="C42" s="35" t="s">
        <v>88</v>
      </c>
      <c r="D42" s="32" t="s">
        <v>2708</v>
      </c>
      <c r="E42" s="11" t="s">
        <v>13</v>
      </c>
    </row>
    <row r="43">
      <c r="A43" s="66"/>
      <c r="B43" s="34" t="s">
        <v>2706</v>
      </c>
      <c r="C43" s="35" t="s">
        <v>48</v>
      </c>
      <c r="D43" s="34" t="s">
        <v>2631</v>
      </c>
      <c r="E43" s="11" t="s">
        <v>9</v>
      </c>
    </row>
    <row r="44">
      <c r="A44" s="67"/>
      <c r="B44" s="34" t="s">
        <v>2705</v>
      </c>
      <c r="C44" s="35" t="s">
        <v>16</v>
      </c>
      <c r="D44" s="32" t="s">
        <v>2708</v>
      </c>
      <c r="E44" s="11" t="s">
        <v>13</v>
      </c>
    </row>
    <row r="45">
      <c r="B45" s="1" t="s">
        <v>2370</v>
      </c>
      <c r="C45" s="2"/>
      <c r="D45" s="3"/>
      <c r="E45" s="14"/>
    </row>
    <row r="46">
      <c r="B46" s="16" t="s">
        <v>2</v>
      </c>
      <c r="C46" s="16" t="s">
        <v>3</v>
      </c>
      <c r="D46" s="16" t="s">
        <v>4</v>
      </c>
      <c r="E46" s="16" t="s">
        <v>5</v>
      </c>
    </row>
    <row r="47">
      <c r="B47" s="32" t="s">
        <v>2512</v>
      </c>
      <c r="C47" s="35" t="s">
        <v>363</v>
      </c>
      <c r="D47" s="32" t="s">
        <v>1793</v>
      </c>
      <c r="E47" s="11" t="s">
        <v>9</v>
      </c>
    </row>
    <row r="48">
      <c r="B48" s="32" t="s">
        <v>2710</v>
      </c>
      <c r="C48" s="35" t="s">
        <v>17</v>
      </c>
      <c r="D48" s="32" t="s">
        <v>1499</v>
      </c>
      <c r="E48" s="11" t="s">
        <v>13</v>
      </c>
    </row>
    <row r="49">
      <c r="B49" s="32" t="s">
        <v>1853</v>
      </c>
      <c r="C49" s="35" t="s">
        <v>201</v>
      </c>
      <c r="D49" s="32" t="s">
        <v>2512</v>
      </c>
      <c r="E49" s="11" t="s">
        <v>9</v>
      </c>
    </row>
    <row r="50">
      <c r="B50" s="32" t="s">
        <v>2710</v>
      </c>
      <c r="C50" s="35" t="s">
        <v>268</v>
      </c>
      <c r="D50" s="32" t="s">
        <v>1793</v>
      </c>
      <c r="E50" s="11" t="s">
        <v>13</v>
      </c>
    </row>
    <row r="51">
      <c r="B51" s="32" t="s">
        <v>1853</v>
      </c>
      <c r="C51" s="35" t="s">
        <v>274</v>
      </c>
      <c r="D51" s="32" t="s">
        <v>1499</v>
      </c>
      <c r="E51" s="11" t="s">
        <v>9</v>
      </c>
    </row>
    <row r="52">
      <c r="B52" s="32" t="s">
        <v>2710</v>
      </c>
      <c r="C52" s="35" t="s">
        <v>62</v>
      </c>
      <c r="D52" s="32" t="s">
        <v>2512</v>
      </c>
      <c r="E52" s="11" t="s">
        <v>13</v>
      </c>
    </row>
    <row r="53">
      <c r="B53" s="32" t="s">
        <v>1853</v>
      </c>
      <c r="C53" s="35" t="s">
        <v>81</v>
      </c>
      <c r="D53" s="32" t="s">
        <v>1793</v>
      </c>
      <c r="E53" s="11" t="s">
        <v>9</v>
      </c>
    </row>
    <row r="54">
      <c r="B54" s="32" t="s">
        <v>1499</v>
      </c>
      <c r="C54" s="35" t="s">
        <v>572</v>
      </c>
      <c r="D54" s="32" t="s">
        <v>2512</v>
      </c>
      <c r="E54" s="11" t="s">
        <v>13</v>
      </c>
    </row>
    <row r="55">
      <c r="B55" s="32" t="s">
        <v>1853</v>
      </c>
      <c r="C55" s="35" t="s">
        <v>58</v>
      </c>
      <c r="D55" s="32" t="s">
        <v>2710</v>
      </c>
      <c r="E55" s="11" t="s">
        <v>9</v>
      </c>
    </row>
    <row r="56">
      <c r="B56" s="32" t="s">
        <v>1499</v>
      </c>
      <c r="C56" s="35" t="s">
        <v>362</v>
      </c>
      <c r="D56" s="32" t="s">
        <v>1793</v>
      </c>
      <c r="E56" s="11" t="s">
        <v>13</v>
      </c>
    </row>
    <row r="57">
      <c r="B57" s="32" t="s">
        <v>1793</v>
      </c>
      <c r="C57" s="35" t="s">
        <v>72</v>
      </c>
      <c r="D57" s="32" t="s">
        <v>2512</v>
      </c>
      <c r="E57" s="11" t="s">
        <v>9</v>
      </c>
    </row>
    <row r="58">
      <c r="B58" s="32" t="s">
        <v>1499</v>
      </c>
      <c r="C58" s="35" t="s">
        <v>355</v>
      </c>
      <c r="D58" s="32" t="s">
        <v>2710</v>
      </c>
      <c r="E58" s="11" t="s">
        <v>13</v>
      </c>
    </row>
    <row r="59">
      <c r="B59" s="32" t="s">
        <v>2512</v>
      </c>
      <c r="C59" s="35" t="s">
        <v>687</v>
      </c>
      <c r="D59" s="32" t="s">
        <v>1853</v>
      </c>
      <c r="E59" s="11" t="s">
        <v>9</v>
      </c>
    </row>
    <row r="60">
      <c r="B60" s="32" t="s">
        <v>1793</v>
      </c>
      <c r="C60" s="35" t="s">
        <v>566</v>
      </c>
      <c r="D60" s="32" t="s">
        <v>2710</v>
      </c>
      <c r="E60" s="11" t="s">
        <v>13</v>
      </c>
    </row>
    <row r="61">
      <c r="B61" s="32" t="s">
        <v>1499</v>
      </c>
      <c r="C61" s="35" t="s">
        <v>17</v>
      </c>
      <c r="D61" s="32" t="s">
        <v>1853</v>
      </c>
      <c r="E61" s="11" t="s">
        <v>9</v>
      </c>
    </row>
    <row r="62">
      <c r="B62" s="32" t="s">
        <v>2512</v>
      </c>
      <c r="C62" s="35" t="s">
        <v>197</v>
      </c>
      <c r="D62" s="32" t="s">
        <v>2710</v>
      </c>
      <c r="E62" s="11" t="s">
        <v>13</v>
      </c>
    </row>
    <row r="63">
      <c r="B63" s="32" t="s">
        <v>1793</v>
      </c>
      <c r="C63" s="35" t="s">
        <v>68</v>
      </c>
      <c r="D63" s="32" t="s">
        <v>1853</v>
      </c>
      <c r="E63" s="11" t="s">
        <v>9</v>
      </c>
    </row>
    <row r="64">
      <c r="B64" s="32" t="s">
        <v>2512</v>
      </c>
      <c r="C64" s="35" t="s">
        <v>886</v>
      </c>
      <c r="D64" s="32" t="s">
        <v>1499</v>
      </c>
      <c r="E64" s="11" t="s">
        <v>13</v>
      </c>
    </row>
    <row r="65">
      <c r="B65" s="32" t="s">
        <v>2710</v>
      </c>
      <c r="C65" s="35" t="s">
        <v>291</v>
      </c>
      <c r="D65" s="32" t="s">
        <v>1853</v>
      </c>
      <c r="E65" s="11" t="s">
        <v>9</v>
      </c>
    </row>
    <row r="66">
      <c r="B66" s="32" t="s">
        <v>1793</v>
      </c>
      <c r="C66" s="35" t="s">
        <v>78</v>
      </c>
      <c r="D66" s="32" t="s">
        <v>1499</v>
      </c>
      <c r="E66" s="11" t="s">
        <v>13</v>
      </c>
    </row>
    <row r="67">
      <c r="B67" s="1" t="s">
        <v>2099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16" t="s">
        <v>5</v>
      </c>
    </row>
    <row r="69">
      <c r="B69" s="32" t="s">
        <v>2711</v>
      </c>
      <c r="C69" s="35" t="s">
        <v>76</v>
      </c>
      <c r="D69" s="32" t="s">
        <v>2431</v>
      </c>
      <c r="E69" s="11" t="s">
        <v>9</v>
      </c>
    </row>
    <row r="70">
      <c r="B70" s="32" t="s">
        <v>2712</v>
      </c>
      <c r="C70" s="35" t="s">
        <v>243</v>
      </c>
      <c r="D70" s="32" t="s">
        <v>2460</v>
      </c>
      <c r="E70" s="11" t="s">
        <v>13</v>
      </c>
    </row>
    <row r="71">
      <c r="B71" s="32" t="s">
        <v>929</v>
      </c>
      <c r="C71" s="35" t="s">
        <v>481</v>
      </c>
      <c r="D71" s="32" t="s">
        <v>2711</v>
      </c>
      <c r="E71" s="11" t="s">
        <v>9</v>
      </c>
    </row>
    <row r="72">
      <c r="B72" s="32" t="s">
        <v>2712</v>
      </c>
      <c r="C72" s="35" t="s">
        <v>35</v>
      </c>
      <c r="D72" s="32" t="s">
        <v>2431</v>
      </c>
      <c r="E72" s="11" t="s">
        <v>13</v>
      </c>
    </row>
    <row r="73">
      <c r="B73" s="32" t="s">
        <v>929</v>
      </c>
      <c r="C73" s="35" t="s">
        <v>71</v>
      </c>
      <c r="D73" s="32" t="s">
        <v>2460</v>
      </c>
      <c r="E73" s="11" t="s">
        <v>9</v>
      </c>
    </row>
    <row r="74">
      <c r="B74" s="32" t="s">
        <v>2712</v>
      </c>
      <c r="C74" s="35" t="s">
        <v>1022</v>
      </c>
      <c r="D74" s="32" t="s">
        <v>2711</v>
      </c>
      <c r="E74" s="11" t="s">
        <v>13</v>
      </c>
    </row>
    <row r="75">
      <c r="B75" s="32" t="s">
        <v>929</v>
      </c>
      <c r="C75" s="35" t="s">
        <v>195</v>
      </c>
      <c r="D75" s="32" t="s">
        <v>2431</v>
      </c>
      <c r="E75" s="11" t="s">
        <v>9</v>
      </c>
    </row>
    <row r="76">
      <c r="B76" s="32" t="s">
        <v>2460</v>
      </c>
      <c r="C76" s="35" t="s">
        <v>16</v>
      </c>
      <c r="D76" s="32" t="s">
        <v>2711</v>
      </c>
      <c r="E76" s="11" t="s">
        <v>13</v>
      </c>
    </row>
    <row r="77">
      <c r="B77" s="32" t="s">
        <v>929</v>
      </c>
      <c r="C77" s="35" t="s">
        <v>400</v>
      </c>
      <c r="D77" s="32" t="s">
        <v>2712</v>
      </c>
      <c r="E77" s="11" t="s">
        <v>9</v>
      </c>
    </row>
    <row r="78">
      <c r="B78" s="32" t="s">
        <v>2460</v>
      </c>
      <c r="C78" s="35" t="s">
        <v>494</v>
      </c>
      <c r="D78" s="32" t="s">
        <v>2431</v>
      </c>
      <c r="E78" s="11" t="s">
        <v>13</v>
      </c>
    </row>
    <row r="79">
      <c r="B79" s="32" t="s">
        <v>2431</v>
      </c>
      <c r="C79" s="35" t="s">
        <v>31</v>
      </c>
      <c r="D79" s="32" t="s">
        <v>2711</v>
      </c>
      <c r="E79" s="11" t="s">
        <v>9</v>
      </c>
    </row>
    <row r="80">
      <c r="B80" s="32" t="s">
        <v>2460</v>
      </c>
      <c r="C80" s="35" t="s">
        <v>319</v>
      </c>
      <c r="D80" s="32" t="s">
        <v>2712</v>
      </c>
      <c r="E80" s="11" t="s">
        <v>13</v>
      </c>
    </row>
    <row r="81">
      <c r="B81" s="32" t="s">
        <v>2711</v>
      </c>
      <c r="C81" s="35" t="s">
        <v>261</v>
      </c>
      <c r="D81" s="32" t="s">
        <v>929</v>
      </c>
      <c r="E81" s="11" t="s">
        <v>9</v>
      </c>
    </row>
    <row r="82">
      <c r="B82" s="32" t="s">
        <v>2431</v>
      </c>
      <c r="C82" s="35" t="s">
        <v>25</v>
      </c>
      <c r="D82" s="32" t="s">
        <v>2712</v>
      </c>
      <c r="E82" s="11" t="s">
        <v>13</v>
      </c>
    </row>
    <row r="83">
      <c r="B83" s="32" t="s">
        <v>2460</v>
      </c>
      <c r="C83" s="35" t="s">
        <v>472</v>
      </c>
      <c r="D83" s="32" t="s">
        <v>929</v>
      </c>
      <c r="E83" s="11" t="s">
        <v>9</v>
      </c>
    </row>
    <row r="84">
      <c r="B84" s="32" t="s">
        <v>2711</v>
      </c>
      <c r="C84" s="35" t="s">
        <v>293</v>
      </c>
      <c r="D84" s="32" t="s">
        <v>2712</v>
      </c>
      <c r="E84" s="11" t="s">
        <v>13</v>
      </c>
    </row>
    <row r="85">
      <c r="B85" s="32" t="s">
        <v>2431</v>
      </c>
      <c r="C85" s="35" t="s">
        <v>460</v>
      </c>
      <c r="D85" s="32" t="s">
        <v>929</v>
      </c>
      <c r="E85" s="11" t="s">
        <v>9</v>
      </c>
    </row>
    <row r="86">
      <c r="B86" s="32" t="s">
        <v>2711</v>
      </c>
      <c r="C86" s="35" t="s">
        <v>66</v>
      </c>
      <c r="D86" s="32" t="s">
        <v>2460</v>
      </c>
      <c r="E86" s="11" t="s">
        <v>13</v>
      </c>
    </row>
    <row r="87">
      <c r="B87" s="32" t="s">
        <v>2712</v>
      </c>
      <c r="C87" s="35" t="s">
        <v>1855</v>
      </c>
      <c r="D87" s="32" t="s">
        <v>929</v>
      </c>
      <c r="E87" s="11" t="s">
        <v>9</v>
      </c>
    </row>
    <row r="88">
      <c r="B88" s="32" t="s">
        <v>2431</v>
      </c>
      <c r="C88" s="35" t="s">
        <v>52</v>
      </c>
      <c r="D88" s="32" t="s">
        <v>2460</v>
      </c>
      <c r="E88" s="11" t="s">
        <v>13</v>
      </c>
    </row>
    <row r="89">
      <c r="B89" s="1" t="s">
        <v>2713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16" t="s">
        <v>5</v>
      </c>
    </row>
    <row r="91">
      <c r="B91" s="32" t="s">
        <v>2714</v>
      </c>
      <c r="C91" s="35" t="s">
        <v>824</v>
      </c>
      <c r="D91" s="32" t="s">
        <v>671</v>
      </c>
      <c r="E91" s="80" t="s">
        <v>33</v>
      </c>
    </row>
    <row r="92">
      <c r="B92" s="32" t="s">
        <v>2715</v>
      </c>
      <c r="C92" s="35" t="s">
        <v>16</v>
      </c>
      <c r="D92" s="32" t="s">
        <v>2521</v>
      </c>
      <c r="E92" s="80" t="s">
        <v>37</v>
      </c>
    </row>
    <row r="93">
      <c r="B93" s="32" t="s">
        <v>2716</v>
      </c>
      <c r="C93" s="35" t="s">
        <v>218</v>
      </c>
      <c r="D93" s="32" t="s">
        <v>2714</v>
      </c>
      <c r="E93" s="80" t="s">
        <v>33</v>
      </c>
    </row>
    <row r="94">
      <c r="B94" s="32" t="s">
        <v>2715</v>
      </c>
      <c r="C94" s="35" t="s">
        <v>64</v>
      </c>
      <c r="D94" s="32" t="s">
        <v>671</v>
      </c>
      <c r="E94" s="80" t="s">
        <v>37</v>
      </c>
      <c r="G94" s="81"/>
    </row>
    <row r="95">
      <c r="B95" s="32" t="s">
        <v>2716</v>
      </c>
      <c r="C95" s="35" t="s">
        <v>7</v>
      </c>
      <c r="D95" s="32" t="s">
        <v>2521</v>
      </c>
      <c r="E95" s="80" t="s">
        <v>33</v>
      </c>
    </row>
    <row r="96">
      <c r="B96" s="32" t="s">
        <v>2715</v>
      </c>
      <c r="C96" s="35" t="s">
        <v>389</v>
      </c>
      <c r="D96" s="32" t="s">
        <v>2714</v>
      </c>
      <c r="E96" s="80" t="s">
        <v>37</v>
      </c>
    </row>
    <row r="97">
      <c r="B97" s="32" t="s">
        <v>2716</v>
      </c>
      <c r="C97" s="35" t="s">
        <v>78</v>
      </c>
      <c r="D97" s="32" t="s">
        <v>671</v>
      </c>
      <c r="E97" s="80" t="s">
        <v>33</v>
      </c>
      <c r="H97" s="36" t="s">
        <v>242</v>
      </c>
    </row>
    <row r="98">
      <c r="B98" s="32" t="s">
        <v>2521</v>
      </c>
      <c r="C98" s="35" t="s">
        <v>1191</v>
      </c>
      <c r="D98" s="32" t="s">
        <v>2714</v>
      </c>
      <c r="E98" s="80" t="s">
        <v>37</v>
      </c>
    </row>
    <row r="99">
      <c r="B99" s="32" t="s">
        <v>2716</v>
      </c>
      <c r="C99" s="35" t="s">
        <v>16</v>
      </c>
      <c r="D99" s="32" t="s">
        <v>2715</v>
      </c>
      <c r="E99" s="80" t="s">
        <v>33</v>
      </c>
    </row>
    <row r="100">
      <c r="B100" s="32" t="s">
        <v>2521</v>
      </c>
      <c r="C100" s="35" t="s">
        <v>16</v>
      </c>
      <c r="D100" s="32" t="s">
        <v>671</v>
      </c>
      <c r="E100" s="80" t="s">
        <v>37</v>
      </c>
    </row>
    <row r="101">
      <c r="B101" s="32" t="s">
        <v>671</v>
      </c>
      <c r="C101" s="35" t="s">
        <v>260</v>
      </c>
      <c r="D101" s="32" t="s">
        <v>2714</v>
      </c>
      <c r="E101" s="80" t="s">
        <v>33</v>
      </c>
    </row>
    <row r="102">
      <c r="B102" s="32" t="s">
        <v>2521</v>
      </c>
      <c r="C102" s="35" t="s">
        <v>88</v>
      </c>
      <c r="D102" s="32" t="s">
        <v>2715</v>
      </c>
      <c r="E102" s="80" t="s">
        <v>37</v>
      </c>
    </row>
    <row r="103">
      <c r="B103" s="32" t="s">
        <v>2714</v>
      </c>
      <c r="C103" s="35" t="s">
        <v>17</v>
      </c>
      <c r="D103" s="32" t="s">
        <v>2716</v>
      </c>
      <c r="E103" s="80" t="s">
        <v>33</v>
      </c>
    </row>
    <row r="104">
      <c r="B104" s="32" t="s">
        <v>671</v>
      </c>
      <c r="C104" s="35" t="s">
        <v>460</v>
      </c>
      <c r="D104" s="32" t="s">
        <v>2715</v>
      </c>
      <c r="E104" s="80" t="s">
        <v>37</v>
      </c>
    </row>
    <row r="105">
      <c r="B105" s="32" t="s">
        <v>2521</v>
      </c>
      <c r="C105" s="35" t="s">
        <v>45</v>
      </c>
      <c r="D105" s="32" t="s">
        <v>2716</v>
      </c>
      <c r="E105" s="80" t="s">
        <v>33</v>
      </c>
    </row>
    <row r="106">
      <c r="B106" s="32" t="s">
        <v>2714</v>
      </c>
      <c r="C106" s="35" t="s">
        <v>68</v>
      </c>
      <c r="D106" s="32" t="s">
        <v>2715</v>
      </c>
      <c r="E106" s="80" t="s">
        <v>37</v>
      </c>
    </row>
    <row r="107">
      <c r="B107" s="32" t="s">
        <v>671</v>
      </c>
      <c r="C107" s="35" t="s">
        <v>16</v>
      </c>
      <c r="D107" s="32" t="s">
        <v>2716</v>
      </c>
      <c r="E107" s="80" t="s">
        <v>33</v>
      </c>
    </row>
    <row r="108">
      <c r="B108" s="32" t="s">
        <v>2714</v>
      </c>
      <c r="C108" s="35" t="s">
        <v>17</v>
      </c>
      <c r="D108" s="32" t="s">
        <v>2521</v>
      </c>
      <c r="E108" s="80" t="s">
        <v>37</v>
      </c>
    </row>
    <row r="109">
      <c r="B109" s="32" t="s">
        <v>2715</v>
      </c>
      <c r="C109" s="35" t="s">
        <v>11</v>
      </c>
      <c r="D109" s="32" t="s">
        <v>2716</v>
      </c>
      <c r="E109" s="80" t="s">
        <v>33</v>
      </c>
    </row>
    <row r="110">
      <c r="B110" s="32" t="s">
        <v>671</v>
      </c>
      <c r="C110" s="35" t="s">
        <v>1310</v>
      </c>
      <c r="D110" s="32" t="s">
        <v>2521</v>
      </c>
      <c r="E110" s="80" t="s">
        <v>37</v>
      </c>
    </row>
    <row r="111">
      <c r="B111" s="1" t="s">
        <v>2717</v>
      </c>
      <c r="C111" s="2"/>
      <c r="D111" s="3"/>
      <c r="E111" s="4"/>
    </row>
    <row r="112"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B113" s="32" t="s">
        <v>808</v>
      </c>
      <c r="C113" s="33" t="s">
        <v>543</v>
      </c>
      <c r="D113" s="32" t="s">
        <v>2718</v>
      </c>
      <c r="E113" s="80" t="s">
        <v>33</v>
      </c>
    </row>
    <row r="114">
      <c r="B114" s="32" t="s">
        <v>624</v>
      </c>
      <c r="C114" s="33" t="s">
        <v>87</v>
      </c>
      <c r="D114" s="32" t="s">
        <v>2719</v>
      </c>
      <c r="E114" s="80" t="s">
        <v>37</v>
      </c>
    </row>
    <row r="115">
      <c r="B115" s="32" t="s">
        <v>2720</v>
      </c>
      <c r="C115" s="33" t="s">
        <v>25</v>
      </c>
      <c r="D115" s="32" t="s">
        <v>808</v>
      </c>
      <c r="E115" s="80" t="s">
        <v>33</v>
      </c>
    </row>
    <row r="116">
      <c r="B116" s="32" t="s">
        <v>624</v>
      </c>
      <c r="C116" s="33" t="s">
        <v>2721</v>
      </c>
      <c r="D116" s="32" t="s">
        <v>2718</v>
      </c>
      <c r="E116" s="80" t="s">
        <v>37</v>
      </c>
    </row>
    <row r="117">
      <c r="B117" s="32" t="s">
        <v>2720</v>
      </c>
      <c r="C117" s="33" t="s">
        <v>87</v>
      </c>
      <c r="D117" s="32" t="s">
        <v>2719</v>
      </c>
      <c r="E117" s="80" t="s">
        <v>33</v>
      </c>
    </row>
    <row r="118">
      <c r="B118" s="32" t="s">
        <v>624</v>
      </c>
      <c r="C118" s="33" t="s">
        <v>232</v>
      </c>
      <c r="D118" s="32" t="s">
        <v>808</v>
      </c>
      <c r="E118" s="80" t="s">
        <v>37</v>
      </c>
    </row>
    <row r="119">
      <c r="B119" s="32" t="s">
        <v>2720</v>
      </c>
      <c r="C119" s="33" t="s">
        <v>2115</v>
      </c>
      <c r="D119" s="32" t="s">
        <v>2718</v>
      </c>
      <c r="E119" s="80" t="s">
        <v>33</v>
      </c>
    </row>
    <row r="120">
      <c r="B120" s="32" t="s">
        <v>2719</v>
      </c>
      <c r="C120" s="33" t="s">
        <v>66</v>
      </c>
      <c r="D120" s="32" t="s">
        <v>808</v>
      </c>
      <c r="E120" s="80" t="s">
        <v>37</v>
      </c>
    </row>
    <row r="121">
      <c r="B121" s="32" t="s">
        <v>2720</v>
      </c>
      <c r="C121" s="33" t="s">
        <v>87</v>
      </c>
      <c r="D121" s="32" t="s">
        <v>624</v>
      </c>
      <c r="E121" s="80" t="s">
        <v>33</v>
      </c>
    </row>
    <row r="122">
      <c r="B122" s="32" t="s">
        <v>2719</v>
      </c>
      <c r="C122" s="33" t="s">
        <v>289</v>
      </c>
      <c r="D122" s="32" t="s">
        <v>2718</v>
      </c>
      <c r="E122" s="80" t="s">
        <v>37</v>
      </c>
    </row>
    <row r="123">
      <c r="B123" s="32" t="s">
        <v>2718</v>
      </c>
      <c r="C123" s="33" t="s">
        <v>64</v>
      </c>
      <c r="D123" s="32" t="s">
        <v>808</v>
      </c>
      <c r="E123" s="80" t="s">
        <v>33</v>
      </c>
    </row>
    <row r="124">
      <c r="B124" s="32" t="s">
        <v>2719</v>
      </c>
      <c r="C124" s="33" t="s">
        <v>197</v>
      </c>
      <c r="D124" s="32" t="s">
        <v>624</v>
      </c>
      <c r="E124" s="80" t="s">
        <v>37</v>
      </c>
    </row>
    <row r="125">
      <c r="B125" s="32" t="s">
        <v>808</v>
      </c>
      <c r="C125" s="35" t="s">
        <v>218</v>
      </c>
      <c r="D125" s="32" t="s">
        <v>2720</v>
      </c>
      <c r="E125" s="80" t="s">
        <v>33</v>
      </c>
    </row>
    <row r="126">
      <c r="B126" s="32" t="s">
        <v>2718</v>
      </c>
      <c r="C126" s="35" t="s">
        <v>58</v>
      </c>
      <c r="D126" s="32" t="s">
        <v>624</v>
      </c>
      <c r="E126" s="80" t="s">
        <v>37</v>
      </c>
    </row>
    <row r="127">
      <c r="B127" s="32" t="s">
        <v>2719</v>
      </c>
      <c r="C127" s="35" t="s">
        <v>25</v>
      </c>
      <c r="D127" s="32" t="s">
        <v>2720</v>
      </c>
      <c r="E127" s="80" t="s">
        <v>33</v>
      </c>
    </row>
    <row r="128">
      <c r="B128" s="32" t="s">
        <v>808</v>
      </c>
      <c r="C128" s="35" t="s">
        <v>243</v>
      </c>
      <c r="D128" s="32" t="s">
        <v>624</v>
      </c>
      <c r="E128" s="80" t="s">
        <v>37</v>
      </c>
    </row>
    <row r="129">
      <c r="B129" s="32" t="s">
        <v>2718</v>
      </c>
      <c r="C129" s="35" t="s">
        <v>218</v>
      </c>
      <c r="D129" s="32" t="s">
        <v>2720</v>
      </c>
      <c r="E129" s="80" t="s">
        <v>33</v>
      </c>
    </row>
    <row r="130">
      <c r="B130" s="32" t="s">
        <v>808</v>
      </c>
      <c r="C130" s="35" t="s">
        <v>190</v>
      </c>
      <c r="D130" s="32" t="s">
        <v>2719</v>
      </c>
      <c r="E130" s="80" t="s">
        <v>37</v>
      </c>
    </row>
    <row r="131">
      <c r="B131" s="32" t="s">
        <v>624</v>
      </c>
      <c r="C131" s="35" t="s">
        <v>218</v>
      </c>
      <c r="D131" s="32" t="s">
        <v>2720</v>
      </c>
      <c r="E131" s="80" t="s">
        <v>33</v>
      </c>
    </row>
    <row r="132">
      <c r="B132" s="32" t="s">
        <v>2718</v>
      </c>
      <c r="C132" s="35" t="s">
        <v>556</v>
      </c>
      <c r="D132" s="32" t="s">
        <v>2719</v>
      </c>
      <c r="E132" s="80" t="s">
        <v>37</v>
      </c>
    </row>
    <row r="133">
      <c r="B133" s="1" t="s">
        <v>2685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32" t="s">
        <v>2722</v>
      </c>
      <c r="C135" s="33" t="s">
        <v>853</v>
      </c>
      <c r="D135" s="32" t="s">
        <v>2324</v>
      </c>
      <c r="E135" s="11" t="s">
        <v>9</v>
      </c>
    </row>
    <row r="136">
      <c r="B136" s="32" t="s">
        <v>2723</v>
      </c>
      <c r="C136" s="33" t="s">
        <v>21</v>
      </c>
      <c r="D136" s="32" t="s">
        <v>1020</v>
      </c>
      <c r="E136" s="11" t="s">
        <v>13</v>
      </c>
    </row>
    <row r="137">
      <c r="B137" s="32" t="s">
        <v>871</v>
      </c>
      <c r="C137" s="33" t="s">
        <v>64</v>
      </c>
      <c r="D137" s="32" t="s">
        <v>2722</v>
      </c>
      <c r="E137" s="11" t="s">
        <v>9</v>
      </c>
    </row>
    <row r="138">
      <c r="B138" s="32" t="s">
        <v>2723</v>
      </c>
      <c r="C138" s="33" t="s">
        <v>17</v>
      </c>
      <c r="D138" s="32" t="s">
        <v>2324</v>
      </c>
      <c r="E138" s="11" t="s">
        <v>13</v>
      </c>
    </row>
    <row r="139">
      <c r="B139" s="32" t="s">
        <v>871</v>
      </c>
      <c r="C139" s="33" t="s">
        <v>278</v>
      </c>
      <c r="D139" s="32" t="s">
        <v>1020</v>
      </c>
      <c r="E139" s="11" t="s">
        <v>9</v>
      </c>
    </row>
    <row r="140">
      <c r="B140" s="32" t="s">
        <v>2723</v>
      </c>
      <c r="C140" s="33" t="s">
        <v>291</v>
      </c>
      <c r="D140" s="32" t="s">
        <v>2722</v>
      </c>
      <c r="E140" s="11" t="s">
        <v>13</v>
      </c>
    </row>
    <row r="141">
      <c r="B141" s="32" t="s">
        <v>871</v>
      </c>
      <c r="C141" s="33" t="s">
        <v>195</v>
      </c>
      <c r="D141" s="32" t="s">
        <v>2324</v>
      </c>
      <c r="E141" s="11" t="s">
        <v>9</v>
      </c>
    </row>
    <row r="142">
      <c r="B142" s="32" t="s">
        <v>1020</v>
      </c>
      <c r="C142" s="33" t="s">
        <v>47</v>
      </c>
      <c r="D142" s="32" t="s">
        <v>2722</v>
      </c>
      <c r="E142" s="11" t="s">
        <v>13</v>
      </c>
    </row>
    <row r="143">
      <c r="B143" s="32" t="s">
        <v>871</v>
      </c>
      <c r="C143" s="33" t="s">
        <v>58</v>
      </c>
      <c r="D143" s="32" t="s">
        <v>2723</v>
      </c>
      <c r="E143" s="11" t="s">
        <v>9</v>
      </c>
    </row>
    <row r="144">
      <c r="B144" s="32" t="s">
        <v>1020</v>
      </c>
      <c r="C144" s="33" t="s">
        <v>21</v>
      </c>
      <c r="D144" s="32" t="s">
        <v>2324</v>
      </c>
      <c r="E144" s="11" t="s">
        <v>13</v>
      </c>
    </row>
    <row r="145">
      <c r="B145" s="32" t="s">
        <v>2324</v>
      </c>
      <c r="C145" s="33" t="s">
        <v>352</v>
      </c>
      <c r="D145" s="32" t="s">
        <v>2722</v>
      </c>
      <c r="E145" s="11" t="s">
        <v>9</v>
      </c>
    </row>
    <row r="146">
      <c r="B146" s="32" t="s">
        <v>1020</v>
      </c>
      <c r="C146" s="33" t="s">
        <v>24</v>
      </c>
      <c r="D146" s="32" t="s">
        <v>2723</v>
      </c>
      <c r="E146" s="11" t="s">
        <v>13</v>
      </c>
    </row>
    <row r="147">
      <c r="B147" s="32" t="s">
        <v>2722</v>
      </c>
      <c r="C147" s="35" t="s">
        <v>81</v>
      </c>
      <c r="D147" s="32" t="s">
        <v>871</v>
      </c>
      <c r="E147" s="11" t="s">
        <v>9</v>
      </c>
    </row>
    <row r="148">
      <c r="B148" s="32" t="s">
        <v>2324</v>
      </c>
      <c r="C148" s="35" t="s">
        <v>25</v>
      </c>
      <c r="D148" s="32" t="s">
        <v>2723</v>
      </c>
      <c r="E148" s="11" t="s">
        <v>13</v>
      </c>
    </row>
    <row r="149">
      <c r="B149" s="32" t="s">
        <v>1020</v>
      </c>
      <c r="C149" s="35" t="s">
        <v>14</v>
      </c>
      <c r="D149" s="32" t="s">
        <v>871</v>
      </c>
      <c r="E149" s="11" t="s">
        <v>9</v>
      </c>
    </row>
    <row r="150">
      <c r="B150" s="32" t="s">
        <v>2722</v>
      </c>
      <c r="C150" s="35" t="s">
        <v>297</v>
      </c>
      <c r="D150" s="32" t="s">
        <v>2723</v>
      </c>
      <c r="E150" s="11" t="s">
        <v>13</v>
      </c>
    </row>
    <row r="151">
      <c r="B151" s="32" t="s">
        <v>2324</v>
      </c>
      <c r="C151" s="35" t="s">
        <v>239</v>
      </c>
      <c r="D151" s="32" t="s">
        <v>871</v>
      </c>
      <c r="E151" s="11" t="s">
        <v>9</v>
      </c>
    </row>
    <row r="152">
      <c r="B152" s="32" t="s">
        <v>2722</v>
      </c>
      <c r="C152" s="35" t="s">
        <v>699</v>
      </c>
      <c r="D152" s="32" t="s">
        <v>1020</v>
      </c>
      <c r="E152" s="11" t="s">
        <v>13</v>
      </c>
    </row>
    <row r="153">
      <c r="B153" s="32" t="s">
        <v>2723</v>
      </c>
      <c r="C153" s="35" t="s">
        <v>212</v>
      </c>
      <c r="D153" s="32" t="s">
        <v>871</v>
      </c>
      <c r="E153" s="11" t="s">
        <v>9</v>
      </c>
    </row>
    <row r="154">
      <c r="B154" s="32" t="s">
        <v>2324</v>
      </c>
      <c r="C154" s="35" t="s">
        <v>578</v>
      </c>
      <c r="D154" s="32" t="s">
        <v>1020</v>
      </c>
      <c r="E154" s="11" t="s">
        <v>13</v>
      </c>
    </row>
    <row r="155">
      <c r="B155" s="1" t="s">
        <v>1685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B157" s="32" t="s">
        <v>150</v>
      </c>
      <c r="C157" s="33" t="s">
        <v>400</v>
      </c>
      <c r="D157" s="32" t="s">
        <v>2251</v>
      </c>
      <c r="E157" s="11" t="s">
        <v>9</v>
      </c>
    </row>
    <row r="158">
      <c r="B158" s="32" t="s">
        <v>2724</v>
      </c>
      <c r="C158" s="33" t="s">
        <v>282</v>
      </c>
      <c r="D158" s="32" t="s">
        <v>744</v>
      </c>
      <c r="E158" s="11" t="s">
        <v>13</v>
      </c>
    </row>
    <row r="159">
      <c r="B159" s="32" t="s">
        <v>2725</v>
      </c>
      <c r="C159" s="33" t="s">
        <v>47</v>
      </c>
      <c r="D159" s="32" t="s">
        <v>150</v>
      </c>
      <c r="E159" s="11" t="s">
        <v>9</v>
      </c>
    </row>
    <row r="160">
      <c r="B160" s="32" t="s">
        <v>2724</v>
      </c>
      <c r="C160" s="33" t="s">
        <v>43</v>
      </c>
      <c r="D160" s="32" t="s">
        <v>2251</v>
      </c>
      <c r="E160" s="11" t="s">
        <v>13</v>
      </c>
    </row>
    <row r="161">
      <c r="B161" s="32" t="s">
        <v>2725</v>
      </c>
      <c r="C161" s="33" t="s">
        <v>69</v>
      </c>
      <c r="D161" s="32" t="s">
        <v>744</v>
      </c>
      <c r="E161" s="11" t="s">
        <v>9</v>
      </c>
    </row>
    <row r="162">
      <c r="B162" s="32" t="s">
        <v>2724</v>
      </c>
      <c r="C162" s="33" t="s">
        <v>16</v>
      </c>
      <c r="D162" s="32" t="s">
        <v>150</v>
      </c>
      <c r="E162" s="11" t="s">
        <v>13</v>
      </c>
    </row>
    <row r="163">
      <c r="B163" s="32" t="s">
        <v>2725</v>
      </c>
      <c r="C163" s="33" t="s">
        <v>506</v>
      </c>
      <c r="D163" s="32" t="s">
        <v>2251</v>
      </c>
      <c r="E163" s="11" t="s">
        <v>9</v>
      </c>
    </row>
    <row r="164">
      <c r="B164" s="32" t="s">
        <v>744</v>
      </c>
      <c r="C164" s="33" t="s">
        <v>2726</v>
      </c>
      <c r="D164" s="32" t="s">
        <v>150</v>
      </c>
      <c r="E164" s="11" t="s">
        <v>13</v>
      </c>
    </row>
    <row r="165">
      <c r="B165" s="32" t="s">
        <v>2725</v>
      </c>
      <c r="C165" s="33" t="s">
        <v>416</v>
      </c>
      <c r="D165" s="32" t="s">
        <v>2724</v>
      </c>
      <c r="E165" s="11" t="s">
        <v>9</v>
      </c>
    </row>
    <row r="166">
      <c r="B166" s="32" t="s">
        <v>744</v>
      </c>
      <c r="C166" s="33" t="s">
        <v>282</v>
      </c>
      <c r="D166" s="32" t="s">
        <v>2251</v>
      </c>
      <c r="E166" s="11" t="s">
        <v>13</v>
      </c>
    </row>
    <row r="167">
      <c r="B167" s="32" t="s">
        <v>2251</v>
      </c>
      <c r="C167" s="33" t="s">
        <v>1465</v>
      </c>
      <c r="D167" s="32" t="s">
        <v>150</v>
      </c>
      <c r="E167" s="11" t="s">
        <v>9</v>
      </c>
    </row>
    <row r="168">
      <c r="B168" s="32" t="s">
        <v>744</v>
      </c>
      <c r="C168" s="33" t="s">
        <v>81</v>
      </c>
      <c r="D168" s="32" t="s">
        <v>2724</v>
      </c>
      <c r="E168" s="11" t="s">
        <v>13</v>
      </c>
    </row>
    <row r="169">
      <c r="B169" s="32" t="s">
        <v>150</v>
      </c>
      <c r="C169" s="35" t="s">
        <v>76</v>
      </c>
      <c r="D169" s="32" t="s">
        <v>2725</v>
      </c>
      <c r="E169" s="11" t="s">
        <v>9</v>
      </c>
    </row>
    <row r="170">
      <c r="B170" s="32" t="s">
        <v>2251</v>
      </c>
      <c r="C170" s="35" t="s">
        <v>55</v>
      </c>
      <c r="D170" s="32" t="s">
        <v>2724</v>
      </c>
      <c r="E170" s="11" t="s">
        <v>13</v>
      </c>
    </row>
    <row r="171">
      <c r="B171" s="32" t="s">
        <v>744</v>
      </c>
      <c r="C171" s="35" t="s">
        <v>212</v>
      </c>
      <c r="D171" s="32" t="s">
        <v>2725</v>
      </c>
      <c r="E171" s="11" t="s">
        <v>9</v>
      </c>
    </row>
    <row r="172">
      <c r="B172" s="32" t="s">
        <v>150</v>
      </c>
      <c r="C172" s="35" t="s">
        <v>951</v>
      </c>
      <c r="D172" s="32" t="s">
        <v>2724</v>
      </c>
      <c r="E172" s="11" t="s">
        <v>13</v>
      </c>
    </row>
    <row r="173">
      <c r="B173" s="32" t="s">
        <v>2251</v>
      </c>
      <c r="C173" s="35" t="s">
        <v>835</v>
      </c>
      <c r="D173" s="32" t="s">
        <v>2725</v>
      </c>
      <c r="E173" s="11" t="s">
        <v>9</v>
      </c>
    </row>
    <row r="174">
      <c r="B174" s="32" t="s">
        <v>150</v>
      </c>
      <c r="C174" s="35" t="s">
        <v>25</v>
      </c>
      <c r="D174" s="32" t="s">
        <v>744</v>
      </c>
      <c r="E174" s="11" t="s">
        <v>13</v>
      </c>
    </row>
    <row r="175">
      <c r="B175" s="32" t="s">
        <v>2724</v>
      </c>
      <c r="C175" s="35" t="s">
        <v>190</v>
      </c>
      <c r="D175" s="32" t="s">
        <v>2725</v>
      </c>
      <c r="E175" s="11" t="s">
        <v>9</v>
      </c>
    </row>
    <row r="176">
      <c r="B176" s="32" t="s">
        <v>2251</v>
      </c>
      <c r="C176" s="35" t="s">
        <v>25</v>
      </c>
      <c r="D176" s="32" t="s">
        <v>744</v>
      </c>
      <c r="E176" s="11" t="s">
        <v>13</v>
      </c>
    </row>
    <row r="177">
      <c r="B177" s="1" t="s">
        <v>2727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B179" s="32" t="s">
        <v>2728</v>
      </c>
      <c r="C179" s="33" t="s">
        <v>352</v>
      </c>
      <c r="D179" s="32" t="s">
        <v>299</v>
      </c>
      <c r="E179" s="80" t="s">
        <v>33</v>
      </c>
    </row>
    <row r="180">
      <c r="B180" s="32" t="s">
        <v>2729</v>
      </c>
      <c r="C180" s="33" t="s">
        <v>201</v>
      </c>
      <c r="D180" s="32" t="s">
        <v>2730</v>
      </c>
      <c r="E180" s="80" t="s">
        <v>37</v>
      </c>
      <c r="H180" s="36"/>
    </row>
    <row r="181">
      <c r="B181" s="32" t="s">
        <v>2731</v>
      </c>
      <c r="C181" s="33" t="s">
        <v>446</v>
      </c>
      <c r="D181" s="32" t="s">
        <v>2728</v>
      </c>
      <c r="E181" s="80" t="s">
        <v>33</v>
      </c>
    </row>
    <row r="182">
      <c r="B182" s="32" t="s">
        <v>2729</v>
      </c>
      <c r="C182" s="33" t="s">
        <v>65</v>
      </c>
      <c r="D182" s="32" t="s">
        <v>299</v>
      </c>
      <c r="E182" s="80" t="s">
        <v>37</v>
      </c>
    </row>
    <row r="183">
      <c r="B183" s="32" t="s">
        <v>2731</v>
      </c>
      <c r="C183" s="33" t="s">
        <v>542</v>
      </c>
      <c r="D183" s="32" t="s">
        <v>2730</v>
      </c>
      <c r="E183" s="80" t="s">
        <v>33</v>
      </c>
    </row>
    <row r="184">
      <c r="B184" s="32" t="s">
        <v>2729</v>
      </c>
      <c r="C184" s="33" t="s">
        <v>11</v>
      </c>
      <c r="D184" s="32" t="s">
        <v>2728</v>
      </c>
      <c r="E184" s="80" t="s">
        <v>37</v>
      </c>
    </row>
    <row r="185">
      <c r="B185" s="32" t="s">
        <v>2731</v>
      </c>
      <c r="C185" s="33" t="s">
        <v>78</v>
      </c>
      <c r="D185" s="32" t="s">
        <v>299</v>
      </c>
      <c r="E185" s="80" t="s">
        <v>33</v>
      </c>
    </row>
    <row r="186">
      <c r="B186" s="32" t="s">
        <v>2730</v>
      </c>
      <c r="C186" s="33" t="s">
        <v>304</v>
      </c>
      <c r="D186" s="32" t="s">
        <v>2728</v>
      </c>
      <c r="E186" s="80" t="s">
        <v>37</v>
      </c>
    </row>
    <row r="187">
      <c r="B187" s="32" t="s">
        <v>2731</v>
      </c>
      <c r="C187" s="33" t="s">
        <v>239</v>
      </c>
      <c r="D187" s="32" t="s">
        <v>2729</v>
      </c>
      <c r="E187" s="80" t="s">
        <v>33</v>
      </c>
    </row>
    <row r="188">
      <c r="B188" s="32" t="s">
        <v>2730</v>
      </c>
      <c r="C188" s="33" t="s">
        <v>570</v>
      </c>
      <c r="D188" s="32" t="s">
        <v>299</v>
      </c>
      <c r="E188" s="80" t="s">
        <v>37</v>
      </c>
    </row>
    <row r="189">
      <c r="B189" s="32" t="s">
        <v>299</v>
      </c>
      <c r="C189" s="33" t="s">
        <v>82</v>
      </c>
      <c r="D189" s="32" t="s">
        <v>2728</v>
      </c>
      <c r="E189" s="80" t="s">
        <v>33</v>
      </c>
    </row>
    <row r="190">
      <c r="B190" s="32" t="s">
        <v>2730</v>
      </c>
      <c r="C190" s="33" t="s">
        <v>55</v>
      </c>
      <c r="D190" s="32" t="s">
        <v>2729</v>
      </c>
      <c r="E190" s="80" t="s">
        <v>37</v>
      </c>
    </row>
    <row r="191">
      <c r="B191" s="32" t="s">
        <v>2728</v>
      </c>
      <c r="C191" s="35" t="s">
        <v>21</v>
      </c>
      <c r="D191" s="32" t="s">
        <v>2731</v>
      </c>
      <c r="E191" s="80" t="s">
        <v>33</v>
      </c>
    </row>
    <row r="192">
      <c r="B192" s="32" t="s">
        <v>299</v>
      </c>
      <c r="C192" s="35" t="s">
        <v>240</v>
      </c>
      <c r="D192" s="32" t="s">
        <v>2729</v>
      </c>
      <c r="E192" s="80" t="s">
        <v>37</v>
      </c>
    </row>
    <row r="193">
      <c r="B193" s="32" t="s">
        <v>2730</v>
      </c>
      <c r="C193" s="35" t="s">
        <v>1031</v>
      </c>
      <c r="D193" s="32" t="s">
        <v>2731</v>
      </c>
      <c r="E193" s="80" t="s">
        <v>33</v>
      </c>
    </row>
    <row r="194">
      <c r="B194" s="32" t="s">
        <v>2728</v>
      </c>
      <c r="C194" s="35" t="s">
        <v>19</v>
      </c>
      <c r="D194" s="32" t="s">
        <v>2729</v>
      </c>
      <c r="E194" s="80" t="s">
        <v>37</v>
      </c>
    </row>
    <row r="195">
      <c r="B195" s="32" t="s">
        <v>299</v>
      </c>
      <c r="C195" s="35" t="s">
        <v>331</v>
      </c>
      <c r="D195" s="32" t="s">
        <v>2731</v>
      </c>
      <c r="E195" s="80" t="s">
        <v>33</v>
      </c>
    </row>
    <row r="196">
      <c r="B196" s="32" t="s">
        <v>2728</v>
      </c>
      <c r="C196" s="35" t="s">
        <v>27</v>
      </c>
      <c r="D196" s="32" t="s">
        <v>2730</v>
      </c>
      <c r="E196" s="80" t="s">
        <v>37</v>
      </c>
    </row>
    <row r="197">
      <c r="B197" s="32" t="s">
        <v>2729</v>
      </c>
      <c r="C197" s="35" t="s">
        <v>49</v>
      </c>
      <c r="D197" s="32" t="s">
        <v>2731</v>
      </c>
      <c r="E197" s="80" t="s">
        <v>33</v>
      </c>
    </row>
    <row r="198">
      <c r="B198" s="32" t="s">
        <v>299</v>
      </c>
      <c r="C198" s="35" t="s">
        <v>1338</v>
      </c>
      <c r="D198" s="32" t="s">
        <v>2730</v>
      </c>
      <c r="E198" s="80" t="s">
        <v>37</v>
      </c>
    </row>
    <row r="199">
      <c r="B199" s="1" t="s">
        <v>2657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B201" s="32" t="s">
        <v>1319</v>
      </c>
      <c r="C201" s="33" t="s">
        <v>320</v>
      </c>
      <c r="D201" s="32" t="s">
        <v>2732</v>
      </c>
      <c r="E201" s="80" t="s">
        <v>33</v>
      </c>
    </row>
    <row r="202">
      <c r="B202" s="32" t="s">
        <v>12</v>
      </c>
      <c r="C202" s="33" t="s">
        <v>58</v>
      </c>
      <c r="D202" s="32" t="s">
        <v>2733</v>
      </c>
      <c r="E202" s="80" t="s">
        <v>37</v>
      </c>
    </row>
    <row r="203">
      <c r="B203" s="32" t="s">
        <v>2734</v>
      </c>
      <c r="C203" s="33" t="s">
        <v>370</v>
      </c>
      <c r="D203" s="32" t="s">
        <v>1319</v>
      </c>
      <c r="E203" s="80" t="s">
        <v>33</v>
      </c>
    </row>
    <row r="204">
      <c r="B204" s="32" t="s">
        <v>12</v>
      </c>
      <c r="C204" s="33" t="s">
        <v>190</v>
      </c>
      <c r="D204" s="32" t="s">
        <v>2732</v>
      </c>
      <c r="E204" s="80" t="s">
        <v>37</v>
      </c>
    </row>
    <row r="205">
      <c r="B205" s="32" t="s">
        <v>2734</v>
      </c>
      <c r="C205" s="33" t="s">
        <v>194</v>
      </c>
      <c r="D205" s="32" t="s">
        <v>2733</v>
      </c>
      <c r="E205" s="80" t="s">
        <v>33</v>
      </c>
    </row>
    <row r="206">
      <c r="B206" s="32" t="s">
        <v>12</v>
      </c>
      <c r="C206" s="33" t="s">
        <v>197</v>
      </c>
      <c r="D206" s="32" t="s">
        <v>1319</v>
      </c>
      <c r="E206" s="80" t="s">
        <v>37</v>
      </c>
    </row>
    <row r="207">
      <c r="B207" s="32" t="s">
        <v>2734</v>
      </c>
      <c r="C207" s="33" t="s">
        <v>509</v>
      </c>
      <c r="D207" s="32" t="s">
        <v>2732</v>
      </c>
      <c r="E207" s="80" t="s">
        <v>33</v>
      </c>
    </row>
    <row r="208">
      <c r="B208" s="32" t="s">
        <v>2733</v>
      </c>
      <c r="C208" s="33" t="s">
        <v>78</v>
      </c>
      <c r="D208" s="32" t="s">
        <v>1319</v>
      </c>
      <c r="E208" s="80" t="s">
        <v>37</v>
      </c>
    </row>
    <row r="209">
      <c r="B209" s="32" t="s">
        <v>2734</v>
      </c>
      <c r="C209" s="33" t="s">
        <v>22</v>
      </c>
      <c r="D209" s="32" t="s">
        <v>12</v>
      </c>
      <c r="E209" s="80" t="s">
        <v>33</v>
      </c>
    </row>
    <row r="210">
      <c r="B210" s="32" t="s">
        <v>2733</v>
      </c>
      <c r="C210" s="33" t="s">
        <v>17</v>
      </c>
      <c r="D210" s="32" t="s">
        <v>2732</v>
      </c>
      <c r="E210" s="80" t="s">
        <v>37</v>
      </c>
    </row>
    <row r="211">
      <c r="B211" s="32" t="s">
        <v>2732</v>
      </c>
      <c r="C211" s="33" t="s">
        <v>87</v>
      </c>
      <c r="D211" s="32" t="s">
        <v>1319</v>
      </c>
      <c r="E211" s="80" t="s">
        <v>33</v>
      </c>
    </row>
    <row r="212">
      <c r="B212" s="32" t="s">
        <v>2733</v>
      </c>
      <c r="C212" s="33" t="s">
        <v>17</v>
      </c>
      <c r="D212" s="32" t="s">
        <v>12</v>
      </c>
      <c r="E212" s="80" t="s">
        <v>37</v>
      </c>
    </row>
    <row r="213">
      <c r="B213" s="32" t="s">
        <v>1319</v>
      </c>
      <c r="C213" s="35" t="s">
        <v>542</v>
      </c>
      <c r="D213" s="32" t="s">
        <v>2734</v>
      </c>
      <c r="E213" s="80" t="s">
        <v>33</v>
      </c>
    </row>
    <row r="214">
      <c r="B214" s="32" t="s">
        <v>2732</v>
      </c>
      <c r="C214" s="35" t="s">
        <v>1465</v>
      </c>
      <c r="D214" s="32" t="s">
        <v>12</v>
      </c>
      <c r="E214" s="80" t="s">
        <v>37</v>
      </c>
    </row>
    <row r="215">
      <c r="B215" s="32" t="s">
        <v>2733</v>
      </c>
      <c r="C215" s="35" t="s">
        <v>289</v>
      </c>
      <c r="D215" s="32" t="s">
        <v>2734</v>
      </c>
      <c r="E215" s="80" t="s">
        <v>33</v>
      </c>
    </row>
    <row r="216">
      <c r="B216" s="32" t="s">
        <v>1319</v>
      </c>
      <c r="C216" s="35" t="s">
        <v>62</v>
      </c>
      <c r="D216" s="32" t="s">
        <v>12</v>
      </c>
      <c r="E216" s="80" t="s">
        <v>37</v>
      </c>
    </row>
    <row r="217">
      <c r="B217" s="32" t="s">
        <v>2732</v>
      </c>
      <c r="C217" s="35" t="s">
        <v>43</v>
      </c>
      <c r="D217" s="32" t="s">
        <v>2734</v>
      </c>
      <c r="E217" s="80" t="s">
        <v>33</v>
      </c>
    </row>
    <row r="218">
      <c r="B218" s="32" t="s">
        <v>1319</v>
      </c>
      <c r="C218" s="35" t="s">
        <v>566</v>
      </c>
      <c r="D218" s="32" t="s">
        <v>2733</v>
      </c>
      <c r="E218" s="80" t="s">
        <v>37</v>
      </c>
    </row>
    <row r="219">
      <c r="B219" s="32" t="s">
        <v>12</v>
      </c>
      <c r="C219" s="35" t="s">
        <v>201</v>
      </c>
      <c r="D219" s="32" t="s">
        <v>2734</v>
      </c>
      <c r="E219" s="80" t="s">
        <v>33</v>
      </c>
    </row>
    <row r="220">
      <c r="B220" s="32" t="s">
        <v>2732</v>
      </c>
      <c r="C220" s="35" t="s">
        <v>190</v>
      </c>
      <c r="D220" s="32" t="s">
        <v>2733</v>
      </c>
      <c r="E220" s="80" t="s">
        <v>37</v>
      </c>
    </row>
    <row r="221">
      <c r="B221" s="28" t="s">
        <v>2735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34" t="s">
        <v>2736</v>
      </c>
      <c r="C223" s="33" t="s">
        <v>72</v>
      </c>
      <c r="D223" s="34" t="s">
        <v>2737</v>
      </c>
      <c r="E223" s="11" t="s">
        <v>9</v>
      </c>
    </row>
    <row r="224">
      <c r="B224" s="34" t="s">
        <v>1866</v>
      </c>
      <c r="C224" s="33" t="s">
        <v>285</v>
      </c>
      <c r="D224" s="34" t="s">
        <v>2738</v>
      </c>
      <c r="E224" s="11" t="s">
        <v>13</v>
      </c>
    </row>
    <row r="225">
      <c r="B225" s="34" t="s">
        <v>803</v>
      </c>
      <c r="C225" s="33" t="s">
        <v>411</v>
      </c>
      <c r="D225" s="34" t="s">
        <v>2736</v>
      </c>
      <c r="E225" s="11" t="s">
        <v>9</v>
      </c>
    </row>
    <row r="226">
      <c r="B226" s="34" t="s">
        <v>1866</v>
      </c>
      <c r="C226" s="33" t="s">
        <v>572</v>
      </c>
      <c r="D226" s="34" t="s">
        <v>2737</v>
      </c>
      <c r="E226" s="11" t="s">
        <v>13</v>
      </c>
    </row>
    <row r="227">
      <c r="B227" s="34" t="s">
        <v>803</v>
      </c>
      <c r="C227" s="33" t="s">
        <v>231</v>
      </c>
      <c r="D227" s="34" t="s">
        <v>2738</v>
      </c>
      <c r="E227" s="11" t="s">
        <v>9</v>
      </c>
    </row>
    <row r="228">
      <c r="B228" s="34" t="s">
        <v>1866</v>
      </c>
      <c r="C228" s="33" t="s">
        <v>270</v>
      </c>
      <c r="D228" s="34" t="s">
        <v>2736</v>
      </c>
      <c r="E228" s="11" t="s">
        <v>13</v>
      </c>
    </row>
    <row r="229">
      <c r="B229" s="34" t="s">
        <v>803</v>
      </c>
      <c r="C229" s="33" t="s">
        <v>238</v>
      </c>
      <c r="D229" s="34" t="s">
        <v>2737</v>
      </c>
      <c r="E229" s="11" t="s">
        <v>9</v>
      </c>
    </row>
    <row r="230">
      <c r="B230" s="34" t="s">
        <v>2738</v>
      </c>
      <c r="C230" s="33" t="s">
        <v>716</v>
      </c>
      <c r="D230" s="34" t="s">
        <v>2736</v>
      </c>
      <c r="E230" s="11" t="s">
        <v>13</v>
      </c>
    </row>
    <row r="231">
      <c r="B231" s="34" t="s">
        <v>803</v>
      </c>
      <c r="C231" s="33" t="s">
        <v>534</v>
      </c>
      <c r="D231" s="34" t="s">
        <v>1866</v>
      </c>
      <c r="E231" s="11" t="s">
        <v>9</v>
      </c>
    </row>
    <row r="232">
      <c r="B232" s="34" t="s">
        <v>2738</v>
      </c>
      <c r="C232" s="33" t="s">
        <v>48</v>
      </c>
      <c r="D232" s="34" t="s">
        <v>2737</v>
      </c>
      <c r="E232" s="11" t="s">
        <v>13</v>
      </c>
    </row>
    <row r="233">
      <c r="B233" s="34" t="s">
        <v>2737</v>
      </c>
      <c r="C233" s="33" t="s">
        <v>328</v>
      </c>
      <c r="D233" s="34" t="s">
        <v>2736</v>
      </c>
      <c r="E233" s="11" t="s">
        <v>9</v>
      </c>
    </row>
    <row r="234">
      <c r="B234" s="34" t="s">
        <v>2738</v>
      </c>
      <c r="C234" s="33" t="s">
        <v>11</v>
      </c>
      <c r="D234" s="34" t="s">
        <v>1866</v>
      </c>
      <c r="E234" s="11" t="s">
        <v>13</v>
      </c>
    </row>
    <row r="235">
      <c r="B235" s="34" t="s">
        <v>2736</v>
      </c>
      <c r="C235" s="35" t="s">
        <v>282</v>
      </c>
      <c r="D235" s="34" t="s">
        <v>803</v>
      </c>
      <c r="E235" s="11" t="s">
        <v>9</v>
      </c>
    </row>
    <row r="236">
      <c r="B236" s="34" t="s">
        <v>2737</v>
      </c>
      <c r="C236" s="35" t="s">
        <v>500</v>
      </c>
      <c r="D236" s="34" t="s">
        <v>1866</v>
      </c>
      <c r="E236" s="11" t="s">
        <v>13</v>
      </c>
    </row>
    <row r="237">
      <c r="B237" s="34" t="s">
        <v>2738</v>
      </c>
      <c r="C237" s="35" t="s">
        <v>49</v>
      </c>
      <c r="D237" s="34" t="s">
        <v>803</v>
      </c>
      <c r="E237" s="11" t="s">
        <v>9</v>
      </c>
    </row>
    <row r="238">
      <c r="B238" s="34" t="s">
        <v>2736</v>
      </c>
      <c r="C238" s="35" t="s">
        <v>11</v>
      </c>
      <c r="D238" s="34" t="s">
        <v>1866</v>
      </c>
      <c r="E238" s="11" t="s">
        <v>13</v>
      </c>
    </row>
    <row r="239">
      <c r="B239" s="34" t="s">
        <v>2737</v>
      </c>
      <c r="C239" s="35" t="s">
        <v>64</v>
      </c>
      <c r="D239" s="34" t="s">
        <v>803</v>
      </c>
      <c r="E239" s="11" t="s">
        <v>9</v>
      </c>
    </row>
    <row r="240">
      <c r="B240" s="34" t="s">
        <v>2736</v>
      </c>
      <c r="C240" s="35" t="s">
        <v>328</v>
      </c>
      <c r="D240" s="34" t="s">
        <v>2738</v>
      </c>
      <c r="E240" s="11" t="s">
        <v>13</v>
      </c>
    </row>
    <row r="241">
      <c r="B241" s="34" t="s">
        <v>1866</v>
      </c>
      <c r="C241" s="35" t="s">
        <v>81</v>
      </c>
      <c r="D241" s="34" t="s">
        <v>803</v>
      </c>
      <c r="E241" s="11" t="s">
        <v>9</v>
      </c>
    </row>
    <row r="242">
      <c r="B242" s="34" t="s">
        <v>2737</v>
      </c>
      <c r="C242" s="35" t="s">
        <v>2739</v>
      </c>
      <c r="D242" s="34" t="s">
        <v>2738</v>
      </c>
      <c r="E242" s="11" t="s">
        <v>13</v>
      </c>
    </row>
    <row r="243">
      <c r="B243" s="28" t="s">
        <v>1456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34" t="s">
        <v>2740</v>
      </c>
      <c r="C245" s="33" t="s">
        <v>190</v>
      </c>
      <c r="D245" s="34" t="s">
        <v>1325</v>
      </c>
      <c r="E245" s="11" t="s">
        <v>9</v>
      </c>
    </row>
    <row r="246">
      <c r="B246" s="34" t="s">
        <v>2741</v>
      </c>
      <c r="C246" s="33" t="s">
        <v>494</v>
      </c>
      <c r="D246" s="34" t="s">
        <v>1158</v>
      </c>
      <c r="E246" s="11" t="s">
        <v>13</v>
      </c>
    </row>
    <row r="247">
      <c r="B247" s="34" t="s">
        <v>349</v>
      </c>
      <c r="C247" s="33" t="s">
        <v>362</v>
      </c>
      <c r="D247" s="34" t="s">
        <v>2740</v>
      </c>
      <c r="E247" s="11" t="s">
        <v>9</v>
      </c>
    </row>
    <row r="248">
      <c r="B248" s="34" t="s">
        <v>2741</v>
      </c>
      <c r="C248" s="33" t="s">
        <v>43</v>
      </c>
      <c r="D248" s="34" t="s">
        <v>1325</v>
      </c>
      <c r="E248" s="11" t="s">
        <v>13</v>
      </c>
    </row>
    <row r="249">
      <c r="B249" s="34" t="s">
        <v>349</v>
      </c>
      <c r="C249" s="33" t="s">
        <v>400</v>
      </c>
      <c r="D249" s="34" t="s">
        <v>1158</v>
      </c>
      <c r="E249" s="11" t="s">
        <v>9</v>
      </c>
    </row>
    <row r="250">
      <c r="B250" s="34" t="s">
        <v>2741</v>
      </c>
      <c r="C250" s="33" t="s">
        <v>81</v>
      </c>
      <c r="D250" s="34" t="s">
        <v>2740</v>
      </c>
      <c r="E250" s="11" t="s">
        <v>13</v>
      </c>
    </row>
    <row r="251">
      <c r="B251" s="34" t="s">
        <v>349</v>
      </c>
      <c r="C251" s="33" t="s">
        <v>17</v>
      </c>
      <c r="D251" s="34" t="s">
        <v>1325</v>
      </c>
      <c r="E251" s="11" t="s">
        <v>9</v>
      </c>
    </row>
    <row r="252">
      <c r="B252" s="34" t="s">
        <v>1158</v>
      </c>
      <c r="C252" s="33" t="s">
        <v>331</v>
      </c>
      <c r="D252" s="34" t="s">
        <v>2740</v>
      </c>
      <c r="E252" s="11" t="s">
        <v>13</v>
      </c>
    </row>
    <row r="253">
      <c r="B253" s="34" t="s">
        <v>349</v>
      </c>
      <c r="C253" s="33" t="s">
        <v>22</v>
      </c>
      <c r="D253" s="34" t="s">
        <v>2741</v>
      </c>
      <c r="E253" s="11" t="s">
        <v>9</v>
      </c>
    </row>
    <row r="254">
      <c r="B254" s="34" t="s">
        <v>1158</v>
      </c>
      <c r="C254" s="37" t="s">
        <v>212</v>
      </c>
      <c r="D254" s="34" t="s">
        <v>1325</v>
      </c>
      <c r="E254" s="11" t="s">
        <v>13</v>
      </c>
    </row>
    <row r="255">
      <c r="B255" s="34" t="s">
        <v>1325</v>
      </c>
      <c r="C255" s="33" t="s">
        <v>21</v>
      </c>
      <c r="D255" s="34" t="s">
        <v>2740</v>
      </c>
      <c r="E255" s="11" t="s">
        <v>9</v>
      </c>
    </row>
    <row r="256">
      <c r="B256" s="34" t="s">
        <v>1158</v>
      </c>
      <c r="C256" s="33" t="s">
        <v>2742</v>
      </c>
      <c r="D256" s="34" t="s">
        <v>2741</v>
      </c>
      <c r="E256" s="11" t="s">
        <v>13</v>
      </c>
    </row>
    <row r="257">
      <c r="B257" s="34" t="s">
        <v>2740</v>
      </c>
      <c r="C257" s="35" t="s">
        <v>19</v>
      </c>
      <c r="D257" s="34" t="s">
        <v>349</v>
      </c>
      <c r="E257" s="11" t="s">
        <v>9</v>
      </c>
    </row>
    <row r="258">
      <c r="B258" s="34" t="s">
        <v>1325</v>
      </c>
      <c r="C258" s="35" t="s">
        <v>218</v>
      </c>
      <c r="D258" s="34" t="s">
        <v>2741</v>
      </c>
      <c r="E258" s="11" t="s">
        <v>13</v>
      </c>
    </row>
    <row r="259">
      <c r="B259" s="34" t="s">
        <v>1158</v>
      </c>
      <c r="C259" s="35" t="s">
        <v>2743</v>
      </c>
      <c r="D259" s="34" t="s">
        <v>349</v>
      </c>
      <c r="E259" s="11" t="s">
        <v>9</v>
      </c>
    </row>
    <row r="260">
      <c r="B260" s="34" t="s">
        <v>2740</v>
      </c>
      <c r="C260" s="35" t="s">
        <v>312</v>
      </c>
      <c r="D260" s="34" t="s">
        <v>2741</v>
      </c>
      <c r="E260" s="11" t="s">
        <v>13</v>
      </c>
    </row>
    <row r="261">
      <c r="B261" s="34" t="s">
        <v>1325</v>
      </c>
      <c r="C261" s="35" t="s">
        <v>47</v>
      </c>
      <c r="D261" s="34" t="s">
        <v>349</v>
      </c>
      <c r="E261" s="11" t="s">
        <v>9</v>
      </c>
    </row>
    <row r="262">
      <c r="B262" s="34" t="s">
        <v>2740</v>
      </c>
      <c r="C262" s="35" t="s">
        <v>706</v>
      </c>
      <c r="D262" s="34" t="s">
        <v>1158</v>
      </c>
      <c r="E262" s="11" t="s">
        <v>13</v>
      </c>
    </row>
    <row r="263">
      <c r="B263" s="34" t="s">
        <v>2741</v>
      </c>
      <c r="C263" s="35" t="s">
        <v>78</v>
      </c>
      <c r="D263" s="34" t="s">
        <v>349</v>
      </c>
      <c r="E263" s="11" t="s">
        <v>9</v>
      </c>
    </row>
    <row r="264">
      <c r="B264" s="34" t="s">
        <v>1325</v>
      </c>
      <c r="C264" s="35" t="s">
        <v>2744</v>
      </c>
      <c r="D264" s="34" t="s">
        <v>1158</v>
      </c>
      <c r="E264" s="11" t="s">
        <v>13</v>
      </c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/>
      <c r="B1" s="1" t="s">
        <v>2472</v>
      </c>
      <c r="C1" s="2"/>
      <c r="D1" s="3"/>
      <c r="E1" s="29"/>
    </row>
    <row r="2">
      <c r="A2" s="66"/>
      <c r="B2" s="6" t="s">
        <v>2</v>
      </c>
      <c r="C2" s="6" t="s">
        <v>3</v>
      </c>
      <c r="D2" s="6" t="s">
        <v>4</v>
      </c>
      <c r="E2" s="6" t="s">
        <v>5</v>
      </c>
    </row>
    <row r="3">
      <c r="A3" s="66"/>
      <c r="B3" s="34" t="s">
        <v>2299</v>
      </c>
      <c r="C3" s="33" t="s">
        <v>55</v>
      </c>
      <c r="D3" s="34" t="s">
        <v>2745</v>
      </c>
      <c r="E3" s="11" t="s">
        <v>9</v>
      </c>
    </row>
    <row r="4">
      <c r="A4" s="66"/>
      <c r="B4" s="34" t="s">
        <v>1785</v>
      </c>
      <c r="C4" s="33" t="s">
        <v>215</v>
      </c>
      <c r="D4" s="32" t="s">
        <v>1706</v>
      </c>
      <c r="E4" s="11" t="s">
        <v>13</v>
      </c>
    </row>
    <row r="5">
      <c r="A5" s="66"/>
      <c r="B5" s="34" t="s">
        <v>1725</v>
      </c>
      <c r="C5" s="33" t="s">
        <v>45</v>
      </c>
      <c r="D5" s="34" t="s">
        <v>2299</v>
      </c>
      <c r="E5" s="11" t="s">
        <v>9</v>
      </c>
    </row>
    <row r="6">
      <c r="A6" s="66"/>
      <c r="B6" s="34" t="s">
        <v>1785</v>
      </c>
      <c r="C6" s="33" t="s">
        <v>19</v>
      </c>
      <c r="D6" s="34" t="s">
        <v>2745</v>
      </c>
      <c r="E6" s="11" t="s">
        <v>13</v>
      </c>
    </row>
    <row r="7">
      <c r="A7" s="66"/>
      <c r="B7" s="34" t="s">
        <v>1725</v>
      </c>
      <c r="C7" s="33" t="s">
        <v>400</v>
      </c>
      <c r="D7" s="32" t="s">
        <v>1706</v>
      </c>
      <c r="E7" s="11" t="s">
        <v>9</v>
      </c>
    </row>
    <row r="8">
      <c r="A8" s="66"/>
      <c r="B8" s="34" t="s">
        <v>1785</v>
      </c>
      <c r="C8" s="33" t="s">
        <v>81</v>
      </c>
      <c r="D8" s="34" t="s">
        <v>2299</v>
      </c>
      <c r="E8" s="11" t="s">
        <v>13</v>
      </c>
    </row>
    <row r="9">
      <c r="A9" s="66"/>
      <c r="B9" s="34" t="s">
        <v>1725</v>
      </c>
      <c r="C9" s="33" t="s">
        <v>87</v>
      </c>
      <c r="D9" s="34" t="s">
        <v>2745</v>
      </c>
      <c r="E9" s="11" t="s">
        <v>9</v>
      </c>
    </row>
    <row r="10">
      <c r="A10" s="66"/>
      <c r="B10" s="32" t="s">
        <v>1706</v>
      </c>
      <c r="C10" s="33" t="s">
        <v>2177</v>
      </c>
      <c r="D10" s="34" t="s">
        <v>2299</v>
      </c>
      <c r="E10" s="11" t="s">
        <v>13</v>
      </c>
    </row>
    <row r="11">
      <c r="A11" s="66"/>
      <c r="B11" s="34" t="s">
        <v>1725</v>
      </c>
      <c r="C11" s="33" t="s">
        <v>218</v>
      </c>
      <c r="D11" s="34" t="s">
        <v>1785</v>
      </c>
      <c r="E11" s="11" t="s">
        <v>9</v>
      </c>
    </row>
    <row r="12">
      <c r="A12" s="66"/>
      <c r="B12" s="32" t="s">
        <v>1706</v>
      </c>
      <c r="C12" s="33" t="s">
        <v>217</v>
      </c>
      <c r="D12" s="34" t="s">
        <v>2745</v>
      </c>
      <c r="E12" s="11" t="s">
        <v>13</v>
      </c>
    </row>
    <row r="13">
      <c r="A13" s="66"/>
      <c r="B13" s="34" t="s">
        <v>2745</v>
      </c>
      <c r="C13" s="33" t="s">
        <v>302</v>
      </c>
      <c r="D13" s="34" t="s">
        <v>2299</v>
      </c>
      <c r="E13" s="11" t="s">
        <v>9</v>
      </c>
    </row>
    <row r="14">
      <c r="A14" s="66"/>
      <c r="B14" s="32" t="s">
        <v>1706</v>
      </c>
      <c r="C14" s="33" t="s">
        <v>196</v>
      </c>
      <c r="D14" s="34" t="s">
        <v>1785</v>
      </c>
      <c r="E14" s="11" t="s">
        <v>13</v>
      </c>
    </row>
    <row r="15">
      <c r="A15" s="66"/>
      <c r="B15" s="34" t="s">
        <v>2299</v>
      </c>
      <c r="C15" s="35" t="s">
        <v>260</v>
      </c>
      <c r="D15" s="34" t="s">
        <v>1725</v>
      </c>
      <c r="E15" s="11" t="s">
        <v>9</v>
      </c>
    </row>
    <row r="16">
      <c r="A16" s="66"/>
      <c r="B16" s="34" t="s">
        <v>2745</v>
      </c>
      <c r="C16" s="35" t="s">
        <v>11</v>
      </c>
      <c r="D16" s="34" t="s">
        <v>1785</v>
      </c>
      <c r="E16" s="11" t="s">
        <v>13</v>
      </c>
    </row>
    <row r="17">
      <c r="A17" s="66"/>
      <c r="B17" s="32" t="s">
        <v>1706</v>
      </c>
      <c r="C17" s="35" t="s">
        <v>240</v>
      </c>
      <c r="D17" s="34" t="s">
        <v>1725</v>
      </c>
      <c r="E17" s="11" t="s">
        <v>9</v>
      </c>
    </row>
    <row r="18">
      <c r="A18" s="66"/>
      <c r="B18" s="34" t="s">
        <v>2299</v>
      </c>
      <c r="C18" s="35" t="s">
        <v>19</v>
      </c>
      <c r="D18" s="34" t="s">
        <v>1785</v>
      </c>
      <c r="E18" s="11" t="s">
        <v>13</v>
      </c>
    </row>
    <row r="19">
      <c r="A19" s="66"/>
      <c r="B19" s="34" t="s">
        <v>2745</v>
      </c>
      <c r="C19" s="35" t="s">
        <v>62</v>
      </c>
      <c r="D19" s="34" t="s">
        <v>1725</v>
      </c>
      <c r="E19" s="11" t="s">
        <v>9</v>
      </c>
    </row>
    <row r="20">
      <c r="A20" s="66"/>
      <c r="B20" s="34" t="s">
        <v>2299</v>
      </c>
      <c r="C20" s="35" t="s">
        <v>217</v>
      </c>
      <c r="D20" s="32" t="s">
        <v>1706</v>
      </c>
      <c r="E20" s="11" t="s">
        <v>13</v>
      </c>
    </row>
    <row r="21">
      <c r="A21" s="66"/>
      <c r="B21" s="34" t="s">
        <v>1785</v>
      </c>
      <c r="C21" s="35" t="s">
        <v>69</v>
      </c>
      <c r="D21" s="34" t="s">
        <v>1725</v>
      </c>
      <c r="E21" s="11" t="s">
        <v>9</v>
      </c>
    </row>
    <row r="22">
      <c r="A22" s="66"/>
      <c r="B22" s="34" t="s">
        <v>2745</v>
      </c>
      <c r="C22" s="35" t="s">
        <v>283</v>
      </c>
      <c r="D22" s="32" t="s">
        <v>1706</v>
      </c>
      <c r="E22" s="11" t="s">
        <v>13</v>
      </c>
    </row>
    <row r="23">
      <c r="A23" s="66"/>
      <c r="B23" s="1" t="s">
        <v>2532</v>
      </c>
      <c r="C23" s="2"/>
      <c r="D23" s="3"/>
      <c r="E23" s="29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2746</v>
      </c>
      <c r="C25" s="33" t="s">
        <v>197</v>
      </c>
      <c r="D25" s="34" t="s">
        <v>2747</v>
      </c>
      <c r="E25" s="11" t="s">
        <v>9</v>
      </c>
    </row>
    <row r="26">
      <c r="A26" s="66"/>
      <c r="B26" s="34" t="s">
        <v>2748</v>
      </c>
      <c r="C26" s="33" t="s">
        <v>201</v>
      </c>
      <c r="D26" s="32" t="s">
        <v>2347</v>
      </c>
      <c r="E26" s="11" t="s">
        <v>13</v>
      </c>
    </row>
    <row r="27">
      <c r="A27" s="66"/>
      <c r="B27" s="34" t="s">
        <v>2366</v>
      </c>
      <c r="C27" s="33" t="s">
        <v>42</v>
      </c>
      <c r="D27" s="34" t="s">
        <v>2746</v>
      </c>
      <c r="E27" s="11" t="s">
        <v>9</v>
      </c>
    </row>
    <row r="28">
      <c r="A28" s="66"/>
      <c r="B28" s="34" t="s">
        <v>2748</v>
      </c>
      <c r="C28" s="33" t="s">
        <v>71</v>
      </c>
      <c r="D28" s="34" t="s">
        <v>2747</v>
      </c>
      <c r="E28" s="11" t="s">
        <v>13</v>
      </c>
    </row>
    <row r="29">
      <c r="A29" s="66"/>
      <c r="B29" s="34" t="s">
        <v>2366</v>
      </c>
      <c r="C29" s="33" t="s">
        <v>218</v>
      </c>
      <c r="D29" s="32" t="s">
        <v>2347</v>
      </c>
      <c r="E29" s="11" t="s">
        <v>9</v>
      </c>
    </row>
    <row r="30">
      <c r="A30" s="66"/>
      <c r="B30" s="34" t="s">
        <v>2748</v>
      </c>
      <c r="C30" s="33" t="s">
        <v>22</v>
      </c>
      <c r="D30" s="34" t="s">
        <v>2746</v>
      </c>
      <c r="E30" s="11" t="s">
        <v>13</v>
      </c>
    </row>
    <row r="31">
      <c r="A31" s="66"/>
      <c r="B31" s="34" t="s">
        <v>2366</v>
      </c>
      <c r="C31" s="33" t="s">
        <v>220</v>
      </c>
      <c r="D31" s="34" t="s">
        <v>2747</v>
      </c>
      <c r="E31" s="11" t="s">
        <v>9</v>
      </c>
    </row>
    <row r="32">
      <c r="A32" s="66"/>
      <c r="B32" s="32" t="s">
        <v>2347</v>
      </c>
      <c r="C32" s="33" t="s">
        <v>218</v>
      </c>
      <c r="D32" s="34" t="s">
        <v>2746</v>
      </c>
      <c r="E32" s="11" t="s">
        <v>13</v>
      </c>
    </row>
    <row r="33">
      <c r="A33" s="66"/>
      <c r="B33" s="34" t="s">
        <v>2366</v>
      </c>
      <c r="C33" s="33" t="s">
        <v>87</v>
      </c>
      <c r="D33" s="34" t="s">
        <v>2748</v>
      </c>
      <c r="E33" s="11" t="s">
        <v>9</v>
      </c>
    </row>
    <row r="34">
      <c r="A34" s="66"/>
      <c r="B34" s="32" t="s">
        <v>2347</v>
      </c>
      <c r="C34" s="33" t="s">
        <v>416</v>
      </c>
      <c r="D34" s="34" t="s">
        <v>2747</v>
      </c>
      <c r="E34" s="11" t="s">
        <v>13</v>
      </c>
    </row>
    <row r="35">
      <c r="A35" s="66"/>
      <c r="B35" s="34" t="s">
        <v>2747</v>
      </c>
      <c r="C35" s="33" t="s">
        <v>51</v>
      </c>
      <c r="D35" s="34" t="s">
        <v>2746</v>
      </c>
      <c r="E35" s="11" t="s">
        <v>9</v>
      </c>
    </row>
    <row r="36">
      <c r="A36" s="66"/>
      <c r="B36" s="32" t="s">
        <v>2347</v>
      </c>
      <c r="C36" s="33" t="s">
        <v>270</v>
      </c>
      <c r="D36" s="34" t="s">
        <v>2748</v>
      </c>
      <c r="E36" s="11" t="s">
        <v>13</v>
      </c>
    </row>
    <row r="37">
      <c r="A37" s="66"/>
      <c r="B37" s="34" t="s">
        <v>2746</v>
      </c>
      <c r="C37" s="35" t="s">
        <v>400</v>
      </c>
      <c r="D37" s="34" t="s">
        <v>2366</v>
      </c>
      <c r="E37" s="11" t="s">
        <v>9</v>
      </c>
    </row>
    <row r="38">
      <c r="A38" s="66"/>
      <c r="B38" s="34" t="s">
        <v>2747</v>
      </c>
      <c r="C38" s="35" t="s">
        <v>218</v>
      </c>
      <c r="D38" s="34" t="s">
        <v>2748</v>
      </c>
      <c r="E38" s="11" t="s">
        <v>13</v>
      </c>
    </row>
    <row r="39">
      <c r="A39" s="66"/>
      <c r="B39" s="32" t="s">
        <v>2347</v>
      </c>
      <c r="C39" s="35" t="s">
        <v>283</v>
      </c>
      <c r="D39" s="34" t="s">
        <v>2366</v>
      </c>
      <c r="E39" s="11" t="s">
        <v>9</v>
      </c>
    </row>
    <row r="40">
      <c r="A40" s="66"/>
      <c r="B40" s="34" t="s">
        <v>2746</v>
      </c>
      <c r="C40" s="35" t="s">
        <v>31</v>
      </c>
      <c r="D40" s="34" t="s">
        <v>2748</v>
      </c>
      <c r="E40" s="11" t="s">
        <v>13</v>
      </c>
    </row>
    <row r="41">
      <c r="A41" s="66"/>
      <c r="B41" s="34" t="s">
        <v>2747</v>
      </c>
      <c r="C41" s="35" t="s">
        <v>35</v>
      </c>
      <c r="D41" s="34" t="s">
        <v>2366</v>
      </c>
      <c r="E41" s="11" t="s">
        <v>9</v>
      </c>
    </row>
    <row r="42">
      <c r="A42" s="66"/>
      <c r="B42" s="34" t="s">
        <v>2746</v>
      </c>
      <c r="C42" s="35" t="s">
        <v>17</v>
      </c>
      <c r="D42" s="32" t="s">
        <v>2347</v>
      </c>
      <c r="E42" s="11" t="s">
        <v>13</v>
      </c>
    </row>
    <row r="43">
      <c r="A43" s="66"/>
      <c r="B43" s="34" t="s">
        <v>2748</v>
      </c>
      <c r="C43" s="35" t="s">
        <v>190</v>
      </c>
      <c r="D43" s="34" t="s">
        <v>2366</v>
      </c>
      <c r="E43" s="11" t="s">
        <v>9</v>
      </c>
    </row>
    <row r="44">
      <c r="A44" s="67"/>
      <c r="B44" s="34" t="s">
        <v>2747</v>
      </c>
      <c r="C44" s="35" t="s">
        <v>194</v>
      </c>
      <c r="D44" s="32" t="s">
        <v>2347</v>
      </c>
      <c r="E44" s="11" t="s">
        <v>13</v>
      </c>
    </row>
    <row r="45">
      <c r="B45" s="1" t="s">
        <v>2154</v>
      </c>
      <c r="C45" s="2"/>
      <c r="D45" s="3"/>
      <c r="E45" s="14"/>
    </row>
    <row r="46">
      <c r="B46" s="16" t="s">
        <v>2</v>
      </c>
      <c r="C46" s="16" t="s">
        <v>3</v>
      </c>
      <c r="D46" s="16" t="s">
        <v>4</v>
      </c>
      <c r="E46" s="16" t="s">
        <v>5</v>
      </c>
    </row>
    <row r="47">
      <c r="B47" s="32" t="s">
        <v>2749</v>
      </c>
      <c r="C47" s="35" t="s">
        <v>87</v>
      </c>
      <c r="D47" s="32" t="s">
        <v>2234</v>
      </c>
      <c r="E47" s="11" t="s">
        <v>9</v>
      </c>
    </row>
    <row r="48">
      <c r="B48" s="32" t="s">
        <v>105</v>
      </c>
      <c r="C48" s="35" t="s">
        <v>28</v>
      </c>
      <c r="D48" s="32" t="s">
        <v>2304</v>
      </c>
      <c r="E48" s="11" t="s">
        <v>13</v>
      </c>
    </row>
    <row r="49">
      <c r="B49" s="32" t="s">
        <v>2750</v>
      </c>
      <c r="C49" s="35" t="s">
        <v>389</v>
      </c>
      <c r="D49" s="32" t="s">
        <v>2749</v>
      </c>
      <c r="E49" s="11" t="s">
        <v>9</v>
      </c>
    </row>
    <row r="50">
      <c r="B50" s="32" t="s">
        <v>105</v>
      </c>
      <c r="C50" s="35" t="s">
        <v>190</v>
      </c>
      <c r="D50" s="32" t="s">
        <v>2234</v>
      </c>
      <c r="E50" s="11" t="s">
        <v>13</v>
      </c>
    </row>
    <row r="51">
      <c r="B51" s="32" t="s">
        <v>2750</v>
      </c>
      <c r="C51" s="35" t="s">
        <v>16</v>
      </c>
      <c r="D51" s="32" t="s">
        <v>2304</v>
      </c>
      <c r="E51" s="11" t="s">
        <v>9</v>
      </c>
    </row>
    <row r="52">
      <c r="B52" s="32" t="s">
        <v>105</v>
      </c>
      <c r="C52" s="35" t="s">
        <v>19</v>
      </c>
      <c r="D52" s="32" t="s">
        <v>2749</v>
      </c>
      <c r="E52" s="11" t="s">
        <v>13</v>
      </c>
    </row>
    <row r="53">
      <c r="B53" s="32" t="s">
        <v>2750</v>
      </c>
      <c r="C53" s="35" t="s">
        <v>43</v>
      </c>
      <c r="D53" s="32" t="s">
        <v>2234</v>
      </c>
      <c r="E53" s="11" t="s">
        <v>9</v>
      </c>
    </row>
    <row r="54">
      <c r="B54" s="32" t="s">
        <v>2304</v>
      </c>
      <c r="C54" s="35" t="s">
        <v>11</v>
      </c>
      <c r="D54" s="32" t="s">
        <v>2749</v>
      </c>
      <c r="E54" s="11" t="s">
        <v>13</v>
      </c>
    </row>
    <row r="55">
      <c r="B55" s="32" t="s">
        <v>2750</v>
      </c>
      <c r="C55" s="35" t="s">
        <v>1718</v>
      </c>
      <c r="D55" s="32" t="s">
        <v>105</v>
      </c>
      <c r="E55" s="11" t="s">
        <v>9</v>
      </c>
    </row>
    <row r="56">
      <c r="B56" s="32" t="s">
        <v>2304</v>
      </c>
      <c r="C56" s="35" t="s">
        <v>87</v>
      </c>
      <c r="D56" s="32" t="s">
        <v>2234</v>
      </c>
      <c r="E56" s="11" t="s">
        <v>13</v>
      </c>
    </row>
    <row r="57">
      <c r="B57" s="32" t="s">
        <v>2234</v>
      </c>
      <c r="C57" s="35" t="s">
        <v>260</v>
      </c>
      <c r="D57" s="32" t="s">
        <v>2749</v>
      </c>
      <c r="E57" s="11" t="s">
        <v>9</v>
      </c>
    </row>
    <row r="58">
      <c r="B58" s="32" t="s">
        <v>2304</v>
      </c>
      <c r="C58" s="35" t="s">
        <v>363</v>
      </c>
      <c r="D58" s="32" t="s">
        <v>105</v>
      </c>
      <c r="E58" s="11" t="s">
        <v>13</v>
      </c>
    </row>
    <row r="59">
      <c r="B59" s="32" t="s">
        <v>2749</v>
      </c>
      <c r="C59" s="35" t="s">
        <v>81</v>
      </c>
      <c r="D59" s="32" t="s">
        <v>2750</v>
      </c>
      <c r="E59" s="11" t="s">
        <v>9</v>
      </c>
    </row>
    <row r="60">
      <c r="B60" s="32" t="s">
        <v>2234</v>
      </c>
      <c r="C60" s="35" t="s">
        <v>217</v>
      </c>
      <c r="D60" s="32" t="s">
        <v>105</v>
      </c>
      <c r="E60" s="11" t="s">
        <v>13</v>
      </c>
    </row>
    <row r="61">
      <c r="B61" s="32" t="s">
        <v>2304</v>
      </c>
      <c r="C61" s="35" t="s">
        <v>25</v>
      </c>
      <c r="D61" s="32" t="s">
        <v>2750</v>
      </c>
      <c r="E61" s="11" t="s">
        <v>9</v>
      </c>
    </row>
    <row r="62">
      <c r="B62" s="32" t="s">
        <v>2749</v>
      </c>
      <c r="C62" s="35" t="s">
        <v>378</v>
      </c>
      <c r="D62" s="32" t="s">
        <v>105</v>
      </c>
      <c r="E62" s="11" t="s">
        <v>13</v>
      </c>
    </row>
    <row r="63">
      <c r="B63" s="32" t="s">
        <v>2234</v>
      </c>
      <c r="C63" s="35" t="s">
        <v>220</v>
      </c>
      <c r="D63" s="32" t="s">
        <v>2750</v>
      </c>
      <c r="E63" s="11" t="s">
        <v>9</v>
      </c>
    </row>
    <row r="64">
      <c r="B64" s="32" t="s">
        <v>2749</v>
      </c>
      <c r="C64" s="35" t="s">
        <v>28</v>
      </c>
      <c r="D64" s="32" t="s">
        <v>2304</v>
      </c>
      <c r="E64" s="11" t="s">
        <v>13</v>
      </c>
    </row>
    <row r="65">
      <c r="B65" s="32" t="s">
        <v>105</v>
      </c>
      <c r="C65" s="35" t="s">
        <v>193</v>
      </c>
      <c r="D65" s="32" t="s">
        <v>2750</v>
      </c>
      <c r="E65" s="11" t="s">
        <v>9</v>
      </c>
    </row>
    <row r="66">
      <c r="B66" s="32" t="s">
        <v>2234</v>
      </c>
      <c r="C66" s="35" t="s">
        <v>217</v>
      </c>
      <c r="D66" s="32" t="s">
        <v>2304</v>
      </c>
      <c r="E66" s="11" t="s">
        <v>13</v>
      </c>
    </row>
    <row r="67">
      <c r="B67" s="1" t="s">
        <v>2099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16" t="s">
        <v>5</v>
      </c>
    </row>
    <row r="69">
      <c r="B69" s="32" t="s">
        <v>2594</v>
      </c>
      <c r="C69" s="35" t="s">
        <v>190</v>
      </c>
      <c r="D69" s="32" t="s">
        <v>1860</v>
      </c>
      <c r="E69" s="11" t="s">
        <v>9</v>
      </c>
    </row>
    <row r="70">
      <c r="B70" s="32" t="s">
        <v>1743</v>
      </c>
      <c r="C70" s="35" t="s">
        <v>201</v>
      </c>
      <c r="D70" s="32" t="s">
        <v>2431</v>
      </c>
      <c r="E70" s="11" t="s">
        <v>13</v>
      </c>
    </row>
    <row r="71">
      <c r="B71" s="32" t="s">
        <v>573</v>
      </c>
      <c r="C71" s="35" t="s">
        <v>71</v>
      </c>
      <c r="D71" s="32" t="s">
        <v>2594</v>
      </c>
      <c r="E71" s="11" t="s">
        <v>9</v>
      </c>
    </row>
    <row r="72">
      <c r="B72" s="32" t="s">
        <v>1743</v>
      </c>
      <c r="C72" s="35" t="s">
        <v>17</v>
      </c>
      <c r="D72" s="32" t="s">
        <v>1860</v>
      </c>
      <c r="E72" s="11" t="s">
        <v>13</v>
      </c>
    </row>
    <row r="73">
      <c r="B73" s="32" t="s">
        <v>573</v>
      </c>
      <c r="C73" s="35" t="s">
        <v>197</v>
      </c>
      <c r="D73" s="32" t="s">
        <v>2431</v>
      </c>
      <c r="E73" s="11" t="s">
        <v>9</v>
      </c>
    </row>
    <row r="74">
      <c r="B74" s="32" t="s">
        <v>1743</v>
      </c>
      <c r="C74" s="35" t="s">
        <v>78</v>
      </c>
      <c r="D74" s="32" t="s">
        <v>2594</v>
      </c>
      <c r="E74" s="11" t="s">
        <v>13</v>
      </c>
    </row>
    <row r="75">
      <c r="B75" s="32" t="s">
        <v>573</v>
      </c>
      <c r="C75" s="35" t="s">
        <v>87</v>
      </c>
      <c r="D75" s="32" t="s">
        <v>1860</v>
      </c>
      <c r="E75" s="11" t="s">
        <v>9</v>
      </c>
    </row>
    <row r="76">
      <c r="B76" s="32" t="s">
        <v>2431</v>
      </c>
      <c r="C76" s="35" t="s">
        <v>494</v>
      </c>
      <c r="D76" s="32" t="s">
        <v>2594</v>
      </c>
      <c r="E76" s="11" t="s">
        <v>13</v>
      </c>
    </row>
    <row r="77">
      <c r="B77" s="32" t="s">
        <v>573</v>
      </c>
      <c r="C77" s="35" t="s">
        <v>194</v>
      </c>
      <c r="D77" s="32" t="s">
        <v>1743</v>
      </c>
      <c r="E77" s="11" t="s">
        <v>9</v>
      </c>
    </row>
    <row r="78">
      <c r="B78" s="32" t="s">
        <v>2431</v>
      </c>
      <c r="C78" s="35" t="s">
        <v>48</v>
      </c>
      <c r="D78" s="32" t="s">
        <v>1860</v>
      </c>
      <c r="E78" s="11" t="s">
        <v>13</v>
      </c>
    </row>
    <row r="79">
      <c r="B79" s="32" t="s">
        <v>1860</v>
      </c>
      <c r="C79" s="35" t="s">
        <v>81</v>
      </c>
      <c r="D79" s="32" t="s">
        <v>2594</v>
      </c>
      <c r="E79" s="11" t="s">
        <v>9</v>
      </c>
    </row>
    <row r="80">
      <c r="B80" s="32" t="s">
        <v>2431</v>
      </c>
      <c r="C80" s="35" t="s">
        <v>81</v>
      </c>
      <c r="D80" s="32" t="s">
        <v>1743</v>
      </c>
      <c r="E80" s="11" t="s">
        <v>13</v>
      </c>
    </row>
    <row r="81">
      <c r="B81" s="32" t="s">
        <v>2594</v>
      </c>
      <c r="C81" s="35" t="s">
        <v>218</v>
      </c>
      <c r="D81" s="32" t="s">
        <v>573</v>
      </c>
      <c r="E81" s="11" t="s">
        <v>9</v>
      </c>
    </row>
    <row r="82">
      <c r="B82" s="32" t="s">
        <v>1860</v>
      </c>
      <c r="C82" s="35" t="s">
        <v>488</v>
      </c>
      <c r="D82" s="32" t="s">
        <v>1743</v>
      </c>
      <c r="E82" s="11" t="s">
        <v>13</v>
      </c>
    </row>
    <row r="83">
      <c r="B83" s="32" t="s">
        <v>2431</v>
      </c>
      <c r="C83" s="35" t="s">
        <v>2751</v>
      </c>
      <c r="D83" s="32" t="s">
        <v>573</v>
      </c>
      <c r="E83" s="11" t="s">
        <v>9</v>
      </c>
    </row>
    <row r="84">
      <c r="B84" s="32" t="s">
        <v>2594</v>
      </c>
      <c r="C84" s="35" t="s">
        <v>411</v>
      </c>
      <c r="D84" s="32" t="s">
        <v>1743</v>
      </c>
      <c r="E84" s="11" t="s">
        <v>13</v>
      </c>
    </row>
    <row r="85">
      <c r="B85" s="32" t="s">
        <v>1860</v>
      </c>
      <c r="C85" s="35" t="s">
        <v>14</v>
      </c>
      <c r="D85" s="32" t="s">
        <v>573</v>
      </c>
      <c r="E85" s="11" t="s">
        <v>9</v>
      </c>
    </row>
    <row r="86">
      <c r="B86" s="32" t="s">
        <v>2594</v>
      </c>
      <c r="C86" s="35" t="s">
        <v>270</v>
      </c>
      <c r="D86" s="32" t="s">
        <v>2431</v>
      </c>
      <c r="E86" s="11" t="s">
        <v>13</v>
      </c>
    </row>
    <row r="87">
      <c r="B87" s="32" t="s">
        <v>1743</v>
      </c>
      <c r="C87" s="35" t="s">
        <v>41</v>
      </c>
      <c r="D87" s="32" t="s">
        <v>573</v>
      </c>
      <c r="E87" s="11" t="s">
        <v>9</v>
      </c>
    </row>
    <row r="88">
      <c r="B88" s="32" t="s">
        <v>1860</v>
      </c>
      <c r="C88" s="35" t="s">
        <v>66</v>
      </c>
      <c r="D88" s="32" t="s">
        <v>2431</v>
      </c>
      <c r="E88" s="11" t="s">
        <v>13</v>
      </c>
    </row>
    <row r="89">
      <c r="B89" s="1" t="s">
        <v>2713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16" t="s">
        <v>5</v>
      </c>
    </row>
    <row r="91">
      <c r="B91" s="32" t="s">
        <v>2752</v>
      </c>
      <c r="C91" s="35" t="s">
        <v>49</v>
      </c>
      <c r="D91" s="32" t="s">
        <v>764</v>
      </c>
      <c r="E91" s="80" t="s">
        <v>33</v>
      </c>
    </row>
    <row r="92">
      <c r="B92" s="32" t="s">
        <v>1225</v>
      </c>
      <c r="C92" s="35" t="s">
        <v>81</v>
      </c>
      <c r="D92" s="32" t="s">
        <v>2753</v>
      </c>
      <c r="E92" s="80" t="s">
        <v>37</v>
      </c>
    </row>
    <row r="93">
      <c r="B93" s="32" t="s">
        <v>2754</v>
      </c>
      <c r="C93" s="35" t="s">
        <v>260</v>
      </c>
      <c r="D93" s="32" t="s">
        <v>2752</v>
      </c>
      <c r="E93" s="80" t="s">
        <v>33</v>
      </c>
    </row>
    <row r="94">
      <c r="B94" s="32" t="s">
        <v>1225</v>
      </c>
      <c r="C94" s="35" t="s">
        <v>951</v>
      </c>
      <c r="D94" s="32" t="s">
        <v>764</v>
      </c>
      <c r="E94" s="80" t="s">
        <v>37</v>
      </c>
    </row>
    <row r="95">
      <c r="B95" s="32" t="s">
        <v>2754</v>
      </c>
      <c r="C95" s="35" t="s">
        <v>28</v>
      </c>
      <c r="D95" s="32" t="s">
        <v>2753</v>
      </c>
      <c r="E95" s="80" t="s">
        <v>33</v>
      </c>
    </row>
    <row r="96">
      <c r="B96" s="32" t="s">
        <v>1225</v>
      </c>
      <c r="C96" s="35" t="s">
        <v>2755</v>
      </c>
      <c r="D96" s="32" t="s">
        <v>2752</v>
      </c>
      <c r="E96" s="80" t="s">
        <v>37</v>
      </c>
    </row>
    <row r="97">
      <c r="B97" s="32" t="s">
        <v>2754</v>
      </c>
      <c r="C97" s="35" t="s">
        <v>7</v>
      </c>
      <c r="D97" s="32" t="s">
        <v>764</v>
      </c>
      <c r="E97" s="80" t="s">
        <v>33</v>
      </c>
    </row>
    <row r="98">
      <c r="B98" s="32" t="s">
        <v>2753</v>
      </c>
      <c r="C98" s="35" t="s">
        <v>197</v>
      </c>
      <c r="D98" s="32" t="s">
        <v>2752</v>
      </c>
      <c r="E98" s="80" t="s">
        <v>37</v>
      </c>
    </row>
    <row r="99">
      <c r="B99" s="32" t="s">
        <v>2754</v>
      </c>
      <c r="C99" s="35" t="s">
        <v>1466</v>
      </c>
      <c r="D99" s="32" t="s">
        <v>1225</v>
      </c>
      <c r="E99" s="80" t="s">
        <v>33</v>
      </c>
    </row>
    <row r="100">
      <c r="B100" s="32" t="s">
        <v>2753</v>
      </c>
      <c r="C100" s="35" t="s">
        <v>258</v>
      </c>
      <c r="D100" s="32" t="s">
        <v>764</v>
      </c>
      <c r="E100" s="80" t="s">
        <v>37</v>
      </c>
    </row>
    <row r="101">
      <c r="B101" s="32" t="s">
        <v>764</v>
      </c>
      <c r="C101" s="35" t="s">
        <v>416</v>
      </c>
      <c r="D101" s="32" t="s">
        <v>2752</v>
      </c>
      <c r="E101" s="80" t="s">
        <v>33</v>
      </c>
    </row>
    <row r="102">
      <c r="B102" s="32" t="s">
        <v>2753</v>
      </c>
      <c r="C102" s="35" t="s">
        <v>286</v>
      </c>
      <c r="D102" s="32" t="s">
        <v>1225</v>
      </c>
      <c r="E102" s="80" t="s">
        <v>37</v>
      </c>
    </row>
    <row r="103">
      <c r="B103" s="32" t="s">
        <v>2752</v>
      </c>
      <c r="C103" s="35" t="s">
        <v>238</v>
      </c>
      <c r="D103" s="32" t="s">
        <v>2754</v>
      </c>
      <c r="E103" s="80" t="s">
        <v>33</v>
      </c>
    </row>
    <row r="104">
      <c r="B104" s="32" t="s">
        <v>764</v>
      </c>
      <c r="C104" s="35" t="s">
        <v>2756</v>
      </c>
      <c r="D104" s="32" t="s">
        <v>1225</v>
      </c>
      <c r="E104" s="80" t="s">
        <v>37</v>
      </c>
    </row>
    <row r="105">
      <c r="B105" s="32" t="s">
        <v>2753</v>
      </c>
      <c r="C105" s="35" t="s">
        <v>220</v>
      </c>
      <c r="D105" s="32" t="s">
        <v>2754</v>
      </c>
      <c r="E105" s="80" t="s">
        <v>33</v>
      </c>
    </row>
    <row r="106">
      <c r="B106" s="32" t="s">
        <v>2752</v>
      </c>
      <c r="C106" s="35" t="s">
        <v>190</v>
      </c>
      <c r="D106" s="32" t="s">
        <v>1225</v>
      </c>
      <c r="E106" s="80" t="s">
        <v>37</v>
      </c>
    </row>
    <row r="107">
      <c r="B107" s="32" t="s">
        <v>764</v>
      </c>
      <c r="C107" s="35" t="s">
        <v>250</v>
      </c>
      <c r="D107" s="32" t="s">
        <v>2754</v>
      </c>
      <c r="E107" s="80" t="s">
        <v>33</v>
      </c>
    </row>
    <row r="108">
      <c r="B108" s="32" t="s">
        <v>2752</v>
      </c>
      <c r="C108" s="35" t="s">
        <v>81</v>
      </c>
      <c r="D108" s="32" t="s">
        <v>2753</v>
      </c>
      <c r="E108" s="80" t="s">
        <v>37</v>
      </c>
    </row>
    <row r="109">
      <c r="B109" s="32" t="s">
        <v>1225</v>
      </c>
      <c r="C109" s="35" t="s">
        <v>218</v>
      </c>
      <c r="D109" s="32" t="s">
        <v>2754</v>
      </c>
      <c r="E109" s="80" t="s">
        <v>33</v>
      </c>
    </row>
    <row r="110">
      <c r="B110" s="32" t="s">
        <v>764</v>
      </c>
      <c r="C110" s="35" t="s">
        <v>286</v>
      </c>
      <c r="D110" s="32" t="s">
        <v>2753</v>
      </c>
      <c r="E110" s="80" t="s">
        <v>37</v>
      </c>
    </row>
    <row r="111">
      <c r="B111" s="1" t="s">
        <v>2646</v>
      </c>
      <c r="C111" s="2"/>
      <c r="D111" s="3"/>
      <c r="E111" s="4"/>
    </row>
    <row r="112"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B113" s="32" t="s">
        <v>1947</v>
      </c>
      <c r="C113" s="33" t="s">
        <v>218</v>
      </c>
      <c r="D113" s="32" t="s">
        <v>2757</v>
      </c>
      <c r="E113" s="80" t="s">
        <v>33</v>
      </c>
    </row>
    <row r="114">
      <c r="B114" s="32" t="s">
        <v>2758</v>
      </c>
      <c r="C114" s="33" t="s">
        <v>426</v>
      </c>
      <c r="D114" s="32" t="s">
        <v>2759</v>
      </c>
      <c r="E114" s="80" t="s">
        <v>37</v>
      </c>
    </row>
    <row r="115">
      <c r="B115" s="32" t="s">
        <v>2760</v>
      </c>
      <c r="C115" s="33" t="s">
        <v>412</v>
      </c>
      <c r="D115" s="32" t="s">
        <v>1947</v>
      </c>
      <c r="E115" s="80" t="s">
        <v>33</v>
      </c>
    </row>
    <row r="116">
      <c r="B116" s="32" t="s">
        <v>2758</v>
      </c>
      <c r="C116" s="33" t="s">
        <v>435</v>
      </c>
      <c r="D116" s="32" t="s">
        <v>2757</v>
      </c>
      <c r="E116" s="80" t="s">
        <v>37</v>
      </c>
    </row>
    <row r="117">
      <c r="B117" s="32" t="s">
        <v>2760</v>
      </c>
      <c r="C117" s="33" t="s">
        <v>67</v>
      </c>
      <c r="D117" s="32" t="s">
        <v>2759</v>
      </c>
      <c r="E117" s="80" t="s">
        <v>33</v>
      </c>
    </row>
    <row r="118">
      <c r="B118" s="32" t="s">
        <v>2758</v>
      </c>
      <c r="C118" s="33" t="s">
        <v>217</v>
      </c>
      <c r="D118" s="32" t="s">
        <v>1947</v>
      </c>
      <c r="E118" s="80" t="s">
        <v>37</v>
      </c>
    </row>
    <row r="119">
      <c r="B119" s="32" t="s">
        <v>2760</v>
      </c>
      <c r="C119" s="33" t="s">
        <v>86</v>
      </c>
      <c r="D119" s="32" t="s">
        <v>2757</v>
      </c>
      <c r="E119" s="80" t="s">
        <v>33</v>
      </c>
    </row>
    <row r="120">
      <c r="B120" s="32" t="s">
        <v>2759</v>
      </c>
      <c r="C120" s="33" t="s">
        <v>835</v>
      </c>
      <c r="D120" s="32" t="s">
        <v>1947</v>
      </c>
      <c r="E120" s="80" t="s">
        <v>37</v>
      </c>
    </row>
    <row r="121">
      <c r="B121" s="32" t="s">
        <v>2760</v>
      </c>
      <c r="C121" s="33" t="s">
        <v>193</v>
      </c>
      <c r="D121" s="32" t="s">
        <v>2758</v>
      </c>
      <c r="E121" s="80" t="s">
        <v>33</v>
      </c>
    </row>
    <row r="122">
      <c r="B122" s="32" t="s">
        <v>2759</v>
      </c>
      <c r="C122" s="33" t="s">
        <v>2761</v>
      </c>
      <c r="D122" s="32" t="s">
        <v>2757</v>
      </c>
      <c r="E122" s="80" t="s">
        <v>37</v>
      </c>
    </row>
    <row r="123">
      <c r="B123" s="32" t="s">
        <v>2757</v>
      </c>
      <c r="C123" s="33" t="s">
        <v>88</v>
      </c>
      <c r="D123" s="32" t="s">
        <v>1947</v>
      </c>
      <c r="E123" s="80" t="s">
        <v>33</v>
      </c>
    </row>
    <row r="124">
      <c r="B124" s="32" t="s">
        <v>2759</v>
      </c>
      <c r="C124" s="33" t="s">
        <v>195</v>
      </c>
      <c r="D124" s="32" t="s">
        <v>2758</v>
      </c>
      <c r="E124" s="80" t="s">
        <v>37</v>
      </c>
    </row>
    <row r="125">
      <c r="B125" s="32" t="s">
        <v>1947</v>
      </c>
      <c r="C125" s="35" t="s">
        <v>249</v>
      </c>
      <c r="D125" s="32" t="s">
        <v>2760</v>
      </c>
      <c r="E125" s="80" t="s">
        <v>33</v>
      </c>
    </row>
    <row r="126">
      <c r="B126" s="32" t="s">
        <v>2757</v>
      </c>
      <c r="C126" s="35" t="s">
        <v>488</v>
      </c>
      <c r="D126" s="32" t="s">
        <v>2758</v>
      </c>
      <c r="E126" s="80" t="s">
        <v>37</v>
      </c>
    </row>
    <row r="127">
      <c r="B127" s="32" t="s">
        <v>2759</v>
      </c>
      <c r="C127" s="35" t="s">
        <v>218</v>
      </c>
      <c r="D127" s="32" t="s">
        <v>2760</v>
      </c>
      <c r="E127" s="80" t="s">
        <v>33</v>
      </c>
    </row>
    <row r="128">
      <c r="B128" s="32" t="s">
        <v>1947</v>
      </c>
      <c r="C128" s="35" t="s">
        <v>411</v>
      </c>
      <c r="D128" s="32" t="s">
        <v>2758</v>
      </c>
      <c r="E128" s="80" t="s">
        <v>37</v>
      </c>
    </row>
    <row r="129">
      <c r="B129" s="32" t="s">
        <v>2757</v>
      </c>
      <c r="C129" s="35" t="s">
        <v>66</v>
      </c>
      <c r="D129" s="32" t="s">
        <v>2760</v>
      </c>
      <c r="E129" s="80" t="s">
        <v>33</v>
      </c>
    </row>
    <row r="130">
      <c r="B130" s="32" t="s">
        <v>1947</v>
      </c>
      <c r="C130" s="35" t="s">
        <v>72</v>
      </c>
      <c r="D130" s="32" t="s">
        <v>2759</v>
      </c>
      <c r="E130" s="80" t="s">
        <v>37</v>
      </c>
    </row>
    <row r="131">
      <c r="B131" s="32" t="s">
        <v>2758</v>
      </c>
      <c r="C131" s="35" t="s">
        <v>239</v>
      </c>
      <c r="D131" s="32" t="s">
        <v>2760</v>
      </c>
      <c r="E131" s="80" t="s">
        <v>33</v>
      </c>
    </row>
    <row r="132">
      <c r="B132" s="32" t="s">
        <v>2757</v>
      </c>
      <c r="C132" s="35" t="s">
        <v>412</v>
      </c>
      <c r="D132" s="32" t="s">
        <v>2759</v>
      </c>
      <c r="E132" s="80" t="s">
        <v>37</v>
      </c>
    </row>
    <row r="133">
      <c r="B133" s="1" t="s">
        <v>2041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32" t="s">
        <v>515</v>
      </c>
      <c r="C135" s="35" t="s">
        <v>23</v>
      </c>
      <c r="D135" s="32" t="s">
        <v>2608</v>
      </c>
      <c r="E135" s="11" t="s">
        <v>9</v>
      </c>
    </row>
    <row r="136">
      <c r="B136" s="32" t="s">
        <v>8</v>
      </c>
      <c r="C136" s="35" t="s">
        <v>270</v>
      </c>
      <c r="D136" s="32" t="s">
        <v>2762</v>
      </c>
      <c r="E136" s="11" t="s">
        <v>13</v>
      </c>
    </row>
    <row r="137">
      <c r="B137" s="32" t="s">
        <v>2763</v>
      </c>
      <c r="C137" s="35" t="s">
        <v>215</v>
      </c>
      <c r="D137" s="32" t="s">
        <v>515</v>
      </c>
      <c r="E137" s="11" t="s">
        <v>9</v>
      </c>
    </row>
    <row r="138">
      <c r="B138" s="32" t="s">
        <v>8</v>
      </c>
      <c r="C138" s="35" t="s">
        <v>328</v>
      </c>
      <c r="D138" s="32" t="s">
        <v>2608</v>
      </c>
      <c r="E138" s="11" t="s">
        <v>13</v>
      </c>
    </row>
    <row r="139">
      <c r="B139" s="32" t="s">
        <v>2763</v>
      </c>
      <c r="C139" s="35" t="s">
        <v>67</v>
      </c>
      <c r="D139" s="32" t="s">
        <v>2762</v>
      </c>
      <c r="E139" s="11" t="s">
        <v>9</v>
      </c>
    </row>
    <row r="140">
      <c r="B140" s="32" t="s">
        <v>8</v>
      </c>
      <c r="C140" s="35" t="s">
        <v>25</v>
      </c>
      <c r="D140" s="32" t="s">
        <v>515</v>
      </c>
      <c r="E140" s="11" t="s">
        <v>13</v>
      </c>
    </row>
    <row r="141">
      <c r="B141" s="32" t="s">
        <v>2763</v>
      </c>
      <c r="C141" s="35" t="s">
        <v>534</v>
      </c>
      <c r="D141" s="32" t="s">
        <v>2608</v>
      </c>
      <c r="E141" s="11" t="s">
        <v>9</v>
      </c>
    </row>
    <row r="142">
      <c r="B142" s="32" t="s">
        <v>2762</v>
      </c>
      <c r="C142" s="35" t="s">
        <v>195</v>
      </c>
      <c r="D142" s="32" t="s">
        <v>515</v>
      </c>
      <c r="E142" s="11" t="s">
        <v>13</v>
      </c>
    </row>
    <row r="143">
      <c r="B143" s="32" t="s">
        <v>2763</v>
      </c>
      <c r="C143" s="35" t="s">
        <v>22</v>
      </c>
      <c r="D143" s="32" t="s">
        <v>8</v>
      </c>
      <c r="E143" s="11" t="s">
        <v>9</v>
      </c>
    </row>
    <row r="144">
      <c r="B144" s="32" t="s">
        <v>2762</v>
      </c>
      <c r="C144" s="35" t="s">
        <v>43</v>
      </c>
      <c r="D144" s="32" t="s">
        <v>2608</v>
      </c>
      <c r="E144" s="11" t="s">
        <v>13</v>
      </c>
    </row>
    <row r="145">
      <c r="B145" s="32" t="s">
        <v>2608</v>
      </c>
      <c r="C145" s="35" t="s">
        <v>460</v>
      </c>
      <c r="D145" s="32" t="s">
        <v>515</v>
      </c>
      <c r="E145" s="11" t="s">
        <v>9</v>
      </c>
    </row>
    <row r="146">
      <c r="B146" s="32" t="s">
        <v>2762</v>
      </c>
      <c r="C146" s="35" t="s">
        <v>20</v>
      </c>
      <c r="D146" s="32" t="s">
        <v>8</v>
      </c>
      <c r="E146" s="11" t="s">
        <v>13</v>
      </c>
    </row>
    <row r="147">
      <c r="B147" s="32" t="s">
        <v>515</v>
      </c>
      <c r="C147" s="35" t="s">
        <v>270</v>
      </c>
      <c r="D147" s="32" t="s">
        <v>2763</v>
      </c>
      <c r="E147" s="11" t="s">
        <v>9</v>
      </c>
    </row>
    <row r="148">
      <c r="B148" s="32" t="s">
        <v>2608</v>
      </c>
      <c r="C148" s="35" t="s">
        <v>196</v>
      </c>
      <c r="D148" s="32" t="s">
        <v>8</v>
      </c>
      <c r="E148" s="11" t="s">
        <v>13</v>
      </c>
    </row>
    <row r="149">
      <c r="B149" s="32" t="s">
        <v>2762</v>
      </c>
      <c r="C149" s="35" t="s">
        <v>195</v>
      </c>
      <c r="D149" s="32" t="s">
        <v>2763</v>
      </c>
      <c r="E149" s="11" t="s">
        <v>9</v>
      </c>
    </row>
    <row r="150">
      <c r="B150" s="32" t="s">
        <v>515</v>
      </c>
      <c r="C150" s="35" t="s">
        <v>1311</v>
      </c>
      <c r="D150" s="32" t="s">
        <v>8</v>
      </c>
      <c r="E150" s="11" t="s">
        <v>13</v>
      </c>
    </row>
    <row r="151">
      <c r="B151" s="32" t="s">
        <v>2608</v>
      </c>
      <c r="C151" s="35" t="s">
        <v>87</v>
      </c>
      <c r="D151" s="32" t="s">
        <v>2763</v>
      </c>
      <c r="E151" s="11" t="s">
        <v>9</v>
      </c>
    </row>
    <row r="152">
      <c r="B152" s="32" t="s">
        <v>515</v>
      </c>
      <c r="C152" s="35" t="s">
        <v>291</v>
      </c>
      <c r="D152" s="32" t="s">
        <v>2762</v>
      </c>
      <c r="E152" s="11" t="s">
        <v>13</v>
      </c>
    </row>
    <row r="153">
      <c r="B153" s="32" t="s">
        <v>8</v>
      </c>
      <c r="C153" s="35" t="s">
        <v>578</v>
      </c>
      <c r="D153" s="32" t="s">
        <v>2763</v>
      </c>
      <c r="E153" s="11" t="s">
        <v>9</v>
      </c>
    </row>
    <row r="154">
      <c r="B154" s="32" t="s">
        <v>2608</v>
      </c>
      <c r="C154" s="35" t="s">
        <v>190</v>
      </c>
      <c r="D154" s="32" t="s">
        <v>2762</v>
      </c>
      <c r="E154" s="11" t="s">
        <v>13</v>
      </c>
    </row>
    <row r="155">
      <c r="B155" s="1" t="s">
        <v>2764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B157" s="32" t="s">
        <v>1929</v>
      </c>
      <c r="C157" s="35" t="s">
        <v>19</v>
      </c>
      <c r="D157" s="32" t="s">
        <v>2011</v>
      </c>
      <c r="E157" s="11" t="s">
        <v>9</v>
      </c>
    </row>
    <row r="158">
      <c r="B158" s="32" t="s">
        <v>2765</v>
      </c>
      <c r="C158" s="35" t="s">
        <v>72</v>
      </c>
      <c r="D158" s="32" t="s">
        <v>2766</v>
      </c>
      <c r="E158" s="11" t="s">
        <v>13</v>
      </c>
    </row>
    <row r="159">
      <c r="B159" s="32" t="s">
        <v>2767</v>
      </c>
      <c r="C159" s="35" t="s">
        <v>17</v>
      </c>
      <c r="D159" s="32" t="s">
        <v>1929</v>
      </c>
      <c r="E159" s="11" t="s">
        <v>9</v>
      </c>
    </row>
    <row r="160">
      <c r="B160" s="32" t="s">
        <v>2765</v>
      </c>
      <c r="C160" s="35" t="s">
        <v>69</v>
      </c>
      <c r="D160" s="32" t="s">
        <v>2011</v>
      </c>
      <c r="E160" s="11" t="s">
        <v>13</v>
      </c>
    </row>
    <row r="161">
      <c r="B161" s="32" t="s">
        <v>2767</v>
      </c>
      <c r="C161" s="35" t="s">
        <v>43</v>
      </c>
      <c r="D161" s="32" t="s">
        <v>2766</v>
      </c>
      <c r="E161" s="11" t="s">
        <v>9</v>
      </c>
    </row>
    <row r="162">
      <c r="B162" s="32" t="s">
        <v>2765</v>
      </c>
      <c r="C162" s="35" t="s">
        <v>42</v>
      </c>
      <c r="D162" s="32" t="s">
        <v>1929</v>
      </c>
      <c r="E162" s="11" t="s">
        <v>13</v>
      </c>
    </row>
    <row r="163">
      <c r="B163" s="32" t="s">
        <v>2767</v>
      </c>
      <c r="C163" s="35" t="s">
        <v>220</v>
      </c>
      <c r="D163" s="32" t="s">
        <v>2011</v>
      </c>
      <c r="E163" s="11" t="s">
        <v>9</v>
      </c>
    </row>
    <row r="164">
      <c r="B164" s="32" t="s">
        <v>2766</v>
      </c>
      <c r="C164" s="35" t="s">
        <v>197</v>
      </c>
      <c r="D164" s="32" t="s">
        <v>1929</v>
      </c>
      <c r="E164" s="11" t="s">
        <v>13</v>
      </c>
    </row>
    <row r="165">
      <c r="B165" s="32" t="s">
        <v>2767</v>
      </c>
      <c r="C165" s="35" t="s">
        <v>26</v>
      </c>
      <c r="D165" s="32" t="s">
        <v>2765</v>
      </c>
      <c r="E165" s="11" t="s">
        <v>9</v>
      </c>
    </row>
    <row r="166">
      <c r="B166" s="32" t="s">
        <v>2766</v>
      </c>
      <c r="C166" s="35" t="s">
        <v>197</v>
      </c>
      <c r="D166" s="32" t="s">
        <v>2011</v>
      </c>
      <c r="E166" s="11" t="s">
        <v>13</v>
      </c>
    </row>
    <row r="167">
      <c r="B167" s="32" t="s">
        <v>2011</v>
      </c>
      <c r="C167" s="35" t="s">
        <v>11</v>
      </c>
      <c r="D167" s="32" t="s">
        <v>1929</v>
      </c>
      <c r="E167" s="11" t="s">
        <v>9</v>
      </c>
    </row>
    <row r="168">
      <c r="B168" s="32" t="s">
        <v>2766</v>
      </c>
      <c r="C168" s="35" t="s">
        <v>11</v>
      </c>
      <c r="D168" s="32" t="s">
        <v>2765</v>
      </c>
      <c r="E168" s="11" t="s">
        <v>13</v>
      </c>
    </row>
    <row r="169">
      <c r="B169" s="32" t="s">
        <v>1929</v>
      </c>
      <c r="C169" s="35" t="s">
        <v>261</v>
      </c>
      <c r="D169" s="32" t="s">
        <v>2767</v>
      </c>
      <c r="E169" s="11" t="s">
        <v>9</v>
      </c>
    </row>
    <row r="170">
      <c r="B170" s="32" t="s">
        <v>2011</v>
      </c>
      <c r="C170" s="35" t="s">
        <v>369</v>
      </c>
      <c r="D170" s="32" t="s">
        <v>2765</v>
      </c>
      <c r="E170" s="11" t="s">
        <v>13</v>
      </c>
    </row>
    <row r="171">
      <c r="B171" s="32" t="s">
        <v>2766</v>
      </c>
      <c r="C171" s="35" t="s">
        <v>87</v>
      </c>
      <c r="D171" s="32" t="s">
        <v>2767</v>
      </c>
      <c r="E171" s="11" t="s">
        <v>9</v>
      </c>
    </row>
    <row r="172">
      <c r="B172" s="32" t="s">
        <v>1929</v>
      </c>
      <c r="C172" s="35" t="s">
        <v>481</v>
      </c>
      <c r="D172" s="32" t="s">
        <v>2765</v>
      </c>
      <c r="E172" s="11" t="s">
        <v>13</v>
      </c>
    </row>
    <row r="173">
      <c r="B173" s="32" t="s">
        <v>2011</v>
      </c>
      <c r="C173" s="35" t="s">
        <v>201</v>
      </c>
      <c r="D173" s="32" t="s">
        <v>2767</v>
      </c>
      <c r="E173" s="11" t="s">
        <v>9</v>
      </c>
    </row>
    <row r="174">
      <c r="B174" s="32" t="s">
        <v>1929</v>
      </c>
      <c r="C174" s="35" t="s">
        <v>579</v>
      </c>
      <c r="D174" s="32" t="s">
        <v>2766</v>
      </c>
      <c r="E174" s="11" t="s">
        <v>13</v>
      </c>
    </row>
    <row r="175">
      <c r="B175" s="32" t="s">
        <v>2765</v>
      </c>
      <c r="C175" s="35" t="s">
        <v>62</v>
      </c>
      <c r="D175" s="32" t="s">
        <v>2767</v>
      </c>
      <c r="E175" s="11" t="s">
        <v>9</v>
      </c>
    </row>
    <row r="176">
      <c r="B176" s="32" t="s">
        <v>2011</v>
      </c>
      <c r="C176" s="35" t="s">
        <v>765</v>
      </c>
      <c r="D176" s="32" t="s">
        <v>2766</v>
      </c>
      <c r="E176" s="11" t="s">
        <v>13</v>
      </c>
    </row>
    <row r="177">
      <c r="B177" s="1" t="s">
        <v>2768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B179" s="32" t="s">
        <v>2701</v>
      </c>
      <c r="C179" s="33" t="s">
        <v>83</v>
      </c>
      <c r="D179" s="32" t="s">
        <v>2330</v>
      </c>
      <c r="E179" s="80" t="s">
        <v>33</v>
      </c>
    </row>
    <row r="180">
      <c r="B180" s="32" t="s">
        <v>1907</v>
      </c>
      <c r="C180" s="33" t="s">
        <v>196</v>
      </c>
      <c r="D180" s="32" t="s">
        <v>2173</v>
      </c>
      <c r="E180" s="80" t="s">
        <v>37</v>
      </c>
    </row>
    <row r="181">
      <c r="B181" s="32" t="s">
        <v>2734</v>
      </c>
      <c r="C181" s="33" t="s">
        <v>201</v>
      </c>
      <c r="D181" s="32" t="s">
        <v>2701</v>
      </c>
      <c r="E181" s="80" t="s">
        <v>33</v>
      </c>
    </row>
    <row r="182">
      <c r="B182" s="32" t="s">
        <v>1907</v>
      </c>
      <c r="C182" s="33" t="s">
        <v>912</v>
      </c>
      <c r="D182" s="32" t="s">
        <v>2330</v>
      </c>
      <c r="E182" s="80" t="s">
        <v>37</v>
      </c>
    </row>
    <row r="183">
      <c r="B183" s="32" t="s">
        <v>2734</v>
      </c>
      <c r="C183" s="33" t="s">
        <v>67</v>
      </c>
      <c r="D183" s="32" t="s">
        <v>2173</v>
      </c>
      <c r="E183" s="80" t="s">
        <v>33</v>
      </c>
    </row>
    <row r="184">
      <c r="B184" s="32" t="s">
        <v>1907</v>
      </c>
      <c r="C184" s="33" t="s">
        <v>81</v>
      </c>
      <c r="D184" s="32" t="s">
        <v>2701</v>
      </c>
      <c r="E184" s="80" t="s">
        <v>37</v>
      </c>
    </row>
    <row r="185">
      <c r="B185" s="32" t="s">
        <v>2734</v>
      </c>
      <c r="C185" s="33" t="s">
        <v>1019</v>
      </c>
      <c r="D185" s="32" t="s">
        <v>2330</v>
      </c>
      <c r="E185" s="80" t="s">
        <v>33</v>
      </c>
    </row>
    <row r="186">
      <c r="B186" s="32" t="s">
        <v>2173</v>
      </c>
      <c r="C186" s="33" t="s">
        <v>71</v>
      </c>
      <c r="D186" s="32" t="s">
        <v>2701</v>
      </c>
      <c r="E186" s="80" t="s">
        <v>37</v>
      </c>
    </row>
    <row r="187">
      <c r="B187" s="32" t="s">
        <v>2734</v>
      </c>
      <c r="C187" s="33" t="s">
        <v>196</v>
      </c>
      <c r="D187" s="32" t="s">
        <v>1907</v>
      </c>
      <c r="E187" s="80" t="s">
        <v>33</v>
      </c>
    </row>
    <row r="188">
      <c r="B188" s="32" t="s">
        <v>2173</v>
      </c>
      <c r="C188" s="33" t="s">
        <v>259</v>
      </c>
      <c r="D188" s="32" t="s">
        <v>2330</v>
      </c>
      <c r="E188" s="80" t="s">
        <v>37</v>
      </c>
    </row>
    <row r="189">
      <c r="B189" s="32" t="s">
        <v>2330</v>
      </c>
      <c r="C189" s="33" t="s">
        <v>190</v>
      </c>
      <c r="D189" s="32" t="s">
        <v>2701</v>
      </c>
      <c r="E189" s="80" t="s">
        <v>33</v>
      </c>
    </row>
    <row r="190">
      <c r="B190" s="32" t="s">
        <v>2173</v>
      </c>
      <c r="C190" s="33" t="s">
        <v>25</v>
      </c>
      <c r="D190" s="32" t="s">
        <v>1907</v>
      </c>
      <c r="E190" s="80" t="s">
        <v>37</v>
      </c>
    </row>
    <row r="191">
      <c r="B191" s="32" t="s">
        <v>2701</v>
      </c>
      <c r="C191" s="35" t="s">
        <v>26</v>
      </c>
      <c r="D191" s="32" t="s">
        <v>2734</v>
      </c>
      <c r="E191" s="80" t="s">
        <v>33</v>
      </c>
    </row>
    <row r="192">
      <c r="B192" s="32" t="s">
        <v>2330</v>
      </c>
      <c r="C192" s="35" t="s">
        <v>285</v>
      </c>
      <c r="D192" s="32" t="s">
        <v>1907</v>
      </c>
      <c r="E192" s="80" t="s">
        <v>37</v>
      </c>
    </row>
    <row r="193">
      <c r="B193" s="32" t="s">
        <v>2173</v>
      </c>
      <c r="C193" s="35" t="s">
        <v>337</v>
      </c>
      <c r="D193" s="32" t="s">
        <v>2734</v>
      </c>
      <c r="E193" s="80" t="s">
        <v>33</v>
      </c>
    </row>
    <row r="194">
      <c r="B194" s="32" t="s">
        <v>2701</v>
      </c>
      <c r="C194" s="35" t="s">
        <v>11</v>
      </c>
      <c r="D194" s="32" t="s">
        <v>1907</v>
      </c>
      <c r="E194" s="80" t="s">
        <v>37</v>
      </c>
    </row>
    <row r="195">
      <c r="B195" s="32" t="s">
        <v>2330</v>
      </c>
      <c r="C195" s="35" t="s">
        <v>274</v>
      </c>
      <c r="D195" s="32" t="s">
        <v>2734</v>
      </c>
      <c r="E195" s="80" t="s">
        <v>33</v>
      </c>
    </row>
    <row r="196">
      <c r="B196" s="32" t="s">
        <v>2701</v>
      </c>
      <c r="C196" s="35" t="s">
        <v>814</v>
      </c>
      <c r="D196" s="32" t="s">
        <v>2173</v>
      </c>
      <c r="E196" s="80" t="s">
        <v>37</v>
      </c>
    </row>
    <row r="197">
      <c r="B197" s="32" t="s">
        <v>1907</v>
      </c>
      <c r="C197" s="35" t="s">
        <v>28</v>
      </c>
      <c r="D197" s="32" t="s">
        <v>2734</v>
      </c>
      <c r="E197" s="80" t="s">
        <v>33</v>
      </c>
    </row>
    <row r="198">
      <c r="B198" s="32" t="s">
        <v>2330</v>
      </c>
      <c r="C198" s="35" t="s">
        <v>68</v>
      </c>
      <c r="D198" s="32" t="s">
        <v>2173</v>
      </c>
      <c r="E198" s="80" t="s">
        <v>37</v>
      </c>
    </row>
    <row r="199">
      <c r="B199" s="1" t="s">
        <v>2769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B201" s="32" t="s">
        <v>2770</v>
      </c>
      <c r="C201" s="33" t="s">
        <v>58</v>
      </c>
      <c r="D201" s="32" t="s">
        <v>844</v>
      </c>
      <c r="E201" s="80" t="s">
        <v>33</v>
      </c>
    </row>
    <row r="202">
      <c r="B202" s="32" t="s">
        <v>2771</v>
      </c>
      <c r="C202" s="33" t="s">
        <v>11</v>
      </c>
      <c r="D202" s="32" t="s">
        <v>2772</v>
      </c>
      <c r="E202" s="80" t="s">
        <v>37</v>
      </c>
    </row>
    <row r="203">
      <c r="B203" s="32" t="s">
        <v>2773</v>
      </c>
      <c r="C203" s="33" t="s">
        <v>88</v>
      </c>
      <c r="D203" s="32" t="s">
        <v>2770</v>
      </c>
      <c r="E203" s="80" t="s">
        <v>33</v>
      </c>
    </row>
    <row r="204">
      <c r="B204" s="32" t="s">
        <v>2771</v>
      </c>
      <c r="C204" s="33" t="s">
        <v>203</v>
      </c>
      <c r="D204" s="32" t="s">
        <v>844</v>
      </c>
      <c r="E204" s="80" t="s">
        <v>37</v>
      </c>
    </row>
    <row r="205">
      <c r="B205" s="32" t="s">
        <v>2773</v>
      </c>
      <c r="C205" s="33" t="s">
        <v>82</v>
      </c>
      <c r="D205" s="32" t="s">
        <v>2772</v>
      </c>
      <c r="E205" s="80" t="s">
        <v>33</v>
      </c>
    </row>
    <row r="206">
      <c r="B206" s="32" t="s">
        <v>2771</v>
      </c>
      <c r="C206" s="33" t="s">
        <v>87</v>
      </c>
      <c r="D206" s="32" t="s">
        <v>2770</v>
      </c>
      <c r="E206" s="80" t="s">
        <v>37</v>
      </c>
    </row>
    <row r="207">
      <c r="B207" s="32" t="s">
        <v>2773</v>
      </c>
      <c r="C207" s="33" t="s">
        <v>267</v>
      </c>
      <c r="D207" s="32" t="s">
        <v>844</v>
      </c>
      <c r="E207" s="80" t="s">
        <v>33</v>
      </c>
    </row>
    <row r="208">
      <c r="B208" s="32" t="s">
        <v>2772</v>
      </c>
      <c r="C208" s="33" t="s">
        <v>47</v>
      </c>
      <c r="D208" s="32" t="s">
        <v>2770</v>
      </c>
      <c r="E208" s="80" t="s">
        <v>37</v>
      </c>
    </row>
    <row r="209">
      <c r="B209" s="32" t="s">
        <v>2773</v>
      </c>
      <c r="C209" s="33" t="s">
        <v>45</v>
      </c>
      <c r="D209" s="32" t="s">
        <v>2771</v>
      </c>
      <c r="E209" s="80" t="s">
        <v>33</v>
      </c>
    </row>
    <row r="210">
      <c r="B210" s="32" t="s">
        <v>2772</v>
      </c>
      <c r="C210" s="33" t="s">
        <v>19</v>
      </c>
      <c r="D210" s="32" t="s">
        <v>844</v>
      </c>
      <c r="E210" s="80" t="s">
        <v>37</v>
      </c>
    </row>
    <row r="211">
      <c r="B211" s="32" t="s">
        <v>844</v>
      </c>
      <c r="C211" s="33" t="s">
        <v>78</v>
      </c>
      <c r="D211" s="32" t="s">
        <v>2770</v>
      </c>
      <c r="E211" s="80" t="s">
        <v>33</v>
      </c>
    </row>
    <row r="212">
      <c r="B212" s="32" t="s">
        <v>2772</v>
      </c>
      <c r="C212" s="33" t="s">
        <v>17</v>
      </c>
      <c r="D212" s="32" t="s">
        <v>2771</v>
      </c>
      <c r="E212" s="80" t="s">
        <v>37</v>
      </c>
    </row>
    <row r="213">
      <c r="B213" s="32" t="s">
        <v>2770</v>
      </c>
      <c r="C213" s="35" t="s">
        <v>50</v>
      </c>
      <c r="D213" s="32" t="s">
        <v>2773</v>
      </c>
      <c r="E213" s="80" t="s">
        <v>33</v>
      </c>
    </row>
    <row r="214">
      <c r="B214" s="32" t="s">
        <v>844</v>
      </c>
      <c r="C214" s="35" t="s">
        <v>43</v>
      </c>
      <c r="D214" s="32" t="s">
        <v>2771</v>
      </c>
      <c r="E214" s="80" t="s">
        <v>37</v>
      </c>
    </row>
    <row r="215">
      <c r="B215" s="32" t="s">
        <v>2772</v>
      </c>
      <c r="C215" s="35" t="s">
        <v>197</v>
      </c>
      <c r="D215" s="32" t="s">
        <v>2773</v>
      </c>
      <c r="E215" s="80" t="s">
        <v>33</v>
      </c>
    </row>
    <row r="216">
      <c r="B216" s="32" t="s">
        <v>2770</v>
      </c>
      <c r="C216" s="35" t="s">
        <v>284</v>
      </c>
      <c r="D216" s="32" t="s">
        <v>2771</v>
      </c>
      <c r="E216" s="80" t="s">
        <v>37</v>
      </c>
    </row>
    <row r="217">
      <c r="B217" s="32" t="s">
        <v>844</v>
      </c>
      <c r="C217" s="35" t="s">
        <v>2774</v>
      </c>
      <c r="D217" s="32" t="s">
        <v>2773</v>
      </c>
      <c r="E217" s="80" t="s">
        <v>33</v>
      </c>
    </row>
    <row r="218">
      <c r="B218" s="32" t="s">
        <v>2770</v>
      </c>
      <c r="C218" s="35" t="s">
        <v>201</v>
      </c>
      <c r="D218" s="32" t="s">
        <v>2772</v>
      </c>
      <c r="E218" s="80" t="s">
        <v>37</v>
      </c>
    </row>
    <row r="219">
      <c r="B219" s="32" t="s">
        <v>2771</v>
      </c>
      <c r="C219" s="35" t="s">
        <v>2775</v>
      </c>
      <c r="D219" s="32" t="s">
        <v>2773</v>
      </c>
      <c r="E219" s="80" t="s">
        <v>33</v>
      </c>
    </row>
    <row r="220">
      <c r="B220" s="32" t="s">
        <v>844</v>
      </c>
      <c r="C220" s="35" t="s">
        <v>190</v>
      </c>
      <c r="D220" s="32" t="s">
        <v>2772</v>
      </c>
      <c r="E220" s="80" t="s">
        <v>37</v>
      </c>
    </row>
    <row r="221">
      <c r="B221" s="28" t="s">
        <v>2661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34" t="s">
        <v>2776</v>
      </c>
      <c r="C223" s="35" t="s">
        <v>28</v>
      </c>
      <c r="D223" s="34" t="s">
        <v>2777</v>
      </c>
      <c r="E223" s="11" t="s">
        <v>9</v>
      </c>
    </row>
    <row r="224">
      <c r="B224" s="34" t="s">
        <v>2778</v>
      </c>
      <c r="C224" s="35" t="s">
        <v>2779</v>
      </c>
      <c r="D224" s="34" t="s">
        <v>2625</v>
      </c>
      <c r="E224" s="11" t="s">
        <v>13</v>
      </c>
    </row>
    <row r="225">
      <c r="B225" s="34" t="s">
        <v>2662</v>
      </c>
      <c r="C225" s="35" t="s">
        <v>22</v>
      </c>
      <c r="D225" s="34" t="s">
        <v>2776</v>
      </c>
      <c r="E225" s="11" t="s">
        <v>9</v>
      </c>
    </row>
    <row r="226">
      <c r="B226" s="34" t="s">
        <v>2778</v>
      </c>
      <c r="C226" s="35" t="s">
        <v>1937</v>
      </c>
      <c r="D226" s="34" t="s">
        <v>2777</v>
      </c>
      <c r="E226" s="11" t="s">
        <v>13</v>
      </c>
    </row>
    <row r="227">
      <c r="B227" s="34" t="s">
        <v>2662</v>
      </c>
      <c r="C227" s="35" t="s">
        <v>220</v>
      </c>
      <c r="D227" s="34" t="s">
        <v>2625</v>
      </c>
      <c r="E227" s="11" t="s">
        <v>9</v>
      </c>
    </row>
    <row r="228">
      <c r="B228" s="34" t="s">
        <v>2778</v>
      </c>
      <c r="C228" s="35" t="s">
        <v>217</v>
      </c>
      <c r="D228" s="34" t="s">
        <v>2776</v>
      </c>
      <c r="E228" s="11" t="s">
        <v>13</v>
      </c>
    </row>
    <row r="229">
      <c r="B229" s="34" t="s">
        <v>2662</v>
      </c>
      <c r="C229" s="35" t="s">
        <v>201</v>
      </c>
      <c r="D229" s="34" t="s">
        <v>2777</v>
      </c>
      <c r="E229" s="11" t="s">
        <v>9</v>
      </c>
    </row>
    <row r="230">
      <c r="B230" s="34" t="s">
        <v>2625</v>
      </c>
      <c r="C230" s="35" t="s">
        <v>217</v>
      </c>
      <c r="D230" s="34" t="s">
        <v>2776</v>
      </c>
      <c r="E230" s="11" t="s">
        <v>13</v>
      </c>
    </row>
    <row r="231">
      <c r="B231" s="34" t="s">
        <v>2662</v>
      </c>
      <c r="C231" s="35" t="s">
        <v>274</v>
      </c>
      <c r="D231" s="34" t="s">
        <v>2778</v>
      </c>
      <c r="E231" s="11" t="s">
        <v>9</v>
      </c>
    </row>
    <row r="232">
      <c r="B232" s="34" t="s">
        <v>2625</v>
      </c>
      <c r="C232" s="35" t="s">
        <v>363</v>
      </c>
      <c r="D232" s="34" t="s">
        <v>2777</v>
      </c>
      <c r="E232" s="11" t="s">
        <v>13</v>
      </c>
    </row>
    <row r="233">
      <c r="B233" s="34" t="s">
        <v>2777</v>
      </c>
      <c r="C233" s="35" t="s">
        <v>260</v>
      </c>
      <c r="D233" s="34" t="s">
        <v>2776</v>
      </c>
      <c r="E233" s="11" t="s">
        <v>9</v>
      </c>
    </row>
    <row r="234">
      <c r="B234" s="34" t="s">
        <v>2625</v>
      </c>
      <c r="C234" s="35" t="s">
        <v>212</v>
      </c>
      <c r="D234" s="34" t="s">
        <v>2778</v>
      </c>
      <c r="E234" s="11" t="s">
        <v>13</v>
      </c>
    </row>
    <row r="235">
      <c r="B235" s="34" t="s">
        <v>2776</v>
      </c>
      <c r="C235" s="35" t="s">
        <v>187</v>
      </c>
      <c r="D235" s="34" t="s">
        <v>2662</v>
      </c>
      <c r="E235" s="11" t="s">
        <v>9</v>
      </c>
    </row>
    <row r="236">
      <c r="B236" s="34" t="s">
        <v>2777</v>
      </c>
      <c r="C236" s="35" t="s">
        <v>282</v>
      </c>
      <c r="D236" s="34" t="s">
        <v>2778</v>
      </c>
      <c r="E236" s="11" t="s">
        <v>13</v>
      </c>
    </row>
    <row r="237">
      <c r="B237" s="34" t="s">
        <v>2625</v>
      </c>
      <c r="C237" s="35" t="s">
        <v>751</v>
      </c>
      <c r="D237" s="34" t="s">
        <v>2662</v>
      </c>
      <c r="E237" s="11" t="s">
        <v>9</v>
      </c>
    </row>
    <row r="238">
      <c r="B238" s="34" t="s">
        <v>2776</v>
      </c>
      <c r="C238" s="35" t="s">
        <v>197</v>
      </c>
      <c r="D238" s="34" t="s">
        <v>2778</v>
      </c>
      <c r="E238" s="11" t="s">
        <v>13</v>
      </c>
    </row>
    <row r="239">
      <c r="B239" s="34" t="s">
        <v>2777</v>
      </c>
      <c r="C239" s="35" t="s">
        <v>65</v>
      </c>
      <c r="D239" s="34" t="s">
        <v>2662</v>
      </c>
      <c r="E239" s="11" t="s">
        <v>9</v>
      </c>
    </row>
    <row r="240">
      <c r="B240" s="34" t="s">
        <v>2776</v>
      </c>
      <c r="C240" s="35" t="s">
        <v>260</v>
      </c>
      <c r="D240" s="34" t="s">
        <v>2625</v>
      </c>
      <c r="E240" s="11" t="s">
        <v>13</v>
      </c>
    </row>
    <row r="241">
      <c r="B241" s="34" t="s">
        <v>2778</v>
      </c>
      <c r="C241" s="35" t="s">
        <v>201</v>
      </c>
      <c r="D241" s="34" t="s">
        <v>2662</v>
      </c>
      <c r="E241" s="11" t="s">
        <v>9</v>
      </c>
    </row>
    <row r="242">
      <c r="B242" s="34" t="s">
        <v>2777</v>
      </c>
      <c r="C242" s="35" t="s">
        <v>390</v>
      </c>
      <c r="D242" s="34" t="s">
        <v>2625</v>
      </c>
      <c r="E242" s="11" t="s">
        <v>13</v>
      </c>
    </row>
    <row r="243">
      <c r="B243" s="28" t="s">
        <v>2200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34" t="s">
        <v>2780</v>
      </c>
      <c r="C245" s="35" t="s">
        <v>190</v>
      </c>
      <c r="D245" s="34" t="s">
        <v>2781</v>
      </c>
      <c r="E245" s="11" t="s">
        <v>9</v>
      </c>
    </row>
    <row r="246">
      <c r="B246" s="34" t="s">
        <v>2782</v>
      </c>
      <c r="C246" s="35" t="s">
        <v>2783</v>
      </c>
      <c r="D246" s="34" t="s">
        <v>580</v>
      </c>
      <c r="E246" s="11" t="s">
        <v>13</v>
      </c>
    </row>
    <row r="247">
      <c r="B247" s="34" t="s">
        <v>2031</v>
      </c>
      <c r="C247" s="35" t="s">
        <v>17</v>
      </c>
      <c r="D247" s="34" t="s">
        <v>2780</v>
      </c>
      <c r="E247" s="11" t="s">
        <v>9</v>
      </c>
    </row>
    <row r="248">
      <c r="B248" s="34" t="s">
        <v>2782</v>
      </c>
      <c r="C248" s="35" t="s">
        <v>196</v>
      </c>
      <c r="D248" s="34" t="s">
        <v>2781</v>
      </c>
      <c r="E248" s="11" t="s">
        <v>13</v>
      </c>
    </row>
    <row r="249">
      <c r="B249" s="34" t="s">
        <v>2031</v>
      </c>
      <c r="C249" s="35" t="s">
        <v>1252</v>
      </c>
      <c r="D249" s="34" t="s">
        <v>580</v>
      </c>
      <c r="E249" s="11" t="s">
        <v>9</v>
      </c>
    </row>
    <row r="250">
      <c r="B250" s="34" t="s">
        <v>2782</v>
      </c>
      <c r="C250" s="35" t="s">
        <v>239</v>
      </c>
      <c r="D250" s="34" t="s">
        <v>2780</v>
      </c>
      <c r="E250" s="11" t="s">
        <v>13</v>
      </c>
    </row>
    <row r="251">
      <c r="B251" s="34" t="s">
        <v>2031</v>
      </c>
      <c r="C251" s="35" t="s">
        <v>212</v>
      </c>
      <c r="D251" s="34" t="s">
        <v>2781</v>
      </c>
      <c r="E251" s="11" t="s">
        <v>9</v>
      </c>
    </row>
    <row r="252">
      <c r="B252" s="34" t="s">
        <v>580</v>
      </c>
      <c r="C252" s="35" t="s">
        <v>196</v>
      </c>
      <c r="D252" s="34" t="s">
        <v>2780</v>
      </c>
      <c r="E252" s="11" t="s">
        <v>13</v>
      </c>
    </row>
    <row r="253">
      <c r="B253" s="34" t="s">
        <v>2031</v>
      </c>
      <c r="C253" s="35" t="s">
        <v>363</v>
      </c>
      <c r="D253" s="34" t="s">
        <v>2782</v>
      </c>
      <c r="E253" s="11" t="s">
        <v>9</v>
      </c>
    </row>
    <row r="254">
      <c r="B254" s="34" t="s">
        <v>580</v>
      </c>
      <c r="C254" s="35" t="s">
        <v>651</v>
      </c>
      <c r="D254" s="34" t="s">
        <v>2781</v>
      </c>
      <c r="E254" s="11" t="s">
        <v>13</v>
      </c>
    </row>
    <row r="255">
      <c r="B255" s="34" t="s">
        <v>2781</v>
      </c>
      <c r="C255" s="35" t="s">
        <v>26</v>
      </c>
      <c r="D255" s="34" t="s">
        <v>2780</v>
      </c>
      <c r="E255" s="11" t="s">
        <v>9</v>
      </c>
    </row>
    <row r="256">
      <c r="B256" s="34" t="s">
        <v>580</v>
      </c>
      <c r="C256" s="35" t="s">
        <v>44</v>
      </c>
      <c r="D256" s="34" t="s">
        <v>2782</v>
      </c>
      <c r="E256" s="11" t="s">
        <v>13</v>
      </c>
    </row>
    <row r="257">
      <c r="B257" s="34" t="s">
        <v>2780</v>
      </c>
      <c r="C257" s="35" t="s">
        <v>41</v>
      </c>
      <c r="D257" s="34" t="s">
        <v>2031</v>
      </c>
      <c r="E257" s="11" t="s">
        <v>9</v>
      </c>
    </row>
    <row r="258">
      <c r="B258" s="34" t="s">
        <v>2781</v>
      </c>
      <c r="C258" s="35" t="s">
        <v>65</v>
      </c>
      <c r="D258" s="34" t="s">
        <v>2782</v>
      </c>
      <c r="E258" s="11" t="s">
        <v>13</v>
      </c>
    </row>
    <row r="259">
      <c r="B259" s="34" t="s">
        <v>580</v>
      </c>
      <c r="C259" s="35" t="s">
        <v>317</v>
      </c>
      <c r="D259" s="34" t="s">
        <v>2031</v>
      </c>
      <c r="E259" s="11" t="s">
        <v>9</v>
      </c>
    </row>
    <row r="260">
      <c r="B260" s="34" t="s">
        <v>2780</v>
      </c>
      <c r="C260" s="35" t="s">
        <v>2784</v>
      </c>
      <c r="D260" s="34" t="s">
        <v>2782</v>
      </c>
      <c r="E260" s="11" t="s">
        <v>13</v>
      </c>
    </row>
    <row r="261">
      <c r="B261" s="34" t="s">
        <v>2781</v>
      </c>
      <c r="C261" s="35" t="s">
        <v>320</v>
      </c>
      <c r="D261" s="34" t="s">
        <v>2031</v>
      </c>
      <c r="E261" s="11" t="s">
        <v>9</v>
      </c>
    </row>
    <row r="262">
      <c r="B262" s="34" t="s">
        <v>2780</v>
      </c>
      <c r="C262" s="35" t="s">
        <v>533</v>
      </c>
      <c r="D262" s="34" t="s">
        <v>580</v>
      </c>
      <c r="E262" s="11" t="s">
        <v>13</v>
      </c>
    </row>
    <row r="263">
      <c r="B263" s="34" t="s">
        <v>2782</v>
      </c>
      <c r="C263" s="35" t="s">
        <v>82</v>
      </c>
      <c r="D263" s="34" t="s">
        <v>2031</v>
      </c>
      <c r="E263" s="11" t="s">
        <v>9</v>
      </c>
    </row>
    <row r="264">
      <c r="B264" s="34" t="s">
        <v>2781</v>
      </c>
      <c r="C264" s="35" t="s">
        <v>18</v>
      </c>
      <c r="D264" s="34" t="s">
        <v>580</v>
      </c>
      <c r="E264" s="11" t="s">
        <v>13</v>
      </c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/>
      <c r="B1" s="1" t="s">
        <v>2527</v>
      </c>
      <c r="C1" s="2"/>
      <c r="D1" s="3"/>
      <c r="E1" s="29"/>
    </row>
    <row r="2">
      <c r="A2" s="66"/>
      <c r="B2" s="6" t="s">
        <v>2</v>
      </c>
      <c r="C2" s="6" t="s">
        <v>3</v>
      </c>
      <c r="D2" s="6" t="s">
        <v>4</v>
      </c>
      <c r="E2" s="6" t="s">
        <v>5</v>
      </c>
    </row>
    <row r="3">
      <c r="A3" s="66"/>
      <c r="B3" s="34" t="s">
        <v>2662</v>
      </c>
      <c r="C3" s="33" t="s">
        <v>87</v>
      </c>
      <c r="D3" s="34" t="s">
        <v>1037</v>
      </c>
      <c r="E3" s="11" t="s">
        <v>9</v>
      </c>
    </row>
    <row r="4">
      <c r="A4" s="66"/>
      <c r="B4" s="34" t="s">
        <v>807</v>
      </c>
      <c r="C4" s="33" t="s">
        <v>87</v>
      </c>
      <c r="D4" s="32" t="s">
        <v>2290</v>
      </c>
      <c r="E4" s="11" t="s">
        <v>13</v>
      </c>
    </row>
    <row r="5">
      <c r="A5" s="66"/>
      <c r="B5" s="34" t="s">
        <v>2785</v>
      </c>
      <c r="C5" s="33" t="s">
        <v>353</v>
      </c>
      <c r="D5" s="34" t="s">
        <v>2662</v>
      </c>
      <c r="E5" s="11" t="s">
        <v>9</v>
      </c>
    </row>
    <row r="6">
      <c r="A6" s="66"/>
      <c r="B6" s="34" t="s">
        <v>807</v>
      </c>
      <c r="C6" s="33" t="s">
        <v>190</v>
      </c>
      <c r="D6" s="34" t="s">
        <v>1037</v>
      </c>
      <c r="E6" s="11" t="s">
        <v>13</v>
      </c>
    </row>
    <row r="7">
      <c r="A7" s="66"/>
      <c r="B7" s="34" t="s">
        <v>2785</v>
      </c>
      <c r="C7" s="33" t="s">
        <v>218</v>
      </c>
      <c r="D7" s="32" t="s">
        <v>2290</v>
      </c>
      <c r="E7" s="11" t="s">
        <v>9</v>
      </c>
    </row>
    <row r="8">
      <c r="A8" s="66"/>
      <c r="B8" s="34" t="s">
        <v>807</v>
      </c>
      <c r="C8" s="33" t="s">
        <v>328</v>
      </c>
      <c r="D8" s="34" t="s">
        <v>2662</v>
      </c>
      <c r="E8" s="11" t="s">
        <v>13</v>
      </c>
    </row>
    <row r="9">
      <c r="A9" s="66"/>
      <c r="B9" s="34" t="s">
        <v>2785</v>
      </c>
      <c r="C9" s="33" t="s">
        <v>28</v>
      </c>
      <c r="D9" s="34" t="s">
        <v>1037</v>
      </c>
      <c r="E9" s="11" t="s">
        <v>9</v>
      </c>
    </row>
    <row r="10">
      <c r="A10" s="66"/>
      <c r="B10" s="32" t="s">
        <v>2290</v>
      </c>
      <c r="C10" s="33" t="s">
        <v>285</v>
      </c>
      <c r="D10" s="34" t="s">
        <v>2662</v>
      </c>
      <c r="E10" s="11" t="s">
        <v>13</v>
      </c>
    </row>
    <row r="11">
      <c r="A11" s="66"/>
      <c r="B11" s="34" t="s">
        <v>2785</v>
      </c>
      <c r="C11" s="33" t="s">
        <v>87</v>
      </c>
      <c r="D11" s="34" t="s">
        <v>807</v>
      </c>
      <c r="E11" s="11" t="s">
        <v>9</v>
      </c>
    </row>
    <row r="12">
      <c r="A12" s="66"/>
      <c r="B12" s="32" t="s">
        <v>2290</v>
      </c>
      <c r="C12" s="33" t="s">
        <v>62</v>
      </c>
      <c r="D12" s="34" t="s">
        <v>1037</v>
      </c>
      <c r="E12" s="11" t="s">
        <v>13</v>
      </c>
    </row>
    <row r="13">
      <c r="A13" s="66"/>
      <c r="B13" s="34" t="s">
        <v>1037</v>
      </c>
      <c r="C13" s="33" t="s">
        <v>282</v>
      </c>
      <c r="D13" s="34" t="s">
        <v>2662</v>
      </c>
      <c r="E13" s="11" t="s">
        <v>9</v>
      </c>
    </row>
    <row r="14">
      <c r="A14" s="66"/>
      <c r="B14" s="32" t="s">
        <v>2290</v>
      </c>
      <c r="C14" s="33" t="s">
        <v>363</v>
      </c>
      <c r="D14" s="34" t="s">
        <v>807</v>
      </c>
      <c r="E14" s="11" t="s">
        <v>13</v>
      </c>
    </row>
    <row r="15">
      <c r="A15" s="66"/>
      <c r="B15" s="34" t="s">
        <v>2662</v>
      </c>
      <c r="C15" s="35" t="s">
        <v>81</v>
      </c>
      <c r="D15" s="34" t="s">
        <v>2785</v>
      </c>
      <c r="E15" s="11" t="s">
        <v>9</v>
      </c>
    </row>
    <row r="16">
      <c r="A16" s="66"/>
      <c r="B16" s="34" t="s">
        <v>1037</v>
      </c>
      <c r="C16" s="35" t="s">
        <v>87</v>
      </c>
      <c r="D16" s="34" t="s">
        <v>807</v>
      </c>
      <c r="E16" s="11" t="s">
        <v>13</v>
      </c>
    </row>
    <row r="17">
      <c r="A17" s="66"/>
      <c r="B17" s="32" t="s">
        <v>2290</v>
      </c>
      <c r="C17" s="35" t="s">
        <v>72</v>
      </c>
      <c r="D17" s="34" t="s">
        <v>2785</v>
      </c>
      <c r="E17" s="11" t="s">
        <v>9</v>
      </c>
    </row>
    <row r="18">
      <c r="A18" s="66"/>
      <c r="B18" s="34" t="s">
        <v>2662</v>
      </c>
      <c r="C18" s="35" t="s">
        <v>45</v>
      </c>
      <c r="D18" s="34" t="s">
        <v>807</v>
      </c>
      <c r="E18" s="11" t="s">
        <v>13</v>
      </c>
    </row>
    <row r="19">
      <c r="A19" s="66"/>
      <c r="B19" s="34" t="s">
        <v>1037</v>
      </c>
      <c r="C19" s="35" t="s">
        <v>460</v>
      </c>
      <c r="D19" s="34" t="s">
        <v>2785</v>
      </c>
      <c r="E19" s="11" t="s">
        <v>9</v>
      </c>
    </row>
    <row r="20">
      <c r="A20" s="66"/>
      <c r="B20" s="34" t="s">
        <v>2662</v>
      </c>
      <c r="C20" s="35" t="s">
        <v>195</v>
      </c>
      <c r="D20" s="32" t="s">
        <v>2290</v>
      </c>
      <c r="E20" s="11" t="s">
        <v>13</v>
      </c>
    </row>
    <row r="21">
      <c r="A21" s="66"/>
      <c r="B21" s="34" t="s">
        <v>807</v>
      </c>
      <c r="C21" s="35" t="s">
        <v>50</v>
      </c>
      <c r="D21" s="34" t="s">
        <v>2785</v>
      </c>
      <c r="E21" s="11" t="s">
        <v>9</v>
      </c>
    </row>
    <row r="22">
      <c r="A22" s="66"/>
      <c r="B22" s="34" t="s">
        <v>1037</v>
      </c>
      <c r="C22" s="35" t="s">
        <v>196</v>
      </c>
      <c r="D22" s="32" t="s">
        <v>2290</v>
      </c>
      <c r="E22" s="11" t="s">
        <v>13</v>
      </c>
    </row>
    <row r="23">
      <c r="A23" s="66"/>
      <c r="B23" s="1" t="s">
        <v>2423</v>
      </c>
      <c r="C23" s="2"/>
      <c r="D23" s="3"/>
      <c r="E23" s="29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2786</v>
      </c>
      <c r="C25" s="33" t="s">
        <v>193</v>
      </c>
      <c r="D25" s="34" t="s">
        <v>1248</v>
      </c>
      <c r="E25" s="11" t="s">
        <v>9</v>
      </c>
    </row>
    <row r="26">
      <c r="A26" s="66"/>
      <c r="B26" s="34" t="s">
        <v>2787</v>
      </c>
      <c r="C26" s="33" t="s">
        <v>2788</v>
      </c>
      <c r="D26" s="32" t="s">
        <v>2630</v>
      </c>
      <c r="E26" s="11" t="s">
        <v>13</v>
      </c>
    </row>
    <row r="27">
      <c r="A27" s="66"/>
      <c r="B27" s="34" t="s">
        <v>2740</v>
      </c>
      <c r="C27" s="33" t="s">
        <v>24</v>
      </c>
      <c r="D27" s="34" t="s">
        <v>2786</v>
      </c>
      <c r="E27" s="11" t="s">
        <v>9</v>
      </c>
    </row>
    <row r="28">
      <c r="A28" s="66"/>
      <c r="B28" s="34" t="s">
        <v>2787</v>
      </c>
      <c r="C28" s="33" t="s">
        <v>1728</v>
      </c>
      <c r="D28" s="34" t="s">
        <v>1248</v>
      </c>
      <c r="E28" s="11" t="s">
        <v>13</v>
      </c>
    </row>
    <row r="29">
      <c r="A29" s="66"/>
      <c r="B29" s="34" t="s">
        <v>2740</v>
      </c>
      <c r="C29" s="33" t="s">
        <v>1718</v>
      </c>
      <c r="D29" s="32" t="s">
        <v>2630</v>
      </c>
      <c r="E29" s="11" t="s">
        <v>9</v>
      </c>
    </row>
    <row r="30">
      <c r="A30" s="66"/>
      <c r="B30" s="34" t="s">
        <v>2787</v>
      </c>
      <c r="C30" s="33" t="s">
        <v>65</v>
      </c>
      <c r="D30" s="34" t="s">
        <v>2786</v>
      </c>
      <c r="E30" s="11" t="s">
        <v>13</v>
      </c>
    </row>
    <row r="31">
      <c r="A31" s="66"/>
      <c r="B31" s="34" t="s">
        <v>2740</v>
      </c>
      <c r="C31" s="33" t="s">
        <v>14</v>
      </c>
      <c r="D31" s="34" t="s">
        <v>1248</v>
      </c>
      <c r="E31" s="11" t="s">
        <v>9</v>
      </c>
    </row>
    <row r="32">
      <c r="A32" s="66"/>
      <c r="B32" s="32" t="s">
        <v>2630</v>
      </c>
      <c r="C32" s="33" t="s">
        <v>22</v>
      </c>
      <c r="D32" s="34" t="s">
        <v>2786</v>
      </c>
      <c r="E32" s="11" t="s">
        <v>13</v>
      </c>
    </row>
    <row r="33">
      <c r="A33" s="66"/>
      <c r="B33" s="34" t="s">
        <v>2740</v>
      </c>
      <c r="C33" s="33" t="s">
        <v>325</v>
      </c>
      <c r="D33" s="34" t="s">
        <v>2787</v>
      </c>
      <c r="E33" s="11" t="s">
        <v>9</v>
      </c>
    </row>
    <row r="34">
      <c r="A34" s="66"/>
      <c r="B34" s="32" t="s">
        <v>2630</v>
      </c>
      <c r="C34" s="33" t="s">
        <v>31</v>
      </c>
      <c r="D34" s="34" t="s">
        <v>1248</v>
      </c>
      <c r="E34" s="11" t="s">
        <v>13</v>
      </c>
    </row>
    <row r="35">
      <c r="A35" s="66"/>
      <c r="B35" s="34" t="s">
        <v>1248</v>
      </c>
      <c r="C35" s="33" t="s">
        <v>81</v>
      </c>
      <c r="D35" s="34" t="s">
        <v>2786</v>
      </c>
      <c r="E35" s="11" t="s">
        <v>9</v>
      </c>
    </row>
    <row r="36">
      <c r="A36" s="66"/>
      <c r="B36" s="32" t="s">
        <v>2630</v>
      </c>
      <c r="C36" s="33" t="s">
        <v>190</v>
      </c>
      <c r="D36" s="34" t="s">
        <v>2787</v>
      </c>
      <c r="E36" s="11" t="s">
        <v>13</v>
      </c>
    </row>
    <row r="37">
      <c r="A37" s="66"/>
      <c r="B37" s="34" t="s">
        <v>2786</v>
      </c>
      <c r="C37" s="35" t="s">
        <v>2789</v>
      </c>
      <c r="D37" s="34" t="s">
        <v>2740</v>
      </c>
      <c r="E37" s="11" t="s">
        <v>9</v>
      </c>
    </row>
    <row r="38">
      <c r="A38" s="66"/>
      <c r="B38" s="34" t="s">
        <v>1248</v>
      </c>
      <c r="C38" s="35" t="s">
        <v>87</v>
      </c>
      <c r="D38" s="34" t="s">
        <v>2787</v>
      </c>
      <c r="E38" s="11" t="s">
        <v>13</v>
      </c>
    </row>
    <row r="39">
      <c r="A39" s="66"/>
      <c r="B39" s="32" t="s">
        <v>2630</v>
      </c>
      <c r="C39" s="35" t="s">
        <v>614</v>
      </c>
      <c r="D39" s="34" t="s">
        <v>2740</v>
      </c>
      <c r="E39" s="11" t="s">
        <v>9</v>
      </c>
    </row>
    <row r="40">
      <c r="A40" s="66"/>
      <c r="B40" s="34" t="s">
        <v>2786</v>
      </c>
      <c r="C40" s="35" t="s">
        <v>45</v>
      </c>
      <c r="D40" s="34" t="s">
        <v>2787</v>
      </c>
      <c r="E40" s="11" t="s">
        <v>13</v>
      </c>
    </row>
    <row r="41">
      <c r="A41" s="66"/>
      <c r="B41" s="34" t="s">
        <v>1248</v>
      </c>
      <c r="C41" s="35" t="s">
        <v>35</v>
      </c>
      <c r="D41" s="34" t="s">
        <v>2740</v>
      </c>
      <c r="E41" s="11" t="s">
        <v>9</v>
      </c>
    </row>
    <row r="42">
      <c r="A42" s="66"/>
      <c r="B42" s="34" t="s">
        <v>2786</v>
      </c>
      <c r="C42" s="35" t="s">
        <v>460</v>
      </c>
      <c r="D42" s="32" t="s">
        <v>2630</v>
      </c>
      <c r="E42" s="11" t="s">
        <v>13</v>
      </c>
    </row>
    <row r="43">
      <c r="A43" s="66"/>
      <c r="B43" s="34" t="s">
        <v>2787</v>
      </c>
      <c r="C43" s="35" t="s">
        <v>1496</v>
      </c>
      <c r="D43" s="34" t="s">
        <v>2740</v>
      </c>
      <c r="E43" s="11" t="s">
        <v>9</v>
      </c>
    </row>
    <row r="44">
      <c r="A44" s="67"/>
      <c r="B44" s="34" t="s">
        <v>1248</v>
      </c>
      <c r="C44" s="35" t="s">
        <v>195</v>
      </c>
      <c r="D44" s="32" t="s">
        <v>2630</v>
      </c>
      <c r="E44" s="11" t="s">
        <v>13</v>
      </c>
    </row>
    <row r="45">
      <c r="B45" s="1" t="s">
        <v>2790</v>
      </c>
      <c r="C45" s="2"/>
      <c r="D45" s="3"/>
      <c r="E45" s="14"/>
    </row>
    <row r="46">
      <c r="B46" s="16" t="s">
        <v>2</v>
      </c>
      <c r="C46" s="16" t="s">
        <v>3</v>
      </c>
      <c r="D46" s="16" t="s">
        <v>4</v>
      </c>
      <c r="E46" s="16" t="s">
        <v>5</v>
      </c>
    </row>
    <row r="47">
      <c r="B47" s="32" t="s">
        <v>2791</v>
      </c>
      <c r="C47" s="35" t="s">
        <v>11</v>
      </c>
      <c r="D47" s="32" t="s">
        <v>921</v>
      </c>
      <c r="E47" s="11" t="s">
        <v>9</v>
      </c>
    </row>
    <row r="48">
      <c r="B48" s="32" t="s">
        <v>2792</v>
      </c>
      <c r="C48" s="35" t="s">
        <v>193</v>
      </c>
      <c r="D48" s="32" t="s">
        <v>2793</v>
      </c>
      <c r="E48" s="11" t="s">
        <v>13</v>
      </c>
    </row>
    <row r="49">
      <c r="B49" s="32" t="s">
        <v>2794</v>
      </c>
      <c r="C49" s="35" t="s">
        <v>285</v>
      </c>
      <c r="D49" s="32" t="s">
        <v>2791</v>
      </c>
      <c r="E49" s="11" t="s">
        <v>9</v>
      </c>
    </row>
    <row r="50">
      <c r="B50" s="32" t="s">
        <v>2792</v>
      </c>
      <c r="C50" s="35" t="s">
        <v>11</v>
      </c>
      <c r="D50" s="32" t="s">
        <v>921</v>
      </c>
      <c r="E50" s="11" t="s">
        <v>13</v>
      </c>
    </row>
    <row r="51">
      <c r="B51" s="32" t="s">
        <v>2794</v>
      </c>
      <c r="C51" s="35" t="s">
        <v>249</v>
      </c>
      <c r="D51" s="32" t="s">
        <v>2793</v>
      </c>
      <c r="E51" s="11" t="s">
        <v>9</v>
      </c>
    </row>
    <row r="52">
      <c r="B52" s="32" t="s">
        <v>2792</v>
      </c>
      <c r="C52" s="35" t="s">
        <v>27</v>
      </c>
      <c r="D52" s="32" t="s">
        <v>2791</v>
      </c>
      <c r="E52" s="11" t="s">
        <v>13</v>
      </c>
    </row>
    <row r="53">
      <c r="B53" s="32" t="s">
        <v>2794</v>
      </c>
      <c r="C53" s="35" t="s">
        <v>19</v>
      </c>
      <c r="D53" s="32" t="s">
        <v>921</v>
      </c>
      <c r="E53" s="11" t="s">
        <v>9</v>
      </c>
    </row>
    <row r="54">
      <c r="B54" s="32" t="s">
        <v>2793</v>
      </c>
      <c r="C54" s="35" t="s">
        <v>886</v>
      </c>
      <c r="D54" s="32" t="s">
        <v>2791</v>
      </c>
      <c r="E54" s="11" t="s">
        <v>13</v>
      </c>
    </row>
    <row r="55">
      <c r="B55" s="32" t="s">
        <v>2794</v>
      </c>
      <c r="C55" s="35" t="s">
        <v>2795</v>
      </c>
      <c r="D55" s="32" t="s">
        <v>2792</v>
      </c>
      <c r="E55" s="11" t="s">
        <v>9</v>
      </c>
    </row>
    <row r="56">
      <c r="B56" s="32" t="s">
        <v>2793</v>
      </c>
      <c r="C56" s="35" t="s">
        <v>196</v>
      </c>
      <c r="D56" s="32" t="s">
        <v>921</v>
      </c>
      <c r="E56" s="11" t="s">
        <v>13</v>
      </c>
    </row>
    <row r="57">
      <c r="B57" s="32" t="s">
        <v>921</v>
      </c>
      <c r="C57" s="35" t="s">
        <v>239</v>
      </c>
      <c r="D57" s="32" t="s">
        <v>2791</v>
      </c>
      <c r="E57" s="11" t="s">
        <v>9</v>
      </c>
    </row>
    <row r="58">
      <c r="B58" s="32" t="s">
        <v>2793</v>
      </c>
      <c r="C58" s="35" t="s">
        <v>536</v>
      </c>
      <c r="D58" s="32" t="s">
        <v>2792</v>
      </c>
      <c r="E58" s="11" t="s">
        <v>13</v>
      </c>
    </row>
    <row r="59">
      <c r="B59" s="32" t="s">
        <v>2791</v>
      </c>
      <c r="C59" s="35" t="s">
        <v>64</v>
      </c>
      <c r="D59" s="32" t="s">
        <v>2794</v>
      </c>
      <c r="E59" s="11" t="s">
        <v>9</v>
      </c>
    </row>
    <row r="60">
      <c r="B60" s="32" t="s">
        <v>921</v>
      </c>
      <c r="C60" s="35" t="s">
        <v>2796</v>
      </c>
      <c r="D60" s="32" t="s">
        <v>2792</v>
      </c>
      <c r="E60" s="11" t="s">
        <v>13</v>
      </c>
    </row>
    <row r="61">
      <c r="B61" s="32" t="s">
        <v>2793</v>
      </c>
      <c r="C61" s="35" t="s">
        <v>71</v>
      </c>
      <c r="D61" s="32" t="s">
        <v>2794</v>
      </c>
      <c r="E61" s="11" t="s">
        <v>9</v>
      </c>
    </row>
    <row r="62">
      <c r="B62" s="32" t="s">
        <v>2791</v>
      </c>
      <c r="C62" s="35" t="s">
        <v>195</v>
      </c>
      <c r="D62" s="32" t="s">
        <v>2792</v>
      </c>
      <c r="E62" s="11" t="s">
        <v>13</v>
      </c>
    </row>
    <row r="63">
      <c r="B63" s="32" t="s">
        <v>921</v>
      </c>
      <c r="C63" s="35" t="s">
        <v>201</v>
      </c>
      <c r="D63" s="32" t="s">
        <v>2794</v>
      </c>
      <c r="E63" s="11" t="s">
        <v>9</v>
      </c>
    </row>
    <row r="64">
      <c r="B64" s="32" t="s">
        <v>2791</v>
      </c>
      <c r="C64" s="35" t="s">
        <v>16</v>
      </c>
      <c r="D64" s="32" t="s">
        <v>2793</v>
      </c>
      <c r="E64" s="11" t="s">
        <v>13</v>
      </c>
    </row>
    <row r="65">
      <c r="B65" s="32" t="s">
        <v>2792</v>
      </c>
      <c r="C65" s="35" t="s">
        <v>412</v>
      </c>
      <c r="D65" s="32" t="s">
        <v>2794</v>
      </c>
      <c r="E65" s="11" t="s">
        <v>9</v>
      </c>
    </row>
    <row r="66">
      <c r="B66" s="32" t="s">
        <v>921</v>
      </c>
      <c r="C66" s="35" t="s">
        <v>500</v>
      </c>
      <c r="D66" s="32" t="s">
        <v>2793</v>
      </c>
      <c r="E66" s="11" t="s">
        <v>13</v>
      </c>
    </row>
    <row r="67">
      <c r="B67" s="1" t="s">
        <v>2099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16" t="s">
        <v>5</v>
      </c>
    </row>
    <row r="69">
      <c r="B69" s="32" t="s">
        <v>2797</v>
      </c>
      <c r="C69" s="35" t="s">
        <v>62</v>
      </c>
      <c r="D69" s="32" t="s">
        <v>688</v>
      </c>
      <c r="E69" s="11" t="s">
        <v>9</v>
      </c>
    </row>
    <row r="70">
      <c r="B70" s="32" t="s">
        <v>298</v>
      </c>
      <c r="C70" s="35" t="s">
        <v>587</v>
      </c>
      <c r="D70" s="32" t="s">
        <v>2798</v>
      </c>
      <c r="E70" s="11" t="s">
        <v>13</v>
      </c>
    </row>
    <row r="71">
      <c r="B71" s="32" t="s">
        <v>2799</v>
      </c>
      <c r="C71" s="35" t="s">
        <v>87</v>
      </c>
      <c r="D71" s="32" t="s">
        <v>2797</v>
      </c>
      <c r="E71" s="11" t="s">
        <v>9</v>
      </c>
    </row>
    <row r="72">
      <c r="B72" s="32" t="s">
        <v>298</v>
      </c>
      <c r="C72" s="35" t="s">
        <v>25</v>
      </c>
      <c r="D72" s="32" t="s">
        <v>688</v>
      </c>
      <c r="E72" s="11" t="s">
        <v>13</v>
      </c>
    </row>
    <row r="73">
      <c r="B73" s="32" t="s">
        <v>2799</v>
      </c>
      <c r="C73" s="35" t="s">
        <v>28</v>
      </c>
      <c r="D73" s="32" t="s">
        <v>2798</v>
      </c>
      <c r="E73" s="11" t="s">
        <v>9</v>
      </c>
    </row>
    <row r="74">
      <c r="B74" s="32" t="s">
        <v>298</v>
      </c>
      <c r="C74" s="35" t="s">
        <v>190</v>
      </c>
      <c r="D74" s="32" t="s">
        <v>2797</v>
      </c>
      <c r="E74" s="11" t="s">
        <v>13</v>
      </c>
    </row>
    <row r="75">
      <c r="B75" s="32" t="s">
        <v>2799</v>
      </c>
      <c r="C75" s="35" t="s">
        <v>273</v>
      </c>
      <c r="D75" s="32" t="s">
        <v>688</v>
      </c>
      <c r="E75" s="11" t="s">
        <v>9</v>
      </c>
    </row>
    <row r="76">
      <c r="B76" s="32" t="s">
        <v>2798</v>
      </c>
      <c r="C76" s="35" t="s">
        <v>58</v>
      </c>
      <c r="D76" s="32" t="s">
        <v>2797</v>
      </c>
      <c r="E76" s="11" t="s">
        <v>13</v>
      </c>
    </row>
    <row r="77">
      <c r="B77" s="32" t="s">
        <v>2799</v>
      </c>
      <c r="C77" s="35" t="s">
        <v>239</v>
      </c>
      <c r="D77" s="32" t="s">
        <v>298</v>
      </c>
      <c r="E77" s="11" t="s">
        <v>9</v>
      </c>
    </row>
    <row r="78">
      <c r="B78" s="32" t="s">
        <v>2798</v>
      </c>
      <c r="C78" s="35" t="s">
        <v>43</v>
      </c>
      <c r="D78" s="32" t="s">
        <v>688</v>
      </c>
      <c r="E78" s="11" t="s">
        <v>13</v>
      </c>
    </row>
    <row r="79">
      <c r="B79" s="32" t="s">
        <v>688</v>
      </c>
      <c r="C79" s="35" t="s">
        <v>81</v>
      </c>
      <c r="D79" s="32" t="s">
        <v>2797</v>
      </c>
      <c r="E79" s="11" t="s">
        <v>9</v>
      </c>
    </row>
    <row r="80">
      <c r="B80" s="32" t="s">
        <v>2798</v>
      </c>
      <c r="C80" s="35" t="s">
        <v>217</v>
      </c>
      <c r="D80" s="32" t="s">
        <v>298</v>
      </c>
      <c r="E80" s="11" t="s">
        <v>13</v>
      </c>
    </row>
    <row r="81">
      <c r="B81" s="32" t="s">
        <v>2797</v>
      </c>
      <c r="C81" s="35" t="s">
        <v>19</v>
      </c>
      <c r="D81" s="32" t="s">
        <v>2799</v>
      </c>
      <c r="E81" s="11" t="s">
        <v>9</v>
      </c>
    </row>
    <row r="82">
      <c r="B82" s="32" t="s">
        <v>688</v>
      </c>
      <c r="C82" s="35" t="s">
        <v>25</v>
      </c>
      <c r="D82" s="32" t="s">
        <v>298</v>
      </c>
      <c r="E82" s="11" t="s">
        <v>13</v>
      </c>
    </row>
    <row r="83">
      <c r="B83" s="32" t="s">
        <v>2798</v>
      </c>
      <c r="C83" s="35" t="s">
        <v>239</v>
      </c>
      <c r="D83" s="32" t="s">
        <v>2799</v>
      </c>
      <c r="E83" s="11" t="s">
        <v>9</v>
      </c>
    </row>
    <row r="84">
      <c r="B84" s="32" t="s">
        <v>2797</v>
      </c>
      <c r="C84" s="35" t="s">
        <v>2800</v>
      </c>
      <c r="D84" s="32" t="s">
        <v>298</v>
      </c>
      <c r="E84" s="11" t="s">
        <v>13</v>
      </c>
    </row>
    <row r="85">
      <c r="B85" s="32" t="s">
        <v>688</v>
      </c>
      <c r="C85" s="35" t="s">
        <v>201</v>
      </c>
      <c r="D85" s="32" t="s">
        <v>2799</v>
      </c>
      <c r="E85" s="11" t="s">
        <v>9</v>
      </c>
    </row>
    <row r="86">
      <c r="B86" s="32" t="s">
        <v>2797</v>
      </c>
      <c r="C86" s="35" t="s">
        <v>17</v>
      </c>
      <c r="D86" s="32" t="s">
        <v>2798</v>
      </c>
      <c r="E86" s="11" t="s">
        <v>13</v>
      </c>
    </row>
    <row r="87">
      <c r="B87" s="32" t="s">
        <v>298</v>
      </c>
      <c r="C87" s="35" t="s">
        <v>587</v>
      </c>
      <c r="D87" s="32" t="s">
        <v>2799</v>
      </c>
      <c r="E87" s="11" t="s">
        <v>9</v>
      </c>
    </row>
    <row r="88">
      <c r="B88" s="32" t="s">
        <v>688</v>
      </c>
      <c r="C88" s="35" t="s">
        <v>18</v>
      </c>
      <c r="D88" s="32" t="s">
        <v>2798</v>
      </c>
      <c r="E88" s="11" t="s">
        <v>13</v>
      </c>
    </row>
    <row r="89">
      <c r="B89" s="1" t="s">
        <v>2713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16" t="s">
        <v>5</v>
      </c>
    </row>
    <row r="91">
      <c r="B91" s="32" t="s">
        <v>2752</v>
      </c>
      <c r="C91" s="35" t="s">
        <v>11</v>
      </c>
      <c r="D91" s="32" t="s">
        <v>764</v>
      </c>
      <c r="E91" s="80" t="s">
        <v>33</v>
      </c>
    </row>
    <row r="92">
      <c r="B92" s="32" t="s">
        <v>1225</v>
      </c>
      <c r="C92" s="35" t="s">
        <v>31</v>
      </c>
      <c r="D92" s="32" t="s">
        <v>2753</v>
      </c>
      <c r="E92" s="80" t="s">
        <v>37</v>
      </c>
    </row>
    <row r="93">
      <c r="B93" s="32" t="s">
        <v>2754</v>
      </c>
      <c r="C93" s="35" t="s">
        <v>286</v>
      </c>
      <c r="D93" s="32" t="s">
        <v>2752</v>
      </c>
      <c r="E93" s="80" t="s">
        <v>33</v>
      </c>
    </row>
    <row r="94">
      <c r="B94" s="32" t="s">
        <v>1225</v>
      </c>
      <c r="C94" s="35" t="s">
        <v>212</v>
      </c>
      <c r="D94" s="32" t="s">
        <v>764</v>
      </c>
      <c r="E94" s="80" t="s">
        <v>37</v>
      </c>
    </row>
    <row r="95">
      <c r="B95" s="32" t="s">
        <v>2754</v>
      </c>
      <c r="C95" s="35" t="s">
        <v>1045</v>
      </c>
      <c r="D95" s="32" t="s">
        <v>2753</v>
      </c>
      <c r="E95" s="80" t="s">
        <v>33</v>
      </c>
    </row>
    <row r="96">
      <c r="B96" s="32" t="s">
        <v>1225</v>
      </c>
      <c r="C96" s="35" t="s">
        <v>412</v>
      </c>
      <c r="D96" s="32" t="s">
        <v>2752</v>
      </c>
      <c r="E96" s="80" t="s">
        <v>37</v>
      </c>
    </row>
    <row r="97">
      <c r="B97" s="32" t="s">
        <v>2754</v>
      </c>
      <c r="C97" s="35" t="s">
        <v>55</v>
      </c>
      <c r="D97" s="32" t="s">
        <v>764</v>
      </c>
      <c r="E97" s="80" t="s">
        <v>33</v>
      </c>
    </row>
    <row r="98">
      <c r="B98" s="32" t="s">
        <v>2753</v>
      </c>
      <c r="C98" s="35" t="s">
        <v>41</v>
      </c>
      <c r="D98" s="32" t="s">
        <v>2752</v>
      </c>
      <c r="E98" s="80" t="s">
        <v>37</v>
      </c>
    </row>
    <row r="99">
      <c r="B99" s="32" t="s">
        <v>2754</v>
      </c>
      <c r="C99" s="35" t="s">
        <v>82</v>
      </c>
      <c r="D99" s="32" t="s">
        <v>1225</v>
      </c>
      <c r="E99" s="80" t="s">
        <v>33</v>
      </c>
    </row>
    <row r="100">
      <c r="B100" s="32" t="s">
        <v>2753</v>
      </c>
      <c r="C100" s="35" t="s">
        <v>197</v>
      </c>
      <c r="D100" s="32" t="s">
        <v>764</v>
      </c>
      <c r="E100" s="80" t="s">
        <v>37</v>
      </c>
    </row>
    <row r="101">
      <c r="B101" s="32" t="s">
        <v>764</v>
      </c>
      <c r="C101" s="35" t="s">
        <v>43</v>
      </c>
      <c r="D101" s="32" t="s">
        <v>2752</v>
      </c>
      <c r="E101" s="80" t="s">
        <v>33</v>
      </c>
    </row>
    <row r="102">
      <c r="B102" s="32" t="s">
        <v>2753</v>
      </c>
      <c r="C102" s="35" t="s">
        <v>566</v>
      </c>
      <c r="D102" s="32" t="s">
        <v>1225</v>
      </c>
      <c r="E102" s="80" t="s">
        <v>37</v>
      </c>
    </row>
    <row r="103">
      <c r="B103" s="32" t="s">
        <v>2752</v>
      </c>
      <c r="C103" s="35" t="s">
        <v>412</v>
      </c>
      <c r="D103" s="32" t="s">
        <v>2754</v>
      </c>
      <c r="E103" s="80" t="s">
        <v>33</v>
      </c>
    </row>
    <row r="104">
      <c r="B104" s="32" t="s">
        <v>764</v>
      </c>
      <c r="C104" s="35" t="s">
        <v>294</v>
      </c>
      <c r="D104" s="32" t="s">
        <v>1225</v>
      </c>
      <c r="E104" s="80" t="s">
        <v>37</v>
      </c>
    </row>
    <row r="105">
      <c r="B105" s="32" t="s">
        <v>2753</v>
      </c>
      <c r="C105" s="35" t="s">
        <v>18</v>
      </c>
      <c r="D105" s="32" t="s">
        <v>2754</v>
      </c>
      <c r="E105" s="80" t="s">
        <v>33</v>
      </c>
    </row>
    <row r="106">
      <c r="B106" s="32" t="s">
        <v>2752</v>
      </c>
      <c r="C106" s="35" t="s">
        <v>19</v>
      </c>
      <c r="D106" s="32" t="s">
        <v>1225</v>
      </c>
      <c r="E106" s="80" t="s">
        <v>37</v>
      </c>
    </row>
    <row r="107">
      <c r="B107" s="32" t="s">
        <v>764</v>
      </c>
      <c r="C107" s="35" t="s">
        <v>195</v>
      </c>
      <c r="D107" s="32" t="s">
        <v>2754</v>
      </c>
      <c r="E107" s="80" t="s">
        <v>33</v>
      </c>
    </row>
    <row r="108">
      <c r="B108" s="32" t="s">
        <v>2752</v>
      </c>
      <c r="C108" s="35" t="s">
        <v>355</v>
      </c>
      <c r="D108" s="32" t="s">
        <v>2753</v>
      </c>
      <c r="E108" s="80" t="s">
        <v>37</v>
      </c>
    </row>
    <row r="109">
      <c r="B109" s="32" t="s">
        <v>1225</v>
      </c>
      <c r="C109" s="35" t="s">
        <v>66</v>
      </c>
      <c r="D109" s="32" t="s">
        <v>2754</v>
      </c>
      <c r="E109" s="80" t="s">
        <v>33</v>
      </c>
    </row>
    <row r="110">
      <c r="B110" s="32" t="s">
        <v>764</v>
      </c>
      <c r="C110" s="35" t="s">
        <v>21</v>
      </c>
      <c r="D110" s="32" t="s">
        <v>2753</v>
      </c>
      <c r="E110" s="80" t="s">
        <v>37</v>
      </c>
    </row>
    <row r="111">
      <c r="B111" s="1" t="s">
        <v>2646</v>
      </c>
      <c r="C111" s="2"/>
      <c r="D111" s="3"/>
      <c r="E111" s="4"/>
    </row>
    <row r="112"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B113" s="32" t="s">
        <v>1989</v>
      </c>
      <c r="C113" s="33" t="s">
        <v>11</v>
      </c>
      <c r="D113" s="32" t="s">
        <v>2801</v>
      </c>
      <c r="E113" s="80" t="s">
        <v>33</v>
      </c>
    </row>
    <row r="114">
      <c r="B114" s="32" t="s">
        <v>2802</v>
      </c>
      <c r="C114" s="33" t="s">
        <v>218</v>
      </c>
      <c r="D114" s="32" t="s">
        <v>2803</v>
      </c>
      <c r="E114" s="80" t="s">
        <v>37</v>
      </c>
    </row>
    <row r="115">
      <c r="B115" s="32" t="s">
        <v>2804</v>
      </c>
      <c r="C115" s="33" t="s">
        <v>217</v>
      </c>
      <c r="D115" s="32" t="s">
        <v>1989</v>
      </c>
      <c r="E115" s="80" t="s">
        <v>33</v>
      </c>
    </row>
    <row r="116">
      <c r="B116" s="32" t="s">
        <v>2802</v>
      </c>
      <c r="C116" s="33" t="s">
        <v>2805</v>
      </c>
      <c r="D116" s="32" t="s">
        <v>2801</v>
      </c>
      <c r="E116" s="80" t="s">
        <v>37</v>
      </c>
    </row>
    <row r="117">
      <c r="B117" s="32" t="s">
        <v>2804</v>
      </c>
      <c r="C117" s="33" t="s">
        <v>47</v>
      </c>
      <c r="D117" s="32" t="s">
        <v>2803</v>
      </c>
      <c r="E117" s="80" t="s">
        <v>33</v>
      </c>
    </row>
    <row r="118">
      <c r="B118" s="32" t="s">
        <v>2802</v>
      </c>
      <c r="C118" s="33" t="s">
        <v>536</v>
      </c>
      <c r="D118" s="32" t="s">
        <v>1989</v>
      </c>
      <c r="E118" s="80" t="s">
        <v>37</v>
      </c>
    </row>
    <row r="119">
      <c r="B119" s="32" t="s">
        <v>2804</v>
      </c>
      <c r="C119" s="33" t="s">
        <v>58</v>
      </c>
      <c r="D119" s="32" t="s">
        <v>2801</v>
      </c>
      <c r="E119" s="80" t="s">
        <v>33</v>
      </c>
    </row>
    <row r="120">
      <c r="B120" s="32" t="s">
        <v>2803</v>
      </c>
      <c r="C120" s="33" t="s">
        <v>2806</v>
      </c>
      <c r="D120" s="32" t="s">
        <v>1989</v>
      </c>
      <c r="E120" s="80" t="s">
        <v>37</v>
      </c>
    </row>
    <row r="121">
      <c r="B121" s="32" t="s">
        <v>2804</v>
      </c>
      <c r="C121" s="33" t="s">
        <v>390</v>
      </c>
      <c r="D121" s="32" t="s">
        <v>2802</v>
      </c>
      <c r="E121" s="80" t="s">
        <v>33</v>
      </c>
    </row>
    <row r="122">
      <c r="B122" s="32" t="s">
        <v>2803</v>
      </c>
      <c r="C122" s="33" t="s">
        <v>58</v>
      </c>
      <c r="D122" s="32" t="s">
        <v>2801</v>
      </c>
      <c r="E122" s="80" t="s">
        <v>37</v>
      </c>
    </row>
    <row r="123">
      <c r="B123" s="32" t="s">
        <v>2801</v>
      </c>
      <c r="C123" s="33" t="s">
        <v>25</v>
      </c>
      <c r="D123" s="32" t="s">
        <v>1989</v>
      </c>
      <c r="E123" s="80" t="s">
        <v>33</v>
      </c>
    </row>
    <row r="124">
      <c r="B124" s="32" t="s">
        <v>2803</v>
      </c>
      <c r="C124" s="33" t="s">
        <v>434</v>
      </c>
      <c r="D124" s="32" t="s">
        <v>2802</v>
      </c>
      <c r="E124" s="80" t="s">
        <v>37</v>
      </c>
    </row>
    <row r="125">
      <c r="B125" s="32" t="s">
        <v>1989</v>
      </c>
      <c r="C125" s="35" t="s">
        <v>41</v>
      </c>
      <c r="D125" s="32" t="s">
        <v>2804</v>
      </c>
      <c r="E125" s="80" t="s">
        <v>33</v>
      </c>
    </row>
    <row r="126">
      <c r="B126" s="32" t="s">
        <v>2801</v>
      </c>
      <c r="C126" s="35" t="s">
        <v>460</v>
      </c>
      <c r="D126" s="32" t="s">
        <v>2802</v>
      </c>
      <c r="E126" s="80" t="s">
        <v>37</v>
      </c>
    </row>
    <row r="127">
      <c r="B127" s="32" t="s">
        <v>2803</v>
      </c>
      <c r="C127" s="35" t="s">
        <v>78</v>
      </c>
      <c r="D127" s="32" t="s">
        <v>2804</v>
      </c>
      <c r="E127" s="80" t="s">
        <v>33</v>
      </c>
    </row>
    <row r="128">
      <c r="B128" s="32" t="s">
        <v>1989</v>
      </c>
      <c r="C128" s="35" t="s">
        <v>45</v>
      </c>
      <c r="D128" s="32" t="s">
        <v>2802</v>
      </c>
      <c r="E128" s="80" t="s">
        <v>37</v>
      </c>
    </row>
    <row r="129">
      <c r="B129" s="32" t="s">
        <v>2801</v>
      </c>
      <c r="C129" s="35" t="s">
        <v>363</v>
      </c>
      <c r="D129" s="32" t="s">
        <v>2804</v>
      </c>
      <c r="E129" s="80" t="s">
        <v>33</v>
      </c>
    </row>
    <row r="130">
      <c r="B130" s="32" t="s">
        <v>1989</v>
      </c>
      <c r="C130" s="35" t="s">
        <v>47</v>
      </c>
      <c r="D130" s="32" t="s">
        <v>2803</v>
      </c>
      <c r="E130" s="80" t="s">
        <v>37</v>
      </c>
    </row>
    <row r="131">
      <c r="B131" s="32" t="s">
        <v>2802</v>
      </c>
      <c r="C131" s="35" t="s">
        <v>260</v>
      </c>
      <c r="D131" s="32" t="s">
        <v>2804</v>
      </c>
      <c r="E131" s="80" t="s">
        <v>33</v>
      </c>
    </row>
    <row r="132">
      <c r="B132" s="32" t="s">
        <v>2801</v>
      </c>
      <c r="C132" s="35" t="s">
        <v>68</v>
      </c>
      <c r="D132" s="32" t="s">
        <v>2803</v>
      </c>
      <c r="E132" s="80" t="s">
        <v>37</v>
      </c>
    </row>
    <row r="133">
      <c r="B133" s="1" t="s">
        <v>2382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32" t="s">
        <v>528</v>
      </c>
      <c r="C135" s="35" t="s">
        <v>270</v>
      </c>
      <c r="D135" s="32" t="s">
        <v>2807</v>
      </c>
      <c r="E135" s="11" t="s">
        <v>9</v>
      </c>
    </row>
    <row r="136">
      <c r="B136" s="32" t="s">
        <v>563</v>
      </c>
      <c r="C136" s="35" t="s">
        <v>20</v>
      </c>
      <c r="D136" s="32" t="s">
        <v>591</v>
      </c>
      <c r="E136" s="11" t="s">
        <v>13</v>
      </c>
    </row>
    <row r="137">
      <c r="B137" s="32" t="s">
        <v>2808</v>
      </c>
      <c r="C137" s="35" t="s">
        <v>534</v>
      </c>
      <c r="D137" s="32" t="s">
        <v>528</v>
      </c>
      <c r="E137" s="11" t="s">
        <v>9</v>
      </c>
    </row>
    <row r="138">
      <c r="B138" s="32" t="s">
        <v>563</v>
      </c>
      <c r="C138" s="35" t="s">
        <v>87</v>
      </c>
      <c r="D138" s="32" t="s">
        <v>2807</v>
      </c>
      <c r="E138" s="11" t="s">
        <v>13</v>
      </c>
    </row>
    <row r="139">
      <c r="B139" s="32" t="s">
        <v>2808</v>
      </c>
      <c r="C139" s="35" t="s">
        <v>68</v>
      </c>
      <c r="D139" s="32" t="s">
        <v>591</v>
      </c>
      <c r="E139" s="11" t="s">
        <v>9</v>
      </c>
    </row>
    <row r="140">
      <c r="B140" s="32" t="s">
        <v>563</v>
      </c>
      <c r="C140" s="35" t="s">
        <v>195</v>
      </c>
      <c r="D140" s="32" t="s">
        <v>528</v>
      </c>
      <c r="E140" s="11" t="s">
        <v>13</v>
      </c>
    </row>
    <row r="141">
      <c r="B141" s="32" t="s">
        <v>2808</v>
      </c>
      <c r="C141" s="35" t="s">
        <v>193</v>
      </c>
      <c r="D141" s="32" t="s">
        <v>2807</v>
      </c>
      <c r="E141" s="11" t="s">
        <v>9</v>
      </c>
    </row>
    <row r="142">
      <c r="B142" s="32" t="s">
        <v>591</v>
      </c>
      <c r="C142" s="35" t="s">
        <v>66</v>
      </c>
      <c r="D142" s="32" t="s">
        <v>528</v>
      </c>
      <c r="E142" s="11" t="s">
        <v>13</v>
      </c>
    </row>
    <row r="143">
      <c r="B143" s="32" t="s">
        <v>2808</v>
      </c>
      <c r="C143" s="35" t="s">
        <v>68</v>
      </c>
      <c r="D143" s="32" t="s">
        <v>563</v>
      </c>
      <c r="E143" s="11" t="s">
        <v>9</v>
      </c>
    </row>
    <row r="144">
      <c r="B144" s="32" t="s">
        <v>591</v>
      </c>
      <c r="C144" s="35" t="s">
        <v>412</v>
      </c>
      <c r="D144" s="32" t="s">
        <v>2807</v>
      </c>
      <c r="E144" s="11" t="s">
        <v>13</v>
      </c>
    </row>
    <row r="145">
      <c r="B145" s="32" t="s">
        <v>2807</v>
      </c>
      <c r="C145" s="35" t="s">
        <v>769</v>
      </c>
      <c r="D145" s="32" t="s">
        <v>528</v>
      </c>
      <c r="E145" s="11" t="s">
        <v>9</v>
      </c>
    </row>
    <row r="146">
      <c r="B146" s="32" t="s">
        <v>591</v>
      </c>
      <c r="C146" s="35" t="s">
        <v>305</v>
      </c>
      <c r="D146" s="32" t="s">
        <v>563</v>
      </c>
      <c r="E146" s="11" t="s">
        <v>13</v>
      </c>
    </row>
    <row r="147">
      <c r="B147" s="32" t="s">
        <v>528</v>
      </c>
      <c r="C147" s="35" t="s">
        <v>362</v>
      </c>
      <c r="D147" s="32" t="s">
        <v>2808</v>
      </c>
      <c r="E147" s="11" t="s">
        <v>9</v>
      </c>
    </row>
    <row r="148">
      <c r="B148" s="32" t="s">
        <v>2807</v>
      </c>
      <c r="C148" s="35" t="s">
        <v>62</v>
      </c>
      <c r="D148" s="32" t="s">
        <v>563</v>
      </c>
      <c r="E148" s="11" t="s">
        <v>13</v>
      </c>
    </row>
    <row r="149">
      <c r="B149" s="32" t="s">
        <v>591</v>
      </c>
      <c r="C149" s="35" t="s">
        <v>62</v>
      </c>
      <c r="D149" s="32" t="s">
        <v>2808</v>
      </c>
      <c r="E149" s="11" t="s">
        <v>9</v>
      </c>
    </row>
    <row r="150">
      <c r="B150" s="32" t="s">
        <v>528</v>
      </c>
      <c r="C150" s="35" t="s">
        <v>64</v>
      </c>
      <c r="D150" s="32" t="s">
        <v>563</v>
      </c>
      <c r="E150" s="11" t="s">
        <v>13</v>
      </c>
    </row>
    <row r="151">
      <c r="B151" s="32" t="s">
        <v>2807</v>
      </c>
      <c r="C151" s="35" t="s">
        <v>328</v>
      </c>
      <c r="D151" s="32" t="s">
        <v>2808</v>
      </c>
      <c r="E151" s="11" t="s">
        <v>9</v>
      </c>
    </row>
    <row r="152">
      <c r="B152" s="32" t="s">
        <v>528</v>
      </c>
      <c r="C152" s="35" t="s">
        <v>87</v>
      </c>
      <c r="D152" s="32" t="s">
        <v>591</v>
      </c>
      <c r="E152" s="11" t="s">
        <v>13</v>
      </c>
    </row>
    <row r="153">
      <c r="B153" s="32" t="s">
        <v>563</v>
      </c>
      <c r="C153" s="35" t="s">
        <v>19</v>
      </c>
      <c r="D153" s="32" t="s">
        <v>2808</v>
      </c>
      <c r="E153" s="11" t="s">
        <v>9</v>
      </c>
    </row>
    <row r="154">
      <c r="B154" s="32" t="s">
        <v>2807</v>
      </c>
      <c r="C154" s="35" t="s">
        <v>270</v>
      </c>
      <c r="D154" s="32" t="s">
        <v>591</v>
      </c>
      <c r="E154" s="11" t="s">
        <v>13</v>
      </c>
    </row>
    <row r="155">
      <c r="B155" s="1" t="s">
        <v>2764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B157" s="32" t="s">
        <v>2809</v>
      </c>
      <c r="C157" s="35" t="s">
        <v>285</v>
      </c>
      <c r="D157" s="32" t="s">
        <v>1374</v>
      </c>
      <c r="E157" s="11" t="s">
        <v>9</v>
      </c>
    </row>
    <row r="158">
      <c r="B158" s="32" t="s">
        <v>2810</v>
      </c>
      <c r="C158" s="35" t="s">
        <v>212</v>
      </c>
      <c r="D158" s="32" t="s">
        <v>2811</v>
      </c>
      <c r="E158" s="11" t="s">
        <v>13</v>
      </c>
    </row>
    <row r="159">
      <c r="B159" s="32" t="s">
        <v>2812</v>
      </c>
      <c r="C159" s="35" t="s">
        <v>217</v>
      </c>
      <c r="D159" s="32" t="s">
        <v>2809</v>
      </c>
      <c r="E159" s="11" t="s">
        <v>9</v>
      </c>
    </row>
    <row r="160">
      <c r="B160" s="32" t="s">
        <v>2810</v>
      </c>
      <c r="C160" s="35" t="s">
        <v>197</v>
      </c>
      <c r="D160" s="32" t="s">
        <v>1374</v>
      </c>
      <c r="E160" s="11" t="s">
        <v>13</v>
      </c>
    </row>
    <row r="161">
      <c r="B161" s="32" t="s">
        <v>2812</v>
      </c>
      <c r="C161" s="35" t="s">
        <v>17</v>
      </c>
      <c r="D161" s="32" t="s">
        <v>2811</v>
      </c>
      <c r="E161" s="11" t="s">
        <v>9</v>
      </c>
    </row>
    <row r="162">
      <c r="B162" s="32" t="s">
        <v>2810</v>
      </c>
      <c r="C162" s="35" t="s">
        <v>260</v>
      </c>
      <c r="D162" s="32" t="s">
        <v>2809</v>
      </c>
      <c r="E162" s="11" t="s">
        <v>13</v>
      </c>
    </row>
    <row r="163">
      <c r="B163" s="32" t="s">
        <v>2812</v>
      </c>
      <c r="C163" s="35" t="s">
        <v>81</v>
      </c>
      <c r="D163" s="32" t="s">
        <v>1374</v>
      </c>
      <c r="E163" s="11" t="s">
        <v>9</v>
      </c>
    </row>
    <row r="164">
      <c r="B164" s="32" t="s">
        <v>2811</v>
      </c>
      <c r="C164" s="35" t="s">
        <v>69</v>
      </c>
      <c r="D164" s="32" t="s">
        <v>2809</v>
      </c>
      <c r="E164" s="11" t="s">
        <v>13</v>
      </c>
    </row>
    <row r="165">
      <c r="B165" s="32" t="s">
        <v>2812</v>
      </c>
      <c r="C165" s="35" t="s">
        <v>11</v>
      </c>
      <c r="D165" s="32" t="s">
        <v>2810</v>
      </c>
      <c r="E165" s="11" t="s">
        <v>9</v>
      </c>
    </row>
    <row r="166">
      <c r="B166" s="32" t="s">
        <v>2811</v>
      </c>
      <c r="C166" s="35" t="s">
        <v>193</v>
      </c>
      <c r="D166" s="32" t="s">
        <v>1374</v>
      </c>
      <c r="E166" s="11" t="s">
        <v>13</v>
      </c>
    </row>
    <row r="167">
      <c r="B167" s="32" t="s">
        <v>1374</v>
      </c>
      <c r="C167" s="35" t="s">
        <v>68</v>
      </c>
      <c r="D167" s="32" t="s">
        <v>2809</v>
      </c>
      <c r="E167" s="11" t="s">
        <v>9</v>
      </c>
    </row>
    <row r="168">
      <c r="B168" s="32" t="s">
        <v>2811</v>
      </c>
      <c r="C168" s="35" t="s">
        <v>41</v>
      </c>
      <c r="D168" s="32" t="s">
        <v>2810</v>
      </c>
      <c r="E168" s="11" t="s">
        <v>13</v>
      </c>
    </row>
    <row r="169">
      <c r="B169" s="32" t="s">
        <v>2809</v>
      </c>
      <c r="C169" s="35" t="s">
        <v>212</v>
      </c>
      <c r="D169" s="32" t="s">
        <v>2812</v>
      </c>
      <c r="E169" s="11" t="s">
        <v>9</v>
      </c>
    </row>
    <row r="170">
      <c r="B170" s="32" t="s">
        <v>1374</v>
      </c>
      <c r="C170" s="35" t="s">
        <v>87</v>
      </c>
      <c r="D170" s="32" t="s">
        <v>2810</v>
      </c>
      <c r="E170" s="11" t="s">
        <v>13</v>
      </c>
    </row>
    <row r="171">
      <c r="B171" s="32" t="s">
        <v>2811</v>
      </c>
      <c r="C171" s="35" t="s">
        <v>403</v>
      </c>
      <c r="D171" s="32" t="s">
        <v>2812</v>
      </c>
      <c r="E171" s="11" t="s">
        <v>9</v>
      </c>
    </row>
    <row r="172">
      <c r="B172" s="32" t="s">
        <v>2809</v>
      </c>
      <c r="C172" s="35" t="s">
        <v>331</v>
      </c>
      <c r="D172" s="32" t="s">
        <v>2810</v>
      </c>
      <c r="E172" s="11" t="s">
        <v>13</v>
      </c>
    </row>
    <row r="173">
      <c r="B173" s="32" t="s">
        <v>1374</v>
      </c>
      <c r="C173" s="35" t="s">
        <v>19</v>
      </c>
      <c r="D173" s="32" t="s">
        <v>2812</v>
      </c>
      <c r="E173" s="11" t="s">
        <v>9</v>
      </c>
    </row>
    <row r="174">
      <c r="B174" s="32" t="s">
        <v>2809</v>
      </c>
      <c r="C174" s="35" t="s">
        <v>195</v>
      </c>
      <c r="D174" s="32" t="s">
        <v>2811</v>
      </c>
      <c r="E174" s="11" t="s">
        <v>13</v>
      </c>
    </row>
    <row r="175">
      <c r="B175" s="32" t="s">
        <v>2810</v>
      </c>
      <c r="C175" s="35" t="s">
        <v>836</v>
      </c>
      <c r="D175" s="32" t="s">
        <v>2812</v>
      </c>
      <c r="E175" s="11" t="s">
        <v>9</v>
      </c>
    </row>
    <row r="176">
      <c r="B176" s="32" t="s">
        <v>1374</v>
      </c>
      <c r="C176" s="35" t="s">
        <v>87</v>
      </c>
      <c r="D176" s="32" t="s">
        <v>2811</v>
      </c>
      <c r="E176" s="11" t="s">
        <v>13</v>
      </c>
    </row>
    <row r="177">
      <c r="B177" s="1" t="s">
        <v>2768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B179" s="32" t="s">
        <v>2015</v>
      </c>
      <c r="C179" s="33" t="s">
        <v>83</v>
      </c>
      <c r="D179" s="32" t="s">
        <v>2813</v>
      </c>
      <c r="E179" s="80" t="s">
        <v>33</v>
      </c>
    </row>
    <row r="180">
      <c r="B180" s="32" t="s">
        <v>2814</v>
      </c>
      <c r="C180" s="33" t="s">
        <v>331</v>
      </c>
      <c r="D180" s="32" t="s">
        <v>2815</v>
      </c>
      <c r="E180" s="80" t="s">
        <v>37</v>
      </c>
    </row>
    <row r="181">
      <c r="B181" s="32" t="s">
        <v>2816</v>
      </c>
      <c r="C181" s="33" t="s">
        <v>201</v>
      </c>
      <c r="D181" s="32" t="s">
        <v>2015</v>
      </c>
      <c r="E181" s="80" t="s">
        <v>33</v>
      </c>
    </row>
    <row r="182">
      <c r="B182" s="32" t="s">
        <v>2814</v>
      </c>
      <c r="C182" s="33" t="s">
        <v>19</v>
      </c>
      <c r="D182" s="32" t="s">
        <v>2813</v>
      </c>
      <c r="E182" s="80" t="s">
        <v>37</v>
      </c>
    </row>
    <row r="183">
      <c r="B183" s="32" t="s">
        <v>2816</v>
      </c>
      <c r="C183" s="33" t="s">
        <v>244</v>
      </c>
      <c r="D183" s="32" t="s">
        <v>2815</v>
      </c>
      <c r="E183" s="80" t="s">
        <v>33</v>
      </c>
    </row>
    <row r="184">
      <c r="B184" s="32" t="s">
        <v>2814</v>
      </c>
      <c r="C184" s="33" t="s">
        <v>196</v>
      </c>
      <c r="D184" s="32" t="s">
        <v>2015</v>
      </c>
      <c r="E184" s="80" t="s">
        <v>37</v>
      </c>
    </row>
    <row r="185">
      <c r="B185" s="32" t="s">
        <v>2816</v>
      </c>
      <c r="C185" s="33" t="s">
        <v>412</v>
      </c>
      <c r="D185" s="32" t="s">
        <v>2813</v>
      </c>
      <c r="E185" s="80" t="s">
        <v>33</v>
      </c>
    </row>
    <row r="186">
      <c r="B186" s="32" t="s">
        <v>2815</v>
      </c>
      <c r="C186" s="33" t="s">
        <v>240</v>
      </c>
      <c r="D186" s="32" t="s">
        <v>2015</v>
      </c>
      <c r="E186" s="80" t="s">
        <v>37</v>
      </c>
      <c r="G186" s="36"/>
    </row>
    <row r="187">
      <c r="B187" s="32" t="s">
        <v>2816</v>
      </c>
      <c r="C187" s="33" t="s">
        <v>20</v>
      </c>
      <c r="D187" s="32" t="s">
        <v>2814</v>
      </c>
      <c r="E187" s="80" t="s">
        <v>33</v>
      </c>
    </row>
    <row r="188">
      <c r="B188" s="32" t="s">
        <v>2815</v>
      </c>
      <c r="C188" s="33" t="s">
        <v>64</v>
      </c>
      <c r="D188" s="32" t="s">
        <v>2813</v>
      </c>
      <c r="E188" s="80" t="s">
        <v>37</v>
      </c>
    </row>
    <row r="189">
      <c r="B189" s="32" t="s">
        <v>2813</v>
      </c>
      <c r="C189" s="33" t="s">
        <v>81</v>
      </c>
      <c r="D189" s="32" t="s">
        <v>2015</v>
      </c>
      <c r="E189" s="80" t="s">
        <v>33</v>
      </c>
    </row>
    <row r="190">
      <c r="B190" s="32" t="s">
        <v>2815</v>
      </c>
      <c r="C190" s="33" t="s">
        <v>17</v>
      </c>
      <c r="D190" s="32" t="s">
        <v>2814</v>
      </c>
      <c r="E190" s="80" t="s">
        <v>37</v>
      </c>
    </row>
    <row r="191">
      <c r="B191" s="32" t="s">
        <v>2015</v>
      </c>
      <c r="C191" s="35" t="s">
        <v>16</v>
      </c>
      <c r="D191" s="32" t="s">
        <v>2816</v>
      </c>
      <c r="E191" s="80" t="s">
        <v>33</v>
      </c>
    </row>
    <row r="192">
      <c r="B192" s="32" t="s">
        <v>2813</v>
      </c>
      <c r="C192" s="35" t="s">
        <v>302</v>
      </c>
      <c r="D192" s="32" t="s">
        <v>2814</v>
      </c>
      <c r="E192" s="80" t="s">
        <v>37</v>
      </c>
    </row>
    <row r="193">
      <c r="B193" s="32" t="s">
        <v>2815</v>
      </c>
      <c r="C193" s="35" t="s">
        <v>245</v>
      </c>
      <c r="D193" s="32" t="s">
        <v>2816</v>
      </c>
      <c r="E193" s="80" t="s">
        <v>33</v>
      </c>
      <c r="G193" s="36"/>
    </row>
    <row r="194">
      <c r="B194" s="32" t="s">
        <v>2015</v>
      </c>
      <c r="C194" s="35" t="s">
        <v>195</v>
      </c>
      <c r="D194" s="32" t="s">
        <v>2814</v>
      </c>
      <c r="E194" s="80" t="s">
        <v>37</v>
      </c>
    </row>
    <row r="195">
      <c r="B195" s="32" t="s">
        <v>2813</v>
      </c>
      <c r="C195" s="35" t="s">
        <v>273</v>
      </c>
      <c r="D195" s="32" t="s">
        <v>2816</v>
      </c>
      <c r="E195" s="80" t="s">
        <v>33</v>
      </c>
    </row>
    <row r="196">
      <c r="B196" s="32" t="s">
        <v>2015</v>
      </c>
      <c r="C196" s="35" t="s">
        <v>249</v>
      </c>
      <c r="D196" s="32" t="s">
        <v>2815</v>
      </c>
      <c r="E196" s="80" t="s">
        <v>37</v>
      </c>
    </row>
    <row r="197">
      <c r="B197" s="32" t="s">
        <v>2814</v>
      </c>
      <c r="C197" s="35" t="s">
        <v>400</v>
      </c>
      <c r="D197" s="32" t="s">
        <v>2816</v>
      </c>
      <c r="E197" s="80" t="s">
        <v>33</v>
      </c>
      <c r="F197" s="36" t="s">
        <v>242</v>
      </c>
    </row>
    <row r="198">
      <c r="B198" s="32" t="s">
        <v>2813</v>
      </c>
      <c r="C198" s="35" t="s">
        <v>64</v>
      </c>
      <c r="D198" s="32" t="s">
        <v>2815</v>
      </c>
      <c r="E198" s="80" t="s">
        <v>37</v>
      </c>
    </row>
    <row r="199">
      <c r="B199" s="1" t="s">
        <v>2769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B201" s="32" t="s">
        <v>987</v>
      </c>
      <c r="C201" s="33" t="s">
        <v>285</v>
      </c>
      <c r="D201" s="32" t="s">
        <v>1680</v>
      </c>
      <c r="E201" s="80" t="s">
        <v>33</v>
      </c>
    </row>
    <row r="202">
      <c r="B202" s="32" t="s">
        <v>2814</v>
      </c>
      <c r="C202" s="33" t="s">
        <v>45</v>
      </c>
      <c r="D202" s="32" t="s">
        <v>1917</v>
      </c>
      <c r="E202" s="80" t="s">
        <v>37</v>
      </c>
    </row>
    <row r="203">
      <c r="B203" s="32" t="s">
        <v>2773</v>
      </c>
      <c r="C203" s="33" t="s">
        <v>218</v>
      </c>
      <c r="D203" s="32" t="s">
        <v>987</v>
      </c>
      <c r="E203" s="80" t="s">
        <v>33</v>
      </c>
    </row>
    <row r="204">
      <c r="B204" s="32" t="s">
        <v>2814</v>
      </c>
      <c r="C204" s="33" t="s">
        <v>411</v>
      </c>
      <c r="D204" s="32" t="s">
        <v>1680</v>
      </c>
      <c r="E204" s="80" t="s">
        <v>37</v>
      </c>
    </row>
    <row r="205">
      <c r="B205" s="32" t="s">
        <v>2773</v>
      </c>
      <c r="C205" s="33" t="s">
        <v>589</v>
      </c>
      <c r="D205" s="32" t="s">
        <v>1917</v>
      </c>
      <c r="E205" s="80" t="s">
        <v>33</v>
      </c>
    </row>
    <row r="206">
      <c r="B206" s="32" t="s">
        <v>2814</v>
      </c>
      <c r="C206" s="33" t="s">
        <v>306</v>
      </c>
      <c r="D206" s="32" t="s">
        <v>987</v>
      </c>
      <c r="E206" s="80" t="s">
        <v>37</v>
      </c>
    </row>
    <row r="207">
      <c r="B207" s="32" t="s">
        <v>2773</v>
      </c>
      <c r="C207" s="33" t="s">
        <v>16</v>
      </c>
      <c r="D207" s="32" t="s">
        <v>1680</v>
      </c>
      <c r="E207" s="80" t="s">
        <v>33</v>
      </c>
    </row>
    <row r="208">
      <c r="B208" s="32" t="s">
        <v>1917</v>
      </c>
      <c r="C208" s="33" t="s">
        <v>686</v>
      </c>
      <c r="D208" s="32" t="s">
        <v>987</v>
      </c>
      <c r="E208" s="80" t="s">
        <v>37</v>
      </c>
    </row>
    <row r="209">
      <c r="B209" s="32" t="s">
        <v>2773</v>
      </c>
      <c r="C209" s="33" t="s">
        <v>16</v>
      </c>
      <c r="D209" s="32" t="s">
        <v>2814</v>
      </c>
      <c r="E209" s="80" t="s">
        <v>33</v>
      </c>
    </row>
    <row r="210">
      <c r="B210" s="32" t="s">
        <v>1917</v>
      </c>
      <c r="C210" s="33" t="s">
        <v>285</v>
      </c>
      <c r="D210" s="32" t="s">
        <v>1680</v>
      </c>
      <c r="E210" s="80" t="s">
        <v>37</v>
      </c>
    </row>
    <row r="211">
      <c r="B211" s="32" t="s">
        <v>1680</v>
      </c>
      <c r="C211" s="33" t="s">
        <v>566</v>
      </c>
      <c r="D211" s="32" t="s">
        <v>987</v>
      </c>
      <c r="E211" s="80" t="s">
        <v>33</v>
      </c>
    </row>
    <row r="212">
      <c r="B212" s="32" t="s">
        <v>1917</v>
      </c>
      <c r="C212" s="33" t="s">
        <v>412</v>
      </c>
      <c r="D212" s="32" t="s">
        <v>2814</v>
      </c>
      <c r="E212" s="80" t="s">
        <v>37</v>
      </c>
    </row>
    <row r="213">
      <c r="B213" s="32" t="s">
        <v>987</v>
      </c>
      <c r="C213" s="35" t="s">
        <v>261</v>
      </c>
      <c r="D213" s="32" t="s">
        <v>2773</v>
      </c>
      <c r="E213" s="80" t="s">
        <v>33</v>
      </c>
    </row>
    <row r="214">
      <c r="B214" s="32" t="s">
        <v>1680</v>
      </c>
      <c r="C214" s="35" t="s">
        <v>82</v>
      </c>
      <c r="D214" s="32" t="s">
        <v>2814</v>
      </c>
      <c r="E214" s="80" t="s">
        <v>37</v>
      </c>
    </row>
    <row r="215">
      <c r="B215" s="32" t="s">
        <v>1917</v>
      </c>
      <c r="C215" s="35" t="s">
        <v>217</v>
      </c>
      <c r="D215" s="32" t="s">
        <v>2773</v>
      </c>
      <c r="E215" s="80" t="s">
        <v>33</v>
      </c>
    </row>
    <row r="216">
      <c r="B216" s="32" t="s">
        <v>987</v>
      </c>
      <c r="C216" s="35" t="s">
        <v>43</v>
      </c>
      <c r="D216" s="32" t="s">
        <v>2814</v>
      </c>
      <c r="E216" s="80" t="s">
        <v>37</v>
      </c>
    </row>
    <row r="217">
      <c r="B217" s="32" t="s">
        <v>1680</v>
      </c>
      <c r="C217" s="35" t="s">
        <v>43</v>
      </c>
      <c r="D217" s="32" t="s">
        <v>2773</v>
      </c>
      <c r="E217" s="80" t="s">
        <v>33</v>
      </c>
    </row>
    <row r="218">
      <c r="B218" s="32" t="s">
        <v>987</v>
      </c>
      <c r="C218" s="35" t="s">
        <v>426</v>
      </c>
      <c r="D218" s="32" t="s">
        <v>1917</v>
      </c>
      <c r="E218" s="80" t="s">
        <v>37</v>
      </c>
    </row>
    <row r="219">
      <c r="B219" s="32" t="s">
        <v>2814</v>
      </c>
      <c r="C219" s="35" t="s">
        <v>20</v>
      </c>
      <c r="D219" s="32" t="s">
        <v>2773</v>
      </c>
      <c r="E219" s="80" t="s">
        <v>33</v>
      </c>
    </row>
    <row r="220">
      <c r="B220" s="32" t="s">
        <v>1680</v>
      </c>
      <c r="C220" s="35" t="s">
        <v>72</v>
      </c>
      <c r="D220" s="32" t="s">
        <v>1917</v>
      </c>
      <c r="E220" s="80" t="s">
        <v>37</v>
      </c>
    </row>
    <row r="221">
      <c r="B221" s="28" t="s">
        <v>2394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34" t="s">
        <v>705</v>
      </c>
      <c r="C223" s="35" t="s">
        <v>243</v>
      </c>
      <c r="D223" s="34" t="s">
        <v>2817</v>
      </c>
      <c r="E223" s="11" t="s">
        <v>9</v>
      </c>
    </row>
    <row r="224">
      <c r="B224" s="34" t="s">
        <v>2818</v>
      </c>
      <c r="C224" s="35" t="s">
        <v>566</v>
      </c>
      <c r="D224" s="34" t="s">
        <v>1531</v>
      </c>
      <c r="E224" s="11" t="s">
        <v>13</v>
      </c>
    </row>
    <row r="225">
      <c r="B225" s="34" t="s">
        <v>883</v>
      </c>
      <c r="C225" s="35" t="s">
        <v>22</v>
      </c>
      <c r="D225" s="34" t="s">
        <v>705</v>
      </c>
      <c r="E225" s="11" t="s">
        <v>9</v>
      </c>
    </row>
    <row r="226">
      <c r="B226" s="34" t="s">
        <v>2818</v>
      </c>
      <c r="C226" s="35" t="s">
        <v>25</v>
      </c>
      <c r="D226" s="34" t="s">
        <v>2817</v>
      </c>
      <c r="E226" s="11" t="s">
        <v>13</v>
      </c>
    </row>
    <row r="227">
      <c r="B227" s="34" t="s">
        <v>883</v>
      </c>
      <c r="C227" s="35" t="s">
        <v>201</v>
      </c>
      <c r="D227" s="34" t="s">
        <v>1531</v>
      </c>
      <c r="E227" s="11" t="s">
        <v>9</v>
      </c>
    </row>
    <row r="228">
      <c r="B228" s="34" t="s">
        <v>2818</v>
      </c>
      <c r="C228" s="35" t="s">
        <v>558</v>
      </c>
      <c r="D228" s="34" t="s">
        <v>705</v>
      </c>
      <c r="E228" s="11" t="s">
        <v>13</v>
      </c>
    </row>
    <row r="229">
      <c r="B229" s="34" t="s">
        <v>883</v>
      </c>
      <c r="C229" s="35" t="s">
        <v>31</v>
      </c>
      <c r="D229" s="34" t="s">
        <v>2817</v>
      </c>
      <c r="E229" s="11" t="s">
        <v>9</v>
      </c>
    </row>
    <row r="230">
      <c r="B230" s="34" t="s">
        <v>1531</v>
      </c>
      <c r="C230" s="35" t="s">
        <v>25</v>
      </c>
      <c r="D230" s="34" t="s">
        <v>705</v>
      </c>
      <c r="E230" s="11" t="s">
        <v>13</v>
      </c>
    </row>
    <row r="231">
      <c r="B231" s="34" t="s">
        <v>883</v>
      </c>
      <c r="C231" s="35" t="s">
        <v>195</v>
      </c>
      <c r="D231" s="34" t="s">
        <v>2818</v>
      </c>
      <c r="E231" s="11" t="s">
        <v>9</v>
      </c>
    </row>
    <row r="232">
      <c r="B232" s="34" t="s">
        <v>1531</v>
      </c>
      <c r="C232" s="35" t="s">
        <v>71</v>
      </c>
      <c r="D232" s="34" t="s">
        <v>2817</v>
      </c>
      <c r="E232" s="11" t="s">
        <v>13</v>
      </c>
    </row>
    <row r="233">
      <c r="B233" s="34" t="s">
        <v>2817</v>
      </c>
      <c r="C233" s="35" t="s">
        <v>337</v>
      </c>
      <c r="D233" s="34" t="s">
        <v>705</v>
      </c>
      <c r="E233" s="11" t="s">
        <v>9</v>
      </c>
    </row>
    <row r="234">
      <c r="B234" s="34" t="s">
        <v>1531</v>
      </c>
      <c r="C234" s="35" t="s">
        <v>285</v>
      </c>
      <c r="D234" s="34" t="s">
        <v>2818</v>
      </c>
      <c r="E234" s="11" t="s">
        <v>13</v>
      </c>
    </row>
    <row r="235">
      <c r="B235" s="34" t="s">
        <v>705</v>
      </c>
      <c r="C235" s="35" t="s">
        <v>835</v>
      </c>
      <c r="D235" s="34" t="s">
        <v>883</v>
      </c>
      <c r="E235" s="11" t="s">
        <v>9</v>
      </c>
    </row>
    <row r="236">
      <c r="B236" s="34" t="s">
        <v>2817</v>
      </c>
      <c r="C236" s="35" t="s">
        <v>258</v>
      </c>
      <c r="D236" s="34" t="s">
        <v>2818</v>
      </c>
      <c r="E236" s="11" t="s">
        <v>13</v>
      </c>
    </row>
    <row r="237">
      <c r="B237" s="34" t="s">
        <v>1531</v>
      </c>
      <c r="C237" s="35" t="s">
        <v>631</v>
      </c>
      <c r="D237" s="34" t="s">
        <v>883</v>
      </c>
      <c r="E237" s="11" t="s">
        <v>9</v>
      </c>
    </row>
    <row r="238">
      <c r="B238" s="34" t="s">
        <v>705</v>
      </c>
      <c r="C238" s="35" t="s">
        <v>193</v>
      </c>
      <c r="D238" s="34" t="s">
        <v>2818</v>
      </c>
      <c r="E238" s="11" t="s">
        <v>13</v>
      </c>
    </row>
    <row r="239">
      <c r="B239" s="34" t="s">
        <v>2817</v>
      </c>
      <c r="C239" s="35" t="s">
        <v>579</v>
      </c>
      <c r="D239" s="34" t="s">
        <v>883</v>
      </c>
      <c r="E239" s="11" t="s">
        <v>9</v>
      </c>
    </row>
    <row r="240">
      <c r="B240" s="34" t="s">
        <v>705</v>
      </c>
      <c r="C240" s="35" t="s">
        <v>25</v>
      </c>
      <c r="D240" s="34" t="s">
        <v>1531</v>
      </c>
      <c r="E240" s="11" t="s">
        <v>13</v>
      </c>
    </row>
    <row r="241">
      <c r="B241" s="34" t="s">
        <v>2818</v>
      </c>
      <c r="C241" s="35" t="s">
        <v>22</v>
      </c>
      <c r="D241" s="34" t="s">
        <v>883</v>
      </c>
      <c r="E241" s="11" t="s">
        <v>9</v>
      </c>
    </row>
    <row r="242">
      <c r="B242" s="34" t="s">
        <v>2817</v>
      </c>
      <c r="C242" s="35" t="s">
        <v>78</v>
      </c>
      <c r="D242" s="34" t="s">
        <v>1531</v>
      </c>
      <c r="E242" s="11" t="s">
        <v>13</v>
      </c>
    </row>
    <row r="243">
      <c r="B243" s="28" t="s">
        <v>2819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34" t="s">
        <v>1710</v>
      </c>
      <c r="C245" s="35" t="s">
        <v>68</v>
      </c>
      <c r="D245" s="34" t="s">
        <v>2820</v>
      </c>
      <c r="E245" s="11" t="s">
        <v>9</v>
      </c>
    </row>
    <row r="246">
      <c r="B246" s="34" t="s">
        <v>2821</v>
      </c>
      <c r="C246" s="35" t="s">
        <v>66</v>
      </c>
      <c r="D246" s="34" t="s">
        <v>2822</v>
      </c>
      <c r="E246" s="11" t="s">
        <v>13</v>
      </c>
    </row>
    <row r="247">
      <c r="B247" s="34" t="s">
        <v>1524</v>
      </c>
      <c r="C247" s="35" t="s">
        <v>81</v>
      </c>
      <c r="D247" s="34" t="s">
        <v>1710</v>
      </c>
      <c r="E247" s="11" t="s">
        <v>9</v>
      </c>
    </row>
    <row r="248">
      <c r="B248" s="34" t="s">
        <v>2821</v>
      </c>
      <c r="C248" s="35" t="s">
        <v>404</v>
      </c>
      <c r="D248" s="34" t="s">
        <v>2820</v>
      </c>
      <c r="E248" s="11" t="s">
        <v>13</v>
      </c>
    </row>
    <row r="249">
      <c r="B249" s="34" t="s">
        <v>1524</v>
      </c>
      <c r="C249" s="35" t="s">
        <v>64</v>
      </c>
      <c r="D249" s="34" t="s">
        <v>2822</v>
      </c>
      <c r="E249" s="11" t="s">
        <v>9</v>
      </c>
    </row>
    <row r="250">
      <c r="B250" s="34" t="s">
        <v>2821</v>
      </c>
      <c r="C250" s="35" t="s">
        <v>416</v>
      </c>
      <c r="D250" s="34" t="s">
        <v>1710</v>
      </c>
      <c r="E250" s="11" t="s">
        <v>13</v>
      </c>
    </row>
    <row r="251">
      <c r="B251" s="34" t="s">
        <v>1524</v>
      </c>
      <c r="C251" s="35" t="s">
        <v>43</v>
      </c>
      <c r="D251" s="34" t="s">
        <v>2820</v>
      </c>
      <c r="E251" s="11" t="s">
        <v>9</v>
      </c>
    </row>
    <row r="252">
      <c r="B252" s="34" t="s">
        <v>2822</v>
      </c>
      <c r="C252" s="35" t="s">
        <v>212</v>
      </c>
      <c r="D252" s="34" t="s">
        <v>1710</v>
      </c>
      <c r="E252" s="11" t="s">
        <v>13</v>
      </c>
    </row>
    <row r="253">
      <c r="B253" s="34" t="s">
        <v>1524</v>
      </c>
      <c r="C253" s="35" t="s">
        <v>196</v>
      </c>
      <c r="D253" s="34" t="s">
        <v>2821</v>
      </c>
      <c r="E253" s="11" t="s">
        <v>9</v>
      </c>
    </row>
    <row r="254">
      <c r="B254" s="34" t="s">
        <v>2822</v>
      </c>
      <c r="C254" s="35" t="s">
        <v>835</v>
      </c>
      <c r="D254" s="34" t="s">
        <v>2820</v>
      </c>
      <c r="E254" s="11" t="s">
        <v>13</v>
      </c>
    </row>
    <row r="255">
      <c r="B255" s="34" t="s">
        <v>2820</v>
      </c>
      <c r="C255" s="35" t="s">
        <v>829</v>
      </c>
      <c r="D255" s="34" t="s">
        <v>1710</v>
      </c>
      <c r="E255" s="11" t="s">
        <v>9</v>
      </c>
    </row>
    <row r="256">
      <c r="B256" s="34" t="s">
        <v>2822</v>
      </c>
      <c r="C256" s="35" t="s">
        <v>328</v>
      </c>
      <c r="D256" s="34" t="s">
        <v>2821</v>
      </c>
      <c r="E256" s="11" t="s">
        <v>13</v>
      </c>
    </row>
    <row r="257">
      <c r="B257" s="34" t="s">
        <v>1710</v>
      </c>
      <c r="C257" s="35" t="s">
        <v>35</v>
      </c>
      <c r="D257" s="34" t="s">
        <v>1524</v>
      </c>
      <c r="E257" s="11" t="s">
        <v>9</v>
      </c>
    </row>
    <row r="258">
      <c r="B258" s="34" t="s">
        <v>2820</v>
      </c>
      <c r="C258" s="35" t="s">
        <v>47</v>
      </c>
      <c r="D258" s="34" t="s">
        <v>2821</v>
      </c>
      <c r="E258" s="11" t="s">
        <v>13</v>
      </c>
    </row>
    <row r="259">
      <c r="B259" s="34" t="s">
        <v>2822</v>
      </c>
      <c r="C259" s="35" t="s">
        <v>190</v>
      </c>
      <c r="D259" s="34" t="s">
        <v>1524</v>
      </c>
      <c r="E259" s="11" t="s">
        <v>9</v>
      </c>
    </row>
    <row r="260">
      <c r="B260" s="34" t="s">
        <v>1710</v>
      </c>
      <c r="C260" s="35" t="s">
        <v>270</v>
      </c>
      <c r="D260" s="34" t="s">
        <v>2821</v>
      </c>
      <c r="E260" s="11" t="s">
        <v>13</v>
      </c>
    </row>
    <row r="261">
      <c r="B261" s="34" t="s">
        <v>2820</v>
      </c>
      <c r="C261" s="35" t="s">
        <v>11</v>
      </c>
      <c r="D261" s="34" t="s">
        <v>1524</v>
      </c>
      <c r="E261" s="11" t="s">
        <v>9</v>
      </c>
    </row>
    <row r="262">
      <c r="B262" s="34" t="s">
        <v>1710</v>
      </c>
      <c r="C262" s="35" t="s">
        <v>416</v>
      </c>
      <c r="D262" s="34" t="s">
        <v>2822</v>
      </c>
      <c r="E262" s="11" t="s">
        <v>13</v>
      </c>
    </row>
    <row r="263">
      <c r="B263" s="34" t="s">
        <v>2821</v>
      </c>
      <c r="C263" s="35" t="s">
        <v>45</v>
      </c>
      <c r="D263" s="34" t="s">
        <v>1524</v>
      </c>
      <c r="E263" s="11" t="s">
        <v>9</v>
      </c>
    </row>
    <row r="264">
      <c r="B264" s="34" t="s">
        <v>2820</v>
      </c>
      <c r="C264" s="35" t="s">
        <v>203</v>
      </c>
      <c r="D264" s="34" t="s">
        <v>2822</v>
      </c>
      <c r="E264" s="11" t="s">
        <v>13</v>
      </c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/>
      <c r="B1" s="1" t="s">
        <v>2022</v>
      </c>
      <c r="C1" s="2"/>
      <c r="D1" s="3"/>
      <c r="E1" s="29"/>
    </row>
    <row r="2">
      <c r="A2" s="66"/>
      <c r="B2" s="6" t="s">
        <v>2</v>
      </c>
      <c r="C2" s="6" t="s">
        <v>3</v>
      </c>
      <c r="D2" s="6" t="s">
        <v>4</v>
      </c>
      <c r="E2" s="6" t="s">
        <v>5</v>
      </c>
    </row>
    <row r="3">
      <c r="A3" s="66"/>
      <c r="B3" s="34" t="s">
        <v>2823</v>
      </c>
      <c r="C3" s="82" t="s">
        <v>17</v>
      </c>
      <c r="D3" s="34" t="s">
        <v>1785</v>
      </c>
      <c r="E3" s="11" t="s">
        <v>9</v>
      </c>
    </row>
    <row r="4">
      <c r="A4" s="66"/>
      <c r="B4" s="34" t="s">
        <v>2787</v>
      </c>
      <c r="C4" s="33" t="s">
        <v>566</v>
      </c>
      <c r="D4" s="32" t="s">
        <v>1725</v>
      </c>
      <c r="E4" s="11" t="s">
        <v>13</v>
      </c>
    </row>
    <row r="5">
      <c r="A5" s="66"/>
      <c r="B5" s="34" t="s">
        <v>1706</v>
      </c>
      <c r="C5" s="33" t="s">
        <v>47</v>
      </c>
      <c r="D5" s="34" t="s">
        <v>2823</v>
      </c>
      <c r="E5" s="11" t="s">
        <v>9</v>
      </c>
    </row>
    <row r="6">
      <c r="A6" s="66"/>
      <c r="B6" s="34" t="s">
        <v>2787</v>
      </c>
      <c r="C6" s="33" t="s">
        <v>25</v>
      </c>
      <c r="D6" s="34" t="s">
        <v>1785</v>
      </c>
      <c r="E6" s="11" t="s">
        <v>13</v>
      </c>
    </row>
    <row r="7">
      <c r="A7" s="66"/>
      <c r="B7" s="34" t="s">
        <v>1706</v>
      </c>
      <c r="C7" s="33" t="s">
        <v>17</v>
      </c>
      <c r="D7" s="32" t="s">
        <v>1725</v>
      </c>
      <c r="E7" s="11" t="s">
        <v>9</v>
      </c>
    </row>
    <row r="8">
      <c r="A8" s="66"/>
      <c r="B8" s="34" t="s">
        <v>2787</v>
      </c>
      <c r="C8" s="33" t="s">
        <v>411</v>
      </c>
      <c r="D8" s="34" t="s">
        <v>2823</v>
      </c>
      <c r="E8" s="11" t="s">
        <v>13</v>
      </c>
    </row>
    <row r="9">
      <c r="A9" s="66"/>
      <c r="B9" s="34" t="s">
        <v>1706</v>
      </c>
      <c r="C9" s="33" t="s">
        <v>14</v>
      </c>
      <c r="D9" s="34" t="s">
        <v>1785</v>
      </c>
      <c r="E9" s="11" t="s">
        <v>9</v>
      </c>
    </row>
    <row r="10">
      <c r="A10" s="66"/>
      <c r="B10" s="32" t="s">
        <v>1725</v>
      </c>
      <c r="C10" s="33" t="s">
        <v>355</v>
      </c>
      <c r="D10" s="34" t="s">
        <v>2823</v>
      </c>
      <c r="E10" s="11" t="s">
        <v>13</v>
      </c>
    </row>
    <row r="11">
      <c r="A11" s="66"/>
      <c r="B11" s="34" t="s">
        <v>1706</v>
      </c>
      <c r="C11" s="33" t="s">
        <v>443</v>
      </c>
      <c r="D11" s="34" t="s">
        <v>2787</v>
      </c>
      <c r="E11" s="11" t="s">
        <v>9</v>
      </c>
    </row>
    <row r="12">
      <c r="A12" s="66"/>
      <c r="B12" s="32" t="s">
        <v>1725</v>
      </c>
      <c r="C12" s="33" t="s">
        <v>72</v>
      </c>
      <c r="D12" s="34" t="s">
        <v>1785</v>
      </c>
      <c r="E12" s="11" t="s">
        <v>13</v>
      </c>
    </row>
    <row r="13">
      <c r="A13" s="66"/>
      <c r="B13" s="34" t="s">
        <v>1785</v>
      </c>
      <c r="C13" s="33" t="s">
        <v>22</v>
      </c>
      <c r="D13" s="34" t="s">
        <v>2823</v>
      </c>
      <c r="E13" s="11" t="s">
        <v>9</v>
      </c>
    </row>
    <row r="14">
      <c r="A14" s="66"/>
      <c r="B14" s="32" t="s">
        <v>1725</v>
      </c>
      <c r="C14" s="33" t="s">
        <v>260</v>
      </c>
      <c r="D14" s="34" t="s">
        <v>2787</v>
      </c>
      <c r="E14" s="11" t="s">
        <v>13</v>
      </c>
    </row>
    <row r="15">
      <c r="A15" s="66"/>
      <c r="B15" s="34" t="s">
        <v>2823</v>
      </c>
      <c r="C15" s="35" t="s">
        <v>25</v>
      </c>
      <c r="D15" s="34" t="s">
        <v>1706</v>
      </c>
      <c r="E15" s="11" t="s">
        <v>9</v>
      </c>
    </row>
    <row r="16">
      <c r="A16" s="66"/>
      <c r="B16" s="34" t="s">
        <v>1785</v>
      </c>
      <c r="C16" s="35" t="s">
        <v>403</v>
      </c>
      <c r="D16" s="34" t="s">
        <v>2787</v>
      </c>
      <c r="E16" s="11" t="s">
        <v>13</v>
      </c>
    </row>
    <row r="17">
      <c r="A17" s="66"/>
      <c r="B17" s="32" t="s">
        <v>1725</v>
      </c>
      <c r="C17" s="35" t="s">
        <v>81</v>
      </c>
      <c r="D17" s="34" t="s">
        <v>1706</v>
      </c>
      <c r="E17" s="11" t="s">
        <v>9</v>
      </c>
    </row>
    <row r="18">
      <c r="A18" s="66"/>
      <c r="B18" s="34" t="s">
        <v>2823</v>
      </c>
      <c r="C18" s="35" t="s">
        <v>14</v>
      </c>
      <c r="D18" s="34" t="s">
        <v>2787</v>
      </c>
      <c r="E18" s="11" t="s">
        <v>13</v>
      </c>
    </row>
    <row r="19">
      <c r="A19" s="66"/>
      <c r="B19" s="34" t="s">
        <v>1785</v>
      </c>
      <c r="C19" s="35" t="s">
        <v>22</v>
      </c>
      <c r="D19" s="34" t="s">
        <v>1706</v>
      </c>
      <c r="E19" s="11" t="s">
        <v>9</v>
      </c>
    </row>
    <row r="20">
      <c r="A20" s="66"/>
      <c r="B20" s="34" t="s">
        <v>2823</v>
      </c>
      <c r="C20" s="35" t="s">
        <v>249</v>
      </c>
      <c r="D20" s="32" t="s">
        <v>1725</v>
      </c>
      <c r="E20" s="11" t="s">
        <v>13</v>
      </c>
    </row>
    <row r="21">
      <c r="A21" s="66"/>
      <c r="B21" s="34" t="s">
        <v>2787</v>
      </c>
      <c r="C21" s="35" t="s">
        <v>195</v>
      </c>
      <c r="D21" s="34" t="s">
        <v>1706</v>
      </c>
      <c r="E21" s="11" t="s">
        <v>9</v>
      </c>
    </row>
    <row r="22">
      <c r="A22" s="66"/>
      <c r="B22" s="34" t="s">
        <v>1785</v>
      </c>
      <c r="C22" s="35" t="s">
        <v>218</v>
      </c>
      <c r="D22" s="32" t="s">
        <v>1725</v>
      </c>
      <c r="E22" s="11" t="s">
        <v>13</v>
      </c>
    </row>
    <row r="23">
      <c r="A23" s="66"/>
      <c r="B23" s="1" t="s">
        <v>2475</v>
      </c>
      <c r="C23" s="2"/>
      <c r="D23" s="3"/>
      <c r="E23" s="29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2736</v>
      </c>
      <c r="C25" s="33" t="s">
        <v>71</v>
      </c>
      <c r="D25" s="34" t="s">
        <v>1037</v>
      </c>
      <c r="E25" s="11" t="s">
        <v>9</v>
      </c>
    </row>
    <row r="26">
      <c r="A26" s="66"/>
      <c r="B26" s="34" t="s">
        <v>2737</v>
      </c>
      <c r="C26" s="33" t="s">
        <v>66</v>
      </c>
      <c r="D26" s="32" t="s">
        <v>2824</v>
      </c>
      <c r="E26" s="11" t="s">
        <v>13</v>
      </c>
    </row>
    <row r="27">
      <c r="A27" s="66"/>
      <c r="B27" s="34" t="s">
        <v>1975</v>
      </c>
      <c r="C27" s="33" t="s">
        <v>7</v>
      </c>
      <c r="D27" s="34" t="s">
        <v>2736</v>
      </c>
      <c r="E27" s="11" t="s">
        <v>9</v>
      </c>
    </row>
    <row r="28">
      <c r="A28" s="66"/>
      <c r="B28" s="34" t="s">
        <v>2737</v>
      </c>
      <c r="C28" s="33" t="s">
        <v>201</v>
      </c>
      <c r="D28" s="34" t="s">
        <v>1037</v>
      </c>
      <c r="E28" s="11" t="s">
        <v>13</v>
      </c>
    </row>
    <row r="29">
      <c r="A29" s="66"/>
      <c r="B29" s="34" t="s">
        <v>1975</v>
      </c>
      <c r="C29" s="33" t="s">
        <v>22</v>
      </c>
      <c r="D29" s="32" t="s">
        <v>2824</v>
      </c>
      <c r="E29" s="11" t="s">
        <v>9</v>
      </c>
    </row>
    <row r="30">
      <c r="A30" s="66"/>
      <c r="B30" s="34" t="s">
        <v>2737</v>
      </c>
      <c r="C30" s="33" t="s">
        <v>285</v>
      </c>
      <c r="D30" s="34" t="s">
        <v>2736</v>
      </c>
      <c r="E30" s="11" t="s">
        <v>13</v>
      </c>
    </row>
    <row r="31">
      <c r="A31" s="66"/>
      <c r="B31" s="34" t="s">
        <v>1975</v>
      </c>
      <c r="C31" s="33" t="s">
        <v>286</v>
      </c>
      <c r="D31" s="34" t="s">
        <v>1037</v>
      </c>
      <c r="E31" s="11" t="s">
        <v>9</v>
      </c>
    </row>
    <row r="32">
      <c r="A32" s="66"/>
      <c r="B32" s="32" t="s">
        <v>2824</v>
      </c>
      <c r="C32" s="33" t="s">
        <v>1005</v>
      </c>
      <c r="D32" s="34" t="s">
        <v>2736</v>
      </c>
      <c r="E32" s="11" t="s">
        <v>13</v>
      </c>
    </row>
    <row r="33">
      <c r="A33" s="66"/>
      <c r="B33" s="34" t="s">
        <v>1975</v>
      </c>
      <c r="C33" s="33" t="s">
        <v>195</v>
      </c>
      <c r="D33" s="34" t="s">
        <v>2737</v>
      </c>
      <c r="E33" s="11" t="s">
        <v>9</v>
      </c>
    </row>
    <row r="34">
      <c r="A34" s="66"/>
      <c r="B34" s="32" t="s">
        <v>2824</v>
      </c>
      <c r="C34" s="33" t="s">
        <v>195</v>
      </c>
      <c r="D34" s="34" t="s">
        <v>1037</v>
      </c>
      <c r="E34" s="11" t="s">
        <v>13</v>
      </c>
    </row>
    <row r="35">
      <c r="A35" s="66"/>
      <c r="B35" s="34" t="s">
        <v>1037</v>
      </c>
      <c r="C35" s="33" t="s">
        <v>43</v>
      </c>
      <c r="D35" s="34" t="s">
        <v>2736</v>
      </c>
      <c r="E35" s="11" t="s">
        <v>9</v>
      </c>
    </row>
    <row r="36">
      <c r="A36" s="66"/>
      <c r="B36" s="32" t="s">
        <v>2824</v>
      </c>
      <c r="C36" s="33" t="s">
        <v>49</v>
      </c>
      <c r="D36" s="34" t="s">
        <v>2737</v>
      </c>
      <c r="E36" s="11" t="s">
        <v>13</v>
      </c>
    </row>
    <row r="37">
      <c r="A37" s="66"/>
      <c r="B37" s="34" t="s">
        <v>2736</v>
      </c>
      <c r="C37" s="35" t="s">
        <v>78</v>
      </c>
      <c r="D37" s="34" t="s">
        <v>1975</v>
      </c>
      <c r="E37" s="11" t="s">
        <v>9</v>
      </c>
    </row>
    <row r="38">
      <c r="A38" s="66"/>
      <c r="B38" s="34" t="s">
        <v>1037</v>
      </c>
      <c r="C38" s="35" t="s">
        <v>58</v>
      </c>
      <c r="D38" s="34" t="s">
        <v>2737</v>
      </c>
      <c r="E38" s="11" t="s">
        <v>13</v>
      </c>
    </row>
    <row r="39">
      <c r="A39" s="66"/>
      <c r="B39" s="32" t="s">
        <v>2824</v>
      </c>
      <c r="C39" s="35" t="s">
        <v>19</v>
      </c>
      <c r="D39" s="34" t="s">
        <v>1975</v>
      </c>
      <c r="E39" s="11" t="s">
        <v>9</v>
      </c>
    </row>
    <row r="40">
      <c r="A40" s="66"/>
      <c r="B40" s="34" t="s">
        <v>2736</v>
      </c>
      <c r="C40" s="35" t="s">
        <v>251</v>
      </c>
      <c r="D40" s="34" t="s">
        <v>2737</v>
      </c>
      <c r="E40" s="11" t="s">
        <v>13</v>
      </c>
    </row>
    <row r="41">
      <c r="A41" s="66"/>
      <c r="B41" s="34" t="s">
        <v>1037</v>
      </c>
      <c r="C41" s="35" t="s">
        <v>195</v>
      </c>
      <c r="D41" s="34" t="s">
        <v>1975</v>
      </c>
      <c r="E41" s="11" t="s">
        <v>9</v>
      </c>
    </row>
    <row r="42">
      <c r="A42" s="66"/>
      <c r="B42" s="34" t="s">
        <v>2736</v>
      </c>
      <c r="C42" s="35" t="s">
        <v>842</v>
      </c>
      <c r="D42" s="32" t="s">
        <v>2824</v>
      </c>
      <c r="E42" s="11" t="s">
        <v>13</v>
      </c>
    </row>
    <row r="43">
      <c r="A43" s="66"/>
      <c r="B43" s="34" t="s">
        <v>2737</v>
      </c>
      <c r="C43" s="35" t="s">
        <v>35</v>
      </c>
      <c r="D43" s="34" t="s">
        <v>1975</v>
      </c>
      <c r="E43" s="11" t="s">
        <v>9</v>
      </c>
    </row>
    <row r="44">
      <c r="A44" s="67"/>
      <c r="B44" s="34" t="s">
        <v>1037</v>
      </c>
      <c r="C44" s="35" t="s">
        <v>16</v>
      </c>
      <c r="D44" s="32" t="s">
        <v>2824</v>
      </c>
      <c r="E44" s="11" t="s">
        <v>13</v>
      </c>
    </row>
    <row r="45">
      <c r="B45" s="1" t="s">
        <v>2154</v>
      </c>
      <c r="C45" s="2"/>
      <c r="D45" s="3"/>
      <c r="E45" s="14"/>
    </row>
    <row r="46">
      <c r="B46" s="16" t="s">
        <v>2</v>
      </c>
      <c r="C46" s="16" t="s">
        <v>3</v>
      </c>
      <c r="D46" s="16" t="s">
        <v>4</v>
      </c>
      <c r="E46" s="16" t="s">
        <v>5</v>
      </c>
    </row>
    <row r="47">
      <c r="B47" s="32" t="s">
        <v>2825</v>
      </c>
      <c r="C47" s="35" t="s">
        <v>355</v>
      </c>
      <c r="D47" s="32" t="s">
        <v>246</v>
      </c>
      <c r="E47" s="11" t="s">
        <v>9</v>
      </c>
    </row>
    <row r="48">
      <c r="B48" s="32" t="s">
        <v>2236</v>
      </c>
      <c r="C48" s="35" t="s">
        <v>21</v>
      </c>
      <c r="D48" s="32" t="s">
        <v>2233</v>
      </c>
      <c r="E48" s="11" t="s">
        <v>13</v>
      </c>
    </row>
    <row r="49">
      <c r="B49" s="32" t="s">
        <v>2826</v>
      </c>
      <c r="C49" s="35" t="s">
        <v>319</v>
      </c>
      <c r="D49" s="32" t="s">
        <v>2825</v>
      </c>
      <c r="E49" s="11" t="s">
        <v>9</v>
      </c>
    </row>
    <row r="50">
      <c r="B50" s="32" t="s">
        <v>2236</v>
      </c>
      <c r="C50" s="35" t="s">
        <v>87</v>
      </c>
      <c r="D50" s="32" t="s">
        <v>246</v>
      </c>
      <c r="E50" s="11" t="s">
        <v>13</v>
      </c>
    </row>
    <row r="51">
      <c r="B51" s="32" t="s">
        <v>2826</v>
      </c>
      <c r="C51" s="35" t="s">
        <v>22</v>
      </c>
      <c r="D51" s="32" t="s">
        <v>2233</v>
      </c>
      <c r="E51" s="11" t="s">
        <v>9</v>
      </c>
    </row>
    <row r="52">
      <c r="B52" s="32" t="s">
        <v>2236</v>
      </c>
      <c r="C52" s="35" t="s">
        <v>218</v>
      </c>
      <c r="D52" s="32" t="s">
        <v>2825</v>
      </c>
      <c r="E52" s="11" t="s">
        <v>13</v>
      </c>
    </row>
    <row r="53">
      <c r="B53" s="32" t="s">
        <v>2826</v>
      </c>
      <c r="C53" s="35" t="s">
        <v>81</v>
      </c>
      <c r="D53" s="32" t="s">
        <v>246</v>
      </c>
      <c r="E53" s="11" t="s">
        <v>9</v>
      </c>
    </row>
    <row r="54">
      <c r="B54" s="32" t="s">
        <v>2233</v>
      </c>
      <c r="C54" s="35" t="s">
        <v>195</v>
      </c>
      <c r="D54" s="32" t="s">
        <v>2825</v>
      </c>
      <c r="E54" s="11" t="s">
        <v>13</v>
      </c>
    </row>
    <row r="55">
      <c r="B55" s="32" t="s">
        <v>2826</v>
      </c>
      <c r="C55" s="35" t="s">
        <v>20</v>
      </c>
      <c r="D55" s="32" t="s">
        <v>2236</v>
      </c>
      <c r="E55" s="11" t="s">
        <v>9</v>
      </c>
    </row>
    <row r="56">
      <c r="B56" s="32" t="s">
        <v>2233</v>
      </c>
      <c r="C56" s="35" t="s">
        <v>232</v>
      </c>
      <c r="D56" s="32" t="s">
        <v>246</v>
      </c>
      <c r="E56" s="11" t="s">
        <v>13</v>
      </c>
    </row>
    <row r="57">
      <c r="B57" s="32" t="s">
        <v>246</v>
      </c>
      <c r="C57" s="35" t="s">
        <v>7</v>
      </c>
      <c r="D57" s="32" t="s">
        <v>2825</v>
      </c>
      <c r="E57" s="11" t="s">
        <v>9</v>
      </c>
    </row>
    <row r="58">
      <c r="B58" s="32" t="s">
        <v>2233</v>
      </c>
      <c r="C58" s="35" t="s">
        <v>614</v>
      </c>
      <c r="D58" s="32" t="s">
        <v>2236</v>
      </c>
      <c r="E58" s="11" t="s">
        <v>13</v>
      </c>
    </row>
    <row r="59">
      <c r="B59" s="32" t="s">
        <v>2825</v>
      </c>
      <c r="C59" s="35" t="s">
        <v>72</v>
      </c>
      <c r="D59" s="32" t="s">
        <v>2826</v>
      </c>
      <c r="E59" s="11" t="s">
        <v>9</v>
      </c>
    </row>
    <row r="60">
      <c r="B60" s="32" t="s">
        <v>246</v>
      </c>
      <c r="C60" s="35" t="s">
        <v>412</v>
      </c>
      <c r="D60" s="32" t="s">
        <v>2236</v>
      </c>
      <c r="E60" s="11" t="s">
        <v>13</v>
      </c>
    </row>
    <row r="61">
      <c r="B61" s="32" t="s">
        <v>2233</v>
      </c>
      <c r="C61" s="35" t="s">
        <v>243</v>
      </c>
      <c r="D61" s="32" t="s">
        <v>2826</v>
      </c>
      <c r="E61" s="11" t="s">
        <v>9</v>
      </c>
    </row>
    <row r="62">
      <c r="B62" s="32" t="s">
        <v>2825</v>
      </c>
      <c r="C62" s="35" t="s">
        <v>488</v>
      </c>
      <c r="D62" s="32" t="s">
        <v>2236</v>
      </c>
      <c r="E62" s="11" t="s">
        <v>13</v>
      </c>
    </row>
    <row r="63">
      <c r="B63" s="32" t="s">
        <v>246</v>
      </c>
      <c r="C63" s="35" t="s">
        <v>21</v>
      </c>
      <c r="D63" s="32" t="s">
        <v>2826</v>
      </c>
      <c r="E63" s="11" t="s">
        <v>9</v>
      </c>
    </row>
    <row r="64">
      <c r="B64" s="32" t="s">
        <v>2825</v>
      </c>
      <c r="C64" s="35" t="s">
        <v>87</v>
      </c>
      <c r="D64" s="32" t="s">
        <v>2233</v>
      </c>
      <c r="E64" s="11" t="s">
        <v>13</v>
      </c>
    </row>
    <row r="65">
      <c r="B65" s="32" t="s">
        <v>2236</v>
      </c>
      <c r="C65" s="35" t="s">
        <v>726</v>
      </c>
      <c r="D65" s="32" t="s">
        <v>2826</v>
      </c>
      <c r="E65" s="11" t="s">
        <v>9</v>
      </c>
    </row>
    <row r="66">
      <c r="B66" s="32" t="s">
        <v>246</v>
      </c>
      <c r="C66" s="35" t="s">
        <v>70</v>
      </c>
      <c r="D66" s="32" t="s">
        <v>2233</v>
      </c>
      <c r="E66" s="11" t="s">
        <v>13</v>
      </c>
    </row>
    <row r="67">
      <c r="B67" s="1" t="s">
        <v>2827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16" t="s">
        <v>5</v>
      </c>
    </row>
    <row r="69">
      <c r="B69" s="32" t="s">
        <v>1905</v>
      </c>
      <c r="C69" s="35" t="s">
        <v>11</v>
      </c>
      <c r="D69" s="32" t="s">
        <v>1729</v>
      </c>
      <c r="E69" s="11" t="s">
        <v>9</v>
      </c>
    </row>
    <row r="70">
      <c r="B70" s="32" t="s">
        <v>1663</v>
      </c>
      <c r="C70" s="35" t="s">
        <v>260</v>
      </c>
      <c r="D70" s="32" t="s">
        <v>750</v>
      </c>
      <c r="E70" s="11" t="s">
        <v>13</v>
      </c>
    </row>
    <row r="71">
      <c r="B71" s="32" t="s">
        <v>940</v>
      </c>
      <c r="C71" s="35" t="s">
        <v>260</v>
      </c>
      <c r="D71" s="32" t="s">
        <v>1905</v>
      </c>
      <c r="E71" s="11" t="s">
        <v>9</v>
      </c>
    </row>
    <row r="72">
      <c r="B72" s="32" t="s">
        <v>1663</v>
      </c>
      <c r="C72" s="35" t="s">
        <v>16</v>
      </c>
      <c r="D72" s="32" t="s">
        <v>1729</v>
      </c>
      <c r="E72" s="11" t="s">
        <v>13</v>
      </c>
    </row>
    <row r="73">
      <c r="B73" s="32" t="s">
        <v>940</v>
      </c>
      <c r="C73" s="35" t="s">
        <v>64</v>
      </c>
      <c r="D73" s="32" t="s">
        <v>750</v>
      </c>
      <c r="E73" s="11" t="s">
        <v>9</v>
      </c>
    </row>
    <row r="74">
      <c r="B74" s="32" t="s">
        <v>1663</v>
      </c>
      <c r="C74" s="35" t="s">
        <v>260</v>
      </c>
      <c r="D74" s="32" t="s">
        <v>1905</v>
      </c>
      <c r="E74" s="11" t="s">
        <v>13</v>
      </c>
    </row>
    <row r="75">
      <c r="B75" s="32" t="s">
        <v>940</v>
      </c>
      <c r="C75" s="35" t="s">
        <v>506</v>
      </c>
      <c r="D75" s="32" t="s">
        <v>1729</v>
      </c>
      <c r="E75" s="11" t="s">
        <v>9</v>
      </c>
    </row>
    <row r="76">
      <c r="B76" s="32" t="s">
        <v>750</v>
      </c>
      <c r="C76" s="35" t="s">
        <v>196</v>
      </c>
      <c r="D76" s="32" t="s">
        <v>1905</v>
      </c>
      <c r="E76" s="11" t="s">
        <v>13</v>
      </c>
    </row>
    <row r="77">
      <c r="B77" s="32" t="s">
        <v>940</v>
      </c>
      <c r="C77" s="35" t="s">
        <v>536</v>
      </c>
      <c r="D77" s="32" t="s">
        <v>1663</v>
      </c>
      <c r="E77" s="11" t="s">
        <v>9</v>
      </c>
    </row>
    <row r="78">
      <c r="B78" s="32" t="s">
        <v>750</v>
      </c>
      <c r="C78" s="35" t="s">
        <v>218</v>
      </c>
      <c r="D78" s="32" t="s">
        <v>1729</v>
      </c>
      <c r="E78" s="11" t="s">
        <v>13</v>
      </c>
    </row>
    <row r="79">
      <c r="B79" s="32" t="s">
        <v>1729</v>
      </c>
      <c r="C79" s="35" t="s">
        <v>201</v>
      </c>
      <c r="D79" s="32" t="s">
        <v>1905</v>
      </c>
      <c r="E79" s="11" t="s">
        <v>9</v>
      </c>
    </row>
    <row r="80">
      <c r="B80" s="32" t="s">
        <v>750</v>
      </c>
      <c r="C80" s="35" t="s">
        <v>82</v>
      </c>
      <c r="D80" s="32" t="s">
        <v>1663</v>
      </c>
      <c r="E80" s="11" t="s">
        <v>13</v>
      </c>
    </row>
    <row r="81">
      <c r="B81" s="32" t="s">
        <v>1905</v>
      </c>
      <c r="C81" s="35" t="s">
        <v>45</v>
      </c>
      <c r="D81" s="32" t="s">
        <v>940</v>
      </c>
      <c r="E81" s="11" t="s">
        <v>9</v>
      </c>
    </row>
    <row r="82">
      <c r="B82" s="32" t="s">
        <v>1729</v>
      </c>
      <c r="C82" s="35" t="s">
        <v>545</v>
      </c>
      <c r="D82" s="32" t="s">
        <v>1663</v>
      </c>
      <c r="E82" s="11" t="s">
        <v>13</v>
      </c>
    </row>
    <row r="83">
      <c r="B83" s="32" t="s">
        <v>750</v>
      </c>
      <c r="C83" s="35" t="s">
        <v>45</v>
      </c>
      <c r="D83" s="32" t="s">
        <v>940</v>
      </c>
      <c r="E83" s="11" t="s">
        <v>9</v>
      </c>
    </row>
    <row r="84">
      <c r="B84" s="32" t="s">
        <v>1905</v>
      </c>
      <c r="C84" s="35" t="s">
        <v>82</v>
      </c>
      <c r="D84" s="32" t="s">
        <v>1663</v>
      </c>
      <c r="E84" s="11" t="s">
        <v>13</v>
      </c>
    </row>
    <row r="85">
      <c r="B85" s="32" t="s">
        <v>1729</v>
      </c>
      <c r="C85" s="35" t="s">
        <v>400</v>
      </c>
      <c r="D85" s="32" t="s">
        <v>940</v>
      </c>
      <c r="E85" s="11" t="s">
        <v>9</v>
      </c>
    </row>
    <row r="86">
      <c r="B86" s="32" t="s">
        <v>1905</v>
      </c>
      <c r="C86" s="35" t="s">
        <v>23</v>
      </c>
      <c r="D86" s="32" t="s">
        <v>750</v>
      </c>
      <c r="E86" s="11" t="s">
        <v>13</v>
      </c>
    </row>
    <row r="87">
      <c r="B87" s="32" t="s">
        <v>1663</v>
      </c>
      <c r="C87" s="35" t="s">
        <v>658</v>
      </c>
      <c r="D87" s="32" t="s">
        <v>940</v>
      </c>
      <c r="E87" s="11" t="s">
        <v>9</v>
      </c>
    </row>
    <row r="88">
      <c r="B88" s="32" t="s">
        <v>1729</v>
      </c>
      <c r="C88" s="35" t="s">
        <v>72</v>
      </c>
      <c r="D88" s="32" t="s">
        <v>750</v>
      </c>
      <c r="E88" s="11" t="s">
        <v>13</v>
      </c>
    </row>
    <row r="89">
      <c r="B89" s="1" t="s">
        <v>2828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16" t="s">
        <v>5</v>
      </c>
    </row>
    <row r="91">
      <c r="B91" s="32" t="s">
        <v>2323</v>
      </c>
      <c r="C91" s="35" t="s">
        <v>201</v>
      </c>
      <c r="D91" s="32" t="s">
        <v>1930</v>
      </c>
      <c r="E91" s="80" t="s">
        <v>33</v>
      </c>
    </row>
    <row r="92">
      <c r="B92" s="32" t="s">
        <v>2264</v>
      </c>
      <c r="C92" s="35" t="s">
        <v>1068</v>
      </c>
      <c r="D92" s="32" t="s">
        <v>2012</v>
      </c>
      <c r="E92" s="80" t="s">
        <v>37</v>
      </c>
    </row>
    <row r="93">
      <c r="B93" s="32" t="s">
        <v>2829</v>
      </c>
      <c r="C93" s="35" t="s">
        <v>42</v>
      </c>
      <c r="D93" s="32" t="s">
        <v>2323</v>
      </c>
      <c r="E93" s="80" t="s">
        <v>33</v>
      </c>
    </row>
    <row r="94">
      <c r="B94" s="32" t="s">
        <v>2264</v>
      </c>
      <c r="C94" s="35" t="s">
        <v>201</v>
      </c>
      <c r="D94" s="32" t="s">
        <v>1930</v>
      </c>
      <c r="E94" s="80" t="s">
        <v>37</v>
      </c>
    </row>
    <row r="95">
      <c r="B95" s="32" t="s">
        <v>2829</v>
      </c>
      <c r="C95" s="35" t="s">
        <v>1622</v>
      </c>
      <c r="D95" s="32" t="s">
        <v>2012</v>
      </c>
      <c r="E95" s="80" t="s">
        <v>33</v>
      </c>
    </row>
    <row r="96">
      <c r="B96" s="32" t="s">
        <v>2264</v>
      </c>
      <c r="C96" s="35" t="s">
        <v>62</v>
      </c>
      <c r="D96" s="32" t="s">
        <v>2323</v>
      </c>
      <c r="E96" s="80" t="s">
        <v>37</v>
      </c>
    </row>
    <row r="97">
      <c r="B97" s="32" t="s">
        <v>2829</v>
      </c>
      <c r="C97" s="35" t="s">
        <v>251</v>
      </c>
      <c r="D97" s="32" t="s">
        <v>1930</v>
      </c>
      <c r="E97" s="80" t="s">
        <v>33</v>
      </c>
    </row>
    <row r="98">
      <c r="B98" s="32" t="s">
        <v>2012</v>
      </c>
      <c r="C98" s="35" t="s">
        <v>55</v>
      </c>
      <c r="D98" s="32" t="s">
        <v>2323</v>
      </c>
      <c r="E98" s="80" t="s">
        <v>37</v>
      </c>
    </row>
    <row r="99">
      <c r="B99" s="32" t="s">
        <v>2829</v>
      </c>
      <c r="C99" s="35" t="s">
        <v>285</v>
      </c>
      <c r="D99" s="32" t="s">
        <v>2264</v>
      </c>
      <c r="E99" s="80" t="s">
        <v>33</v>
      </c>
    </row>
    <row r="100">
      <c r="B100" s="32" t="s">
        <v>2012</v>
      </c>
      <c r="C100" s="35" t="s">
        <v>2830</v>
      </c>
      <c r="D100" s="32" t="s">
        <v>1930</v>
      </c>
      <c r="E100" s="80" t="s">
        <v>37</v>
      </c>
    </row>
    <row r="101">
      <c r="B101" s="32" t="s">
        <v>1930</v>
      </c>
      <c r="C101" s="35" t="s">
        <v>78</v>
      </c>
      <c r="D101" s="32" t="s">
        <v>2323</v>
      </c>
      <c r="E101" s="80" t="s">
        <v>33</v>
      </c>
    </row>
    <row r="102">
      <c r="B102" s="32" t="s">
        <v>2012</v>
      </c>
      <c r="C102" s="35" t="s">
        <v>460</v>
      </c>
      <c r="D102" s="32" t="s">
        <v>2264</v>
      </c>
      <c r="E102" s="80" t="s">
        <v>37</v>
      </c>
    </row>
    <row r="103">
      <c r="B103" s="32" t="s">
        <v>2323</v>
      </c>
      <c r="C103" s="35" t="s">
        <v>404</v>
      </c>
      <c r="D103" s="32" t="s">
        <v>2829</v>
      </c>
      <c r="E103" s="80" t="s">
        <v>33</v>
      </c>
    </row>
    <row r="104">
      <c r="B104" s="32" t="s">
        <v>1930</v>
      </c>
      <c r="C104" s="35" t="s">
        <v>86</v>
      </c>
      <c r="D104" s="32" t="s">
        <v>2264</v>
      </c>
      <c r="E104" s="80" t="s">
        <v>37</v>
      </c>
    </row>
    <row r="105">
      <c r="B105" s="32" t="s">
        <v>2012</v>
      </c>
      <c r="C105" s="35" t="s">
        <v>212</v>
      </c>
      <c r="D105" s="32" t="s">
        <v>2829</v>
      </c>
      <c r="E105" s="80" t="s">
        <v>33</v>
      </c>
    </row>
    <row r="106">
      <c r="B106" s="32" t="s">
        <v>2323</v>
      </c>
      <c r="C106" s="35" t="s">
        <v>293</v>
      </c>
      <c r="D106" s="32" t="s">
        <v>2264</v>
      </c>
      <c r="E106" s="80" t="s">
        <v>37</v>
      </c>
    </row>
    <row r="107">
      <c r="B107" s="32" t="s">
        <v>1930</v>
      </c>
      <c r="C107" s="35" t="s">
        <v>187</v>
      </c>
      <c r="D107" s="32" t="s">
        <v>2829</v>
      </c>
      <c r="E107" s="80" t="s">
        <v>33</v>
      </c>
    </row>
    <row r="108">
      <c r="B108" s="32" t="s">
        <v>2323</v>
      </c>
      <c r="C108" s="35" t="s">
        <v>239</v>
      </c>
      <c r="D108" s="32" t="s">
        <v>2012</v>
      </c>
      <c r="E108" s="80" t="s">
        <v>37</v>
      </c>
    </row>
    <row r="109">
      <c r="B109" s="32" t="s">
        <v>2264</v>
      </c>
      <c r="C109" s="35" t="s">
        <v>43</v>
      </c>
      <c r="D109" s="32" t="s">
        <v>2829</v>
      </c>
      <c r="E109" s="80" t="s">
        <v>33</v>
      </c>
    </row>
    <row r="110">
      <c r="B110" s="32" t="s">
        <v>1930</v>
      </c>
      <c r="C110" s="35" t="s">
        <v>19</v>
      </c>
      <c r="D110" s="32" t="s">
        <v>2012</v>
      </c>
      <c r="E110" s="80" t="s">
        <v>37</v>
      </c>
    </row>
    <row r="111">
      <c r="B111" s="1" t="s">
        <v>2551</v>
      </c>
      <c r="C111" s="2"/>
      <c r="D111" s="3"/>
      <c r="E111" s="4"/>
    </row>
    <row r="112"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B113" s="32" t="s">
        <v>898</v>
      </c>
      <c r="C113" s="33" t="s">
        <v>64</v>
      </c>
      <c r="D113" s="32" t="s">
        <v>2502</v>
      </c>
      <c r="E113" s="80" t="s">
        <v>33</v>
      </c>
    </row>
    <row r="114">
      <c r="B114" s="32" t="s">
        <v>976</v>
      </c>
      <c r="C114" s="33" t="s">
        <v>239</v>
      </c>
      <c r="D114" s="32" t="s">
        <v>2198</v>
      </c>
      <c r="E114" s="80" t="s">
        <v>37</v>
      </c>
    </row>
    <row r="115">
      <c r="B115" s="32" t="s">
        <v>2503</v>
      </c>
      <c r="C115" s="33" t="s">
        <v>2726</v>
      </c>
      <c r="D115" s="32" t="s">
        <v>898</v>
      </c>
      <c r="E115" s="80" t="s">
        <v>33</v>
      </c>
    </row>
    <row r="116">
      <c r="B116" s="32" t="s">
        <v>976</v>
      </c>
      <c r="C116" s="33" t="s">
        <v>218</v>
      </c>
      <c r="D116" s="32" t="s">
        <v>2502</v>
      </c>
      <c r="E116" s="80" t="s">
        <v>37</v>
      </c>
    </row>
    <row r="117">
      <c r="B117" s="32" t="s">
        <v>2503</v>
      </c>
      <c r="C117" s="33" t="s">
        <v>285</v>
      </c>
      <c r="D117" s="32" t="s">
        <v>2198</v>
      </c>
      <c r="E117" s="80" t="s">
        <v>33</v>
      </c>
    </row>
    <row r="118">
      <c r="B118" s="32" t="s">
        <v>976</v>
      </c>
      <c r="C118" s="33" t="s">
        <v>243</v>
      </c>
      <c r="D118" s="32" t="s">
        <v>898</v>
      </c>
      <c r="E118" s="80" t="s">
        <v>37</v>
      </c>
    </row>
    <row r="119">
      <c r="B119" s="32" t="s">
        <v>2503</v>
      </c>
      <c r="C119" s="33" t="s">
        <v>566</v>
      </c>
      <c r="D119" s="32" t="s">
        <v>2502</v>
      </c>
      <c r="E119" s="80" t="s">
        <v>33</v>
      </c>
    </row>
    <row r="120">
      <c r="B120" s="32" t="s">
        <v>2198</v>
      </c>
      <c r="C120" s="33" t="s">
        <v>48</v>
      </c>
      <c r="D120" s="32" t="s">
        <v>898</v>
      </c>
      <c r="E120" s="80" t="s">
        <v>37</v>
      </c>
    </row>
    <row r="121">
      <c r="B121" s="32" t="s">
        <v>2503</v>
      </c>
      <c r="C121" s="33" t="s">
        <v>972</v>
      </c>
      <c r="D121" s="32" t="s">
        <v>976</v>
      </c>
      <c r="E121" s="80" t="s">
        <v>33</v>
      </c>
    </row>
    <row r="122">
      <c r="B122" s="32" t="s">
        <v>2198</v>
      </c>
      <c r="C122" s="33" t="s">
        <v>328</v>
      </c>
      <c r="D122" s="32" t="s">
        <v>2502</v>
      </c>
      <c r="E122" s="80" t="s">
        <v>37</v>
      </c>
    </row>
    <row r="123">
      <c r="B123" s="32" t="s">
        <v>2502</v>
      </c>
      <c r="C123" s="33" t="s">
        <v>2831</v>
      </c>
      <c r="D123" s="32" t="s">
        <v>898</v>
      </c>
      <c r="E123" s="80" t="s">
        <v>33</v>
      </c>
    </row>
    <row r="124">
      <c r="B124" s="32" t="s">
        <v>2198</v>
      </c>
      <c r="C124" s="33" t="s">
        <v>83</v>
      </c>
      <c r="D124" s="32" t="s">
        <v>976</v>
      </c>
      <c r="E124" s="80" t="s">
        <v>37</v>
      </c>
    </row>
    <row r="125">
      <c r="B125" s="32" t="s">
        <v>898</v>
      </c>
      <c r="C125" s="35" t="s">
        <v>81</v>
      </c>
      <c r="D125" s="32" t="s">
        <v>2503</v>
      </c>
      <c r="E125" s="80" t="s">
        <v>33</v>
      </c>
    </row>
    <row r="126">
      <c r="B126" s="32" t="s">
        <v>2502</v>
      </c>
      <c r="C126" s="35" t="s">
        <v>289</v>
      </c>
      <c r="D126" s="32" t="s">
        <v>976</v>
      </c>
      <c r="E126" s="80" t="s">
        <v>37</v>
      </c>
    </row>
    <row r="127">
      <c r="B127" s="32" t="s">
        <v>2198</v>
      </c>
      <c r="C127" s="35" t="s">
        <v>212</v>
      </c>
      <c r="D127" s="32" t="s">
        <v>2503</v>
      </c>
      <c r="E127" s="80" t="s">
        <v>33</v>
      </c>
    </row>
    <row r="128">
      <c r="B128" s="32" t="s">
        <v>898</v>
      </c>
      <c r="C128" s="35" t="s">
        <v>88</v>
      </c>
      <c r="D128" s="32" t="s">
        <v>976</v>
      </c>
      <c r="E128" s="80" t="s">
        <v>37</v>
      </c>
    </row>
    <row r="129">
      <c r="B129" s="32" t="s">
        <v>2502</v>
      </c>
      <c r="C129" s="35" t="s">
        <v>68</v>
      </c>
      <c r="D129" s="32" t="s">
        <v>2503</v>
      </c>
      <c r="E129" s="80" t="s">
        <v>33</v>
      </c>
    </row>
    <row r="130">
      <c r="B130" s="32" t="s">
        <v>898</v>
      </c>
      <c r="C130" s="35" t="s">
        <v>270</v>
      </c>
      <c r="D130" s="32" t="s">
        <v>2198</v>
      </c>
      <c r="E130" s="80" t="s">
        <v>37</v>
      </c>
    </row>
    <row r="131">
      <c r="B131" s="32" t="s">
        <v>976</v>
      </c>
      <c r="C131" s="35" t="s">
        <v>45</v>
      </c>
      <c r="D131" s="32" t="s">
        <v>2503</v>
      </c>
      <c r="E131" s="80" t="s">
        <v>33</v>
      </c>
    </row>
    <row r="132">
      <c r="B132" s="32" t="s">
        <v>2502</v>
      </c>
      <c r="C132" s="35" t="s">
        <v>17</v>
      </c>
      <c r="D132" s="32" t="s">
        <v>2198</v>
      </c>
      <c r="E132" s="80" t="s">
        <v>37</v>
      </c>
    </row>
    <row r="133">
      <c r="B133" s="1" t="s">
        <v>2041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32" t="s">
        <v>2832</v>
      </c>
      <c r="C135" s="35" t="s">
        <v>87</v>
      </c>
      <c r="D135" s="32" t="s">
        <v>2833</v>
      </c>
      <c r="E135" s="11" t="s">
        <v>9</v>
      </c>
    </row>
    <row r="136">
      <c r="B136" s="32" t="s">
        <v>2834</v>
      </c>
      <c r="C136" s="35" t="s">
        <v>620</v>
      </c>
      <c r="D136" s="32" t="s">
        <v>2835</v>
      </c>
      <c r="E136" s="11" t="s">
        <v>13</v>
      </c>
    </row>
    <row r="137">
      <c r="B137" s="32" t="s">
        <v>2593</v>
      </c>
      <c r="C137" s="35" t="s">
        <v>19</v>
      </c>
      <c r="D137" s="32" t="s">
        <v>2832</v>
      </c>
      <c r="E137" s="11" t="s">
        <v>9</v>
      </c>
    </row>
    <row r="138">
      <c r="B138" s="32" t="s">
        <v>2834</v>
      </c>
      <c r="C138" s="35" t="s">
        <v>81</v>
      </c>
      <c r="D138" s="32" t="s">
        <v>2833</v>
      </c>
      <c r="E138" s="11" t="s">
        <v>13</v>
      </c>
    </row>
    <row r="139">
      <c r="B139" s="32" t="s">
        <v>2593</v>
      </c>
      <c r="C139" s="35" t="s">
        <v>58</v>
      </c>
      <c r="D139" s="32" t="s">
        <v>2835</v>
      </c>
      <c r="E139" s="11" t="s">
        <v>9</v>
      </c>
    </row>
    <row r="140">
      <c r="B140" s="32" t="s">
        <v>2834</v>
      </c>
      <c r="C140" s="35" t="s">
        <v>1405</v>
      </c>
      <c r="D140" s="32" t="s">
        <v>2832</v>
      </c>
      <c r="E140" s="11" t="s">
        <v>13</v>
      </c>
    </row>
    <row r="141">
      <c r="B141" s="32" t="s">
        <v>2593</v>
      </c>
      <c r="C141" s="35" t="s">
        <v>197</v>
      </c>
      <c r="D141" s="32" t="s">
        <v>2833</v>
      </c>
      <c r="E141" s="11" t="s">
        <v>9</v>
      </c>
    </row>
    <row r="142">
      <c r="B142" s="32" t="s">
        <v>2835</v>
      </c>
      <c r="C142" s="35" t="s">
        <v>197</v>
      </c>
      <c r="D142" s="32" t="s">
        <v>2832</v>
      </c>
      <c r="E142" s="11" t="s">
        <v>13</v>
      </c>
    </row>
    <row r="143">
      <c r="B143" s="32" t="s">
        <v>2593</v>
      </c>
      <c r="C143" s="35" t="s">
        <v>687</v>
      </c>
      <c r="D143" s="32" t="s">
        <v>2834</v>
      </c>
      <c r="E143" s="11" t="s">
        <v>9</v>
      </c>
    </row>
    <row r="144">
      <c r="B144" s="32" t="s">
        <v>2835</v>
      </c>
      <c r="C144" s="35" t="s">
        <v>64</v>
      </c>
      <c r="D144" s="32" t="s">
        <v>2833</v>
      </c>
      <c r="E144" s="11" t="s">
        <v>13</v>
      </c>
    </row>
    <row r="145">
      <c r="B145" s="32" t="s">
        <v>2833</v>
      </c>
      <c r="C145" s="35" t="s">
        <v>201</v>
      </c>
      <c r="D145" s="32" t="s">
        <v>2832</v>
      </c>
      <c r="E145" s="11" t="s">
        <v>9</v>
      </c>
    </row>
    <row r="146">
      <c r="B146" s="32" t="s">
        <v>2835</v>
      </c>
      <c r="C146" s="35" t="s">
        <v>239</v>
      </c>
      <c r="D146" s="32" t="s">
        <v>2834</v>
      </c>
      <c r="E146" s="11" t="s">
        <v>13</v>
      </c>
    </row>
    <row r="147">
      <c r="B147" s="32" t="s">
        <v>2832</v>
      </c>
      <c r="C147" s="35" t="s">
        <v>21</v>
      </c>
      <c r="D147" s="32" t="s">
        <v>2593</v>
      </c>
      <c r="E147" s="11" t="s">
        <v>9</v>
      </c>
    </row>
    <row r="148">
      <c r="B148" s="32" t="s">
        <v>2833</v>
      </c>
      <c r="C148" s="35" t="s">
        <v>19</v>
      </c>
      <c r="D148" s="32" t="s">
        <v>2834</v>
      </c>
      <c r="E148" s="11" t="s">
        <v>13</v>
      </c>
    </row>
    <row r="149">
      <c r="B149" s="32" t="s">
        <v>2835</v>
      </c>
      <c r="C149" s="35" t="s">
        <v>190</v>
      </c>
      <c r="D149" s="32" t="s">
        <v>2593</v>
      </c>
      <c r="E149" s="11" t="s">
        <v>9</v>
      </c>
    </row>
    <row r="150">
      <c r="B150" s="32" t="s">
        <v>2832</v>
      </c>
      <c r="C150" s="35" t="s">
        <v>55</v>
      </c>
      <c r="D150" s="32" t="s">
        <v>2834</v>
      </c>
      <c r="E150" s="11" t="s">
        <v>13</v>
      </c>
    </row>
    <row r="151">
      <c r="B151" s="32" t="s">
        <v>2833</v>
      </c>
      <c r="C151" s="35" t="s">
        <v>87</v>
      </c>
      <c r="D151" s="32" t="s">
        <v>2593</v>
      </c>
      <c r="E151" s="11" t="s">
        <v>9</v>
      </c>
    </row>
    <row r="152">
      <c r="B152" s="32" t="s">
        <v>2832</v>
      </c>
      <c r="C152" s="35" t="s">
        <v>2836</v>
      </c>
      <c r="D152" s="32" t="s">
        <v>2835</v>
      </c>
      <c r="E152" s="11" t="s">
        <v>13</v>
      </c>
    </row>
    <row r="153">
      <c r="B153" s="32" t="s">
        <v>2834</v>
      </c>
      <c r="C153" s="35" t="s">
        <v>35</v>
      </c>
      <c r="D153" s="32" t="s">
        <v>2593</v>
      </c>
      <c r="E153" s="11" t="s">
        <v>9</v>
      </c>
    </row>
    <row r="154">
      <c r="B154" s="32" t="s">
        <v>2833</v>
      </c>
      <c r="C154" s="35" t="s">
        <v>62</v>
      </c>
      <c r="D154" s="32" t="s">
        <v>2835</v>
      </c>
      <c r="E154" s="11" t="s">
        <v>13</v>
      </c>
    </row>
    <row r="155">
      <c r="B155" s="1" t="s">
        <v>1685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B157" s="32" t="s">
        <v>2837</v>
      </c>
      <c r="C157" s="35" t="s">
        <v>217</v>
      </c>
      <c r="D157" s="32" t="s">
        <v>721</v>
      </c>
      <c r="E157" s="11" t="s">
        <v>9</v>
      </c>
    </row>
    <row r="158">
      <c r="B158" s="32" t="s">
        <v>2838</v>
      </c>
      <c r="C158" s="35" t="s">
        <v>836</v>
      </c>
      <c r="D158" s="32" t="s">
        <v>2839</v>
      </c>
      <c r="E158" s="11" t="s">
        <v>13</v>
      </c>
    </row>
    <row r="159">
      <c r="B159" s="32" t="s">
        <v>1352</v>
      </c>
      <c r="C159" s="35" t="s">
        <v>190</v>
      </c>
      <c r="D159" s="32" t="s">
        <v>2837</v>
      </c>
      <c r="E159" s="11" t="s">
        <v>9</v>
      </c>
    </row>
    <row r="160">
      <c r="B160" s="32" t="s">
        <v>2838</v>
      </c>
      <c r="C160" s="35" t="s">
        <v>43</v>
      </c>
      <c r="D160" s="32" t="s">
        <v>721</v>
      </c>
      <c r="E160" s="11" t="s">
        <v>13</v>
      </c>
    </row>
    <row r="161">
      <c r="B161" s="32" t="s">
        <v>1352</v>
      </c>
      <c r="C161" s="35" t="s">
        <v>81</v>
      </c>
      <c r="D161" s="32" t="s">
        <v>2839</v>
      </c>
      <c r="E161" s="11" t="s">
        <v>9</v>
      </c>
    </row>
    <row r="162">
      <c r="B162" s="32" t="s">
        <v>2838</v>
      </c>
      <c r="C162" s="35" t="s">
        <v>187</v>
      </c>
      <c r="D162" s="32" t="s">
        <v>2837</v>
      </c>
      <c r="E162" s="11" t="s">
        <v>13</v>
      </c>
    </row>
    <row r="163">
      <c r="B163" s="32" t="s">
        <v>1352</v>
      </c>
      <c r="C163" s="35" t="s">
        <v>286</v>
      </c>
      <c r="D163" s="32" t="s">
        <v>721</v>
      </c>
      <c r="E163" s="11" t="s">
        <v>9</v>
      </c>
    </row>
    <row r="164">
      <c r="B164" s="32" t="s">
        <v>2839</v>
      </c>
      <c r="C164" s="35" t="s">
        <v>17</v>
      </c>
      <c r="D164" s="32" t="s">
        <v>2837</v>
      </c>
      <c r="E164" s="11" t="s">
        <v>13</v>
      </c>
    </row>
    <row r="165">
      <c r="B165" s="32" t="s">
        <v>1352</v>
      </c>
      <c r="C165" s="35" t="s">
        <v>19</v>
      </c>
      <c r="D165" s="32" t="s">
        <v>2838</v>
      </c>
      <c r="E165" s="11" t="s">
        <v>9</v>
      </c>
    </row>
    <row r="166">
      <c r="B166" s="32" t="s">
        <v>2839</v>
      </c>
      <c r="C166" s="35" t="s">
        <v>78</v>
      </c>
      <c r="D166" s="32" t="s">
        <v>721</v>
      </c>
      <c r="E166" s="11" t="s">
        <v>13</v>
      </c>
    </row>
    <row r="167">
      <c r="B167" s="32" t="s">
        <v>721</v>
      </c>
      <c r="C167" s="35" t="s">
        <v>78</v>
      </c>
      <c r="D167" s="32" t="s">
        <v>2837</v>
      </c>
      <c r="E167" s="11" t="s">
        <v>9</v>
      </c>
    </row>
    <row r="168">
      <c r="B168" s="32" t="s">
        <v>2839</v>
      </c>
      <c r="C168" s="35" t="s">
        <v>291</v>
      </c>
      <c r="D168" s="32" t="s">
        <v>2838</v>
      </c>
      <c r="E168" s="11" t="s">
        <v>13</v>
      </c>
    </row>
    <row r="169">
      <c r="B169" s="32" t="s">
        <v>2837</v>
      </c>
      <c r="C169" s="35" t="s">
        <v>89</v>
      </c>
      <c r="D169" s="32" t="s">
        <v>1352</v>
      </c>
      <c r="E169" s="11" t="s">
        <v>9</v>
      </c>
    </row>
    <row r="170">
      <c r="B170" s="32" t="s">
        <v>721</v>
      </c>
      <c r="C170" s="35" t="s">
        <v>43</v>
      </c>
      <c r="D170" s="32" t="s">
        <v>2838</v>
      </c>
      <c r="E170" s="11" t="s">
        <v>13</v>
      </c>
    </row>
    <row r="171">
      <c r="B171" s="32" t="s">
        <v>2839</v>
      </c>
      <c r="C171" s="35" t="s">
        <v>291</v>
      </c>
      <c r="D171" s="32" t="s">
        <v>1352</v>
      </c>
      <c r="E171" s="11" t="s">
        <v>9</v>
      </c>
    </row>
    <row r="172">
      <c r="B172" s="32" t="s">
        <v>2837</v>
      </c>
      <c r="C172" s="35" t="s">
        <v>17</v>
      </c>
      <c r="D172" s="32" t="s">
        <v>2838</v>
      </c>
      <c r="E172" s="11" t="s">
        <v>13</v>
      </c>
    </row>
    <row r="173">
      <c r="B173" s="32" t="s">
        <v>721</v>
      </c>
      <c r="C173" s="35" t="s">
        <v>45</v>
      </c>
      <c r="D173" s="32" t="s">
        <v>1352</v>
      </c>
      <c r="E173" s="11" t="s">
        <v>9</v>
      </c>
    </row>
    <row r="174">
      <c r="B174" s="32" t="s">
        <v>2837</v>
      </c>
      <c r="C174" s="35" t="s">
        <v>16</v>
      </c>
      <c r="D174" s="32" t="s">
        <v>2839</v>
      </c>
      <c r="E174" s="11" t="s">
        <v>13</v>
      </c>
    </row>
    <row r="175">
      <c r="B175" s="32" t="s">
        <v>2838</v>
      </c>
      <c r="C175" s="35" t="s">
        <v>43</v>
      </c>
      <c r="D175" s="32" t="s">
        <v>1352</v>
      </c>
      <c r="E175" s="11" t="s">
        <v>9</v>
      </c>
    </row>
    <row r="176">
      <c r="B176" s="32" t="s">
        <v>721</v>
      </c>
      <c r="C176" s="35" t="s">
        <v>217</v>
      </c>
      <c r="D176" s="32" t="s">
        <v>2839</v>
      </c>
      <c r="E176" s="11" t="s">
        <v>13</v>
      </c>
    </row>
    <row r="177">
      <c r="B177" s="1" t="s">
        <v>2768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B179" s="32" t="s">
        <v>2645</v>
      </c>
      <c r="C179" s="33" t="s">
        <v>638</v>
      </c>
      <c r="D179" s="32" t="s">
        <v>881</v>
      </c>
      <c r="E179" s="80" t="s">
        <v>33</v>
      </c>
    </row>
    <row r="180">
      <c r="B180" s="32" t="s">
        <v>2328</v>
      </c>
      <c r="C180" s="35" t="s">
        <v>80</v>
      </c>
      <c r="D180" s="32" t="s">
        <v>1518</v>
      </c>
      <c r="E180" s="80" t="s">
        <v>37</v>
      </c>
    </row>
    <row r="181">
      <c r="B181" s="32" t="s">
        <v>2486</v>
      </c>
      <c r="C181" s="33" t="s">
        <v>578</v>
      </c>
      <c r="D181" s="32" t="s">
        <v>2645</v>
      </c>
      <c r="E181" s="80" t="s">
        <v>33</v>
      </c>
    </row>
    <row r="182">
      <c r="B182" s="32" t="s">
        <v>2328</v>
      </c>
      <c r="C182" s="33" t="s">
        <v>80</v>
      </c>
      <c r="D182" s="32" t="s">
        <v>881</v>
      </c>
      <c r="E182" s="80" t="s">
        <v>37</v>
      </c>
    </row>
    <row r="183">
      <c r="B183" s="32" t="s">
        <v>2486</v>
      </c>
      <c r="C183" s="33" t="s">
        <v>2325</v>
      </c>
      <c r="D183" s="32" t="s">
        <v>1518</v>
      </c>
      <c r="E183" s="80" t="s">
        <v>33</v>
      </c>
    </row>
    <row r="184">
      <c r="B184" s="32" t="s">
        <v>2328</v>
      </c>
      <c r="C184" s="33" t="s">
        <v>362</v>
      </c>
      <c r="D184" s="32" t="s">
        <v>2645</v>
      </c>
      <c r="E184" s="80" t="s">
        <v>37</v>
      </c>
    </row>
    <row r="185">
      <c r="B185" s="32" t="s">
        <v>2486</v>
      </c>
      <c r="C185" s="33" t="s">
        <v>22</v>
      </c>
      <c r="D185" s="32" t="s">
        <v>881</v>
      </c>
      <c r="E185" s="80" t="s">
        <v>33</v>
      </c>
    </row>
    <row r="186">
      <c r="B186" s="32" t="s">
        <v>1518</v>
      </c>
      <c r="C186" s="33" t="s">
        <v>389</v>
      </c>
      <c r="D186" s="32" t="s">
        <v>2645</v>
      </c>
      <c r="E186" s="80" t="s">
        <v>37</v>
      </c>
    </row>
    <row r="187">
      <c r="B187" s="32" t="s">
        <v>2486</v>
      </c>
      <c r="C187" s="33" t="s">
        <v>446</v>
      </c>
      <c r="D187" s="32" t="s">
        <v>2328</v>
      </c>
      <c r="E187" s="80" t="s">
        <v>33</v>
      </c>
    </row>
    <row r="188">
      <c r="B188" s="32" t="s">
        <v>1518</v>
      </c>
      <c r="C188" s="33" t="s">
        <v>218</v>
      </c>
      <c r="D188" s="32" t="s">
        <v>881</v>
      </c>
      <c r="E188" s="80" t="s">
        <v>37</v>
      </c>
    </row>
    <row r="189">
      <c r="B189" s="32" t="s">
        <v>881</v>
      </c>
      <c r="C189" s="33" t="s">
        <v>49</v>
      </c>
      <c r="D189" s="32" t="s">
        <v>2645</v>
      </c>
      <c r="E189" s="80" t="s">
        <v>33</v>
      </c>
    </row>
    <row r="190">
      <c r="B190" s="32" t="s">
        <v>1518</v>
      </c>
      <c r="C190" s="33" t="s">
        <v>42</v>
      </c>
      <c r="D190" s="32" t="s">
        <v>2328</v>
      </c>
      <c r="E190" s="80" t="s">
        <v>37</v>
      </c>
    </row>
    <row r="191">
      <c r="B191" s="32" t="s">
        <v>2645</v>
      </c>
      <c r="C191" s="35" t="s">
        <v>196</v>
      </c>
      <c r="D191" s="32" t="s">
        <v>2486</v>
      </c>
      <c r="E191" s="80" t="s">
        <v>33</v>
      </c>
    </row>
    <row r="192">
      <c r="B192" s="32" t="s">
        <v>881</v>
      </c>
      <c r="C192" s="35" t="s">
        <v>28</v>
      </c>
      <c r="D192" s="32" t="s">
        <v>2328</v>
      </c>
      <c r="E192" s="80" t="s">
        <v>37</v>
      </c>
    </row>
    <row r="193">
      <c r="B193" s="32" t="s">
        <v>1518</v>
      </c>
      <c r="C193" s="35" t="s">
        <v>196</v>
      </c>
      <c r="D193" s="32" t="s">
        <v>2486</v>
      </c>
      <c r="E193" s="80" t="s">
        <v>33</v>
      </c>
    </row>
    <row r="194">
      <c r="B194" s="32" t="s">
        <v>2645</v>
      </c>
      <c r="C194" s="35" t="s">
        <v>2283</v>
      </c>
      <c r="D194" s="32" t="s">
        <v>2328</v>
      </c>
      <c r="E194" s="80" t="s">
        <v>37</v>
      </c>
    </row>
    <row r="195">
      <c r="B195" s="32" t="s">
        <v>881</v>
      </c>
      <c r="C195" s="35" t="s">
        <v>87</v>
      </c>
      <c r="D195" s="32" t="s">
        <v>2486</v>
      </c>
      <c r="E195" s="80" t="s">
        <v>33</v>
      </c>
    </row>
    <row r="196">
      <c r="B196" s="32" t="s">
        <v>2645</v>
      </c>
      <c r="C196" s="35" t="s">
        <v>239</v>
      </c>
      <c r="D196" s="32" t="s">
        <v>1518</v>
      </c>
      <c r="E196" s="80" t="s">
        <v>37</v>
      </c>
    </row>
    <row r="197">
      <c r="B197" s="32" t="s">
        <v>2328</v>
      </c>
      <c r="C197" s="35" t="s">
        <v>270</v>
      </c>
      <c r="D197" s="32" t="s">
        <v>2486</v>
      </c>
      <c r="E197" s="80" t="s">
        <v>33</v>
      </c>
      <c r="H197" s="36" t="s">
        <v>663</v>
      </c>
    </row>
    <row r="198">
      <c r="B198" s="32" t="s">
        <v>881</v>
      </c>
      <c r="C198" s="35" t="s">
        <v>11</v>
      </c>
      <c r="D198" s="32" t="s">
        <v>1518</v>
      </c>
      <c r="E198" s="80" t="s">
        <v>37</v>
      </c>
    </row>
    <row r="199">
      <c r="B199" s="1" t="s">
        <v>2617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B201" s="32" t="s">
        <v>2711</v>
      </c>
      <c r="C201" s="33" t="s">
        <v>71</v>
      </c>
      <c r="D201" s="32" t="s">
        <v>774</v>
      </c>
      <c r="E201" s="80" t="s">
        <v>33</v>
      </c>
    </row>
    <row r="202">
      <c r="B202" s="32" t="s">
        <v>1989</v>
      </c>
      <c r="C202" s="35" t="s">
        <v>389</v>
      </c>
      <c r="D202" s="32" t="s">
        <v>1096</v>
      </c>
      <c r="E202" s="80" t="s">
        <v>37</v>
      </c>
    </row>
    <row r="203">
      <c r="B203" s="32" t="s">
        <v>1799</v>
      </c>
      <c r="C203" s="33" t="s">
        <v>1186</v>
      </c>
      <c r="D203" s="32" t="s">
        <v>2711</v>
      </c>
      <c r="E203" s="80" t="s">
        <v>33</v>
      </c>
    </row>
    <row r="204">
      <c r="B204" s="32" t="s">
        <v>1989</v>
      </c>
      <c r="C204" s="33" t="s">
        <v>68</v>
      </c>
      <c r="D204" s="32" t="s">
        <v>774</v>
      </c>
      <c r="E204" s="80" t="s">
        <v>37</v>
      </c>
    </row>
    <row r="205">
      <c r="B205" s="32" t="s">
        <v>1799</v>
      </c>
      <c r="C205" s="33" t="s">
        <v>16</v>
      </c>
      <c r="D205" s="32" t="s">
        <v>1096</v>
      </c>
      <c r="E205" s="80" t="s">
        <v>33</v>
      </c>
    </row>
    <row r="206">
      <c r="B206" s="32" t="s">
        <v>1989</v>
      </c>
      <c r="C206" s="33" t="s">
        <v>17</v>
      </c>
      <c r="D206" s="32" t="s">
        <v>2711</v>
      </c>
      <c r="E206" s="80" t="s">
        <v>37</v>
      </c>
    </row>
    <row r="207">
      <c r="B207" s="32" t="s">
        <v>1799</v>
      </c>
      <c r="C207" s="33" t="s">
        <v>312</v>
      </c>
      <c r="D207" s="32" t="s">
        <v>774</v>
      </c>
      <c r="E207" s="80" t="s">
        <v>33</v>
      </c>
    </row>
    <row r="208">
      <c r="B208" s="32" t="s">
        <v>1096</v>
      </c>
      <c r="C208" s="33" t="s">
        <v>58</v>
      </c>
      <c r="D208" s="32" t="s">
        <v>2711</v>
      </c>
      <c r="E208" s="80" t="s">
        <v>37</v>
      </c>
    </row>
    <row r="209">
      <c r="B209" s="32" t="s">
        <v>1799</v>
      </c>
      <c r="C209" s="33" t="s">
        <v>196</v>
      </c>
      <c r="D209" s="32" t="s">
        <v>1989</v>
      </c>
      <c r="E209" s="80" t="s">
        <v>33</v>
      </c>
    </row>
    <row r="210">
      <c r="B210" s="32" t="s">
        <v>1096</v>
      </c>
      <c r="C210" s="33" t="s">
        <v>58</v>
      </c>
      <c r="D210" s="32" t="s">
        <v>774</v>
      </c>
      <c r="E210" s="80" t="s">
        <v>37</v>
      </c>
      <c r="K210" s="36" t="s">
        <v>663</v>
      </c>
    </row>
    <row r="211">
      <c r="B211" s="32" t="s">
        <v>774</v>
      </c>
      <c r="C211" s="33" t="s">
        <v>953</v>
      </c>
      <c r="D211" s="32" t="s">
        <v>2711</v>
      </c>
      <c r="E211" s="80" t="s">
        <v>33</v>
      </c>
    </row>
    <row r="212">
      <c r="B212" s="32" t="s">
        <v>1096</v>
      </c>
      <c r="C212" s="33" t="s">
        <v>43</v>
      </c>
      <c r="D212" s="32" t="s">
        <v>1989</v>
      </c>
      <c r="E212" s="80" t="s">
        <v>37</v>
      </c>
    </row>
    <row r="213">
      <c r="B213" s="32" t="s">
        <v>2711</v>
      </c>
      <c r="C213" s="35" t="s">
        <v>14</v>
      </c>
      <c r="D213" s="32" t="s">
        <v>1799</v>
      </c>
      <c r="E213" s="80" t="s">
        <v>33</v>
      </c>
    </row>
    <row r="214">
      <c r="B214" s="32" t="s">
        <v>774</v>
      </c>
      <c r="C214" s="35" t="s">
        <v>17</v>
      </c>
      <c r="D214" s="32" t="s">
        <v>1989</v>
      </c>
      <c r="E214" s="80" t="s">
        <v>37</v>
      </c>
    </row>
    <row r="215">
      <c r="B215" s="32" t="s">
        <v>1096</v>
      </c>
      <c r="C215" s="35" t="s">
        <v>81</v>
      </c>
      <c r="D215" s="32" t="s">
        <v>1799</v>
      </c>
      <c r="E215" s="80" t="s">
        <v>33</v>
      </c>
    </row>
    <row r="216">
      <c r="B216" s="32" t="s">
        <v>2711</v>
      </c>
      <c r="C216" s="35" t="s">
        <v>83</v>
      </c>
      <c r="D216" s="32" t="s">
        <v>1989</v>
      </c>
      <c r="E216" s="80" t="s">
        <v>37</v>
      </c>
    </row>
    <row r="217">
      <c r="B217" s="32" t="s">
        <v>774</v>
      </c>
      <c r="C217" s="35" t="s">
        <v>16</v>
      </c>
      <c r="D217" s="32" t="s">
        <v>1799</v>
      </c>
      <c r="E217" s="80" t="s">
        <v>33</v>
      </c>
    </row>
    <row r="218">
      <c r="B218" s="32" t="s">
        <v>2711</v>
      </c>
      <c r="C218" s="35" t="s">
        <v>351</v>
      </c>
      <c r="D218" s="32" t="s">
        <v>1096</v>
      </c>
      <c r="E218" s="80" t="s">
        <v>37</v>
      </c>
    </row>
    <row r="219">
      <c r="B219" s="32" t="s">
        <v>1989</v>
      </c>
      <c r="C219" s="35" t="s">
        <v>43</v>
      </c>
      <c r="D219" s="32" t="s">
        <v>1799</v>
      </c>
      <c r="E219" s="80" t="s">
        <v>33</v>
      </c>
    </row>
    <row r="220">
      <c r="B220" s="32" t="s">
        <v>774</v>
      </c>
      <c r="C220" s="35" t="s">
        <v>935</v>
      </c>
      <c r="D220" s="32" t="s">
        <v>1096</v>
      </c>
      <c r="E220" s="80" t="s">
        <v>37</v>
      </c>
    </row>
    <row r="221">
      <c r="B221" s="28" t="s">
        <v>1441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34" t="s">
        <v>2840</v>
      </c>
      <c r="C223" s="35" t="s">
        <v>81</v>
      </c>
      <c r="D223" s="34" t="s">
        <v>2715</v>
      </c>
      <c r="E223" s="11" t="s">
        <v>9</v>
      </c>
    </row>
    <row r="224">
      <c r="B224" s="34" t="s">
        <v>1362</v>
      </c>
      <c r="C224" s="35" t="s">
        <v>269</v>
      </c>
      <c r="D224" s="34" t="s">
        <v>1815</v>
      </c>
      <c r="E224" s="11" t="s">
        <v>13</v>
      </c>
    </row>
    <row r="225">
      <c r="B225" s="34" t="s">
        <v>2841</v>
      </c>
      <c r="C225" s="35" t="s">
        <v>21</v>
      </c>
      <c r="D225" s="34" t="s">
        <v>2840</v>
      </c>
      <c r="E225" s="11" t="s">
        <v>9</v>
      </c>
    </row>
    <row r="226">
      <c r="B226" s="34" t="s">
        <v>1362</v>
      </c>
      <c r="C226" s="35" t="s">
        <v>297</v>
      </c>
      <c r="D226" s="34" t="s">
        <v>2715</v>
      </c>
      <c r="E226" s="11" t="s">
        <v>13</v>
      </c>
    </row>
    <row r="227">
      <c r="B227" s="34" t="s">
        <v>2841</v>
      </c>
      <c r="C227" s="35" t="s">
        <v>82</v>
      </c>
      <c r="D227" s="34" t="s">
        <v>1815</v>
      </c>
      <c r="E227" s="11" t="s">
        <v>9</v>
      </c>
    </row>
    <row r="228">
      <c r="B228" s="34" t="s">
        <v>1362</v>
      </c>
      <c r="C228" s="35" t="s">
        <v>201</v>
      </c>
      <c r="D228" s="34" t="s">
        <v>2840</v>
      </c>
      <c r="E228" s="11" t="s">
        <v>13</v>
      </c>
    </row>
    <row r="229">
      <c r="B229" s="34" t="s">
        <v>2841</v>
      </c>
      <c r="C229" s="35" t="s">
        <v>21</v>
      </c>
      <c r="D229" s="34" t="s">
        <v>2715</v>
      </c>
      <c r="E229" s="11" t="s">
        <v>9</v>
      </c>
    </row>
    <row r="230">
      <c r="B230" s="34" t="s">
        <v>1815</v>
      </c>
      <c r="C230" s="35" t="s">
        <v>249</v>
      </c>
      <c r="D230" s="34" t="s">
        <v>2840</v>
      </c>
      <c r="E230" s="11" t="s">
        <v>13</v>
      </c>
    </row>
    <row r="231">
      <c r="B231" s="34" t="s">
        <v>2841</v>
      </c>
      <c r="C231" s="35" t="s">
        <v>71</v>
      </c>
      <c r="D231" s="34" t="s">
        <v>1362</v>
      </c>
      <c r="E231" s="11" t="s">
        <v>9</v>
      </c>
    </row>
    <row r="232">
      <c r="B232" s="34" t="s">
        <v>1815</v>
      </c>
      <c r="C232" s="35" t="s">
        <v>260</v>
      </c>
      <c r="D232" s="34" t="s">
        <v>2715</v>
      </c>
      <c r="E232" s="11" t="s">
        <v>13</v>
      </c>
    </row>
    <row r="233">
      <c r="B233" s="34" t="s">
        <v>2715</v>
      </c>
      <c r="C233" s="35" t="s">
        <v>45</v>
      </c>
      <c r="D233" s="34" t="s">
        <v>2840</v>
      </c>
      <c r="E233" s="11" t="s">
        <v>9</v>
      </c>
    </row>
    <row r="234">
      <c r="B234" s="34" t="s">
        <v>1815</v>
      </c>
      <c r="C234" s="35" t="s">
        <v>196</v>
      </c>
      <c r="D234" s="34" t="s">
        <v>1362</v>
      </c>
      <c r="E234" s="11" t="s">
        <v>13</v>
      </c>
    </row>
    <row r="235">
      <c r="B235" s="34" t="s">
        <v>2840</v>
      </c>
      <c r="C235" s="35" t="s">
        <v>196</v>
      </c>
      <c r="D235" s="34" t="s">
        <v>2841</v>
      </c>
      <c r="E235" s="11" t="s">
        <v>9</v>
      </c>
    </row>
    <row r="236">
      <c r="B236" s="34" t="s">
        <v>2715</v>
      </c>
      <c r="C236" s="35" t="s">
        <v>21</v>
      </c>
      <c r="D236" s="34" t="s">
        <v>1362</v>
      </c>
      <c r="E236" s="11" t="s">
        <v>13</v>
      </c>
    </row>
    <row r="237">
      <c r="B237" s="34" t="s">
        <v>1815</v>
      </c>
      <c r="C237" s="35" t="s">
        <v>76</v>
      </c>
      <c r="D237" s="34" t="s">
        <v>2841</v>
      </c>
      <c r="E237" s="11" t="s">
        <v>9</v>
      </c>
    </row>
    <row r="238">
      <c r="B238" s="34" t="s">
        <v>2840</v>
      </c>
      <c r="C238" s="35" t="s">
        <v>412</v>
      </c>
      <c r="D238" s="34" t="s">
        <v>1362</v>
      </c>
      <c r="E238" s="11" t="s">
        <v>13</v>
      </c>
    </row>
    <row r="239">
      <c r="B239" s="34" t="s">
        <v>2715</v>
      </c>
      <c r="C239" s="35" t="s">
        <v>1190</v>
      </c>
      <c r="D239" s="34" t="s">
        <v>2841</v>
      </c>
      <c r="E239" s="11" t="s">
        <v>9</v>
      </c>
    </row>
    <row r="240">
      <c r="B240" s="34" t="s">
        <v>2840</v>
      </c>
      <c r="C240" s="35" t="s">
        <v>195</v>
      </c>
      <c r="D240" s="34" t="s">
        <v>1815</v>
      </c>
      <c r="E240" s="11" t="s">
        <v>13</v>
      </c>
    </row>
    <row r="241">
      <c r="B241" s="34" t="s">
        <v>1362</v>
      </c>
      <c r="C241" s="35" t="s">
        <v>534</v>
      </c>
      <c r="D241" s="34" t="s">
        <v>2841</v>
      </c>
      <c r="E241" s="11" t="s">
        <v>9</v>
      </c>
    </row>
    <row r="242">
      <c r="B242" s="34" t="s">
        <v>2715</v>
      </c>
      <c r="C242" s="35" t="s">
        <v>201</v>
      </c>
      <c r="D242" s="34" t="s">
        <v>1815</v>
      </c>
      <c r="E242" s="11" t="s">
        <v>13</v>
      </c>
    </row>
    <row r="243">
      <c r="B243" s="28" t="s">
        <v>2819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34" t="s">
        <v>2842</v>
      </c>
      <c r="C245" s="35" t="s">
        <v>87</v>
      </c>
      <c r="D245" s="34" t="s">
        <v>191</v>
      </c>
      <c r="E245" s="11" t="s">
        <v>9</v>
      </c>
    </row>
    <row r="246">
      <c r="B246" s="34" t="s">
        <v>2439</v>
      </c>
      <c r="C246" s="35" t="s">
        <v>212</v>
      </c>
      <c r="D246" s="34" t="s">
        <v>2843</v>
      </c>
      <c r="E246" s="11" t="s">
        <v>13</v>
      </c>
    </row>
    <row r="247">
      <c r="B247" s="34" t="s">
        <v>2844</v>
      </c>
      <c r="C247" s="35" t="s">
        <v>411</v>
      </c>
      <c r="D247" s="34" t="s">
        <v>2842</v>
      </c>
      <c r="E247" s="11" t="s">
        <v>9</v>
      </c>
    </row>
    <row r="248">
      <c r="B248" s="34" t="s">
        <v>2439</v>
      </c>
      <c r="C248" s="35" t="s">
        <v>22</v>
      </c>
      <c r="D248" s="34" t="s">
        <v>191</v>
      </c>
      <c r="E248" s="11" t="s">
        <v>13</v>
      </c>
    </row>
    <row r="249">
      <c r="B249" s="34" t="s">
        <v>2844</v>
      </c>
      <c r="C249" s="35" t="s">
        <v>25</v>
      </c>
      <c r="D249" s="34" t="s">
        <v>2843</v>
      </c>
      <c r="E249" s="11" t="s">
        <v>9</v>
      </c>
    </row>
    <row r="250">
      <c r="B250" s="34" t="s">
        <v>2439</v>
      </c>
      <c r="C250" s="35" t="s">
        <v>72</v>
      </c>
      <c r="D250" s="34" t="s">
        <v>2842</v>
      </c>
      <c r="E250" s="11" t="s">
        <v>13</v>
      </c>
    </row>
    <row r="251">
      <c r="B251" s="34" t="s">
        <v>2844</v>
      </c>
      <c r="C251" s="35" t="s">
        <v>49</v>
      </c>
      <c r="D251" s="34" t="s">
        <v>191</v>
      </c>
      <c r="E251" s="11" t="s">
        <v>9</v>
      </c>
    </row>
    <row r="252">
      <c r="B252" s="34" t="s">
        <v>2843</v>
      </c>
      <c r="C252" s="35" t="s">
        <v>42</v>
      </c>
      <c r="D252" s="34" t="s">
        <v>2842</v>
      </c>
      <c r="E252" s="11" t="s">
        <v>13</v>
      </c>
    </row>
    <row r="253">
      <c r="B253" s="34" t="s">
        <v>2844</v>
      </c>
      <c r="C253" s="35" t="s">
        <v>587</v>
      </c>
      <c r="D253" s="34" t="s">
        <v>2439</v>
      </c>
      <c r="E253" s="11" t="s">
        <v>9</v>
      </c>
    </row>
    <row r="254">
      <c r="B254" s="34" t="s">
        <v>2843</v>
      </c>
      <c r="C254" s="35" t="s">
        <v>82</v>
      </c>
      <c r="D254" s="34" t="s">
        <v>191</v>
      </c>
      <c r="E254" s="11" t="s">
        <v>13</v>
      </c>
    </row>
    <row r="255">
      <c r="B255" s="34" t="s">
        <v>191</v>
      </c>
      <c r="C255" s="35" t="s">
        <v>80</v>
      </c>
      <c r="D255" s="34" t="s">
        <v>2842</v>
      </c>
      <c r="E255" s="11" t="s">
        <v>9</v>
      </c>
    </row>
    <row r="256">
      <c r="B256" s="34" t="s">
        <v>2843</v>
      </c>
      <c r="C256" s="35" t="s">
        <v>43</v>
      </c>
      <c r="D256" s="34" t="s">
        <v>2439</v>
      </c>
      <c r="E256" s="11" t="s">
        <v>13</v>
      </c>
    </row>
    <row r="257">
      <c r="B257" s="34" t="s">
        <v>2842</v>
      </c>
      <c r="C257" s="35" t="s">
        <v>836</v>
      </c>
      <c r="D257" s="34" t="s">
        <v>2844</v>
      </c>
      <c r="E257" s="11" t="s">
        <v>9</v>
      </c>
    </row>
    <row r="258">
      <c r="B258" s="34" t="s">
        <v>191</v>
      </c>
      <c r="C258" s="35" t="s">
        <v>286</v>
      </c>
      <c r="D258" s="34" t="s">
        <v>2439</v>
      </c>
      <c r="E258" s="11" t="s">
        <v>13</v>
      </c>
    </row>
    <row r="259">
      <c r="B259" s="34" t="s">
        <v>2843</v>
      </c>
      <c r="C259" s="35" t="s">
        <v>69</v>
      </c>
      <c r="D259" s="34" t="s">
        <v>2844</v>
      </c>
      <c r="E259" s="11" t="s">
        <v>9</v>
      </c>
    </row>
    <row r="260">
      <c r="B260" s="34" t="s">
        <v>2842</v>
      </c>
      <c r="C260" s="35" t="s">
        <v>62</v>
      </c>
      <c r="D260" s="34" t="s">
        <v>2439</v>
      </c>
      <c r="E260" s="11" t="s">
        <v>13</v>
      </c>
    </row>
    <row r="261">
      <c r="B261" s="34" t="s">
        <v>191</v>
      </c>
      <c r="C261" s="35" t="s">
        <v>286</v>
      </c>
      <c r="D261" s="34" t="s">
        <v>2844</v>
      </c>
      <c r="E261" s="11" t="s">
        <v>9</v>
      </c>
    </row>
    <row r="262">
      <c r="B262" s="34" t="s">
        <v>2842</v>
      </c>
      <c r="C262" s="35" t="s">
        <v>88</v>
      </c>
      <c r="D262" s="34" t="s">
        <v>2843</v>
      </c>
      <c r="E262" s="11" t="s">
        <v>13</v>
      </c>
    </row>
    <row r="263">
      <c r="B263" s="34" t="s">
        <v>2439</v>
      </c>
      <c r="C263" s="35" t="s">
        <v>566</v>
      </c>
      <c r="D263" s="34" t="s">
        <v>2844</v>
      </c>
      <c r="E263" s="11" t="s">
        <v>9</v>
      </c>
    </row>
    <row r="264">
      <c r="B264" s="34" t="s">
        <v>191</v>
      </c>
      <c r="C264" s="35" t="s">
        <v>21</v>
      </c>
      <c r="D264" s="34" t="s">
        <v>2843</v>
      </c>
      <c r="E264" s="11" t="s">
        <v>13</v>
      </c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/>
      <c r="B1" s="72" t="s">
        <v>2085</v>
      </c>
      <c r="C1" s="2"/>
      <c r="D1" s="3"/>
      <c r="E1" s="29"/>
    </row>
    <row r="2">
      <c r="A2" s="66"/>
      <c r="B2" s="6" t="s">
        <v>2</v>
      </c>
      <c r="C2" s="6" t="s">
        <v>3</v>
      </c>
      <c r="D2" s="6" t="s">
        <v>4</v>
      </c>
      <c r="E2" s="6" t="s">
        <v>5</v>
      </c>
    </row>
    <row r="3">
      <c r="A3" s="66"/>
      <c r="B3" s="34" t="s">
        <v>1984</v>
      </c>
      <c r="C3" s="35" t="s">
        <v>488</v>
      </c>
      <c r="D3" s="34" t="s">
        <v>2747</v>
      </c>
      <c r="E3" s="11" t="s">
        <v>9</v>
      </c>
    </row>
    <row r="4">
      <c r="A4" s="66"/>
      <c r="B4" s="34" t="s">
        <v>2748</v>
      </c>
      <c r="C4" s="35" t="s">
        <v>18</v>
      </c>
      <c r="D4" s="32" t="s">
        <v>2845</v>
      </c>
      <c r="E4" s="11" t="s">
        <v>13</v>
      </c>
    </row>
    <row r="5">
      <c r="A5" s="66"/>
      <c r="B5" s="34" t="s">
        <v>2366</v>
      </c>
      <c r="C5" s="35" t="s">
        <v>872</v>
      </c>
      <c r="D5" s="34" t="s">
        <v>1984</v>
      </c>
      <c r="E5" s="11" t="s">
        <v>9</v>
      </c>
    </row>
    <row r="6">
      <c r="A6" s="66"/>
      <c r="B6" s="34" t="s">
        <v>2748</v>
      </c>
      <c r="C6" s="35" t="s">
        <v>35</v>
      </c>
      <c r="D6" s="34" t="s">
        <v>2747</v>
      </c>
      <c r="E6" s="11" t="s">
        <v>13</v>
      </c>
    </row>
    <row r="7">
      <c r="A7" s="66"/>
      <c r="B7" s="34" t="s">
        <v>2366</v>
      </c>
      <c r="C7" s="35" t="s">
        <v>212</v>
      </c>
      <c r="D7" s="32" t="s">
        <v>2845</v>
      </c>
      <c r="E7" s="11" t="s">
        <v>9</v>
      </c>
    </row>
    <row r="8">
      <c r="A8" s="66"/>
      <c r="B8" s="34" t="s">
        <v>2748</v>
      </c>
      <c r="C8" s="35" t="s">
        <v>17</v>
      </c>
      <c r="D8" s="34" t="s">
        <v>1984</v>
      </c>
      <c r="E8" s="11" t="s">
        <v>13</v>
      </c>
    </row>
    <row r="9">
      <c r="A9" s="66"/>
      <c r="B9" s="34" t="s">
        <v>2366</v>
      </c>
      <c r="C9" s="35" t="s">
        <v>218</v>
      </c>
      <c r="D9" s="34" t="s">
        <v>2747</v>
      </c>
      <c r="E9" s="11" t="s">
        <v>9</v>
      </c>
    </row>
    <row r="10">
      <c r="A10" s="66"/>
      <c r="B10" s="32" t="s">
        <v>2845</v>
      </c>
      <c r="C10" s="35" t="s">
        <v>22</v>
      </c>
      <c r="D10" s="34" t="s">
        <v>1984</v>
      </c>
      <c r="E10" s="11" t="s">
        <v>13</v>
      </c>
    </row>
    <row r="11">
      <c r="A11" s="66"/>
      <c r="B11" s="34" t="s">
        <v>2366</v>
      </c>
      <c r="C11" s="35" t="s">
        <v>196</v>
      </c>
      <c r="D11" s="34" t="s">
        <v>2748</v>
      </c>
      <c r="E11" s="11" t="s">
        <v>9</v>
      </c>
    </row>
    <row r="12">
      <c r="A12" s="66"/>
      <c r="B12" s="32" t="s">
        <v>2845</v>
      </c>
      <c r="C12" s="35" t="s">
        <v>16</v>
      </c>
      <c r="D12" s="34" t="s">
        <v>2747</v>
      </c>
      <c r="E12" s="11" t="s">
        <v>13</v>
      </c>
    </row>
    <row r="13">
      <c r="A13" s="66"/>
      <c r="B13" s="34" t="s">
        <v>2747</v>
      </c>
      <c r="C13" s="35" t="s">
        <v>282</v>
      </c>
      <c r="D13" s="34" t="s">
        <v>1984</v>
      </c>
      <c r="E13" s="11" t="s">
        <v>9</v>
      </c>
    </row>
    <row r="14">
      <c r="A14" s="66"/>
      <c r="B14" s="32" t="s">
        <v>2845</v>
      </c>
      <c r="C14" s="35" t="s">
        <v>7</v>
      </c>
      <c r="D14" s="34" t="s">
        <v>2748</v>
      </c>
      <c r="E14" s="11" t="s">
        <v>13</v>
      </c>
    </row>
    <row r="15">
      <c r="A15" s="66"/>
      <c r="B15" s="34" t="s">
        <v>1984</v>
      </c>
      <c r="C15" s="35" t="s">
        <v>196</v>
      </c>
      <c r="D15" s="34" t="s">
        <v>2366</v>
      </c>
      <c r="E15" s="11" t="s">
        <v>9</v>
      </c>
    </row>
    <row r="16">
      <c r="A16" s="66"/>
      <c r="B16" s="34" t="s">
        <v>2747</v>
      </c>
      <c r="C16" s="35" t="s">
        <v>87</v>
      </c>
      <c r="D16" s="34" t="s">
        <v>2748</v>
      </c>
      <c r="E16" s="11" t="s">
        <v>13</v>
      </c>
    </row>
    <row r="17">
      <c r="A17" s="66"/>
      <c r="B17" s="32" t="s">
        <v>2845</v>
      </c>
      <c r="C17" s="35" t="s">
        <v>201</v>
      </c>
      <c r="D17" s="34" t="s">
        <v>2366</v>
      </c>
      <c r="E17" s="11" t="s">
        <v>9</v>
      </c>
    </row>
    <row r="18">
      <c r="A18" s="66"/>
      <c r="B18" s="34" t="s">
        <v>1984</v>
      </c>
      <c r="C18" s="35" t="s">
        <v>87</v>
      </c>
      <c r="D18" s="34" t="s">
        <v>2748</v>
      </c>
      <c r="E18" s="11" t="s">
        <v>13</v>
      </c>
    </row>
    <row r="19">
      <c r="A19" s="66"/>
      <c r="B19" s="34" t="s">
        <v>2747</v>
      </c>
      <c r="C19" s="35" t="s">
        <v>283</v>
      </c>
      <c r="D19" s="34" t="s">
        <v>2366</v>
      </c>
      <c r="E19" s="11" t="s">
        <v>9</v>
      </c>
    </row>
    <row r="20">
      <c r="A20" s="66"/>
      <c r="B20" s="34" t="s">
        <v>1984</v>
      </c>
      <c r="C20" s="35" t="s">
        <v>566</v>
      </c>
      <c r="D20" s="32" t="s">
        <v>2845</v>
      </c>
      <c r="E20" s="11" t="s">
        <v>13</v>
      </c>
    </row>
    <row r="21">
      <c r="A21" s="66"/>
      <c r="B21" s="34" t="s">
        <v>2748</v>
      </c>
      <c r="C21" s="35" t="s">
        <v>197</v>
      </c>
      <c r="D21" s="34" t="s">
        <v>2366</v>
      </c>
      <c r="E21" s="11" t="s">
        <v>9</v>
      </c>
    </row>
    <row r="22">
      <c r="A22" s="66"/>
      <c r="B22" s="34" t="s">
        <v>2747</v>
      </c>
      <c r="C22" s="35" t="s">
        <v>250</v>
      </c>
      <c r="D22" s="32" t="s">
        <v>2845</v>
      </c>
      <c r="E22" s="11" t="s">
        <v>13</v>
      </c>
    </row>
    <row r="23">
      <c r="A23" s="66"/>
      <c r="B23" s="72" t="s">
        <v>2475</v>
      </c>
      <c r="C23" s="2"/>
      <c r="D23" s="3"/>
      <c r="E23" s="29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2846</v>
      </c>
      <c r="C25" s="35" t="s">
        <v>1025</v>
      </c>
      <c r="D25" s="34" t="s">
        <v>2847</v>
      </c>
      <c r="E25" s="11" t="s">
        <v>9</v>
      </c>
    </row>
    <row r="26">
      <c r="A26" s="66"/>
      <c r="B26" s="34" t="s">
        <v>2848</v>
      </c>
      <c r="C26" s="35" t="s">
        <v>260</v>
      </c>
      <c r="D26" s="32" t="s">
        <v>2073</v>
      </c>
      <c r="E26" s="11" t="s">
        <v>13</v>
      </c>
    </row>
    <row r="27">
      <c r="A27" s="66"/>
      <c r="B27" s="34" t="s">
        <v>2849</v>
      </c>
      <c r="C27" s="35" t="s">
        <v>584</v>
      </c>
      <c r="D27" s="34" t="s">
        <v>2846</v>
      </c>
      <c r="E27" s="11" t="s">
        <v>9</v>
      </c>
    </row>
    <row r="28">
      <c r="A28" s="66"/>
      <c r="B28" s="34" t="s">
        <v>2848</v>
      </c>
      <c r="C28" s="35" t="s">
        <v>64</v>
      </c>
      <c r="D28" s="34" t="s">
        <v>2847</v>
      </c>
      <c r="E28" s="11" t="s">
        <v>13</v>
      </c>
    </row>
    <row r="29">
      <c r="A29" s="66"/>
      <c r="B29" s="34" t="s">
        <v>2849</v>
      </c>
      <c r="C29" s="35" t="s">
        <v>947</v>
      </c>
      <c r="D29" s="32" t="s">
        <v>2073</v>
      </c>
      <c r="E29" s="11" t="s">
        <v>9</v>
      </c>
    </row>
    <row r="30">
      <c r="A30" s="66"/>
      <c r="B30" s="34" t="s">
        <v>2848</v>
      </c>
      <c r="C30" s="35" t="s">
        <v>412</v>
      </c>
      <c r="D30" s="34" t="s">
        <v>2846</v>
      </c>
      <c r="E30" s="11" t="s">
        <v>13</v>
      </c>
    </row>
    <row r="31">
      <c r="A31" s="66"/>
      <c r="B31" s="34" t="s">
        <v>2849</v>
      </c>
      <c r="C31" s="35" t="s">
        <v>83</v>
      </c>
      <c r="D31" s="34" t="s">
        <v>2847</v>
      </c>
      <c r="E31" s="11" t="s">
        <v>9</v>
      </c>
    </row>
    <row r="32">
      <c r="A32" s="66"/>
      <c r="B32" s="32" t="s">
        <v>2073</v>
      </c>
      <c r="C32" s="35" t="s">
        <v>240</v>
      </c>
      <c r="D32" s="34" t="s">
        <v>2846</v>
      </c>
      <c r="E32" s="11" t="s">
        <v>13</v>
      </c>
    </row>
    <row r="33">
      <c r="A33" s="66"/>
      <c r="B33" s="34" t="s">
        <v>2849</v>
      </c>
      <c r="C33" s="35" t="s">
        <v>190</v>
      </c>
      <c r="D33" s="34" t="s">
        <v>2848</v>
      </c>
      <c r="E33" s="11" t="s">
        <v>9</v>
      </c>
    </row>
    <row r="34">
      <c r="A34" s="66"/>
      <c r="B34" s="32" t="s">
        <v>2073</v>
      </c>
      <c r="C34" s="35" t="s">
        <v>1552</v>
      </c>
      <c r="D34" s="34" t="s">
        <v>2847</v>
      </c>
      <c r="E34" s="11" t="s">
        <v>13</v>
      </c>
    </row>
    <row r="35">
      <c r="A35" s="66"/>
      <c r="B35" s="34" t="s">
        <v>2847</v>
      </c>
      <c r="C35" s="35" t="s">
        <v>2850</v>
      </c>
      <c r="D35" s="34" t="s">
        <v>2846</v>
      </c>
      <c r="E35" s="11" t="s">
        <v>9</v>
      </c>
    </row>
    <row r="36">
      <c r="A36" s="66"/>
      <c r="B36" s="32" t="s">
        <v>2073</v>
      </c>
      <c r="C36" s="35" t="s">
        <v>250</v>
      </c>
      <c r="D36" s="34" t="s">
        <v>2848</v>
      </c>
      <c r="E36" s="11" t="s">
        <v>13</v>
      </c>
    </row>
    <row r="37">
      <c r="A37" s="66"/>
      <c r="B37" s="34" t="s">
        <v>2846</v>
      </c>
      <c r="C37" s="35" t="s">
        <v>28</v>
      </c>
      <c r="D37" s="34" t="s">
        <v>2849</v>
      </c>
      <c r="E37" s="11" t="s">
        <v>9</v>
      </c>
    </row>
    <row r="38">
      <c r="A38" s="66"/>
      <c r="B38" s="34" t="s">
        <v>2847</v>
      </c>
      <c r="C38" s="35" t="s">
        <v>829</v>
      </c>
      <c r="D38" s="34" t="s">
        <v>2848</v>
      </c>
      <c r="E38" s="11" t="s">
        <v>13</v>
      </c>
    </row>
    <row r="39">
      <c r="A39" s="66"/>
      <c r="B39" s="32" t="s">
        <v>2073</v>
      </c>
      <c r="C39" s="35" t="s">
        <v>354</v>
      </c>
      <c r="D39" s="34" t="s">
        <v>2849</v>
      </c>
      <c r="E39" s="11" t="s">
        <v>9</v>
      </c>
    </row>
    <row r="40">
      <c r="A40" s="66"/>
      <c r="B40" s="34" t="s">
        <v>2846</v>
      </c>
      <c r="C40" s="35" t="s">
        <v>240</v>
      </c>
      <c r="D40" s="34" t="s">
        <v>2848</v>
      </c>
      <c r="E40" s="11" t="s">
        <v>13</v>
      </c>
    </row>
    <row r="41">
      <c r="A41" s="66"/>
      <c r="B41" s="34" t="s">
        <v>2847</v>
      </c>
      <c r="C41" s="35" t="s">
        <v>88</v>
      </c>
      <c r="D41" s="34" t="s">
        <v>2849</v>
      </c>
      <c r="E41" s="11" t="s">
        <v>9</v>
      </c>
    </row>
    <row r="42">
      <c r="A42" s="66"/>
      <c r="B42" s="34" t="s">
        <v>2846</v>
      </c>
      <c r="C42" s="35" t="s">
        <v>444</v>
      </c>
      <c r="D42" s="32" t="s">
        <v>2073</v>
      </c>
      <c r="E42" s="11" t="s">
        <v>13</v>
      </c>
    </row>
    <row r="43">
      <c r="A43" s="66"/>
      <c r="B43" s="34" t="s">
        <v>2848</v>
      </c>
      <c r="C43" s="35" t="s">
        <v>197</v>
      </c>
      <c r="D43" s="34" t="s">
        <v>2849</v>
      </c>
      <c r="E43" s="11" t="s">
        <v>9</v>
      </c>
    </row>
    <row r="44">
      <c r="A44" s="67"/>
      <c r="B44" s="34" t="s">
        <v>2847</v>
      </c>
      <c r="C44" s="35" t="s">
        <v>550</v>
      </c>
      <c r="D44" s="32" t="s">
        <v>2073</v>
      </c>
      <c r="E44" s="11" t="s">
        <v>13</v>
      </c>
    </row>
    <row r="45">
      <c r="B45" s="1" t="s">
        <v>2790</v>
      </c>
      <c r="C45" s="2"/>
      <c r="D45" s="3"/>
      <c r="E45" s="14"/>
    </row>
    <row r="46">
      <c r="B46" s="16" t="s">
        <v>2</v>
      </c>
      <c r="C46" s="16" t="s">
        <v>3</v>
      </c>
      <c r="D46" s="16" t="s">
        <v>4</v>
      </c>
      <c r="E46" s="16" t="s">
        <v>5</v>
      </c>
    </row>
    <row r="47">
      <c r="B47" s="32" t="s">
        <v>2851</v>
      </c>
      <c r="C47" s="35" t="s">
        <v>27</v>
      </c>
      <c r="D47" s="32" t="s">
        <v>2852</v>
      </c>
      <c r="E47" s="11" t="s">
        <v>9</v>
      </c>
    </row>
    <row r="48">
      <c r="B48" s="32" t="s">
        <v>2853</v>
      </c>
      <c r="C48" s="35" t="s">
        <v>354</v>
      </c>
      <c r="D48" s="32" t="s">
        <v>2854</v>
      </c>
      <c r="E48" s="11" t="s">
        <v>13</v>
      </c>
    </row>
    <row r="49">
      <c r="B49" s="32" t="s">
        <v>2855</v>
      </c>
      <c r="C49" s="35" t="s">
        <v>69</v>
      </c>
      <c r="D49" s="32" t="s">
        <v>2851</v>
      </c>
      <c r="E49" s="11" t="s">
        <v>9</v>
      </c>
    </row>
    <row r="50">
      <c r="B50" s="32" t="s">
        <v>2853</v>
      </c>
      <c r="C50" s="35" t="s">
        <v>195</v>
      </c>
      <c r="D50" s="32" t="s">
        <v>2852</v>
      </c>
      <c r="E50" s="11" t="s">
        <v>13</v>
      </c>
    </row>
    <row r="51">
      <c r="B51" s="32" t="s">
        <v>2855</v>
      </c>
      <c r="C51" s="35" t="s">
        <v>1068</v>
      </c>
      <c r="D51" s="32" t="s">
        <v>2854</v>
      </c>
      <c r="E51" s="11" t="s">
        <v>9</v>
      </c>
    </row>
    <row r="52">
      <c r="B52" s="32" t="s">
        <v>2853</v>
      </c>
      <c r="C52" s="35" t="s">
        <v>81</v>
      </c>
      <c r="D52" s="32" t="s">
        <v>2851</v>
      </c>
      <c r="E52" s="11" t="s">
        <v>13</v>
      </c>
    </row>
    <row r="53">
      <c r="B53" s="32" t="s">
        <v>2855</v>
      </c>
      <c r="C53" s="35" t="s">
        <v>48</v>
      </c>
      <c r="D53" s="32" t="s">
        <v>2852</v>
      </c>
      <c r="E53" s="11" t="s">
        <v>9</v>
      </c>
    </row>
    <row r="54">
      <c r="B54" s="32" t="s">
        <v>2854</v>
      </c>
      <c r="C54" s="35" t="s">
        <v>201</v>
      </c>
      <c r="D54" s="32" t="s">
        <v>2851</v>
      </c>
      <c r="E54" s="11" t="s">
        <v>13</v>
      </c>
    </row>
    <row r="55">
      <c r="B55" s="32" t="s">
        <v>2855</v>
      </c>
      <c r="C55" s="35" t="s">
        <v>363</v>
      </c>
      <c r="D55" s="32" t="s">
        <v>2853</v>
      </c>
      <c r="E55" s="11" t="s">
        <v>9</v>
      </c>
    </row>
    <row r="56">
      <c r="B56" s="32" t="s">
        <v>2854</v>
      </c>
      <c r="C56" s="35" t="s">
        <v>11</v>
      </c>
      <c r="D56" s="32" t="s">
        <v>2852</v>
      </c>
      <c r="E56" s="11" t="s">
        <v>13</v>
      </c>
    </row>
    <row r="57">
      <c r="B57" s="32" t="s">
        <v>2852</v>
      </c>
      <c r="C57" s="35" t="s">
        <v>31</v>
      </c>
      <c r="D57" s="32" t="s">
        <v>2851</v>
      </c>
      <c r="E57" s="11" t="s">
        <v>9</v>
      </c>
    </row>
    <row r="58">
      <c r="B58" s="32" t="s">
        <v>2854</v>
      </c>
      <c r="C58" s="35" t="s">
        <v>38</v>
      </c>
      <c r="D58" s="32" t="s">
        <v>2853</v>
      </c>
      <c r="E58" s="11" t="s">
        <v>13</v>
      </c>
    </row>
    <row r="59">
      <c r="B59" s="32" t="s">
        <v>2851</v>
      </c>
      <c r="C59" s="35" t="s">
        <v>21</v>
      </c>
      <c r="D59" s="32" t="s">
        <v>2855</v>
      </c>
      <c r="E59" s="11" t="s">
        <v>9</v>
      </c>
    </row>
    <row r="60">
      <c r="B60" s="32" t="s">
        <v>2852</v>
      </c>
      <c r="C60" s="35" t="s">
        <v>87</v>
      </c>
      <c r="D60" s="32" t="s">
        <v>2853</v>
      </c>
      <c r="E60" s="11" t="s">
        <v>13</v>
      </c>
    </row>
    <row r="61">
      <c r="B61" s="32" t="s">
        <v>2854</v>
      </c>
      <c r="C61" s="35" t="s">
        <v>87</v>
      </c>
      <c r="D61" s="32" t="s">
        <v>2855</v>
      </c>
      <c r="E61" s="11" t="s">
        <v>9</v>
      </c>
    </row>
    <row r="62">
      <c r="B62" s="32" t="s">
        <v>2851</v>
      </c>
      <c r="C62" s="35" t="s">
        <v>218</v>
      </c>
      <c r="D62" s="32" t="s">
        <v>2853</v>
      </c>
      <c r="E62" s="11" t="s">
        <v>13</v>
      </c>
    </row>
    <row r="63">
      <c r="B63" s="32" t="s">
        <v>2852</v>
      </c>
      <c r="C63" s="35" t="s">
        <v>284</v>
      </c>
      <c r="D63" s="32" t="s">
        <v>2855</v>
      </c>
      <c r="E63" s="11" t="s">
        <v>9</v>
      </c>
    </row>
    <row r="64">
      <c r="B64" s="32" t="s">
        <v>2851</v>
      </c>
      <c r="C64" s="35" t="s">
        <v>286</v>
      </c>
      <c r="D64" s="32" t="s">
        <v>2854</v>
      </c>
      <c r="E64" s="11" t="s">
        <v>13</v>
      </c>
    </row>
    <row r="65">
      <c r="B65" s="32" t="s">
        <v>2853</v>
      </c>
      <c r="C65" s="35" t="s">
        <v>66</v>
      </c>
      <c r="D65" s="32" t="s">
        <v>2855</v>
      </c>
      <c r="E65" s="11" t="s">
        <v>9</v>
      </c>
    </row>
    <row r="66">
      <c r="B66" s="32" t="s">
        <v>2852</v>
      </c>
      <c r="C66" s="35" t="s">
        <v>282</v>
      </c>
      <c r="D66" s="32" t="s">
        <v>2854</v>
      </c>
      <c r="E66" s="11" t="s">
        <v>13</v>
      </c>
    </row>
    <row r="67">
      <c r="B67" s="1" t="s">
        <v>2099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16" t="s">
        <v>5</v>
      </c>
    </row>
    <row r="69">
      <c r="B69" s="32" t="s">
        <v>2856</v>
      </c>
      <c r="C69" s="35" t="s">
        <v>68</v>
      </c>
      <c r="D69" s="32" t="s">
        <v>2857</v>
      </c>
      <c r="E69" s="11" t="s">
        <v>9</v>
      </c>
    </row>
    <row r="70">
      <c r="B70" s="32" t="s">
        <v>2858</v>
      </c>
      <c r="C70" s="35" t="s">
        <v>196</v>
      </c>
      <c r="D70" s="32" t="s">
        <v>2859</v>
      </c>
      <c r="E70" s="11" t="s">
        <v>13</v>
      </c>
    </row>
    <row r="71">
      <c r="B71" s="32" t="s">
        <v>2860</v>
      </c>
      <c r="C71" s="35" t="s">
        <v>196</v>
      </c>
      <c r="D71" s="32" t="s">
        <v>2856</v>
      </c>
      <c r="E71" s="11" t="s">
        <v>9</v>
      </c>
    </row>
    <row r="72">
      <c r="B72" s="32" t="s">
        <v>2858</v>
      </c>
      <c r="C72" s="35" t="s">
        <v>21</v>
      </c>
      <c r="D72" s="32" t="s">
        <v>2857</v>
      </c>
      <c r="E72" s="11" t="s">
        <v>13</v>
      </c>
    </row>
    <row r="73">
      <c r="B73" s="32" t="s">
        <v>2860</v>
      </c>
      <c r="C73" s="35" t="s">
        <v>43</v>
      </c>
      <c r="D73" s="32" t="s">
        <v>2859</v>
      </c>
      <c r="E73" s="11" t="s">
        <v>9</v>
      </c>
    </row>
    <row r="74">
      <c r="B74" s="32" t="s">
        <v>2858</v>
      </c>
      <c r="C74" s="35" t="s">
        <v>218</v>
      </c>
      <c r="D74" s="32" t="s">
        <v>2856</v>
      </c>
      <c r="E74" s="11" t="s">
        <v>13</v>
      </c>
    </row>
    <row r="75">
      <c r="B75" s="32" t="s">
        <v>2860</v>
      </c>
      <c r="C75" s="35" t="s">
        <v>283</v>
      </c>
      <c r="D75" s="32" t="s">
        <v>2857</v>
      </c>
      <c r="E75" s="11" t="s">
        <v>9</v>
      </c>
    </row>
    <row r="76">
      <c r="B76" s="32" t="s">
        <v>2859</v>
      </c>
      <c r="C76" s="35" t="s">
        <v>195</v>
      </c>
      <c r="D76" s="32" t="s">
        <v>2856</v>
      </c>
      <c r="E76" s="11" t="s">
        <v>13</v>
      </c>
    </row>
    <row r="77">
      <c r="B77" s="32" t="s">
        <v>2860</v>
      </c>
      <c r="C77" s="35" t="s">
        <v>815</v>
      </c>
      <c r="D77" s="32" t="s">
        <v>2858</v>
      </c>
      <c r="E77" s="11" t="s">
        <v>9</v>
      </c>
    </row>
    <row r="78">
      <c r="B78" s="32" t="s">
        <v>2859</v>
      </c>
      <c r="C78" s="35" t="s">
        <v>19</v>
      </c>
      <c r="D78" s="32" t="s">
        <v>2857</v>
      </c>
      <c r="E78" s="11" t="s">
        <v>13</v>
      </c>
    </row>
    <row r="79">
      <c r="B79" s="32" t="s">
        <v>2857</v>
      </c>
      <c r="C79" s="35" t="s">
        <v>21</v>
      </c>
      <c r="D79" s="32" t="s">
        <v>2856</v>
      </c>
      <c r="E79" s="11" t="s">
        <v>9</v>
      </c>
    </row>
    <row r="80">
      <c r="B80" s="32" t="s">
        <v>2859</v>
      </c>
      <c r="C80" s="35" t="s">
        <v>22</v>
      </c>
      <c r="D80" s="32" t="s">
        <v>2858</v>
      </c>
      <c r="E80" s="11" t="s">
        <v>13</v>
      </c>
    </row>
    <row r="81">
      <c r="B81" s="32" t="s">
        <v>2856</v>
      </c>
      <c r="C81" s="35" t="s">
        <v>81</v>
      </c>
      <c r="D81" s="32" t="s">
        <v>2860</v>
      </c>
      <c r="E81" s="11" t="s">
        <v>9</v>
      </c>
    </row>
    <row r="82">
      <c r="B82" s="32" t="s">
        <v>2857</v>
      </c>
      <c r="C82" s="35" t="s">
        <v>48</v>
      </c>
      <c r="D82" s="32" t="s">
        <v>2858</v>
      </c>
      <c r="E82" s="11" t="s">
        <v>13</v>
      </c>
    </row>
    <row r="83">
      <c r="B83" s="32" t="s">
        <v>2859</v>
      </c>
      <c r="C83" s="35" t="s">
        <v>289</v>
      </c>
      <c r="D83" s="32" t="s">
        <v>2860</v>
      </c>
      <c r="E83" s="11" t="s">
        <v>9</v>
      </c>
    </row>
    <row r="84">
      <c r="B84" s="32" t="s">
        <v>2856</v>
      </c>
      <c r="C84" s="35" t="s">
        <v>426</v>
      </c>
      <c r="D84" s="32" t="s">
        <v>2858</v>
      </c>
      <c r="E84" s="11" t="s">
        <v>13</v>
      </c>
    </row>
    <row r="85">
      <c r="B85" s="32" t="s">
        <v>2857</v>
      </c>
      <c r="C85" s="35" t="s">
        <v>48</v>
      </c>
      <c r="D85" s="32" t="s">
        <v>2860</v>
      </c>
      <c r="E85" s="11" t="s">
        <v>9</v>
      </c>
    </row>
    <row r="86">
      <c r="B86" s="32" t="s">
        <v>2856</v>
      </c>
      <c r="C86" s="35" t="s">
        <v>22</v>
      </c>
      <c r="D86" s="32" t="s">
        <v>2859</v>
      </c>
      <c r="E86" s="11" t="s">
        <v>13</v>
      </c>
    </row>
    <row r="87">
      <c r="B87" s="32" t="s">
        <v>2858</v>
      </c>
      <c r="C87" s="35" t="s">
        <v>14</v>
      </c>
      <c r="D87" s="32" t="s">
        <v>2860</v>
      </c>
      <c r="E87" s="11" t="s">
        <v>9</v>
      </c>
    </row>
    <row r="88">
      <c r="B88" s="32" t="s">
        <v>2857</v>
      </c>
      <c r="C88" s="35" t="s">
        <v>337</v>
      </c>
      <c r="D88" s="32" t="s">
        <v>2859</v>
      </c>
      <c r="E88" s="11" t="s">
        <v>13</v>
      </c>
    </row>
    <row r="89">
      <c r="B89" s="1" t="s">
        <v>2547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16" t="s">
        <v>5</v>
      </c>
    </row>
    <row r="91">
      <c r="B91" s="32" t="s">
        <v>2038</v>
      </c>
      <c r="C91" s="35" t="s">
        <v>239</v>
      </c>
      <c r="D91" s="32" t="s">
        <v>2513</v>
      </c>
      <c r="E91" s="80" t="s">
        <v>33</v>
      </c>
    </row>
    <row r="92">
      <c r="B92" s="32" t="s">
        <v>2512</v>
      </c>
      <c r="C92" s="35" t="s">
        <v>261</v>
      </c>
      <c r="D92" s="32" t="s">
        <v>1907</v>
      </c>
      <c r="E92" s="80" t="s">
        <v>37</v>
      </c>
    </row>
    <row r="93">
      <c r="B93" s="32" t="s">
        <v>1518</v>
      </c>
      <c r="C93" s="35" t="s">
        <v>196</v>
      </c>
      <c r="D93" s="32" t="s">
        <v>2038</v>
      </c>
      <c r="E93" s="80" t="s">
        <v>33</v>
      </c>
    </row>
    <row r="94">
      <c r="B94" s="32" t="s">
        <v>2512</v>
      </c>
      <c r="C94" s="35" t="s">
        <v>217</v>
      </c>
      <c r="D94" s="32" t="s">
        <v>2513</v>
      </c>
      <c r="E94" s="80" t="s">
        <v>37</v>
      </c>
    </row>
    <row r="95">
      <c r="B95" s="32" t="s">
        <v>1518</v>
      </c>
      <c r="C95" s="35" t="s">
        <v>11</v>
      </c>
      <c r="D95" s="32" t="s">
        <v>1907</v>
      </c>
      <c r="E95" s="80" t="s">
        <v>33</v>
      </c>
    </row>
    <row r="96">
      <c r="B96" s="32" t="s">
        <v>2512</v>
      </c>
      <c r="C96" s="35" t="s">
        <v>48</v>
      </c>
      <c r="D96" s="32" t="s">
        <v>2038</v>
      </c>
      <c r="E96" s="80" t="s">
        <v>37</v>
      </c>
    </row>
    <row r="97">
      <c r="B97" s="32" t="s">
        <v>1518</v>
      </c>
      <c r="C97" s="35" t="s">
        <v>194</v>
      </c>
      <c r="D97" s="32" t="s">
        <v>2513</v>
      </c>
      <c r="E97" s="80" t="s">
        <v>33</v>
      </c>
    </row>
    <row r="98">
      <c r="B98" s="32" t="s">
        <v>1907</v>
      </c>
      <c r="C98" s="35" t="s">
        <v>25</v>
      </c>
      <c r="D98" s="32" t="s">
        <v>2038</v>
      </c>
      <c r="E98" s="80" t="s">
        <v>37</v>
      </c>
    </row>
    <row r="99">
      <c r="B99" s="32" t="s">
        <v>1518</v>
      </c>
      <c r="C99" s="35" t="s">
        <v>81</v>
      </c>
      <c r="D99" s="32" t="s">
        <v>2512</v>
      </c>
      <c r="E99" s="80" t="s">
        <v>33</v>
      </c>
      <c r="I99" s="36" t="s">
        <v>242</v>
      </c>
    </row>
    <row r="100">
      <c r="B100" s="32" t="s">
        <v>1907</v>
      </c>
      <c r="C100" s="35" t="s">
        <v>190</v>
      </c>
      <c r="D100" s="32" t="s">
        <v>2513</v>
      </c>
      <c r="E100" s="80" t="s">
        <v>37</v>
      </c>
    </row>
    <row r="101">
      <c r="B101" s="32" t="s">
        <v>2513</v>
      </c>
      <c r="C101" s="35" t="s">
        <v>62</v>
      </c>
      <c r="D101" s="32" t="s">
        <v>2038</v>
      </c>
      <c r="E101" s="80" t="s">
        <v>33</v>
      </c>
    </row>
    <row r="102">
      <c r="B102" s="32" t="s">
        <v>1907</v>
      </c>
      <c r="C102" s="35" t="s">
        <v>289</v>
      </c>
      <c r="D102" s="32" t="s">
        <v>2512</v>
      </c>
      <c r="E102" s="80" t="s">
        <v>37</v>
      </c>
    </row>
    <row r="103">
      <c r="B103" s="32" t="s">
        <v>2038</v>
      </c>
      <c r="C103" s="35" t="s">
        <v>378</v>
      </c>
      <c r="D103" s="32" t="s">
        <v>1518</v>
      </c>
      <c r="E103" s="80" t="s">
        <v>33</v>
      </c>
    </row>
    <row r="104">
      <c r="B104" s="32" t="s">
        <v>2513</v>
      </c>
      <c r="C104" s="35" t="s">
        <v>19</v>
      </c>
      <c r="D104" s="32" t="s">
        <v>2512</v>
      </c>
      <c r="E104" s="80" t="s">
        <v>37</v>
      </c>
    </row>
    <row r="105">
      <c r="B105" s="32" t="s">
        <v>1907</v>
      </c>
      <c r="C105" s="35" t="s">
        <v>11</v>
      </c>
      <c r="D105" s="32" t="s">
        <v>1518</v>
      </c>
      <c r="E105" s="80" t="s">
        <v>33</v>
      </c>
    </row>
    <row r="106">
      <c r="B106" s="32" t="s">
        <v>2038</v>
      </c>
      <c r="C106" s="35" t="s">
        <v>25</v>
      </c>
      <c r="D106" s="32" t="s">
        <v>2512</v>
      </c>
      <c r="E106" s="80" t="s">
        <v>37</v>
      </c>
    </row>
    <row r="107">
      <c r="B107" s="32" t="s">
        <v>2513</v>
      </c>
      <c r="C107" s="35" t="s">
        <v>285</v>
      </c>
      <c r="D107" s="32" t="s">
        <v>1518</v>
      </c>
      <c r="E107" s="80" t="s">
        <v>33</v>
      </c>
    </row>
    <row r="108">
      <c r="B108" s="32" t="s">
        <v>2038</v>
      </c>
      <c r="C108" s="35" t="s">
        <v>193</v>
      </c>
      <c r="D108" s="32" t="s">
        <v>1907</v>
      </c>
      <c r="E108" s="80" t="s">
        <v>37</v>
      </c>
    </row>
    <row r="109">
      <c r="B109" s="32" t="s">
        <v>2512</v>
      </c>
      <c r="C109" s="35" t="s">
        <v>52</v>
      </c>
      <c r="D109" s="32" t="s">
        <v>1518</v>
      </c>
      <c r="E109" s="80" t="s">
        <v>33</v>
      </c>
    </row>
    <row r="110">
      <c r="B110" s="32" t="s">
        <v>2513</v>
      </c>
      <c r="C110" s="35" t="s">
        <v>291</v>
      </c>
      <c r="D110" s="32" t="s">
        <v>1907</v>
      </c>
      <c r="E110" s="80" t="s">
        <v>37</v>
      </c>
    </row>
    <row r="111">
      <c r="B111" s="1" t="s">
        <v>2861</v>
      </c>
      <c r="C111" s="2"/>
      <c r="D111" s="3"/>
      <c r="E111" s="4"/>
    </row>
    <row r="112"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B113" s="32" t="s">
        <v>2862</v>
      </c>
      <c r="C113" s="33" t="s">
        <v>43</v>
      </c>
      <c r="D113" s="32" t="s">
        <v>1930</v>
      </c>
      <c r="E113" s="80" t="s">
        <v>33</v>
      </c>
    </row>
    <row r="114">
      <c r="B114" s="32" t="s">
        <v>2863</v>
      </c>
      <c r="C114" s="33" t="s">
        <v>195</v>
      </c>
      <c r="D114" s="32" t="s">
        <v>2864</v>
      </c>
      <c r="E114" s="80" t="s">
        <v>37</v>
      </c>
    </row>
    <row r="115">
      <c r="B115" s="32" t="s">
        <v>1932</v>
      </c>
      <c r="C115" s="33" t="s">
        <v>14</v>
      </c>
      <c r="D115" s="32" t="s">
        <v>2862</v>
      </c>
      <c r="E115" s="80" t="s">
        <v>33</v>
      </c>
    </row>
    <row r="116">
      <c r="B116" s="32" t="s">
        <v>2863</v>
      </c>
      <c r="C116" s="33" t="s">
        <v>658</v>
      </c>
      <c r="D116" s="32" t="s">
        <v>1930</v>
      </c>
      <c r="E116" s="80" t="s">
        <v>37</v>
      </c>
    </row>
    <row r="117">
      <c r="B117" s="32" t="s">
        <v>1932</v>
      </c>
      <c r="C117" s="33" t="s">
        <v>16</v>
      </c>
      <c r="D117" s="32" t="s">
        <v>2864</v>
      </c>
      <c r="E117" s="80" t="s">
        <v>33</v>
      </c>
    </row>
    <row r="118">
      <c r="B118" s="32" t="s">
        <v>2863</v>
      </c>
      <c r="C118" s="33" t="s">
        <v>48</v>
      </c>
      <c r="D118" s="32" t="s">
        <v>2862</v>
      </c>
      <c r="E118" s="80" t="s">
        <v>37</v>
      </c>
    </row>
    <row r="119">
      <c r="B119" s="32" t="s">
        <v>1932</v>
      </c>
      <c r="C119" s="33" t="s">
        <v>17</v>
      </c>
      <c r="D119" s="32" t="s">
        <v>1930</v>
      </c>
      <c r="E119" s="80" t="s">
        <v>33</v>
      </c>
    </row>
    <row r="120">
      <c r="B120" s="32" t="s">
        <v>2864</v>
      </c>
      <c r="C120" s="33" t="s">
        <v>87</v>
      </c>
      <c r="D120" s="32" t="s">
        <v>2862</v>
      </c>
      <c r="E120" s="80" t="s">
        <v>37</v>
      </c>
    </row>
    <row r="121">
      <c r="B121" s="32" t="s">
        <v>1932</v>
      </c>
      <c r="C121" s="33" t="s">
        <v>42</v>
      </c>
      <c r="D121" s="32" t="s">
        <v>2863</v>
      </c>
      <c r="E121" s="80" t="s">
        <v>33</v>
      </c>
      <c r="H121" s="36"/>
    </row>
    <row r="122">
      <c r="B122" s="32" t="s">
        <v>2864</v>
      </c>
      <c r="C122" s="33" t="s">
        <v>71</v>
      </c>
      <c r="D122" s="32" t="s">
        <v>1930</v>
      </c>
      <c r="E122" s="80" t="s">
        <v>37</v>
      </c>
    </row>
    <row r="123">
      <c r="B123" s="32" t="s">
        <v>1930</v>
      </c>
      <c r="C123" s="33" t="s">
        <v>282</v>
      </c>
      <c r="D123" s="32" t="s">
        <v>2862</v>
      </c>
      <c r="E123" s="80" t="s">
        <v>33</v>
      </c>
    </row>
    <row r="124">
      <c r="B124" s="32" t="s">
        <v>2864</v>
      </c>
      <c r="C124" s="33" t="s">
        <v>40</v>
      </c>
      <c r="D124" s="32" t="s">
        <v>2863</v>
      </c>
      <c r="E124" s="80" t="s">
        <v>37</v>
      </c>
      <c r="H124" s="36"/>
    </row>
    <row r="125">
      <c r="B125" s="32" t="s">
        <v>2862</v>
      </c>
      <c r="C125" s="35" t="s">
        <v>190</v>
      </c>
      <c r="D125" s="32" t="s">
        <v>1932</v>
      </c>
      <c r="E125" s="80" t="s">
        <v>33</v>
      </c>
    </row>
    <row r="126">
      <c r="B126" s="32" t="s">
        <v>1930</v>
      </c>
      <c r="C126" s="35" t="s">
        <v>20</v>
      </c>
      <c r="D126" s="32" t="s">
        <v>2863</v>
      </c>
      <c r="E126" s="80" t="s">
        <v>37</v>
      </c>
      <c r="H126" s="36" t="s">
        <v>242</v>
      </c>
    </row>
    <row r="127">
      <c r="B127" s="32" t="s">
        <v>2864</v>
      </c>
      <c r="C127" s="35" t="s">
        <v>66</v>
      </c>
      <c r="D127" s="32" t="s">
        <v>1932</v>
      </c>
      <c r="E127" s="80" t="s">
        <v>33</v>
      </c>
    </row>
    <row r="128">
      <c r="B128" s="32" t="s">
        <v>2862</v>
      </c>
      <c r="C128" s="35" t="s">
        <v>365</v>
      </c>
      <c r="D128" s="32" t="s">
        <v>2863</v>
      </c>
      <c r="E128" s="80" t="s">
        <v>37</v>
      </c>
    </row>
    <row r="129">
      <c r="B129" s="32" t="s">
        <v>1930</v>
      </c>
      <c r="C129" s="35" t="s">
        <v>66</v>
      </c>
      <c r="D129" s="32" t="s">
        <v>1932</v>
      </c>
      <c r="E129" s="80" t="s">
        <v>33</v>
      </c>
    </row>
    <row r="130">
      <c r="B130" s="32" t="s">
        <v>2862</v>
      </c>
      <c r="C130" s="35" t="s">
        <v>42</v>
      </c>
      <c r="D130" s="32" t="s">
        <v>2864</v>
      </c>
      <c r="E130" s="80" t="s">
        <v>37</v>
      </c>
    </row>
    <row r="131">
      <c r="B131" s="32" t="s">
        <v>2863</v>
      </c>
      <c r="C131" s="35" t="s">
        <v>836</v>
      </c>
      <c r="D131" s="32" t="s">
        <v>1932</v>
      </c>
      <c r="E131" s="80" t="s">
        <v>33</v>
      </c>
    </row>
    <row r="132">
      <c r="B132" s="32" t="s">
        <v>1930</v>
      </c>
      <c r="C132" s="35" t="s">
        <v>62</v>
      </c>
      <c r="D132" s="32" t="s">
        <v>2864</v>
      </c>
      <c r="E132" s="80" t="s">
        <v>37</v>
      </c>
    </row>
    <row r="133">
      <c r="B133" s="1" t="s">
        <v>2382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32" t="s">
        <v>2865</v>
      </c>
      <c r="C135" s="35" t="s">
        <v>87</v>
      </c>
      <c r="D135" s="32" t="s">
        <v>2866</v>
      </c>
      <c r="E135" s="11" t="s">
        <v>9</v>
      </c>
    </row>
    <row r="136">
      <c r="B136" s="32" t="s">
        <v>2867</v>
      </c>
      <c r="C136" s="35" t="s">
        <v>88</v>
      </c>
      <c r="D136" s="32" t="s">
        <v>2868</v>
      </c>
      <c r="E136" s="11" t="s">
        <v>13</v>
      </c>
    </row>
    <row r="137">
      <c r="B137" s="32" t="s">
        <v>188</v>
      </c>
      <c r="C137" s="35" t="s">
        <v>22</v>
      </c>
      <c r="D137" s="32" t="s">
        <v>2865</v>
      </c>
      <c r="E137" s="11" t="s">
        <v>9</v>
      </c>
    </row>
    <row r="138">
      <c r="B138" s="32" t="s">
        <v>2867</v>
      </c>
      <c r="C138" s="35" t="s">
        <v>22</v>
      </c>
      <c r="D138" s="32" t="s">
        <v>2866</v>
      </c>
      <c r="E138" s="11" t="s">
        <v>13</v>
      </c>
    </row>
    <row r="139">
      <c r="B139" s="32" t="s">
        <v>188</v>
      </c>
      <c r="C139" s="35" t="s">
        <v>378</v>
      </c>
      <c r="D139" s="32" t="s">
        <v>2868</v>
      </c>
      <c r="E139" s="11" t="s">
        <v>9</v>
      </c>
    </row>
    <row r="140">
      <c r="B140" s="32" t="s">
        <v>2867</v>
      </c>
      <c r="C140" s="35" t="s">
        <v>217</v>
      </c>
      <c r="D140" s="32" t="s">
        <v>2865</v>
      </c>
      <c r="E140" s="11" t="s">
        <v>13</v>
      </c>
    </row>
    <row r="141">
      <c r="B141" s="32" t="s">
        <v>188</v>
      </c>
      <c r="C141" s="35" t="s">
        <v>362</v>
      </c>
      <c r="D141" s="32" t="s">
        <v>2866</v>
      </c>
      <c r="E141" s="11" t="s">
        <v>9</v>
      </c>
    </row>
    <row r="142">
      <c r="B142" s="32" t="s">
        <v>2868</v>
      </c>
      <c r="C142" s="35" t="s">
        <v>7</v>
      </c>
      <c r="D142" s="32" t="s">
        <v>2865</v>
      </c>
      <c r="E142" s="11" t="s">
        <v>13</v>
      </c>
    </row>
    <row r="143">
      <c r="B143" s="32" t="s">
        <v>188</v>
      </c>
      <c r="C143" s="35" t="s">
        <v>261</v>
      </c>
      <c r="D143" s="32" t="s">
        <v>2867</v>
      </c>
      <c r="E143" s="11" t="s">
        <v>9</v>
      </c>
    </row>
    <row r="144">
      <c r="B144" s="32" t="s">
        <v>2868</v>
      </c>
      <c r="C144" s="35" t="s">
        <v>842</v>
      </c>
      <c r="D144" s="32" t="s">
        <v>2866</v>
      </c>
      <c r="E144" s="11" t="s">
        <v>13</v>
      </c>
    </row>
    <row r="145">
      <c r="B145" s="32" t="s">
        <v>2866</v>
      </c>
      <c r="C145" s="35" t="s">
        <v>886</v>
      </c>
      <c r="D145" s="32" t="s">
        <v>2865</v>
      </c>
      <c r="E145" s="11" t="s">
        <v>9</v>
      </c>
    </row>
    <row r="146">
      <c r="B146" s="32" t="s">
        <v>2868</v>
      </c>
      <c r="C146" s="35" t="s">
        <v>63</v>
      </c>
      <c r="D146" s="32" t="s">
        <v>2867</v>
      </c>
      <c r="E146" s="11" t="s">
        <v>13</v>
      </c>
    </row>
    <row r="147">
      <c r="B147" s="32" t="s">
        <v>2865</v>
      </c>
      <c r="C147" s="35" t="s">
        <v>260</v>
      </c>
      <c r="D147" s="32" t="s">
        <v>188</v>
      </c>
      <c r="E147" s="11" t="s">
        <v>9</v>
      </c>
    </row>
    <row r="148">
      <c r="B148" s="32" t="s">
        <v>2866</v>
      </c>
      <c r="C148" s="35" t="s">
        <v>83</v>
      </c>
      <c r="D148" s="32" t="s">
        <v>2867</v>
      </c>
      <c r="E148" s="11" t="s">
        <v>13</v>
      </c>
    </row>
    <row r="149">
      <c r="B149" s="32" t="s">
        <v>2868</v>
      </c>
      <c r="C149" s="35" t="s">
        <v>201</v>
      </c>
      <c r="D149" s="32" t="s">
        <v>188</v>
      </c>
      <c r="E149" s="11" t="s">
        <v>9</v>
      </c>
    </row>
    <row r="150">
      <c r="B150" s="32" t="s">
        <v>2865</v>
      </c>
      <c r="C150" s="35" t="s">
        <v>62</v>
      </c>
      <c r="D150" s="32" t="s">
        <v>2867</v>
      </c>
      <c r="E150" s="11" t="s">
        <v>13</v>
      </c>
    </row>
    <row r="151">
      <c r="B151" s="32" t="s">
        <v>2866</v>
      </c>
      <c r="C151" s="35" t="s">
        <v>67</v>
      </c>
      <c r="D151" s="32" t="s">
        <v>188</v>
      </c>
      <c r="E151" s="11" t="s">
        <v>9</v>
      </c>
    </row>
    <row r="152">
      <c r="B152" s="32" t="s">
        <v>2865</v>
      </c>
      <c r="C152" s="35" t="s">
        <v>17</v>
      </c>
      <c r="D152" s="32" t="s">
        <v>2868</v>
      </c>
      <c r="E152" s="11" t="s">
        <v>13</v>
      </c>
    </row>
    <row r="153">
      <c r="B153" s="32" t="s">
        <v>2867</v>
      </c>
      <c r="C153" s="35" t="s">
        <v>842</v>
      </c>
      <c r="D153" s="32" t="s">
        <v>188</v>
      </c>
      <c r="E153" s="11" t="s">
        <v>9</v>
      </c>
    </row>
    <row r="154">
      <c r="B154" s="32" t="s">
        <v>2866</v>
      </c>
      <c r="C154" s="35" t="s">
        <v>354</v>
      </c>
      <c r="D154" s="32" t="s">
        <v>2868</v>
      </c>
      <c r="E154" s="11" t="s">
        <v>13</v>
      </c>
    </row>
    <row r="155">
      <c r="B155" s="1" t="s">
        <v>2560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B157" s="32" t="s">
        <v>2869</v>
      </c>
      <c r="C157" s="35" t="s">
        <v>218</v>
      </c>
      <c r="D157" s="32" t="s">
        <v>2168</v>
      </c>
      <c r="E157" s="11" t="s">
        <v>9</v>
      </c>
    </row>
    <row r="158">
      <c r="B158" s="32" t="s">
        <v>2870</v>
      </c>
      <c r="C158" s="35" t="s">
        <v>71</v>
      </c>
      <c r="D158" s="32" t="s">
        <v>2832</v>
      </c>
      <c r="E158" s="11" t="s">
        <v>13</v>
      </c>
    </row>
    <row r="159">
      <c r="B159" s="32" t="s">
        <v>1431</v>
      </c>
      <c r="C159" s="35" t="s">
        <v>260</v>
      </c>
      <c r="D159" s="32" t="s">
        <v>2869</v>
      </c>
      <c r="E159" s="11" t="s">
        <v>9</v>
      </c>
    </row>
    <row r="160">
      <c r="B160" s="32" t="s">
        <v>2870</v>
      </c>
      <c r="C160" s="35" t="s">
        <v>282</v>
      </c>
      <c r="D160" s="32" t="s">
        <v>2168</v>
      </c>
      <c r="E160" s="11" t="s">
        <v>13</v>
      </c>
    </row>
    <row r="161">
      <c r="B161" s="32" t="s">
        <v>1431</v>
      </c>
      <c r="C161" s="35" t="s">
        <v>48</v>
      </c>
      <c r="D161" s="32" t="s">
        <v>2832</v>
      </c>
      <c r="E161" s="11" t="s">
        <v>9</v>
      </c>
    </row>
    <row r="162">
      <c r="B162" s="32" t="s">
        <v>2870</v>
      </c>
      <c r="C162" s="35" t="s">
        <v>11</v>
      </c>
      <c r="D162" s="32" t="s">
        <v>2869</v>
      </c>
      <c r="E162" s="11" t="s">
        <v>13</v>
      </c>
    </row>
    <row r="163">
      <c r="B163" s="32" t="s">
        <v>1431</v>
      </c>
      <c r="C163" s="35" t="s">
        <v>71</v>
      </c>
      <c r="D163" s="32" t="s">
        <v>2168</v>
      </c>
      <c r="E163" s="11" t="s">
        <v>9</v>
      </c>
    </row>
    <row r="164">
      <c r="B164" s="32" t="s">
        <v>2832</v>
      </c>
      <c r="C164" s="35" t="s">
        <v>370</v>
      </c>
      <c r="D164" s="32" t="s">
        <v>2869</v>
      </c>
      <c r="E164" s="11" t="s">
        <v>13</v>
      </c>
    </row>
    <row r="165">
      <c r="B165" s="32" t="s">
        <v>1431</v>
      </c>
      <c r="C165" s="35" t="s">
        <v>43</v>
      </c>
      <c r="D165" s="32" t="s">
        <v>2870</v>
      </c>
      <c r="E165" s="11" t="s">
        <v>9</v>
      </c>
    </row>
    <row r="166">
      <c r="B166" s="32" t="s">
        <v>2832</v>
      </c>
      <c r="C166" s="35" t="s">
        <v>194</v>
      </c>
      <c r="D166" s="32" t="s">
        <v>2168</v>
      </c>
      <c r="E166" s="11" t="s">
        <v>13</v>
      </c>
    </row>
    <row r="167">
      <c r="B167" s="32" t="s">
        <v>2168</v>
      </c>
      <c r="C167" s="35" t="s">
        <v>239</v>
      </c>
      <c r="D167" s="32" t="s">
        <v>2869</v>
      </c>
      <c r="E167" s="11" t="s">
        <v>9</v>
      </c>
    </row>
    <row r="168">
      <c r="B168" s="32" t="s">
        <v>2832</v>
      </c>
      <c r="C168" s="35" t="s">
        <v>20</v>
      </c>
      <c r="D168" s="32" t="s">
        <v>2870</v>
      </c>
      <c r="E168" s="11" t="s">
        <v>13</v>
      </c>
    </row>
    <row r="169">
      <c r="B169" s="32" t="s">
        <v>2869</v>
      </c>
      <c r="C169" s="35" t="s">
        <v>190</v>
      </c>
      <c r="D169" s="32" t="s">
        <v>1431</v>
      </c>
      <c r="E169" s="11" t="s">
        <v>9</v>
      </c>
    </row>
    <row r="170">
      <c r="B170" s="32" t="s">
        <v>2168</v>
      </c>
      <c r="C170" s="35" t="s">
        <v>16</v>
      </c>
      <c r="D170" s="32" t="s">
        <v>2870</v>
      </c>
      <c r="E170" s="11" t="s">
        <v>13</v>
      </c>
    </row>
    <row r="171">
      <c r="B171" s="32" t="s">
        <v>2832</v>
      </c>
      <c r="C171" s="35" t="s">
        <v>7</v>
      </c>
      <c r="D171" s="32" t="s">
        <v>1431</v>
      </c>
      <c r="E171" s="11" t="s">
        <v>9</v>
      </c>
    </row>
    <row r="172">
      <c r="B172" s="32" t="s">
        <v>2869</v>
      </c>
      <c r="C172" s="35" t="s">
        <v>17</v>
      </c>
      <c r="D172" s="32" t="s">
        <v>2870</v>
      </c>
      <c r="E172" s="11" t="s">
        <v>13</v>
      </c>
    </row>
    <row r="173">
      <c r="B173" s="32" t="s">
        <v>2168</v>
      </c>
      <c r="C173" s="35" t="s">
        <v>283</v>
      </c>
      <c r="D173" s="32" t="s">
        <v>1431</v>
      </c>
      <c r="E173" s="11" t="s">
        <v>9</v>
      </c>
    </row>
    <row r="174">
      <c r="B174" s="32" t="s">
        <v>2869</v>
      </c>
      <c r="C174" s="35" t="s">
        <v>44</v>
      </c>
      <c r="D174" s="32" t="s">
        <v>2832</v>
      </c>
      <c r="E174" s="11" t="s">
        <v>13</v>
      </c>
    </row>
    <row r="175">
      <c r="B175" s="32" t="s">
        <v>2870</v>
      </c>
      <c r="C175" s="35" t="s">
        <v>215</v>
      </c>
      <c r="D175" s="32" t="s">
        <v>1431</v>
      </c>
      <c r="E175" s="11" t="s">
        <v>9</v>
      </c>
    </row>
    <row r="176">
      <c r="B176" s="32" t="s">
        <v>2168</v>
      </c>
      <c r="C176" s="35" t="s">
        <v>23</v>
      </c>
      <c r="D176" s="32" t="s">
        <v>2832</v>
      </c>
      <c r="E176" s="11" t="s">
        <v>13</v>
      </c>
    </row>
    <row r="177">
      <c r="B177" s="1" t="s">
        <v>2567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B179" s="32" t="s">
        <v>2871</v>
      </c>
      <c r="C179" s="35" t="s">
        <v>285</v>
      </c>
      <c r="D179" s="32" t="s">
        <v>1227</v>
      </c>
      <c r="E179" s="80" t="s">
        <v>33</v>
      </c>
    </row>
    <row r="180">
      <c r="B180" s="32" t="s">
        <v>2872</v>
      </c>
      <c r="C180" s="35" t="s">
        <v>64</v>
      </c>
      <c r="D180" s="32" t="s">
        <v>2873</v>
      </c>
      <c r="E180" s="80" t="s">
        <v>37</v>
      </c>
    </row>
    <row r="181">
      <c r="B181" s="32" t="s">
        <v>1499</v>
      </c>
      <c r="C181" s="35" t="s">
        <v>212</v>
      </c>
      <c r="D181" s="32" t="s">
        <v>2871</v>
      </c>
      <c r="E181" s="80" t="s">
        <v>33</v>
      </c>
    </row>
    <row r="182">
      <c r="B182" s="32" t="s">
        <v>2872</v>
      </c>
      <c r="C182" s="35" t="s">
        <v>71</v>
      </c>
      <c r="D182" s="32" t="s">
        <v>1227</v>
      </c>
      <c r="E182" s="80" t="s">
        <v>37</v>
      </c>
    </row>
    <row r="183">
      <c r="B183" s="32" t="s">
        <v>1499</v>
      </c>
      <c r="C183" s="35" t="s">
        <v>578</v>
      </c>
      <c r="D183" s="32" t="s">
        <v>2873</v>
      </c>
      <c r="E183" s="80" t="s">
        <v>33</v>
      </c>
    </row>
    <row r="184">
      <c r="B184" s="32" t="s">
        <v>2872</v>
      </c>
      <c r="C184" s="35" t="s">
        <v>282</v>
      </c>
      <c r="D184" s="32" t="s">
        <v>2871</v>
      </c>
      <c r="E184" s="80" t="s">
        <v>37</v>
      </c>
    </row>
    <row r="185">
      <c r="B185" s="32" t="s">
        <v>1499</v>
      </c>
      <c r="C185" s="35" t="s">
        <v>390</v>
      </c>
      <c r="D185" s="32" t="s">
        <v>1227</v>
      </c>
      <c r="E185" s="80" t="s">
        <v>33</v>
      </c>
    </row>
    <row r="186">
      <c r="B186" s="32" t="s">
        <v>2873</v>
      </c>
      <c r="C186" s="35" t="s">
        <v>302</v>
      </c>
      <c r="D186" s="32" t="s">
        <v>2871</v>
      </c>
      <c r="E186" s="80" t="s">
        <v>37</v>
      </c>
    </row>
    <row r="187">
      <c r="B187" s="32" t="s">
        <v>1499</v>
      </c>
      <c r="C187" s="35" t="s">
        <v>7</v>
      </c>
      <c r="D187" s="32" t="s">
        <v>2872</v>
      </c>
      <c r="E187" s="80" t="s">
        <v>33</v>
      </c>
    </row>
    <row r="188">
      <c r="B188" s="32" t="s">
        <v>2873</v>
      </c>
      <c r="C188" s="35" t="s">
        <v>86</v>
      </c>
      <c r="D188" s="32" t="s">
        <v>1227</v>
      </c>
      <c r="E188" s="80" t="s">
        <v>37</v>
      </c>
    </row>
    <row r="189">
      <c r="B189" s="32" t="s">
        <v>1227</v>
      </c>
      <c r="C189" s="35" t="s">
        <v>261</v>
      </c>
      <c r="D189" s="32" t="s">
        <v>2871</v>
      </c>
      <c r="E189" s="80" t="s">
        <v>33</v>
      </c>
    </row>
    <row r="190">
      <c r="B190" s="32" t="s">
        <v>2873</v>
      </c>
      <c r="C190" s="35" t="s">
        <v>218</v>
      </c>
      <c r="D190" s="32" t="s">
        <v>2872</v>
      </c>
      <c r="E190" s="80" t="s">
        <v>37</v>
      </c>
    </row>
    <row r="191">
      <c r="B191" s="32" t="s">
        <v>2871</v>
      </c>
      <c r="C191" s="35" t="s">
        <v>579</v>
      </c>
      <c r="D191" s="32" t="s">
        <v>1499</v>
      </c>
      <c r="E191" s="80" t="s">
        <v>33</v>
      </c>
    </row>
    <row r="192">
      <c r="B192" s="32" t="s">
        <v>1227</v>
      </c>
      <c r="C192" s="35" t="s">
        <v>1045</v>
      </c>
      <c r="D192" s="32" t="s">
        <v>2872</v>
      </c>
      <c r="E192" s="80" t="s">
        <v>37</v>
      </c>
    </row>
    <row r="193">
      <c r="B193" s="32" t="s">
        <v>2873</v>
      </c>
      <c r="C193" s="35" t="s">
        <v>2874</v>
      </c>
      <c r="D193" s="32" t="s">
        <v>1499</v>
      </c>
      <c r="E193" s="80" t="s">
        <v>33</v>
      </c>
    </row>
    <row r="194">
      <c r="B194" s="32" t="s">
        <v>2871</v>
      </c>
      <c r="C194" s="35" t="s">
        <v>267</v>
      </c>
      <c r="D194" s="32" t="s">
        <v>2872</v>
      </c>
      <c r="E194" s="80" t="s">
        <v>37</v>
      </c>
    </row>
    <row r="195">
      <c r="B195" s="32" t="s">
        <v>1227</v>
      </c>
      <c r="C195" s="35" t="s">
        <v>25</v>
      </c>
      <c r="D195" s="32" t="s">
        <v>1499</v>
      </c>
      <c r="E195" s="80" t="s">
        <v>33</v>
      </c>
    </row>
    <row r="196">
      <c r="B196" s="32" t="s">
        <v>2871</v>
      </c>
      <c r="C196" s="35" t="s">
        <v>218</v>
      </c>
      <c r="D196" s="32" t="s">
        <v>2873</v>
      </c>
      <c r="E196" s="80" t="s">
        <v>37</v>
      </c>
    </row>
    <row r="197">
      <c r="B197" s="32" t="s">
        <v>2872</v>
      </c>
      <c r="C197" s="35" t="s">
        <v>1602</v>
      </c>
      <c r="D197" s="32" t="s">
        <v>1499</v>
      </c>
      <c r="E197" s="80" t="s">
        <v>33</v>
      </c>
    </row>
    <row r="198">
      <c r="B198" s="32" t="s">
        <v>1227</v>
      </c>
      <c r="C198" s="35" t="s">
        <v>87</v>
      </c>
      <c r="D198" s="32" t="s">
        <v>2873</v>
      </c>
      <c r="E198" s="80" t="s">
        <v>37</v>
      </c>
    </row>
    <row r="199">
      <c r="B199" s="1" t="s">
        <v>2617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B201" s="32" t="s">
        <v>1999</v>
      </c>
      <c r="C201" s="35" t="s">
        <v>951</v>
      </c>
      <c r="D201" s="32" t="s">
        <v>2146</v>
      </c>
      <c r="E201" s="80" t="s">
        <v>33</v>
      </c>
    </row>
    <row r="202">
      <c r="B202" s="32" t="s">
        <v>1008</v>
      </c>
      <c r="C202" s="35" t="s">
        <v>67</v>
      </c>
      <c r="D202" s="32" t="s">
        <v>1799</v>
      </c>
      <c r="E202" s="80" t="s">
        <v>37</v>
      </c>
    </row>
    <row r="203">
      <c r="B203" s="32" t="s">
        <v>1096</v>
      </c>
      <c r="C203" s="35" t="s">
        <v>43</v>
      </c>
      <c r="D203" s="32" t="s">
        <v>1999</v>
      </c>
      <c r="E203" s="80" t="s">
        <v>33</v>
      </c>
      <c r="H203" s="36"/>
    </row>
    <row r="204">
      <c r="B204" s="32" t="s">
        <v>1008</v>
      </c>
      <c r="C204" s="35" t="s">
        <v>22</v>
      </c>
      <c r="D204" s="32" t="s">
        <v>2146</v>
      </c>
      <c r="E204" s="80" t="s">
        <v>37</v>
      </c>
    </row>
    <row r="205">
      <c r="B205" s="32" t="s">
        <v>1096</v>
      </c>
      <c r="C205" s="35" t="s">
        <v>72</v>
      </c>
      <c r="D205" s="32" t="s">
        <v>1799</v>
      </c>
      <c r="E205" s="80" t="s">
        <v>33</v>
      </c>
    </row>
    <row r="206">
      <c r="B206" s="32" t="s">
        <v>1008</v>
      </c>
      <c r="C206" s="35" t="s">
        <v>947</v>
      </c>
      <c r="D206" s="32" t="s">
        <v>1999</v>
      </c>
      <c r="E206" s="80" t="s">
        <v>37</v>
      </c>
    </row>
    <row r="207">
      <c r="B207" s="32" t="s">
        <v>1096</v>
      </c>
      <c r="C207" s="35" t="s">
        <v>578</v>
      </c>
      <c r="D207" s="32" t="s">
        <v>2146</v>
      </c>
      <c r="E207" s="80" t="s">
        <v>33</v>
      </c>
    </row>
    <row r="208">
      <c r="B208" s="32" t="s">
        <v>1799</v>
      </c>
      <c r="C208" s="35" t="s">
        <v>43</v>
      </c>
      <c r="D208" s="32" t="s">
        <v>1999</v>
      </c>
      <c r="E208" s="80" t="s">
        <v>37</v>
      </c>
    </row>
    <row r="209">
      <c r="B209" s="32" t="s">
        <v>1096</v>
      </c>
      <c r="C209" s="35" t="s">
        <v>72</v>
      </c>
      <c r="D209" s="32" t="s">
        <v>1008</v>
      </c>
      <c r="E209" s="80" t="s">
        <v>33</v>
      </c>
    </row>
    <row r="210">
      <c r="B210" s="32" t="s">
        <v>1799</v>
      </c>
      <c r="C210" s="35" t="s">
        <v>190</v>
      </c>
      <c r="D210" s="32" t="s">
        <v>2146</v>
      </c>
      <c r="E210" s="80" t="s">
        <v>37</v>
      </c>
    </row>
    <row r="211">
      <c r="B211" s="32" t="s">
        <v>2146</v>
      </c>
      <c r="C211" s="35" t="s">
        <v>936</v>
      </c>
      <c r="D211" s="32" t="s">
        <v>1999</v>
      </c>
      <c r="E211" s="80" t="s">
        <v>33</v>
      </c>
    </row>
    <row r="212">
      <c r="B212" s="32" t="s">
        <v>1799</v>
      </c>
      <c r="C212" s="35" t="s">
        <v>31</v>
      </c>
      <c r="D212" s="32" t="s">
        <v>1008</v>
      </c>
      <c r="E212" s="80" t="s">
        <v>37</v>
      </c>
    </row>
    <row r="213">
      <c r="B213" s="32" t="s">
        <v>1999</v>
      </c>
      <c r="C213" s="35" t="s">
        <v>28</v>
      </c>
      <c r="D213" s="32" t="s">
        <v>1096</v>
      </c>
      <c r="E213" s="80" t="s">
        <v>33</v>
      </c>
    </row>
    <row r="214">
      <c r="B214" s="32" t="s">
        <v>2146</v>
      </c>
      <c r="C214" s="35" t="s">
        <v>405</v>
      </c>
      <c r="D214" s="32" t="s">
        <v>1008</v>
      </c>
      <c r="E214" s="80" t="s">
        <v>37</v>
      </c>
    </row>
    <row r="215">
      <c r="B215" s="32" t="s">
        <v>1799</v>
      </c>
      <c r="C215" s="35" t="s">
        <v>82</v>
      </c>
      <c r="D215" s="32" t="s">
        <v>1096</v>
      </c>
      <c r="E215" s="80" t="s">
        <v>33</v>
      </c>
    </row>
    <row r="216">
      <c r="B216" s="32" t="s">
        <v>1999</v>
      </c>
      <c r="C216" s="35" t="s">
        <v>196</v>
      </c>
      <c r="D216" s="32" t="s">
        <v>1008</v>
      </c>
      <c r="E216" s="80" t="s">
        <v>37</v>
      </c>
    </row>
    <row r="217">
      <c r="B217" s="32" t="s">
        <v>2146</v>
      </c>
      <c r="C217" s="35" t="s">
        <v>2461</v>
      </c>
      <c r="D217" s="32" t="s">
        <v>1096</v>
      </c>
      <c r="E217" s="80" t="s">
        <v>33</v>
      </c>
    </row>
    <row r="218">
      <c r="B218" s="32" t="s">
        <v>1999</v>
      </c>
      <c r="C218" s="35" t="s">
        <v>286</v>
      </c>
      <c r="D218" s="32" t="s">
        <v>1799</v>
      </c>
      <c r="E218" s="80" t="s">
        <v>37</v>
      </c>
    </row>
    <row r="219">
      <c r="B219" s="32" t="s">
        <v>1008</v>
      </c>
      <c r="C219" s="35" t="s">
        <v>351</v>
      </c>
      <c r="D219" s="32" t="s">
        <v>1096</v>
      </c>
      <c r="E219" s="80" t="s">
        <v>33</v>
      </c>
    </row>
    <row r="220">
      <c r="B220" s="32" t="s">
        <v>2146</v>
      </c>
      <c r="C220" s="35" t="s">
        <v>58</v>
      </c>
      <c r="D220" s="32" t="s">
        <v>1799</v>
      </c>
      <c r="E220" s="80" t="s">
        <v>37</v>
      </c>
    </row>
    <row r="221">
      <c r="B221" s="28" t="s">
        <v>1441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34" t="s">
        <v>1924</v>
      </c>
      <c r="C223" s="35" t="s">
        <v>239</v>
      </c>
      <c r="D223" s="34" t="s">
        <v>2363</v>
      </c>
      <c r="E223" s="11" t="s">
        <v>9</v>
      </c>
    </row>
    <row r="224">
      <c r="B224" s="34" t="s">
        <v>2875</v>
      </c>
      <c r="C224" s="35" t="s">
        <v>201</v>
      </c>
      <c r="D224" s="34" t="s">
        <v>2876</v>
      </c>
      <c r="E224" s="11" t="s">
        <v>13</v>
      </c>
    </row>
    <row r="225">
      <c r="B225" s="34" t="s">
        <v>1925</v>
      </c>
      <c r="C225" s="35" t="s">
        <v>886</v>
      </c>
      <c r="D225" s="34" t="s">
        <v>1924</v>
      </c>
      <c r="E225" s="11" t="s">
        <v>9</v>
      </c>
    </row>
    <row r="226">
      <c r="B226" s="34" t="s">
        <v>2875</v>
      </c>
      <c r="C226" s="35" t="s">
        <v>87</v>
      </c>
      <c r="D226" s="34" t="s">
        <v>2363</v>
      </c>
      <c r="E226" s="11" t="s">
        <v>13</v>
      </c>
    </row>
    <row r="227">
      <c r="B227" s="34" t="s">
        <v>1925</v>
      </c>
      <c r="C227" s="35" t="s">
        <v>78</v>
      </c>
      <c r="D227" s="34" t="s">
        <v>2876</v>
      </c>
      <c r="E227" s="11" t="s">
        <v>9</v>
      </c>
    </row>
    <row r="228">
      <c r="B228" s="34" t="s">
        <v>2875</v>
      </c>
      <c r="C228" s="35" t="s">
        <v>83</v>
      </c>
      <c r="D228" s="34" t="s">
        <v>1924</v>
      </c>
      <c r="E228" s="11" t="s">
        <v>13</v>
      </c>
    </row>
    <row r="229">
      <c r="B229" s="34" t="s">
        <v>1925</v>
      </c>
      <c r="C229" s="35" t="s">
        <v>88</v>
      </c>
      <c r="D229" s="34" t="s">
        <v>2363</v>
      </c>
      <c r="E229" s="11" t="s">
        <v>9</v>
      </c>
    </row>
    <row r="230">
      <c r="B230" s="34" t="s">
        <v>2876</v>
      </c>
      <c r="C230" s="35" t="s">
        <v>41</v>
      </c>
      <c r="D230" s="34" t="s">
        <v>1924</v>
      </c>
      <c r="E230" s="11" t="s">
        <v>13</v>
      </c>
    </row>
    <row r="231">
      <c r="B231" s="34" t="s">
        <v>1925</v>
      </c>
      <c r="C231" s="35" t="s">
        <v>207</v>
      </c>
      <c r="D231" s="34" t="s">
        <v>2875</v>
      </c>
      <c r="E231" s="11" t="s">
        <v>9</v>
      </c>
    </row>
    <row r="232">
      <c r="B232" s="34" t="s">
        <v>2876</v>
      </c>
      <c r="C232" s="35" t="s">
        <v>283</v>
      </c>
      <c r="D232" s="34" t="s">
        <v>2363</v>
      </c>
      <c r="E232" s="11" t="s">
        <v>13</v>
      </c>
    </row>
    <row r="233">
      <c r="B233" s="34" t="s">
        <v>2363</v>
      </c>
      <c r="C233" s="35" t="s">
        <v>11</v>
      </c>
      <c r="D233" s="34" t="s">
        <v>1924</v>
      </c>
      <c r="E233" s="11" t="s">
        <v>9</v>
      </c>
    </row>
    <row r="234">
      <c r="B234" s="34" t="s">
        <v>2876</v>
      </c>
      <c r="C234" s="35" t="s">
        <v>81</v>
      </c>
      <c r="D234" s="34" t="s">
        <v>2875</v>
      </c>
      <c r="E234" s="11" t="s">
        <v>13</v>
      </c>
    </row>
    <row r="235">
      <c r="B235" s="34" t="s">
        <v>1924</v>
      </c>
      <c r="C235" s="35" t="s">
        <v>14</v>
      </c>
      <c r="D235" s="34" t="s">
        <v>1925</v>
      </c>
      <c r="E235" s="11" t="s">
        <v>9</v>
      </c>
    </row>
    <row r="236">
      <c r="B236" s="34" t="s">
        <v>2363</v>
      </c>
      <c r="C236" s="35" t="s">
        <v>270</v>
      </c>
      <c r="D236" s="34" t="s">
        <v>2875</v>
      </c>
      <c r="E236" s="11" t="s">
        <v>13</v>
      </c>
    </row>
    <row r="237">
      <c r="B237" s="34" t="s">
        <v>2876</v>
      </c>
      <c r="C237" s="35" t="s">
        <v>81</v>
      </c>
      <c r="D237" s="34" t="s">
        <v>1925</v>
      </c>
      <c r="E237" s="11" t="s">
        <v>9</v>
      </c>
    </row>
    <row r="238">
      <c r="B238" s="34" t="s">
        <v>1924</v>
      </c>
      <c r="C238" s="35" t="s">
        <v>26</v>
      </c>
      <c r="D238" s="34" t="s">
        <v>2875</v>
      </c>
      <c r="E238" s="11" t="s">
        <v>13</v>
      </c>
    </row>
    <row r="239">
      <c r="B239" s="34" t="s">
        <v>2363</v>
      </c>
      <c r="C239" s="35" t="s">
        <v>16</v>
      </c>
      <c r="D239" s="34" t="s">
        <v>1925</v>
      </c>
      <c r="E239" s="11" t="s">
        <v>9</v>
      </c>
    </row>
    <row r="240">
      <c r="B240" s="34" t="s">
        <v>1924</v>
      </c>
      <c r="C240" s="35" t="s">
        <v>260</v>
      </c>
      <c r="D240" s="34" t="s">
        <v>2876</v>
      </c>
      <c r="E240" s="11" t="s">
        <v>13</v>
      </c>
    </row>
    <row r="241">
      <c r="B241" s="34" t="s">
        <v>2875</v>
      </c>
      <c r="C241" s="35" t="s">
        <v>482</v>
      </c>
      <c r="D241" s="34" t="s">
        <v>1925</v>
      </c>
      <c r="E241" s="11" t="s">
        <v>9</v>
      </c>
    </row>
    <row r="242">
      <c r="B242" s="34" t="s">
        <v>2363</v>
      </c>
      <c r="C242" s="35" t="s">
        <v>47</v>
      </c>
      <c r="D242" s="34" t="s">
        <v>2876</v>
      </c>
      <c r="E242" s="11" t="s">
        <v>13</v>
      </c>
    </row>
    <row r="243">
      <c r="B243" s="28" t="s">
        <v>2069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34" t="s">
        <v>891</v>
      </c>
      <c r="C245" s="35" t="s">
        <v>260</v>
      </c>
      <c r="D245" s="34" t="s">
        <v>2877</v>
      </c>
      <c r="E245" s="11" t="s">
        <v>9</v>
      </c>
    </row>
    <row r="246">
      <c r="B246" s="34" t="s">
        <v>2878</v>
      </c>
      <c r="C246" s="35" t="s">
        <v>25</v>
      </c>
      <c r="D246" s="34" t="s">
        <v>2879</v>
      </c>
      <c r="E246" s="11" t="s">
        <v>13</v>
      </c>
    </row>
    <row r="247">
      <c r="B247" s="34" t="s">
        <v>1623</v>
      </c>
      <c r="C247" s="35" t="s">
        <v>21</v>
      </c>
      <c r="D247" s="34" t="s">
        <v>891</v>
      </c>
      <c r="E247" s="11" t="s">
        <v>9</v>
      </c>
    </row>
    <row r="248">
      <c r="B248" s="34" t="s">
        <v>2878</v>
      </c>
      <c r="C248" s="35" t="s">
        <v>572</v>
      </c>
      <c r="D248" s="34" t="s">
        <v>2877</v>
      </c>
      <c r="E248" s="11" t="s">
        <v>13</v>
      </c>
    </row>
    <row r="249">
      <c r="B249" s="34" t="s">
        <v>1623</v>
      </c>
      <c r="C249" s="35" t="s">
        <v>16</v>
      </c>
      <c r="D249" s="34" t="s">
        <v>2879</v>
      </c>
      <c r="E249" s="11" t="s">
        <v>9</v>
      </c>
    </row>
    <row r="250">
      <c r="B250" s="34" t="s">
        <v>2878</v>
      </c>
      <c r="C250" s="35" t="s">
        <v>193</v>
      </c>
      <c r="D250" s="34" t="s">
        <v>891</v>
      </c>
      <c r="E250" s="11" t="s">
        <v>13</v>
      </c>
    </row>
    <row r="251">
      <c r="B251" s="34" t="s">
        <v>1623</v>
      </c>
      <c r="C251" s="35" t="s">
        <v>18</v>
      </c>
      <c r="D251" s="34" t="s">
        <v>2877</v>
      </c>
      <c r="E251" s="11" t="s">
        <v>9</v>
      </c>
    </row>
    <row r="252">
      <c r="B252" s="34" t="s">
        <v>2879</v>
      </c>
      <c r="C252" s="35" t="s">
        <v>251</v>
      </c>
      <c r="D252" s="34" t="s">
        <v>891</v>
      </c>
      <c r="E252" s="11" t="s">
        <v>13</v>
      </c>
    </row>
    <row r="253">
      <c r="B253" s="34" t="s">
        <v>1623</v>
      </c>
      <c r="C253" s="35" t="s">
        <v>72</v>
      </c>
      <c r="D253" s="34" t="s">
        <v>2878</v>
      </c>
      <c r="E253" s="11" t="s">
        <v>9</v>
      </c>
    </row>
    <row r="254">
      <c r="B254" s="34" t="s">
        <v>2879</v>
      </c>
      <c r="C254" s="35" t="s">
        <v>197</v>
      </c>
      <c r="D254" s="34" t="s">
        <v>2877</v>
      </c>
      <c r="E254" s="11" t="s">
        <v>13</v>
      </c>
    </row>
    <row r="255">
      <c r="B255" s="34" t="s">
        <v>2877</v>
      </c>
      <c r="C255" s="35" t="s">
        <v>190</v>
      </c>
      <c r="D255" s="34" t="s">
        <v>891</v>
      </c>
      <c r="E255" s="11" t="s">
        <v>9</v>
      </c>
    </row>
    <row r="256">
      <c r="B256" s="34" t="s">
        <v>2879</v>
      </c>
      <c r="C256" s="35" t="s">
        <v>48</v>
      </c>
      <c r="D256" s="34" t="s">
        <v>2878</v>
      </c>
      <c r="E256" s="11" t="s">
        <v>13</v>
      </c>
    </row>
    <row r="257">
      <c r="B257" s="34" t="s">
        <v>891</v>
      </c>
      <c r="C257" s="35" t="s">
        <v>81</v>
      </c>
      <c r="D257" s="34" t="s">
        <v>1623</v>
      </c>
      <c r="E257" s="11" t="s">
        <v>9</v>
      </c>
    </row>
    <row r="258">
      <c r="B258" s="34" t="s">
        <v>2877</v>
      </c>
      <c r="C258" s="35" t="s">
        <v>18</v>
      </c>
      <c r="D258" s="34" t="s">
        <v>2878</v>
      </c>
      <c r="E258" s="11" t="s">
        <v>13</v>
      </c>
    </row>
    <row r="259">
      <c r="B259" s="34" t="s">
        <v>2879</v>
      </c>
      <c r="C259" s="35" t="s">
        <v>400</v>
      </c>
      <c r="D259" s="34" t="s">
        <v>1623</v>
      </c>
      <c r="E259" s="11" t="s">
        <v>9</v>
      </c>
    </row>
    <row r="260">
      <c r="B260" s="34" t="s">
        <v>891</v>
      </c>
      <c r="C260" s="35" t="s">
        <v>196</v>
      </c>
      <c r="D260" s="34" t="s">
        <v>2878</v>
      </c>
      <c r="E260" s="11" t="s">
        <v>13</v>
      </c>
    </row>
    <row r="261">
      <c r="B261" s="34" t="s">
        <v>2877</v>
      </c>
      <c r="C261" s="35" t="s">
        <v>21</v>
      </c>
      <c r="D261" s="34" t="s">
        <v>1623</v>
      </c>
      <c r="E261" s="11" t="s">
        <v>9</v>
      </c>
    </row>
    <row r="262">
      <c r="B262" s="34" t="s">
        <v>891</v>
      </c>
      <c r="C262" s="35" t="s">
        <v>16</v>
      </c>
      <c r="D262" s="34" t="s">
        <v>2879</v>
      </c>
      <c r="E262" s="11" t="s">
        <v>13</v>
      </c>
    </row>
    <row r="263">
      <c r="B263" s="34" t="s">
        <v>2878</v>
      </c>
      <c r="C263" s="35" t="s">
        <v>239</v>
      </c>
      <c r="D263" s="34" t="s">
        <v>1623</v>
      </c>
      <c r="E263" s="11" t="s">
        <v>9</v>
      </c>
    </row>
    <row r="264">
      <c r="B264" s="34" t="s">
        <v>2877</v>
      </c>
      <c r="C264" s="35" t="s">
        <v>71</v>
      </c>
      <c r="D264" s="34" t="s">
        <v>2879</v>
      </c>
      <c r="E264" s="11" t="s">
        <v>13</v>
      </c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/>
      <c r="B1" s="72" t="s">
        <v>1321</v>
      </c>
      <c r="C1" s="2"/>
      <c r="D1" s="3"/>
      <c r="E1" s="29"/>
    </row>
    <row r="2">
      <c r="A2" s="66"/>
      <c r="B2" s="6" t="s">
        <v>2</v>
      </c>
      <c r="C2" s="6" t="s">
        <v>3</v>
      </c>
      <c r="D2" s="6" t="s">
        <v>4</v>
      </c>
      <c r="E2" s="6" t="s">
        <v>5</v>
      </c>
    </row>
    <row r="3">
      <c r="A3" s="66"/>
      <c r="B3" s="34" t="s">
        <v>1780</v>
      </c>
      <c r="C3" s="35" t="s">
        <v>82</v>
      </c>
      <c r="D3" s="34" t="s">
        <v>2880</v>
      </c>
      <c r="E3" s="11" t="s">
        <v>9</v>
      </c>
    </row>
    <row r="4">
      <c r="A4" s="66"/>
      <c r="B4" s="34" t="s">
        <v>1985</v>
      </c>
      <c r="C4" s="35" t="s">
        <v>72</v>
      </c>
      <c r="D4" s="32" t="s">
        <v>1128</v>
      </c>
      <c r="E4" s="11" t="s">
        <v>13</v>
      </c>
    </row>
    <row r="5">
      <c r="A5" s="66"/>
      <c r="B5" s="34" t="s">
        <v>2881</v>
      </c>
      <c r="C5" s="35" t="s">
        <v>249</v>
      </c>
      <c r="D5" s="34" t="s">
        <v>1780</v>
      </c>
      <c r="E5" s="11" t="s">
        <v>9</v>
      </c>
    </row>
    <row r="6">
      <c r="A6" s="66"/>
      <c r="B6" s="34" t="s">
        <v>1985</v>
      </c>
      <c r="C6" s="35" t="s">
        <v>1283</v>
      </c>
      <c r="D6" s="34" t="s">
        <v>2880</v>
      </c>
      <c r="E6" s="11" t="s">
        <v>13</v>
      </c>
    </row>
    <row r="7">
      <c r="A7" s="66"/>
      <c r="B7" s="34" t="s">
        <v>2881</v>
      </c>
      <c r="C7" s="35" t="s">
        <v>193</v>
      </c>
      <c r="D7" s="32" t="s">
        <v>1128</v>
      </c>
      <c r="E7" s="11" t="s">
        <v>9</v>
      </c>
    </row>
    <row r="8">
      <c r="A8" s="66"/>
      <c r="B8" s="34" t="s">
        <v>1985</v>
      </c>
      <c r="C8" s="35" t="s">
        <v>212</v>
      </c>
      <c r="D8" s="34" t="s">
        <v>1780</v>
      </c>
      <c r="E8" s="11" t="s">
        <v>13</v>
      </c>
    </row>
    <row r="9">
      <c r="A9" s="66"/>
      <c r="B9" s="34" t="s">
        <v>2881</v>
      </c>
      <c r="C9" s="35" t="s">
        <v>64</v>
      </c>
      <c r="D9" s="34" t="s">
        <v>2880</v>
      </c>
      <c r="E9" s="11" t="s">
        <v>9</v>
      </c>
    </row>
    <row r="10">
      <c r="A10" s="66"/>
      <c r="B10" s="32" t="s">
        <v>1128</v>
      </c>
      <c r="C10" s="35" t="s">
        <v>58</v>
      </c>
      <c r="D10" s="34" t="s">
        <v>1780</v>
      </c>
      <c r="E10" s="11" t="s">
        <v>13</v>
      </c>
    </row>
    <row r="11">
      <c r="A11" s="66"/>
      <c r="B11" s="34" t="s">
        <v>2881</v>
      </c>
      <c r="C11" s="35" t="s">
        <v>687</v>
      </c>
      <c r="D11" s="34" t="s">
        <v>1985</v>
      </c>
      <c r="E11" s="11" t="s">
        <v>9</v>
      </c>
    </row>
    <row r="12">
      <c r="A12" s="66"/>
      <c r="B12" s="32" t="s">
        <v>1128</v>
      </c>
      <c r="C12" s="35" t="s">
        <v>195</v>
      </c>
      <c r="D12" s="34" t="s">
        <v>2880</v>
      </c>
      <c r="E12" s="11" t="s">
        <v>13</v>
      </c>
    </row>
    <row r="13">
      <c r="A13" s="66"/>
      <c r="B13" s="34" t="s">
        <v>2880</v>
      </c>
      <c r="C13" s="35" t="s">
        <v>16</v>
      </c>
      <c r="D13" s="34" t="s">
        <v>1780</v>
      </c>
      <c r="E13" s="11" t="s">
        <v>9</v>
      </c>
    </row>
    <row r="14">
      <c r="A14" s="66"/>
      <c r="B14" s="32" t="s">
        <v>1128</v>
      </c>
      <c r="C14" s="35" t="s">
        <v>195</v>
      </c>
      <c r="D14" s="34" t="s">
        <v>1985</v>
      </c>
      <c r="E14" s="11" t="s">
        <v>13</v>
      </c>
    </row>
    <row r="15">
      <c r="A15" s="66"/>
      <c r="B15" s="34" t="s">
        <v>1780</v>
      </c>
      <c r="C15" s="35" t="s">
        <v>26</v>
      </c>
      <c r="D15" s="34" t="s">
        <v>2881</v>
      </c>
      <c r="E15" s="11" t="s">
        <v>9</v>
      </c>
    </row>
    <row r="16">
      <c r="A16" s="66"/>
      <c r="B16" s="34" t="s">
        <v>2880</v>
      </c>
      <c r="C16" s="35" t="s">
        <v>19</v>
      </c>
      <c r="D16" s="34" t="s">
        <v>1985</v>
      </c>
      <c r="E16" s="11" t="s">
        <v>13</v>
      </c>
    </row>
    <row r="17">
      <c r="A17" s="66"/>
      <c r="B17" s="32" t="s">
        <v>1128</v>
      </c>
      <c r="C17" s="35" t="s">
        <v>87</v>
      </c>
      <c r="D17" s="34" t="s">
        <v>2881</v>
      </c>
      <c r="E17" s="11" t="s">
        <v>9</v>
      </c>
    </row>
    <row r="18">
      <c r="A18" s="66"/>
      <c r="B18" s="34" t="s">
        <v>1780</v>
      </c>
      <c r="C18" s="35" t="s">
        <v>827</v>
      </c>
      <c r="D18" s="34" t="s">
        <v>1985</v>
      </c>
      <c r="E18" s="11" t="s">
        <v>13</v>
      </c>
    </row>
    <row r="19">
      <c r="A19" s="66"/>
      <c r="B19" s="34" t="s">
        <v>2880</v>
      </c>
      <c r="C19" s="35" t="s">
        <v>62</v>
      </c>
      <c r="D19" s="34" t="s">
        <v>2881</v>
      </c>
      <c r="E19" s="11" t="s">
        <v>9</v>
      </c>
    </row>
    <row r="20">
      <c r="A20" s="66"/>
      <c r="B20" s="34" t="s">
        <v>1780</v>
      </c>
      <c r="C20" s="35" t="s">
        <v>87</v>
      </c>
      <c r="D20" s="32" t="s">
        <v>1128</v>
      </c>
      <c r="E20" s="11" t="s">
        <v>13</v>
      </c>
    </row>
    <row r="21">
      <c r="A21" s="66"/>
      <c r="B21" s="34" t="s">
        <v>1985</v>
      </c>
      <c r="C21" s="35" t="s">
        <v>19</v>
      </c>
      <c r="D21" s="34" t="s">
        <v>2881</v>
      </c>
      <c r="E21" s="11" t="s">
        <v>9</v>
      </c>
    </row>
    <row r="22">
      <c r="A22" s="66"/>
      <c r="B22" s="34" t="s">
        <v>2880</v>
      </c>
      <c r="C22" s="35" t="s">
        <v>190</v>
      </c>
      <c r="D22" s="32" t="s">
        <v>1128</v>
      </c>
      <c r="E22" s="11" t="s">
        <v>13</v>
      </c>
    </row>
    <row r="23">
      <c r="A23" s="66"/>
      <c r="B23" s="72" t="s">
        <v>2586</v>
      </c>
      <c r="C23" s="2"/>
      <c r="D23" s="3"/>
      <c r="E23" s="29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2627</v>
      </c>
      <c r="C25" s="35" t="s">
        <v>1310</v>
      </c>
      <c r="D25" s="34" t="s">
        <v>2882</v>
      </c>
      <c r="E25" s="11" t="s">
        <v>9</v>
      </c>
    </row>
    <row r="26">
      <c r="A26" s="66"/>
      <c r="B26" s="34" t="s">
        <v>1623</v>
      </c>
      <c r="C26" s="35" t="s">
        <v>87</v>
      </c>
      <c r="D26" s="32" t="s">
        <v>2883</v>
      </c>
      <c r="E26" s="11" t="s">
        <v>13</v>
      </c>
    </row>
    <row r="27">
      <c r="A27" s="66"/>
      <c r="B27" s="34" t="s">
        <v>2884</v>
      </c>
      <c r="C27" s="35" t="s">
        <v>196</v>
      </c>
      <c r="D27" s="34" t="s">
        <v>2627</v>
      </c>
      <c r="E27" s="11" t="s">
        <v>9</v>
      </c>
    </row>
    <row r="28">
      <c r="A28" s="66"/>
      <c r="B28" s="34" t="s">
        <v>1623</v>
      </c>
      <c r="C28" s="35" t="s">
        <v>69</v>
      </c>
      <c r="D28" s="34" t="s">
        <v>2882</v>
      </c>
      <c r="E28" s="11" t="s">
        <v>13</v>
      </c>
    </row>
    <row r="29">
      <c r="A29" s="66"/>
      <c r="B29" s="34" t="s">
        <v>2884</v>
      </c>
      <c r="C29" s="35" t="s">
        <v>81</v>
      </c>
      <c r="D29" s="32" t="s">
        <v>2883</v>
      </c>
      <c r="E29" s="11" t="s">
        <v>9</v>
      </c>
    </row>
    <row r="30">
      <c r="A30" s="66"/>
      <c r="B30" s="34" t="s">
        <v>1623</v>
      </c>
      <c r="C30" s="35" t="s">
        <v>78</v>
      </c>
      <c r="D30" s="34" t="s">
        <v>2627</v>
      </c>
      <c r="E30" s="11" t="s">
        <v>13</v>
      </c>
    </row>
    <row r="31">
      <c r="A31" s="66"/>
      <c r="B31" s="34" t="s">
        <v>2884</v>
      </c>
      <c r="C31" s="35" t="s">
        <v>719</v>
      </c>
      <c r="D31" s="34" t="s">
        <v>2882</v>
      </c>
      <c r="E31" s="11" t="s">
        <v>9</v>
      </c>
    </row>
    <row r="32">
      <c r="A32" s="66"/>
      <c r="B32" s="32" t="s">
        <v>2883</v>
      </c>
      <c r="C32" s="35" t="s">
        <v>260</v>
      </c>
      <c r="D32" s="34" t="s">
        <v>2627</v>
      </c>
      <c r="E32" s="11" t="s">
        <v>13</v>
      </c>
    </row>
    <row r="33">
      <c r="A33" s="66"/>
      <c r="B33" s="34" t="s">
        <v>2884</v>
      </c>
      <c r="C33" s="35" t="s">
        <v>68</v>
      </c>
      <c r="D33" s="34" t="s">
        <v>1623</v>
      </c>
      <c r="E33" s="11" t="s">
        <v>9</v>
      </c>
    </row>
    <row r="34">
      <c r="A34" s="66"/>
      <c r="B34" s="32" t="s">
        <v>2883</v>
      </c>
      <c r="C34" s="35" t="s">
        <v>259</v>
      </c>
      <c r="D34" s="34" t="s">
        <v>2882</v>
      </c>
      <c r="E34" s="11" t="s">
        <v>13</v>
      </c>
    </row>
    <row r="35">
      <c r="A35" s="66"/>
      <c r="B35" s="34" t="s">
        <v>2882</v>
      </c>
      <c r="C35" s="35" t="s">
        <v>64</v>
      </c>
      <c r="D35" s="34" t="s">
        <v>2627</v>
      </c>
      <c r="E35" s="11" t="s">
        <v>9</v>
      </c>
    </row>
    <row r="36">
      <c r="A36" s="66"/>
      <c r="B36" s="32" t="s">
        <v>2883</v>
      </c>
      <c r="C36" s="35" t="s">
        <v>270</v>
      </c>
      <c r="D36" s="34" t="s">
        <v>1623</v>
      </c>
      <c r="E36" s="11" t="s">
        <v>13</v>
      </c>
    </row>
    <row r="37">
      <c r="A37" s="66"/>
      <c r="B37" s="34" t="s">
        <v>2627</v>
      </c>
      <c r="C37" s="35" t="s">
        <v>41</v>
      </c>
      <c r="D37" s="34" t="s">
        <v>2884</v>
      </c>
      <c r="E37" s="11" t="s">
        <v>9</v>
      </c>
    </row>
    <row r="38">
      <c r="A38" s="66"/>
      <c r="B38" s="34" t="s">
        <v>2882</v>
      </c>
      <c r="C38" s="35" t="s">
        <v>62</v>
      </c>
      <c r="D38" s="34" t="s">
        <v>1623</v>
      </c>
      <c r="E38" s="11" t="s">
        <v>13</v>
      </c>
    </row>
    <row r="39">
      <c r="A39" s="66"/>
      <c r="B39" s="32" t="s">
        <v>2883</v>
      </c>
      <c r="C39" s="35" t="s">
        <v>43</v>
      </c>
      <c r="D39" s="34" t="s">
        <v>2884</v>
      </c>
      <c r="E39" s="11" t="s">
        <v>9</v>
      </c>
    </row>
    <row r="40">
      <c r="A40" s="66"/>
      <c r="B40" s="34" t="s">
        <v>2627</v>
      </c>
      <c r="C40" s="35" t="s">
        <v>41</v>
      </c>
      <c r="D40" s="34" t="s">
        <v>1623</v>
      </c>
      <c r="E40" s="11" t="s">
        <v>13</v>
      </c>
    </row>
    <row r="41">
      <c r="A41" s="66"/>
      <c r="B41" s="34" t="s">
        <v>2882</v>
      </c>
      <c r="C41" s="35" t="s">
        <v>24</v>
      </c>
      <c r="D41" s="34" t="s">
        <v>2884</v>
      </c>
      <c r="E41" s="11" t="s">
        <v>9</v>
      </c>
    </row>
    <row r="42">
      <c r="A42" s="66"/>
      <c r="B42" s="34" t="s">
        <v>2627</v>
      </c>
      <c r="C42" s="35" t="s">
        <v>68</v>
      </c>
      <c r="D42" s="32" t="s">
        <v>2883</v>
      </c>
      <c r="E42" s="11" t="s">
        <v>13</v>
      </c>
    </row>
    <row r="43">
      <c r="A43" s="66"/>
      <c r="B43" s="34" t="s">
        <v>1623</v>
      </c>
      <c r="C43" s="35" t="s">
        <v>239</v>
      </c>
      <c r="D43" s="34" t="s">
        <v>2884</v>
      </c>
      <c r="E43" s="11" t="s">
        <v>9</v>
      </c>
    </row>
    <row r="44">
      <c r="A44" s="67"/>
      <c r="B44" s="34" t="s">
        <v>2882</v>
      </c>
      <c r="C44" s="35" t="s">
        <v>291</v>
      </c>
      <c r="D44" s="32" t="s">
        <v>2883</v>
      </c>
      <c r="E44" s="11" t="s">
        <v>13</v>
      </c>
    </row>
    <row r="45">
      <c r="B45" s="1" t="s">
        <v>2537</v>
      </c>
      <c r="C45" s="2"/>
      <c r="D45" s="3"/>
      <c r="E45" s="14"/>
    </row>
    <row r="46">
      <c r="B46" s="16" t="s">
        <v>2</v>
      </c>
      <c r="C46" s="16" t="s">
        <v>3</v>
      </c>
      <c r="D46" s="16" t="s">
        <v>4</v>
      </c>
      <c r="E46" s="16" t="s">
        <v>5</v>
      </c>
    </row>
    <row r="47">
      <c r="B47" s="32" t="s">
        <v>2036</v>
      </c>
      <c r="C47" s="35" t="s">
        <v>55</v>
      </c>
      <c r="D47" s="32" t="s">
        <v>2161</v>
      </c>
      <c r="E47" s="11" t="s">
        <v>9</v>
      </c>
    </row>
    <row r="48">
      <c r="B48" s="32" t="s">
        <v>2885</v>
      </c>
      <c r="C48" s="35" t="s">
        <v>218</v>
      </c>
      <c r="D48" s="32" t="s">
        <v>2635</v>
      </c>
      <c r="E48" s="11" t="s">
        <v>13</v>
      </c>
    </row>
    <row r="49">
      <c r="B49" s="32" t="s">
        <v>2033</v>
      </c>
      <c r="C49" s="35" t="s">
        <v>66</v>
      </c>
      <c r="D49" s="32" t="s">
        <v>2036</v>
      </c>
      <c r="E49" s="11" t="s">
        <v>9</v>
      </c>
    </row>
    <row r="50">
      <c r="B50" s="32" t="s">
        <v>2885</v>
      </c>
      <c r="C50" s="35" t="s">
        <v>20</v>
      </c>
      <c r="D50" s="32" t="s">
        <v>2161</v>
      </c>
      <c r="E50" s="11" t="s">
        <v>13</v>
      </c>
    </row>
    <row r="51">
      <c r="B51" s="32" t="s">
        <v>2033</v>
      </c>
      <c r="C51" s="35" t="s">
        <v>218</v>
      </c>
      <c r="D51" s="32" t="s">
        <v>2635</v>
      </c>
      <c r="E51" s="11" t="s">
        <v>9</v>
      </c>
    </row>
    <row r="52">
      <c r="B52" s="32" t="s">
        <v>2885</v>
      </c>
      <c r="C52" s="35" t="s">
        <v>64</v>
      </c>
      <c r="D52" s="32" t="s">
        <v>2036</v>
      </c>
      <c r="E52" s="11" t="s">
        <v>13</v>
      </c>
    </row>
    <row r="53">
      <c r="B53" s="32" t="s">
        <v>2033</v>
      </c>
      <c r="C53" s="35" t="s">
        <v>87</v>
      </c>
      <c r="D53" s="32" t="s">
        <v>2161</v>
      </c>
      <c r="E53" s="11" t="s">
        <v>9</v>
      </c>
    </row>
    <row r="54">
      <c r="B54" s="32" t="s">
        <v>2635</v>
      </c>
      <c r="C54" s="35" t="s">
        <v>190</v>
      </c>
      <c r="D54" s="32" t="s">
        <v>2036</v>
      </c>
      <c r="E54" s="11" t="s">
        <v>13</v>
      </c>
    </row>
    <row r="55">
      <c r="B55" s="32" t="s">
        <v>2033</v>
      </c>
      <c r="C55" s="35" t="s">
        <v>25</v>
      </c>
      <c r="D55" s="32" t="s">
        <v>2885</v>
      </c>
      <c r="E55" s="11" t="s">
        <v>9</v>
      </c>
    </row>
    <row r="56">
      <c r="B56" s="32" t="s">
        <v>2635</v>
      </c>
      <c r="C56" s="35" t="s">
        <v>249</v>
      </c>
      <c r="D56" s="32" t="s">
        <v>2161</v>
      </c>
      <c r="E56" s="11" t="s">
        <v>13</v>
      </c>
    </row>
    <row r="57">
      <c r="B57" s="32" t="s">
        <v>2161</v>
      </c>
      <c r="C57" s="35" t="s">
        <v>45</v>
      </c>
      <c r="D57" s="32" t="s">
        <v>2036</v>
      </c>
      <c r="E57" s="11" t="s">
        <v>9</v>
      </c>
    </row>
    <row r="58">
      <c r="B58" s="32" t="s">
        <v>2635</v>
      </c>
      <c r="C58" s="35" t="s">
        <v>55</v>
      </c>
      <c r="D58" s="32" t="s">
        <v>2885</v>
      </c>
      <c r="E58" s="11" t="s">
        <v>13</v>
      </c>
    </row>
    <row r="59">
      <c r="B59" s="32" t="s">
        <v>2036</v>
      </c>
      <c r="C59" s="35" t="s">
        <v>190</v>
      </c>
      <c r="D59" s="32" t="s">
        <v>2033</v>
      </c>
      <c r="E59" s="11" t="s">
        <v>9</v>
      </c>
    </row>
    <row r="60">
      <c r="B60" s="32" t="s">
        <v>2161</v>
      </c>
      <c r="C60" s="35" t="s">
        <v>658</v>
      </c>
      <c r="D60" s="32" t="s">
        <v>2885</v>
      </c>
      <c r="E60" s="11" t="s">
        <v>13</v>
      </c>
    </row>
    <row r="61">
      <c r="B61" s="32" t="s">
        <v>2635</v>
      </c>
      <c r="C61" s="35" t="s">
        <v>62</v>
      </c>
      <c r="D61" s="32" t="s">
        <v>2033</v>
      </c>
      <c r="E61" s="11" t="s">
        <v>9</v>
      </c>
    </row>
    <row r="62">
      <c r="B62" s="32" t="s">
        <v>2036</v>
      </c>
      <c r="C62" s="35" t="s">
        <v>250</v>
      </c>
      <c r="D62" s="32" t="s">
        <v>2885</v>
      </c>
      <c r="E62" s="11" t="s">
        <v>13</v>
      </c>
    </row>
    <row r="63">
      <c r="B63" s="32" t="s">
        <v>2161</v>
      </c>
      <c r="C63" s="35" t="s">
        <v>43</v>
      </c>
      <c r="D63" s="32" t="s">
        <v>2033</v>
      </c>
      <c r="E63" s="11" t="s">
        <v>9</v>
      </c>
    </row>
    <row r="64">
      <c r="B64" s="32" t="s">
        <v>2036</v>
      </c>
      <c r="C64" s="35" t="s">
        <v>87</v>
      </c>
      <c r="D64" s="32" t="s">
        <v>2635</v>
      </c>
      <c r="E64" s="11" t="s">
        <v>13</v>
      </c>
    </row>
    <row r="65">
      <c r="B65" s="32" t="s">
        <v>2885</v>
      </c>
      <c r="C65" s="35" t="s">
        <v>251</v>
      </c>
      <c r="D65" s="32" t="s">
        <v>2033</v>
      </c>
      <c r="E65" s="11" t="s">
        <v>9</v>
      </c>
    </row>
    <row r="66">
      <c r="B66" s="32" t="s">
        <v>2161</v>
      </c>
      <c r="C66" s="35" t="s">
        <v>7</v>
      </c>
      <c r="D66" s="32" t="s">
        <v>2635</v>
      </c>
      <c r="E66" s="11" t="s">
        <v>13</v>
      </c>
    </row>
    <row r="67">
      <c r="B67" s="1" t="s">
        <v>1664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16" t="s">
        <v>5</v>
      </c>
    </row>
    <row r="69">
      <c r="B69" s="32" t="s">
        <v>2490</v>
      </c>
      <c r="C69" s="35" t="s">
        <v>49</v>
      </c>
      <c r="D69" s="32" t="s">
        <v>2886</v>
      </c>
      <c r="E69" s="11" t="s">
        <v>9</v>
      </c>
    </row>
    <row r="70">
      <c r="B70" s="32" t="s">
        <v>2887</v>
      </c>
      <c r="C70" s="35" t="s">
        <v>38</v>
      </c>
      <c r="D70" s="32" t="s">
        <v>2888</v>
      </c>
      <c r="E70" s="11" t="s">
        <v>13</v>
      </c>
    </row>
    <row r="71">
      <c r="B71" s="32" t="s">
        <v>2889</v>
      </c>
      <c r="C71" s="83" t="s">
        <v>14</v>
      </c>
      <c r="D71" s="32" t="s">
        <v>2490</v>
      </c>
      <c r="E71" s="11" t="s">
        <v>9</v>
      </c>
    </row>
    <row r="72">
      <c r="B72" s="32" t="s">
        <v>2887</v>
      </c>
      <c r="C72" s="35" t="s">
        <v>239</v>
      </c>
      <c r="D72" s="32" t="s">
        <v>2886</v>
      </c>
      <c r="E72" s="11" t="s">
        <v>13</v>
      </c>
    </row>
    <row r="73">
      <c r="B73" s="32" t="s">
        <v>2889</v>
      </c>
      <c r="C73" s="35" t="s">
        <v>19</v>
      </c>
      <c r="D73" s="32" t="s">
        <v>2888</v>
      </c>
      <c r="E73" s="11" t="s">
        <v>9</v>
      </c>
    </row>
    <row r="74">
      <c r="B74" s="32" t="s">
        <v>2887</v>
      </c>
      <c r="C74" s="35" t="s">
        <v>190</v>
      </c>
      <c r="D74" s="32" t="s">
        <v>2490</v>
      </c>
      <c r="E74" s="11" t="s">
        <v>13</v>
      </c>
    </row>
    <row r="75">
      <c r="B75" s="32" t="s">
        <v>2889</v>
      </c>
      <c r="C75" s="35" t="s">
        <v>282</v>
      </c>
      <c r="D75" s="32" t="s">
        <v>2886</v>
      </c>
      <c r="E75" s="11" t="s">
        <v>9</v>
      </c>
    </row>
    <row r="76">
      <c r="B76" s="32" t="s">
        <v>2888</v>
      </c>
      <c r="C76" s="35" t="s">
        <v>488</v>
      </c>
      <c r="D76" s="32" t="s">
        <v>2490</v>
      </c>
      <c r="E76" s="11" t="s">
        <v>13</v>
      </c>
    </row>
    <row r="77">
      <c r="B77" s="32" t="s">
        <v>2889</v>
      </c>
      <c r="C77" s="35" t="s">
        <v>38</v>
      </c>
      <c r="D77" s="32" t="s">
        <v>2887</v>
      </c>
      <c r="E77" s="11" t="s">
        <v>9</v>
      </c>
    </row>
    <row r="78">
      <c r="B78" s="32" t="s">
        <v>2888</v>
      </c>
      <c r="C78" s="35" t="s">
        <v>446</v>
      </c>
      <c r="D78" s="32" t="s">
        <v>2886</v>
      </c>
      <c r="E78" s="11" t="s">
        <v>13</v>
      </c>
    </row>
    <row r="79">
      <c r="B79" s="32" t="s">
        <v>2886</v>
      </c>
      <c r="C79" s="35" t="s">
        <v>19</v>
      </c>
      <c r="D79" s="32" t="s">
        <v>2490</v>
      </c>
      <c r="E79" s="11" t="s">
        <v>9</v>
      </c>
    </row>
    <row r="80">
      <c r="B80" s="32" t="s">
        <v>2888</v>
      </c>
      <c r="C80" s="35" t="s">
        <v>260</v>
      </c>
      <c r="D80" s="32" t="s">
        <v>2887</v>
      </c>
      <c r="E80" s="11" t="s">
        <v>13</v>
      </c>
    </row>
    <row r="81">
      <c r="B81" s="32" t="s">
        <v>2490</v>
      </c>
      <c r="C81" s="35" t="s">
        <v>291</v>
      </c>
      <c r="D81" s="32" t="s">
        <v>2889</v>
      </c>
      <c r="E81" s="11" t="s">
        <v>9</v>
      </c>
    </row>
    <row r="82">
      <c r="B82" s="32" t="s">
        <v>2886</v>
      </c>
      <c r="C82" s="35" t="s">
        <v>196</v>
      </c>
      <c r="D82" s="32" t="s">
        <v>2887</v>
      </c>
      <c r="E82" s="11" t="s">
        <v>13</v>
      </c>
    </row>
    <row r="83">
      <c r="B83" s="32" t="s">
        <v>2888</v>
      </c>
      <c r="C83" s="35" t="s">
        <v>62</v>
      </c>
      <c r="D83" s="32" t="s">
        <v>2889</v>
      </c>
      <c r="E83" s="11" t="s">
        <v>9</v>
      </c>
    </row>
    <row r="84">
      <c r="B84" s="32" t="s">
        <v>2490</v>
      </c>
      <c r="C84" s="35" t="s">
        <v>17</v>
      </c>
      <c r="D84" s="32" t="s">
        <v>2887</v>
      </c>
      <c r="E84" s="11" t="s">
        <v>13</v>
      </c>
    </row>
    <row r="85">
      <c r="B85" s="32" t="s">
        <v>2886</v>
      </c>
      <c r="C85" s="35" t="s">
        <v>64</v>
      </c>
      <c r="D85" s="32" t="s">
        <v>2889</v>
      </c>
      <c r="E85" s="11" t="s">
        <v>9</v>
      </c>
    </row>
    <row r="86">
      <c r="B86" s="32" t="s">
        <v>2490</v>
      </c>
      <c r="C86" s="35" t="s">
        <v>48</v>
      </c>
      <c r="D86" s="32" t="s">
        <v>2888</v>
      </c>
      <c r="E86" s="11" t="s">
        <v>13</v>
      </c>
    </row>
    <row r="87">
      <c r="B87" s="32" t="s">
        <v>2887</v>
      </c>
      <c r="C87" s="35" t="s">
        <v>201</v>
      </c>
      <c r="D87" s="32" t="s">
        <v>2889</v>
      </c>
      <c r="E87" s="11" t="s">
        <v>9</v>
      </c>
    </row>
    <row r="88">
      <c r="B88" s="32" t="s">
        <v>2886</v>
      </c>
      <c r="C88" s="35" t="s">
        <v>69</v>
      </c>
      <c r="D88" s="32" t="s">
        <v>2888</v>
      </c>
      <c r="E88" s="11" t="s">
        <v>13</v>
      </c>
    </row>
    <row r="89">
      <c r="B89" s="72" t="s">
        <v>2890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16" t="s">
        <v>5</v>
      </c>
    </row>
    <row r="91">
      <c r="B91" s="32" t="s">
        <v>2891</v>
      </c>
      <c r="C91" s="35" t="s">
        <v>47</v>
      </c>
      <c r="D91" s="32" t="s">
        <v>1939</v>
      </c>
      <c r="E91" s="80" t="s">
        <v>33</v>
      </c>
    </row>
    <row r="92">
      <c r="B92" s="32" t="s">
        <v>2892</v>
      </c>
      <c r="C92" s="35" t="s">
        <v>22</v>
      </c>
      <c r="D92" s="32" t="s">
        <v>1118</v>
      </c>
      <c r="E92" s="80" t="s">
        <v>37</v>
      </c>
    </row>
    <row r="93">
      <c r="B93" s="32" t="s">
        <v>2893</v>
      </c>
      <c r="C93" s="35" t="s">
        <v>733</v>
      </c>
      <c r="D93" s="32" t="s">
        <v>2891</v>
      </c>
      <c r="E93" s="80" t="s">
        <v>33</v>
      </c>
    </row>
    <row r="94">
      <c r="B94" s="32" t="s">
        <v>2892</v>
      </c>
      <c r="C94" s="35" t="s">
        <v>48</v>
      </c>
      <c r="D94" s="32" t="s">
        <v>1939</v>
      </c>
      <c r="E94" s="80" t="s">
        <v>37</v>
      </c>
    </row>
    <row r="95">
      <c r="B95" s="32" t="s">
        <v>2893</v>
      </c>
      <c r="C95" s="35" t="s">
        <v>250</v>
      </c>
      <c r="D95" s="32" t="s">
        <v>1118</v>
      </c>
      <c r="E95" s="80" t="s">
        <v>33</v>
      </c>
    </row>
    <row r="96">
      <c r="B96" s="32" t="s">
        <v>2892</v>
      </c>
      <c r="C96" s="35" t="s">
        <v>195</v>
      </c>
      <c r="D96" s="32" t="s">
        <v>2891</v>
      </c>
      <c r="E96" s="80" t="s">
        <v>37</v>
      </c>
    </row>
    <row r="97">
      <c r="B97" s="32" t="s">
        <v>2893</v>
      </c>
      <c r="C97" s="35" t="s">
        <v>58</v>
      </c>
      <c r="D97" s="32" t="s">
        <v>1939</v>
      </c>
      <c r="E97" s="80" t="s">
        <v>33</v>
      </c>
    </row>
    <row r="98">
      <c r="B98" s="32" t="s">
        <v>1118</v>
      </c>
      <c r="C98" s="35" t="s">
        <v>378</v>
      </c>
      <c r="D98" s="32" t="s">
        <v>2891</v>
      </c>
      <c r="E98" s="80" t="s">
        <v>37</v>
      </c>
    </row>
    <row r="99">
      <c r="B99" s="32" t="s">
        <v>2893</v>
      </c>
      <c r="C99" s="35" t="s">
        <v>81</v>
      </c>
      <c r="D99" s="32" t="s">
        <v>2892</v>
      </c>
      <c r="E99" s="80" t="s">
        <v>33</v>
      </c>
      <c r="H99" s="36" t="s">
        <v>229</v>
      </c>
    </row>
    <row r="100">
      <c r="B100" s="32" t="s">
        <v>1118</v>
      </c>
      <c r="C100" s="35" t="s">
        <v>220</v>
      </c>
      <c r="D100" s="32" t="s">
        <v>1939</v>
      </c>
      <c r="E100" s="80" t="s">
        <v>37</v>
      </c>
      <c r="H100" s="36" t="s">
        <v>229</v>
      </c>
    </row>
    <row r="101">
      <c r="B101" s="32" t="s">
        <v>1939</v>
      </c>
      <c r="C101" s="35" t="s">
        <v>190</v>
      </c>
      <c r="D101" s="32" t="s">
        <v>2891</v>
      </c>
      <c r="E101" s="80" t="s">
        <v>33</v>
      </c>
    </row>
    <row r="102">
      <c r="B102" s="32" t="s">
        <v>1118</v>
      </c>
      <c r="C102" s="35" t="s">
        <v>239</v>
      </c>
      <c r="D102" s="32" t="s">
        <v>2892</v>
      </c>
      <c r="E102" s="80" t="s">
        <v>37</v>
      </c>
    </row>
    <row r="103">
      <c r="B103" s="32" t="s">
        <v>2891</v>
      </c>
      <c r="C103" s="35" t="s">
        <v>212</v>
      </c>
      <c r="D103" s="32" t="s">
        <v>2893</v>
      </c>
      <c r="E103" s="80" t="s">
        <v>33</v>
      </c>
    </row>
    <row r="104">
      <c r="B104" s="32" t="s">
        <v>1939</v>
      </c>
      <c r="C104" s="35" t="s">
        <v>815</v>
      </c>
      <c r="D104" s="32" t="s">
        <v>2892</v>
      </c>
      <c r="E104" s="80" t="s">
        <v>37</v>
      </c>
      <c r="H104" s="36" t="s">
        <v>242</v>
      </c>
    </row>
    <row r="105">
      <c r="B105" s="32" t="s">
        <v>1118</v>
      </c>
      <c r="C105" s="35" t="s">
        <v>87</v>
      </c>
      <c r="D105" s="32" t="s">
        <v>2893</v>
      </c>
      <c r="E105" s="80" t="s">
        <v>33</v>
      </c>
    </row>
    <row r="106">
      <c r="B106" s="32" t="s">
        <v>2891</v>
      </c>
      <c r="C106" s="35" t="s">
        <v>86</v>
      </c>
      <c r="D106" s="32" t="s">
        <v>2892</v>
      </c>
      <c r="E106" s="80" t="s">
        <v>37</v>
      </c>
    </row>
    <row r="107">
      <c r="B107" s="32" t="s">
        <v>1939</v>
      </c>
      <c r="C107" s="35" t="s">
        <v>41</v>
      </c>
      <c r="D107" s="32" t="s">
        <v>2893</v>
      </c>
      <c r="E107" s="80" t="s">
        <v>33</v>
      </c>
    </row>
    <row r="108">
      <c r="B108" s="32" t="s">
        <v>2891</v>
      </c>
      <c r="C108" s="35" t="s">
        <v>45</v>
      </c>
      <c r="D108" s="32" t="s">
        <v>1118</v>
      </c>
      <c r="E108" s="80" t="s">
        <v>37</v>
      </c>
    </row>
    <row r="109">
      <c r="B109" s="32" t="s">
        <v>2892</v>
      </c>
      <c r="C109" s="35" t="s">
        <v>195</v>
      </c>
      <c r="D109" s="32" t="s">
        <v>2893</v>
      </c>
      <c r="E109" s="80" t="s">
        <v>33</v>
      </c>
    </row>
    <row r="110">
      <c r="B110" s="32" t="s">
        <v>1939</v>
      </c>
      <c r="C110" s="35" t="s">
        <v>201</v>
      </c>
      <c r="D110" s="32" t="s">
        <v>1118</v>
      </c>
      <c r="E110" s="80" t="s">
        <v>37</v>
      </c>
    </row>
    <row r="111">
      <c r="B111" s="1" t="s">
        <v>2894</v>
      </c>
      <c r="C111" s="2"/>
      <c r="D111" s="3"/>
      <c r="E111" s="4"/>
    </row>
    <row r="112"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B113" s="32" t="s">
        <v>2895</v>
      </c>
      <c r="C113" s="35" t="s">
        <v>370</v>
      </c>
      <c r="D113" s="32" t="s">
        <v>1361</v>
      </c>
      <c r="E113" s="80" t="s">
        <v>33</v>
      </c>
    </row>
    <row r="114">
      <c r="B114" s="32" t="s">
        <v>671</v>
      </c>
      <c r="C114" s="35" t="s">
        <v>35</v>
      </c>
      <c r="D114" s="32" t="s">
        <v>1185</v>
      </c>
      <c r="E114" s="80" t="s">
        <v>37</v>
      </c>
    </row>
    <row r="115">
      <c r="B115" s="32" t="s">
        <v>761</v>
      </c>
      <c r="C115" s="35" t="s">
        <v>43</v>
      </c>
      <c r="D115" s="32" t="s">
        <v>2895</v>
      </c>
      <c r="E115" s="80" t="s">
        <v>33</v>
      </c>
    </row>
    <row r="116">
      <c r="B116" s="32" t="s">
        <v>671</v>
      </c>
      <c r="C116" s="35" t="s">
        <v>312</v>
      </c>
      <c r="D116" s="32" t="s">
        <v>1361</v>
      </c>
      <c r="E116" s="80" t="s">
        <v>37</v>
      </c>
    </row>
    <row r="117">
      <c r="B117" s="32" t="s">
        <v>761</v>
      </c>
      <c r="C117" s="35" t="s">
        <v>43</v>
      </c>
      <c r="D117" s="32" t="s">
        <v>1185</v>
      </c>
      <c r="E117" s="80" t="s">
        <v>33</v>
      </c>
    </row>
    <row r="118">
      <c r="B118" s="32" t="s">
        <v>671</v>
      </c>
      <c r="C118" s="35" t="s">
        <v>55</v>
      </c>
      <c r="D118" s="32" t="s">
        <v>2895</v>
      </c>
      <c r="E118" s="80" t="s">
        <v>37</v>
      </c>
    </row>
    <row r="119">
      <c r="B119" s="32" t="s">
        <v>761</v>
      </c>
      <c r="C119" s="35" t="s">
        <v>31</v>
      </c>
      <c r="D119" s="32" t="s">
        <v>1361</v>
      </c>
      <c r="E119" s="80" t="s">
        <v>33</v>
      </c>
    </row>
    <row r="120">
      <c r="B120" s="32" t="s">
        <v>1185</v>
      </c>
      <c r="C120" s="35" t="s">
        <v>195</v>
      </c>
      <c r="D120" s="32" t="s">
        <v>2895</v>
      </c>
      <c r="E120" s="80" t="s">
        <v>37</v>
      </c>
    </row>
    <row r="121">
      <c r="B121" s="32" t="s">
        <v>761</v>
      </c>
      <c r="C121" s="35" t="s">
        <v>369</v>
      </c>
      <c r="D121" s="32" t="s">
        <v>671</v>
      </c>
      <c r="E121" s="80" t="s">
        <v>33</v>
      </c>
    </row>
    <row r="122">
      <c r="B122" s="32" t="s">
        <v>1185</v>
      </c>
      <c r="C122" s="35" t="s">
        <v>20</v>
      </c>
      <c r="D122" s="32" t="s">
        <v>1361</v>
      </c>
      <c r="E122" s="80" t="s">
        <v>37</v>
      </c>
      <c r="K122" s="36" t="s">
        <v>242</v>
      </c>
    </row>
    <row r="123">
      <c r="B123" s="32" t="s">
        <v>1361</v>
      </c>
      <c r="C123" s="35" t="s">
        <v>2699</v>
      </c>
      <c r="D123" s="32" t="s">
        <v>2895</v>
      </c>
      <c r="E123" s="80" t="s">
        <v>33</v>
      </c>
      <c r="J123" s="36" t="s">
        <v>663</v>
      </c>
    </row>
    <row r="124">
      <c r="B124" s="32" t="s">
        <v>1185</v>
      </c>
      <c r="C124" s="35" t="s">
        <v>55</v>
      </c>
      <c r="D124" s="32" t="s">
        <v>671</v>
      </c>
      <c r="E124" s="80" t="s">
        <v>37</v>
      </c>
    </row>
    <row r="125">
      <c r="B125" s="32" t="s">
        <v>2895</v>
      </c>
      <c r="C125" s="35" t="s">
        <v>545</v>
      </c>
      <c r="D125" s="32" t="s">
        <v>761</v>
      </c>
      <c r="E125" s="80" t="s">
        <v>33</v>
      </c>
    </row>
    <row r="126">
      <c r="B126" s="32" t="s">
        <v>1361</v>
      </c>
      <c r="C126" s="35" t="s">
        <v>260</v>
      </c>
      <c r="D126" s="32" t="s">
        <v>671</v>
      </c>
      <c r="E126" s="80" t="s">
        <v>37</v>
      </c>
    </row>
    <row r="127">
      <c r="B127" s="32" t="s">
        <v>1185</v>
      </c>
      <c r="C127" s="35" t="s">
        <v>67</v>
      </c>
      <c r="D127" s="32" t="s">
        <v>761</v>
      </c>
      <c r="E127" s="80" t="s">
        <v>33</v>
      </c>
    </row>
    <row r="128">
      <c r="B128" s="32" t="s">
        <v>2895</v>
      </c>
      <c r="C128" s="35" t="s">
        <v>70</v>
      </c>
      <c r="D128" s="32" t="s">
        <v>671</v>
      </c>
      <c r="E128" s="80" t="s">
        <v>37</v>
      </c>
    </row>
    <row r="129">
      <c r="B129" s="32" t="s">
        <v>1361</v>
      </c>
      <c r="C129" s="35" t="s">
        <v>195</v>
      </c>
      <c r="D129" s="32" t="s">
        <v>761</v>
      </c>
      <c r="E129" s="80" t="s">
        <v>33</v>
      </c>
    </row>
    <row r="130">
      <c r="B130" s="32" t="s">
        <v>2895</v>
      </c>
      <c r="C130" s="35" t="s">
        <v>25</v>
      </c>
      <c r="D130" s="32" t="s">
        <v>1185</v>
      </c>
      <c r="E130" s="80" t="s">
        <v>37</v>
      </c>
    </row>
    <row r="131">
      <c r="B131" s="32" t="s">
        <v>671</v>
      </c>
      <c r="C131" s="35" t="s">
        <v>64</v>
      </c>
      <c r="D131" s="32" t="s">
        <v>761</v>
      </c>
      <c r="E131" s="80" t="s">
        <v>33</v>
      </c>
    </row>
    <row r="132">
      <c r="B132" s="32" t="s">
        <v>1361</v>
      </c>
      <c r="C132" s="35" t="s">
        <v>626</v>
      </c>
      <c r="D132" s="32" t="s">
        <v>1185</v>
      </c>
      <c r="E132" s="80" t="s">
        <v>37</v>
      </c>
    </row>
    <row r="133">
      <c r="B133" s="1" t="s">
        <v>1419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32" t="s">
        <v>1535</v>
      </c>
      <c r="C135" s="35" t="s">
        <v>62</v>
      </c>
      <c r="D135" s="32" t="s">
        <v>2896</v>
      </c>
      <c r="E135" s="11" t="s">
        <v>9</v>
      </c>
    </row>
    <row r="136">
      <c r="B136" s="32" t="s">
        <v>2897</v>
      </c>
      <c r="C136" s="35" t="s">
        <v>836</v>
      </c>
      <c r="D136" s="32" t="s">
        <v>1959</v>
      </c>
      <c r="E136" s="11" t="s">
        <v>13</v>
      </c>
    </row>
    <row r="137">
      <c r="B137" s="32" t="s">
        <v>2898</v>
      </c>
      <c r="C137" s="35" t="s">
        <v>261</v>
      </c>
      <c r="D137" s="32" t="s">
        <v>1535</v>
      </c>
      <c r="E137" s="11" t="s">
        <v>9</v>
      </c>
    </row>
    <row r="138">
      <c r="B138" s="32" t="s">
        <v>2897</v>
      </c>
      <c r="C138" s="35" t="s">
        <v>286</v>
      </c>
      <c r="D138" s="32" t="s">
        <v>2896</v>
      </c>
      <c r="E138" s="11" t="s">
        <v>13</v>
      </c>
    </row>
    <row r="139">
      <c r="B139" s="32" t="s">
        <v>2898</v>
      </c>
      <c r="C139" s="35" t="s">
        <v>197</v>
      </c>
      <c r="D139" s="32" t="s">
        <v>1959</v>
      </c>
      <c r="E139" s="11" t="s">
        <v>9</v>
      </c>
    </row>
    <row r="140">
      <c r="B140" s="32" t="s">
        <v>2897</v>
      </c>
      <c r="C140" s="35" t="s">
        <v>195</v>
      </c>
      <c r="D140" s="32" t="s">
        <v>1535</v>
      </c>
      <c r="E140" s="11" t="s">
        <v>13</v>
      </c>
    </row>
    <row r="141">
      <c r="B141" s="32" t="s">
        <v>2898</v>
      </c>
      <c r="C141" s="35" t="s">
        <v>69</v>
      </c>
      <c r="D141" s="32" t="s">
        <v>2896</v>
      </c>
      <c r="E141" s="11" t="s">
        <v>9</v>
      </c>
    </row>
    <row r="142">
      <c r="B142" s="32" t="s">
        <v>1959</v>
      </c>
      <c r="C142" s="35" t="s">
        <v>197</v>
      </c>
      <c r="D142" s="32" t="s">
        <v>1535</v>
      </c>
      <c r="E142" s="11" t="s">
        <v>13</v>
      </c>
    </row>
    <row r="143">
      <c r="B143" s="32" t="s">
        <v>2898</v>
      </c>
      <c r="C143" s="35" t="s">
        <v>2276</v>
      </c>
      <c r="D143" s="32" t="s">
        <v>2897</v>
      </c>
      <c r="E143" s="11" t="s">
        <v>9</v>
      </c>
    </row>
    <row r="144">
      <c r="B144" s="32" t="s">
        <v>1959</v>
      </c>
      <c r="C144" s="35" t="s">
        <v>70</v>
      </c>
      <c r="D144" s="32" t="s">
        <v>2896</v>
      </c>
      <c r="E144" s="11" t="s">
        <v>13</v>
      </c>
    </row>
    <row r="145">
      <c r="B145" s="32" t="s">
        <v>2896</v>
      </c>
      <c r="C145" s="35" t="s">
        <v>231</v>
      </c>
      <c r="D145" s="32" t="s">
        <v>1535</v>
      </c>
      <c r="E145" s="11" t="s">
        <v>9</v>
      </c>
    </row>
    <row r="146">
      <c r="B146" s="32" t="s">
        <v>1959</v>
      </c>
      <c r="C146" s="35" t="s">
        <v>218</v>
      </c>
      <c r="D146" s="32" t="s">
        <v>2897</v>
      </c>
      <c r="E146" s="11" t="s">
        <v>13</v>
      </c>
    </row>
    <row r="147">
      <c r="B147" s="32" t="s">
        <v>1535</v>
      </c>
      <c r="C147" s="35" t="s">
        <v>357</v>
      </c>
      <c r="D147" s="32" t="s">
        <v>2898</v>
      </c>
      <c r="E147" s="11" t="s">
        <v>9</v>
      </c>
    </row>
    <row r="148">
      <c r="B148" s="32" t="s">
        <v>2896</v>
      </c>
      <c r="C148" s="35" t="s">
        <v>190</v>
      </c>
      <c r="D148" s="32" t="s">
        <v>2897</v>
      </c>
      <c r="E148" s="11" t="s">
        <v>13</v>
      </c>
    </row>
    <row r="149">
      <c r="B149" s="32" t="s">
        <v>1959</v>
      </c>
      <c r="C149" s="35" t="s">
        <v>722</v>
      </c>
      <c r="D149" s="32" t="s">
        <v>2898</v>
      </c>
      <c r="E149" s="11" t="s">
        <v>9</v>
      </c>
    </row>
    <row r="150">
      <c r="B150" s="32" t="s">
        <v>1535</v>
      </c>
      <c r="C150" s="35" t="s">
        <v>190</v>
      </c>
      <c r="D150" s="32" t="s">
        <v>2897</v>
      </c>
      <c r="E150" s="11" t="s">
        <v>13</v>
      </c>
    </row>
    <row r="151">
      <c r="B151" s="32" t="s">
        <v>2896</v>
      </c>
      <c r="C151" s="35" t="s">
        <v>88</v>
      </c>
      <c r="D151" s="32" t="s">
        <v>2898</v>
      </c>
      <c r="E151" s="11" t="s">
        <v>9</v>
      </c>
      <c r="G151" s="36" t="s">
        <v>229</v>
      </c>
    </row>
    <row r="152">
      <c r="B152" s="32" t="s">
        <v>1535</v>
      </c>
      <c r="C152" s="35" t="s">
        <v>23</v>
      </c>
      <c r="D152" s="32" t="s">
        <v>1959</v>
      </c>
      <c r="E152" s="11" t="s">
        <v>13</v>
      </c>
    </row>
    <row r="153">
      <c r="B153" s="32" t="s">
        <v>2897</v>
      </c>
      <c r="C153" s="35" t="s">
        <v>72</v>
      </c>
      <c r="D153" s="32" t="s">
        <v>2898</v>
      </c>
      <c r="E153" s="11" t="s">
        <v>9</v>
      </c>
    </row>
    <row r="154">
      <c r="B154" s="32" t="s">
        <v>2896</v>
      </c>
      <c r="C154" s="35" t="s">
        <v>35</v>
      </c>
      <c r="D154" s="32" t="s">
        <v>1959</v>
      </c>
      <c r="E154" s="11" t="s">
        <v>13</v>
      </c>
    </row>
    <row r="155">
      <c r="B155" s="1" t="s">
        <v>1435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B157" s="32" t="s">
        <v>168</v>
      </c>
      <c r="C157" s="35" t="s">
        <v>62</v>
      </c>
      <c r="D157" s="32" t="s">
        <v>6</v>
      </c>
      <c r="E157" s="11" t="s">
        <v>9</v>
      </c>
    </row>
    <row r="158">
      <c r="B158" s="32" t="s">
        <v>2899</v>
      </c>
      <c r="C158" s="35" t="s">
        <v>83</v>
      </c>
      <c r="D158" s="32" t="s">
        <v>742</v>
      </c>
      <c r="E158" s="11" t="s">
        <v>13</v>
      </c>
    </row>
    <row r="159">
      <c r="B159" s="32" t="s">
        <v>2900</v>
      </c>
      <c r="C159" s="35" t="s">
        <v>66</v>
      </c>
      <c r="D159" s="32" t="s">
        <v>168</v>
      </c>
      <c r="E159" s="11" t="s">
        <v>9</v>
      </c>
    </row>
    <row r="160">
      <c r="B160" s="32" t="s">
        <v>2899</v>
      </c>
      <c r="C160" s="35" t="s">
        <v>534</v>
      </c>
      <c r="D160" s="32" t="s">
        <v>6</v>
      </c>
      <c r="E160" s="11" t="s">
        <v>13</v>
      </c>
    </row>
    <row r="161">
      <c r="B161" s="32" t="s">
        <v>2900</v>
      </c>
      <c r="C161" s="35" t="s">
        <v>260</v>
      </c>
      <c r="D161" s="32" t="s">
        <v>742</v>
      </c>
      <c r="E161" s="11" t="s">
        <v>9</v>
      </c>
    </row>
    <row r="162">
      <c r="B162" s="32" t="s">
        <v>2899</v>
      </c>
      <c r="C162" s="35" t="s">
        <v>201</v>
      </c>
      <c r="D162" s="32" t="s">
        <v>168</v>
      </c>
      <c r="E162" s="11" t="s">
        <v>13</v>
      </c>
    </row>
    <row r="163">
      <c r="B163" s="32" t="s">
        <v>2900</v>
      </c>
      <c r="C163" s="35" t="s">
        <v>38</v>
      </c>
      <c r="D163" s="32" t="s">
        <v>6</v>
      </c>
      <c r="E163" s="11" t="s">
        <v>9</v>
      </c>
    </row>
    <row r="164">
      <c r="B164" s="32" t="s">
        <v>742</v>
      </c>
      <c r="C164" s="35" t="s">
        <v>22</v>
      </c>
      <c r="D164" s="32" t="s">
        <v>168</v>
      </c>
      <c r="E164" s="11" t="s">
        <v>13</v>
      </c>
    </row>
    <row r="165">
      <c r="B165" s="32" t="s">
        <v>2900</v>
      </c>
      <c r="C165" s="35" t="s">
        <v>18</v>
      </c>
      <c r="D165" s="32" t="s">
        <v>2899</v>
      </c>
      <c r="E165" s="11" t="s">
        <v>9</v>
      </c>
    </row>
    <row r="166">
      <c r="B166" s="32" t="s">
        <v>742</v>
      </c>
      <c r="C166" s="35" t="s">
        <v>195</v>
      </c>
      <c r="D166" s="32" t="s">
        <v>6</v>
      </c>
      <c r="E166" s="11" t="s">
        <v>13</v>
      </c>
    </row>
    <row r="167">
      <c r="B167" s="32" t="s">
        <v>6</v>
      </c>
      <c r="C167" s="35" t="s">
        <v>282</v>
      </c>
      <c r="D167" s="32" t="s">
        <v>168</v>
      </c>
      <c r="E167" s="11" t="s">
        <v>9</v>
      </c>
    </row>
    <row r="168">
      <c r="B168" s="32" t="s">
        <v>742</v>
      </c>
      <c r="C168" s="35" t="s">
        <v>218</v>
      </c>
      <c r="D168" s="32" t="s">
        <v>2899</v>
      </c>
      <c r="E168" s="11" t="s">
        <v>13</v>
      </c>
    </row>
    <row r="169">
      <c r="B169" s="32" t="s">
        <v>168</v>
      </c>
      <c r="C169" s="35" t="s">
        <v>78</v>
      </c>
      <c r="D169" s="32" t="s">
        <v>2900</v>
      </c>
      <c r="E169" s="11" t="s">
        <v>9</v>
      </c>
    </row>
    <row r="170">
      <c r="B170" s="32" t="s">
        <v>6</v>
      </c>
      <c r="C170" s="35" t="s">
        <v>197</v>
      </c>
      <c r="D170" s="32" t="s">
        <v>2899</v>
      </c>
      <c r="E170" s="11" t="s">
        <v>13</v>
      </c>
    </row>
    <row r="171">
      <c r="B171" s="32" t="s">
        <v>742</v>
      </c>
      <c r="C171" s="35" t="s">
        <v>11</v>
      </c>
      <c r="D171" s="32" t="s">
        <v>2900</v>
      </c>
      <c r="E171" s="11" t="s">
        <v>9</v>
      </c>
    </row>
    <row r="172">
      <c r="B172" s="32" t="s">
        <v>168</v>
      </c>
      <c r="C172" s="35" t="s">
        <v>49</v>
      </c>
      <c r="D172" s="32" t="s">
        <v>2899</v>
      </c>
      <c r="E172" s="11" t="s">
        <v>13</v>
      </c>
    </row>
    <row r="173">
      <c r="B173" s="32" t="s">
        <v>6</v>
      </c>
      <c r="C173" s="35" t="s">
        <v>195</v>
      </c>
      <c r="D173" s="32" t="s">
        <v>2900</v>
      </c>
      <c r="E173" s="11" t="s">
        <v>9</v>
      </c>
    </row>
    <row r="174">
      <c r="B174" s="32" t="s">
        <v>168</v>
      </c>
      <c r="C174" s="35" t="s">
        <v>31</v>
      </c>
      <c r="D174" s="32" t="s">
        <v>742</v>
      </c>
      <c r="E174" s="11" t="s">
        <v>13</v>
      </c>
    </row>
    <row r="175">
      <c r="B175" s="32" t="s">
        <v>2899</v>
      </c>
      <c r="C175" s="35" t="s">
        <v>190</v>
      </c>
      <c r="D175" s="32" t="s">
        <v>2900</v>
      </c>
      <c r="E175" s="11" t="s">
        <v>9</v>
      </c>
    </row>
    <row r="176">
      <c r="B176" s="32" t="s">
        <v>6</v>
      </c>
      <c r="C176" s="35" t="s">
        <v>494</v>
      </c>
      <c r="D176" s="32" t="s">
        <v>742</v>
      </c>
      <c r="E176" s="11" t="s">
        <v>13</v>
      </c>
    </row>
    <row r="177">
      <c r="B177" s="72" t="s">
        <v>2727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16" t="s">
        <v>5</v>
      </c>
    </row>
    <row r="179">
      <c r="B179" s="32" t="s">
        <v>2683</v>
      </c>
      <c r="C179" s="35" t="s">
        <v>58</v>
      </c>
      <c r="D179" s="32" t="s">
        <v>2061</v>
      </c>
      <c r="E179" s="80" t="s">
        <v>33</v>
      </c>
    </row>
    <row r="180">
      <c r="B180" s="32" t="s">
        <v>299</v>
      </c>
      <c r="C180" s="35" t="s">
        <v>11</v>
      </c>
      <c r="D180" s="32" t="s">
        <v>1089</v>
      </c>
      <c r="E180" s="80" t="s">
        <v>37</v>
      </c>
    </row>
    <row r="181">
      <c r="B181" s="32" t="s">
        <v>2901</v>
      </c>
      <c r="C181" s="35" t="s">
        <v>412</v>
      </c>
      <c r="D181" s="32" t="s">
        <v>2683</v>
      </c>
      <c r="E181" s="80" t="s">
        <v>33</v>
      </c>
    </row>
    <row r="182">
      <c r="B182" s="32" t="s">
        <v>299</v>
      </c>
      <c r="C182" s="35" t="s">
        <v>72</v>
      </c>
      <c r="D182" s="32" t="s">
        <v>2061</v>
      </c>
      <c r="E182" s="80" t="s">
        <v>37</v>
      </c>
    </row>
    <row r="183">
      <c r="B183" s="32" t="s">
        <v>2901</v>
      </c>
      <c r="C183" s="35" t="s">
        <v>66</v>
      </c>
      <c r="D183" s="32" t="s">
        <v>1089</v>
      </c>
      <c r="E183" s="80" t="s">
        <v>33</v>
      </c>
    </row>
    <row r="184">
      <c r="B184" s="32" t="s">
        <v>299</v>
      </c>
      <c r="C184" s="35" t="s">
        <v>857</v>
      </c>
      <c r="D184" s="32" t="s">
        <v>2683</v>
      </c>
      <c r="E184" s="80" t="s">
        <v>37</v>
      </c>
    </row>
    <row r="185">
      <c r="B185" s="32" t="s">
        <v>2901</v>
      </c>
      <c r="C185" s="35" t="s">
        <v>295</v>
      </c>
      <c r="D185" s="32" t="s">
        <v>2061</v>
      </c>
      <c r="E185" s="80" t="s">
        <v>33</v>
      </c>
    </row>
    <row r="186">
      <c r="B186" s="32" t="s">
        <v>1089</v>
      </c>
      <c r="C186" s="35" t="s">
        <v>218</v>
      </c>
      <c r="D186" s="32" t="s">
        <v>2683</v>
      </c>
      <c r="E186" s="80" t="s">
        <v>37</v>
      </c>
    </row>
    <row r="187">
      <c r="B187" s="32" t="s">
        <v>2901</v>
      </c>
      <c r="C187" s="35" t="s">
        <v>19</v>
      </c>
      <c r="D187" s="32" t="s">
        <v>299</v>
      </c>
      <c r="E187" s="80" t="s">
        <v>33</v>
      </c>
    </row>
    <row r="188">
      <c r="B188" s="32" t="s">
        <v>1089</v>
      </c>
      <c r="C188" s="35" t="s">
        <v>197</v>
      </c>
      <c r="D188" s="32" t="s">
        <v>2061</v>
      </c>
      <c r="E188" s="80" t="s">
        <v>37</v>
      </c>
    </row>
    <row r="189">
      <c r="B189" s="32" t="s">
        <v>2061</v>
      </c>
      <c r="C189" s="35" t="s">
        <v>790</v>
      </c>
      <c r="D189" s="32" t="s">
        <v>2683</v>
      </c>
      <c r="E189" s="80" t="s">
        <v>33</v>
      </c>
    </row>
    <row r="190">
      <c r="B190" s="32" t="s">
        <v>1089</v>
      </c>
      <c r="C190" s="35" t="s">
        <v>239</v>
      </c>
      <c r="D190" s="32" t="s">
        <v>299</v>
      </c>
      <c r="E190" s="80" t="s">
        <v>37</v>
      </c>
    </row>
    <row r="191">
      <c r="B191" s="32" t="s">
        <v>2683</v>
      </c>
      <c r="C191" s="35" t="s">
        <v>68</v>
      </c>
      <c r="D191" s="32" t="s">
        <v>2901</v>
      </c>
      <c r="E191" s="80" t="s">
        <v>33</v>
      </c>
    </row>
    <row r="192">
      <c r="B192" s="32" t="s">
        <v>2061</v>
      </c>
      <c r="C192" s="35" t="s">
        <v>42</v>
      </c>
      <c r="D192" s="32" t="s">
        <v>299</v>
      </c>
      <c r="E192" s="80" t="s">
        <v>37</v>
      </c>
    </row>
    <row r="193">
      <c r="B193" s="32" t="s">
        <v>1089</v>
      </c>
      <c r="C193" s="35" t="s">
        <v>45</v>
      </c>
      <c r="D193" s="32" t="s">
        <v>2901</v>
      </c>
      <c r="E193" s="80" t="s">
        <v>33</v>
      </c>
    </row>
    <row r="194">
      <c r="B194" s="32" t="s">
        <v>2683</v>
      </c>
      <c r="C194" s="35" t="s">
        <v>62</v>
      </c>
      <c r="D194" s="32" t="s">
        <v>299</v>
      </c>
      <c r="E194" s="80" t="s">
        <v>37</v>
      </c>
    </row>
    <row r="195">
      <c r="B195" s="32" t="s">
        <v>2061</v>
      </c>
      <c r="C195" s="35" t="s">
        <v>218</v>
      </c>
      <c r="D195" s="32" t="s">
        <v>2901</v>
      </c>
      <c r="E195" s="80" t="s">
        <v>33</v>
      </c>
    </row>
    <row r="196">
      <c r="B196" s="32" t="s">
        <v>2683</v>
      </c>
      <c r="C196" s="35" t="s">
        <v>18</v>
      </c>
      <c r="D196" s="32" t="s">
        <v>1089</v>
      </c>
      <c r="E196" s="80" t="s">
        <v>37</v>
      </c>
    </row>
    <row r="197">
      <c r="B197" s="32" t="s">
        <v>299</v>
      </c>
      <c r="C197" s="35" t="s">
        <v>62</v>
      </c>
      <c r="D197" s="32" t="s">
        <v>2901</v>
      </c>
      <c r="E197" s="80" t="s">
        <v>33</v>
      </c>
    </row>
    <row r="198">
      <c r="B198" s="32" t="s">
        <v>2061</v>
      </c>
      <c r="C198" s="35" t="s">
        <v>21</v>
      </c>
      <c r="D198" s="32" t="s">
        <v>1089</v>
      </c>
      <c r="E198" s="80" t="s">
        <v>37</v>
      </c>
    </row>
    <row r="199">
      <c r="B199" s="72" t="s">
        <v>2902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16" t="s">
        <v>5</v>
      </c>
    </row>
    <row r="201">
      <c r="B201" s="32" t="s">
        <v>2903</v>
      </c>
      <c r="C201" s="33" t="s">
        <v>88</v>
      </c>
      <c r="D201" s="32" t="s">
        <v>1505</v>
      </c>
      <c r="E201" s="80" t="s">
        <v>33</v>
      </c>
    </row>
    <row r="202">
      <c r="B202" s="32" t="s">
        <v>2904</v>
      </c>
      <c r="C202" s="35" t="s">
        <v>201</v>
      </c>
      <c r="D202" s="32" t="s">
        <v>2905</v>
      </c>
      <c r="E202" s="80" t="s">
        <v>37</v>
      </c>
    </row>
    <row r="203">
      <c r="B203" s="32" t="s">
        <v>2169</v>
      </c>
      <c r="C203" s="35" t="s">
        <v>72</v>
      </c>
      <c r="D203" s="32" t="s">
        <v>2903</v>
      </c>
      <c r="E203" s="80" t="s">
        <v>33</v>
      </c>
    </row>
    <row r="204">
      <c r="B204" s="32" t="s">
        <v>2904</v>
      </c>
      <c r="C204" s="35" t="s">
        <v>190</v>
      </c>
      <c r="D204" s="32" t="s">
        <v>1505</v>
      </c>
      <c r="E204" s="80" t="s">
        <v>37</v>
      </c>
    </row>
    <row r="205">
      <c r="B205" s="32" t="s">
        <v>2169</v>
      </c>
      <c r="C205" s="35" t="s">
        <v>195</v>
      </c>
      <c r="D205" s="32" t="s">
        <v>2905</v>
      </c>
      <c r="E205" s="80" t="s">
        <v>33</v>
      </c>
      <c r="H205" s="36" t="s">
        <v>663</v>
      </c>
    </row>
    <row r="206">
      <c r="B206" s="32" t="s">
        <v>2904</v>
      </c>
      <c r="C206" s="35" t="s">
        <v>48</v>
      </c>
      <c r="D206" s="32" t="s">
        <v>2903</v>
      </c>
      <c r="E206" s="80" t="s">
        <v>37</v>
      </c>
    </row>
    <row r="207">
      <c r="B207" s="32" t="s">
        <v>2169</v>
      </c>
      <c r="C207" s="35" t="s">
        <v>66</v>
      </c>
      <c r="D207" s="32" t="s">
        <v>1505</v>
      </c>
      <c r="E207" s="80" t="s">
        <v>33</v>
      </c>
    </row>
    <row r="208">
      <c r="B208" s="32" t="s">
        <v>2905</v>
      </c>
      <c r="C208" s="35" t="s">
        <v>11</v>
      </c>
      <c r="D208" s="32" t="s">
        <v>2903</v>
      </c>
      <c r="E208" s="80" t="s">
        <v>37</v>
      </c>
    </row>
    <row r="209">
      <c r="B209" s="32" t="s">
        <v>2169</v>
      </c>
      <c r="C209" s="35" t="s">
        <v>19</v>
      </c>
      <c r="D209" s="32" t="s">
        <v>2904</v>
      </c>
      <c r="E209" s="80" t="s">
        <v>33</v>
      </c>
    </row>
    <row r="210">
      <c r="B210" s="32" t="s">
        <v>2905</v>
      </c>
      <c r="C210" s="35" t="s">
        <v>286</v>
      </c>
      <c r="D210" s="32" t="s">
        <v>1505</v>
      </c>
      <c r="E210" s="80" t="s">
        <v>37</v>
      </c>
    </row>
    <row r="211">
      <c r="B211" s="32" t="s">
        <v>1505</v>
      </c>
      <c r="C211" s="35" t="s">
        <v>317</v>
      </c>
      <c r="D211" s="32" t="s">
        <v>2903</v>
      </c>
      <c r="E211" s="80" t="s">
        <v>33</v>
      </c>
    </row>
    <row r="212">
      <c r="B212" s="32" t="s">
        <v>2905</v>
      </c>
      <c r="C212" s="35" t="s">
        <v>2906</v>
      </c>
      <c r="D212" s="32" t="s">
        <v>2904</v>
      </c>
      <c r="E212" s="80" t="s">
        <v>37</v>
      </c>
    </row>
    <row r="213">
      <c r="B213" s="32" t="s">
        <v>2903</v>
      </c>
      <c r="C213" s="35" t="s">
        <v>19</v>
      </c>
      <c r="D213" s="32" t="s">
        <v>2169</v>
      </c>
      <c r="E213" s="80" t="s">
        <v>33</v>
      </c>
    </row>
    <row r="214">
      <c r="B214" s="32" t="s">
        <v>1505</v>
      </c>
      <c r="C214" s="35" t="s">
        <v>270</v>
      </c>
      <c r="D214" s="32" t="s">
        <v>2904</v>
      </c>
      <c r="E214" s="80" t="s">
        <v>37</v>
      </c>
    </row>
    <row r="215">
      <c r="B215" s="32" t="s">
        <v>2905</v>
      </c>
      <c r="C215" s="35" t="s">
        <v>81</v>
      </c>
      <c r="D215" s="32" t="s">
        <v>2169</v>
      </c>
      <c r="E215" s="80" t="s">
        <v>33</v>
      </c>
    </row>
    <row r="216">
      <c r="B216" s="32" t="s">
        <v>2903</v>
      </c>
      <c r="C216" s="35" t="s">
        <v>43</v>
      </c>
      <c r="D216" s="32" t="s">
        <v>2904</v>
      </c>
      <c r="E216" s="80" t="s">
        <v>37</v>
      </c>
    </row>
    <row r="217">
      <c r="B217" s="32" t="s">
        <v>1505</v>
      </c>
      <c r="C217" s="35" t="s">
        <v>22</v>
      </c>
      <c r="D217" s="32" t="s">
        <v>2169</v>
      </c>
      <c r="E217" s="80" t="s">
        <v>33</v>
      </c>
    </row>
    <row r="218">
      <c r="B218" s="32" t="s">
        <v>2903</v>
      </c>
      <c r="C218" s="35" t="s">
        <v>43</v>
      </c>
      <c r="D218" s="32" t="s">
        <v>2905</v>
      </c>
      <c r="E218" s="80" t="s">
        <v>37</v>
      </c>
    </row>
    <row r="219">
      <c r="B219" s="32" t="s">
        <v>2904</v>
      </c>
      <c r="C219" s="35" t="s">
        <v>722</v>
      </c>
      <c r="D219" s="32" t="s">
        <v>2169</v>
      </c>
      <c r="E219" s="80" t="s">
        <v>33</v>
      </c>
    </row>
    <row r="220">
      <c r="B220" s="32" t="s">
        <v>1505</v>
      </c>
      <c r="C220" s="35" t="s">
        <v>21</v>
      </c>
      <c r="D220" s="32" t="s">
        <v>2905</v>
      </c>
      <c r="E220" s="80" t="s">
        <v>37</v>
      </c>
    </row>
    <row r="221">
      <c r="B221" s="28" t="s">
        <v>2907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34" t="s">
        <v>2842</v>
      </c>
      <c r="C223" s="35" t="s">
        <v>43</v>
      </c>
      <c r="D223" s="34" t="s">
        <v>2823</v>
      </c>
      <c r="E223" s="11" t="s">
        <v>9</v>
      </c>
    </row>
    <row r="224">
      <c r="B224" s="34" t="s">
        <v>1706</v>
      </c>
      <c r="C224" s="35" t="s">
        <v>389</v>
      </c>
      <c r="D224" s="34" t="s">
        <v>1950</v>
      </c>
      <c r="E224" s="11" t="s">
        <v>13</v>
      </c>
    </row>
    <row r="225">
      <c r="B225" s="34" t="s">
        <v>1033</v>
      </c>
      <c r="C225" s="35" t="s">
        <v>62</v>
      </c>
      <c r="D225" s="34" t="s">
        <v>2842</v>
      </c>
      <c r="E225" s="11" t="s">
        <v>9</v>
      </c>
    </row>
    <row r="226">
      <c r="B226" s="34" t="s">
        <v>1706</v>
      </c>
      <c r="C226" s="35" t="s">
        <v>7</v>
      </c>
      <c r="D226" s="34" t="s">
        <v>2823</v>
      </c>
      <c r="E226" s="11" t="s">
        <v>13</v>
      </c>
    </row>
    <row r="227">
      <c r="B227" s="34" t="s">
        <v>1033</v>
      </c>
      <c r="C227" s="35" t="s">
        <v>190</v>
      </c>
      <c r="D227" s="34" t="s">
        <v>1950</v>
      </c>
      <c r="E227" s="11" t="s">
        <v>9</v>
      </c>
    </row>
    <row r="228">
      <c r="B228" s="34" t="s">
        <v>1706</v>
      </c>
      <c r="C228" s="35" t="s">
        <v>260</v>
      </c>
      <c r="D228" s="34" t="s">
        <v>2842</v>
      </c>
      <c r="E228" s="11" t="s">
        <v>13</v>
      </c>
    </row>
    <row r="229">
      <c r="B229" s="34" t="s">
        <v>1033</v>
      </c>
      <c r="C229" s="35" t="s">
        <v>297</v>
      </c>
      <c r="D229" s="34" t="s">
        <v>2823</v>
      </c>
      <c r="E229" s="11" t="s">
        <v>9</v>
      </c>
    </row>
    <row r="230">
      <c r="B230" s="34" t="s">
        <v>1950</v>
      </c>
      <c r="C230" s="35" t="s">
        <v>62</v>
      </c>
      <c r="D230" s="34" t="s">
        <v>2842</v>
      </c>
      <c r="E230" s="11" t="s">
        <v>13</v>
      </c>
    </row>
    <row r="231">
      <c r="B231" s="34" t="s">
        <v>1033</v>
      </c>
      <c r="C231" s="35" t="s">
        <v>27</v>
      </c>
      <c r="D231" s="34" t="s">
        <v>1706</v>
      </c>
      <c r="E231" s="11" t="s">
        <v>9</v>
      </c>
    </row>
    <row r="232">
      <c r="B232" s="34" t="s">
        <v>1950</v>
      </c>
      <c r="C232" s="35" t="s">
        <v>197</v>
      </c>
      <c r="D232" s="34" t="s">
        <v>2823</v>
      </c>
      <c r="E232" s="11" t="s">
        <v>13</v>
      </c>
    </row>
    <row r="233">
      <c r="B233" s="34" t="s">
        <v>2823</v>
      </c>
      <c r="C233" s="35" t="s">
        <v>239</v>
      </c>
      <c r="D233" s="34" t="s">
        <v>2842</v>
      </c>
      <c r="E233" s="11" t="s">
        <v>9</v>
      </c>
    </row>
    <row r="234">
      <c r="B234" s="34" t="s">
        <v>1950</v>
      </c>
      <c r="C234" s="35" t="s">
        <v>11</v>
      </c>
      <c r="D234" s="34" t="s">
        <v>1706</v>
      </c>
      <c r="E234" s="11" t="s">
        <v>13</v>
      </c>
    </row>
    <row r="235">
      <c r="B235" s="34" t="s">
        <v>2842</v>
      </c>
      <c r="C235" s="35" t="s">
        <v>201</v>
      </c>
      <c r="D235" s="34" t="s">
        <v>1033</v>
      </c>
      <c r="E235" s="11" t="s">
        <v>9</v>
      </c>
    </row>
    <row r="236">
      <c r="B236" s="34" t="s">
        <v>2823</v>
      </c>
      <c r="C236" s="35" t="s">
        <v>283</v>
      </c>
      <c r="D236" s="34" t="s">
        <v>1706</v>
      </c>
      <c r="E236" s="11" t="s">
        <v>13</v>
      </c>
    </row>
    <row r="237">
      <c r="B237" s="34" t="s">
        <v>1950</v>
      </c>
      <c r="C237" s="35" t="s">
        <v>196</v>
      </c>
      <c r="D237" s="34" t="s">
        <v>1033</v>
      </c>
      <c r="E237" s="11" t="s">
        <v>9</v>
      </c>
    </row>
    <row r="238">
      <c r="B238" s="34" t="s">
        <v>2842</v>
      </c>
      <c r="C238" s="35" t="s">
        <v>282</v>
      </c>
      <c r="D238" s="34" t="s">
        <v>1706</v>
      </c>
      <c r="E238" s="11" t="s">
        <v>13</v>
      </c>
    </row>
    <row r="239">
      <c r="B239" s="34" t="s">
        <v>2823</v>
      </c>
      <c r="C239" s="35" t="s">
        <v>357</v>
      </c>
      <c r="D239" s="34" t="s">
        <v>1033</v>
      </c>
      <c r="E239" s="11" t="s">
        <v>9</v>
      </c>
    </row>
    <row r="240">
      <c r="B240" s="34" t="s">
        <v>2842</v>
      </c>
      <c r="C240" s="35" t="s">
        <v>195</v>
      </c>
      <c r="D240" s="34" t="s">
        <v>1950</v>
      </c>
      <c r="E240" s="11" t="s">
        <v>13</v>
      </c>
    </row>
    <row r="241">
      <c r="B241" s="34" t="s">
        <v>1706</v>
      </c>
      <c r="C241" s="35" t="s">
        <v>11</v>
      </c>
      <c r="D241" s="34" t="s">
        <v>1033</v>
      </c>
      <c r="E241" s="11" t="s">
        <v>9</v>
      </c>
    </row>
    <row r="242">
      <c r="B242" s="34" t="s">
        <v>2823</v>
      </c>
      <c r="C242" s="35" t="s">
        <v>250</v>
      </c>
      <c r="D242" s="34" t="s">
        <v>1950</v>
      </c>
      <c r="E242" s="11" t="s">
        <v>13</v>
      </c>
    </row>
    <row r="243">
      <c r="B243" s="28" t="s">
        <v>2069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34" t="s">
        <v>2908</v>
      </c>
      <c r="C245" s="35" t="s">
        <v>28</v>
      </c>
      <c r="D245" s="34" t="s">
        <v>2909</v>
      </c>
      <c r="E245" s="11" t="s">
        <v>9</v>
      </c>
    </row>
    <row r="246">
      <c r="B246" s="34" t="s">
        <v>1866</v>
      </c>
      <c r="C246" s="35" t="s">
        <v>68</v>
      </c>
      <c r="D246" s="34" t="s">
        <v>1903</v>
      </c>
      <c r="E246" s="11" t="s">
        <v>13</v>
      </c>
    </row>
    <row r="247">
      <c r="B247" s="34" t="s">
        <v>2210</v>
      </c>
      <c r="C247" s="35" t="s">
        <v>38</v>
      </c>
      <c r="D247" s="34" t="s">
        <v>2908</v>
      </c>
      <c r="E247" s="11" t="s">
        <v>9</v>
      </c>
    </row>
    <row r="248">
      <c r="B248" s="34" t="s">
        <v>1866</v>
      </c>
      <c r="C248" s="35" t="s">
        <v>404</v>
      </c>
      <c r="D248" s="34" t="s">
        <v>2909</v>
      </c>
      <c r="E248" s="11" t="s">
        <v>13</v>
      </c>
    </row>
    <row r="249">
      <c r="B249" s="34" t="s">
        <v>2210</v>
      </c>
      <c r="C249" s="35" t="s">
        <v>294</v>
      </c>
      <c r="D249" s="34" t="s">
        <v>1903</v>
      </c>
      <c r="E249" s="11" t="s">
        <v>9</v>
      </c>
    </row>
    <row r="250">
      <c r="B250" s="34" t="s">
        <v>1866</v>
      </c>
      <c r="C250" s="35" t="s">
        <v>62</v>
      </c>
      <c r="D250" s="34" t="s">
        <v>2908</v>
      </c>
      <c r="E250" s="11" t="s">
        <v>13</v>
      </c>
    </row>
    <row r="251">
      <c r="B251" s="34" t="s">
        <v>2210</v>
      </c>
      <c r="C251" s="35" t="s">
        <v>47</v>
      </c>
      <c r="D251" s="34" t="s">
        <v>2909</v>
      </c>
      <c r="E251" s="11" t="s">
        <v>9</v>
      </c>
    </row>
    <row r="252">
      <c r="B252" s="34" t="s">
        <v>1903</v>
      </c>
      <c r="C252" s="35" t="s">
        <v>239</v>
      </c>
      <c r="D252" s="34" t="s">
        <v>2908</v>
      </c>
      <c r="E252" s="11" t="s">
        <v>13</v>
      </c>
    </row>
    <row r="253">
      <c r="B253" s="34" t="s">
        <v>2210</v>
      </c>
      <c r="C253" s="35" t="s">
        <v>319</v>
      </c>
      <c r="D253" s="34" t="s">
        <v>1866</v>
      </c>
      <c r="E253" s="11" t="s">
        <v>9</v>
      </c>
    </row>
    <row r="254">
      <c r="B254" s="34" t="s">
        <v>1903</v>
      </c>
      <c r="C254" s="35" t="s">
        <v>195</v>
      </c>
      <c r="D254" s="34" t="s">
        <v>2909</v>
      </c>
      <c r="E254" s="11" t="s">
        <v>13</v>
      </c>
    </row>
    <row r="255">
      <c r="B255" s="34" t="s">
        <v>2909</v>
      </c>
      <c r="C255" s="35" t="s">
        <v>190</v>
      </c>
      <c r="D255" s="34" t="s">
        <v>2908</v>
      </c>
      <c r="E255" s="11" t="s">
        <v>9</v>
      </c>
    </row>
    <row r="256">
      <c r="B256" s="34" t="s">
        <v>1903</v>
      </c>
      <c r="C256" s="35" t="s">
        <v>71</v>
      </c>
      <c r="D256" s="34" t="s">
        <v>1866</v>
      </c>
      <c r="E256" s="11" t="s">
        <v>13</v>
      </c>
    </row>
    <row r="257">
      <c r="B257" s="34" t="s">
        <v>2908</v>
      </c>
      <c r="C257" s="35" t="s">
        <v>239</v>
      </c>
      <c r="D257" s="34" t="s">
        <v>2210</v>
      </c>
      <c r="E257" s="11" t="s">
        <v>9</v>
      </c>
    </row>
    <row r="258">
      <c r="B258" s="34" t="s">
        <v>2909</v>
      </c>
      <c r="C258" s="35" t="s">
        <v>556</v>
      </c>
      <c r="D258" s="34" t="s">
        <v>1866</v>
      </c>
      <c r="E258" s="11" t="s">
        <v>13</v>
      </c>
    </row>
    <row r="259">
      <c r="B259" s="34" t="s">
        <v>1903</v>
      </c>
      <c r="C259" s="35" t="s">
        <v>62</v>
      </c>
      <c r="D259" s="34" t="s">
        <v>2210</v>
      </c>
      <c r="E259" s="11" t="s">
        <v>9</v>
      </c>
    </row>
    <row r="260">
      <c r="B260" s="34" t="s">
        <v>2908</v>
      </c>
      <c r="C260" s="35" t="s">
        <v>14</v>
      </c>
      <c r="D260" s="34" t="s">
        <v>1866</v>
      </c>
      <c r="E260" s="11" t="s">
        <v>13</v>
      </c>
    </row>
    <row r="261">
      <c r="B261" s="34" t="s">
        <v>2909</v>
      </c>
      <c r="C261" s="35" t="s">
        <v>239</v>
      </c>
      <c r="D261" s="34" t="s">
        <v>2210</v>
      </c>
      <c r="E261" s="11" t="s">
        <v>9</v>
      </c>
    </row>
    <row r="262">
      <c r="B262" s="34" t="s">
        <v>2908</v>
      </c>
      <c r="C262" s="35" t="s">
        <v>81</v>
      </c>
      <c r="D262" s="34" t="s">
        <v>1903</v>
      </c>
      <c r="E262" s="11" t="s">
        <v>13</v>
      </c>
    </row>
    <row r="263">
      <c r="B263" s="34" t="s">
        <v>1866</v>
      </c>
      <c r="C263" s="35" t="s">
        <v>488</v>
      </c>
      <c r="D263" s="34" t="s">
        <v>2210</v>
      </c>
      <c r="E263" s="11" t="s">
        <v>9</v>
      </c>
    </row>
    <row r="264">
      <c r="B264" s="34" t="s">
        <v>2909</v>
      </c>
      <c r="C264" s="35" t="s">
        <v>48</v>
      </c>
      <c r="D264" s="34" t="s">
        <v>1903</v>
      </c>
      <c r="E264" s="11" t="s">
        <v>13</v>
      </c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/>
      <c r="B1" s="72" t="s">
        <v>2910</v>
      </c>
      <c r="C1" s="2"/>
      <c r="D1" s="3"/>
      <c r="E1" s="29"/>
    </row>
    <row r="2">
      <c r="A2" s="66"/>
      <c r="B2" s="6" t="s">
        <v>2</v>
      </c>
      <c r="C2" s="6" t="s">
        <v>3</v>
      </c>
      <c r="D2" s="6" t="s">
        <v>4</v>
      </c>
      <c r="E2" s="6" t="s">
        <v>5</v>
      </c>
    </row>
    <row r="3">
      <c r="A3" s="66"/>
      <c r="B3" s="34" t="s">
        <v>2911</v>
      </c>
      <c r="C3" s="35" t="s">
        <v>87</v>
      </c>
      <c r="D3" s="34" t="s">
        <v>2749</v>
      </c>
      <c r="E3" s="11" t="s">
        <v>9</v>
      </c>
    </row>
    <row r="4">
      <c r="A4" s="66"/>
      <c r="B4" s="34" t="s">
        <v>105</v>
      </c>
      <c r="C4" s="35" t="s">
        <v>196</v>
      </c>
      <c r="D4" s="32" t="s">
        <v>2912</v>
      </c>
      <c r="E4" s="11" t="s">
        <v>13</v>
      </c>
    </row>
    <row r="5">
      <c r="A5" s="66"/>
      <c r="B5" s="34" t="s">
        <v>2913</v>
      </c>
      <c r="C5" s="35" t="s">
        <v>190</v>
      </c>
      <c r="D5" s="34" t="s">
        <v>2911</v>
      </c>
      <c r="E5" s="11" t="s">
        <v>9</v>
      </c>
    </row>
    <row r="6">
      <c r="A6" s="66"/>
      <c r="B6" s="34" t="s">
        <v>105</v>
      </c>
      <c r="C6" s="35" t="s">
        <v>11</v>
      </c>
      <c r="D6" s="34" t="s">
        <v>2749</v>
      </c>
      <c r="E6" s="11" t="s">
        <v>13</v>
      </c>
    </row>
    <row r="7">
      <c r="A7" s="66"/>
      <c r="B7" s="34" t="s">
        <v>2913</v>
      </c>
      <c r="C7" s="35" t="s">
        <v>22</v>
      </c>
      <c r="D7" s="32" t="s">
        <v>2912</v>
      </c>
      <c r="E7" s="11" t="s">
        <v>9</v>
      </c>
    </row>
    <row r="8">
      <c r="A8" s="66"/>
      <c r="B8" s="34" t="s">
        <v>105</v>
      </c>
      <c r="C8" s="35" t="s">
        <v>218</v>
      </c>
      <c r="D8" s="34" t="s">
        <v>2911</v>
      </c>
      <c r="E8" s="11" t="s">
        <v>13</v>
      </c>
    </row>
    <row r="9">
      <c r="A9" s="66"/>
      <c r="B9" s="34" t="s">
        <v>2913</v>
      </c>
      <c r="C9" s="35" t="s">
        <v>195</v>
      </c>
      <c r="D9" s="34" t="s">
        <v>2749</v>
      </c>
      <c r="E9" s="11" t="s">
        <v>9</v>
      </c>
    </row>
    <row r="10">
      <c r="A10" s="66"/>
      <c r="B10" s="32" t="s">
        <v>2912</v>
      </c>
      <c r="C10" s="35" t="s">
        <v>66</v>
      </c>
      <c r="D10" s="34" t="s">
        <v>2911</v>
      </c>
      <c r="E10" s="11" t="s">
        <v>13</v>
      </c>
    </row>
    <row r="11">
      <c r="A11" s="66"/>
      <c r="B11" s="34" t="s">
        <v>2913</v>
      </c>
      <c r="C11" s="35" t="s">
        <v>196</v>
      </c>
      <c r="D11" s="34" t="s">
        <v>105</v>
      </c>
      <c r="E11" s="11" t="s">
        <v>9</v>
      </c>
    </row>
    <row r="12">
      <c r="A12" s="66"/>
      <c r="B12" s="32" t="s">
        <v>2912</v>
      </c>
      <c r="C12" s="35" t="s">
        <v>293</v>
      </c>
      <c r="D12" s="34" t="s">
        <v>2749</v>
      </c>
      <c r="E12" s="11" t="s">
        <v>13</v>
      </c>
    </row>
    <row r="13">
      <c r="A13" s="66"/>
      <c r="B13" s="34" t="s">
        <v>2749</v>
      </c>
      <c r="C13" s="35" t="s">
        <v>337</v>
      </c>
      <c r="D13" s="34" t="s">
        <v>2911</v>
      </c>
      <c r="E13" s="11" t="s">
        <v>9</v>
      </c>
    </row>
    <row r="14">
      <c r="A14" s="66"/>
      <c r="B14" s="32" t="s">
        <v>2912</v>
      </c>
      <c r="C14" s="35" t="s">
        <v>55</v>
      </c>
      <c r="D14" s="34" t="s">
        <v>105</v>
      </c>
      <c r="E14" s="11" t="s">
        <v>13</v>
      </c>
    </row>
    <row r="15">
      <c r="A15" s="66"/>
      <c r="B15" s="34" t="s">
        <v>2911</v>
      </c>
      <c r="C15" s="35" t="s">
        <v>251</v>
      </c>
      <c r="D15" s="34" t="s">
        <v>2913</v>
      </c>
      <c r="E15" s="11" t="s">
        <v>9</v>
      </c>
    </row>
    <row r="16">
      <c r="A16" s="66"/>
      <c r="B16" s="34" t="s">
        <v>2749</v>
      </c>
      <c r="C16" s="35" t="s">
        <v>197</v>
      </c>
      <c r="D16" s="34" t="s">
        <v>105</v>
      </c>
      <c r="E16" s="11" t="s">
        <v>13</v>
      </c>
    </row>
    <row r="17">
      <c r="A17" s="66"/>
      <c r="B17" s="32" t="s">
        <v>2912</v>
      </c>
      <c r="C17" s="35" t="s">
        <v>187</v>
      </c>
      <c r="D17" s="34" t="s">
        <v>2913</v>
      </c>
      <c r="E17" s="11" t="s">
        <v>9</v>
      </c>
    </row>
    <row r="18">
      <c r="A18" s="66"/>
      <c r="B18" s="34" t="s">
        <v>2911</v>
      </c>
      <c r="C18" s="35" t="s">
        <v>195</v>
      </c>
      <c r="D18" s="34" t="s">
        <v>105</v>
      </c>
      <c r="E18" s="11" t="s">
        <v>13</v>
      </c>
    </row>
    <row r="19">
      <c r="A19" s="66"/>
      <c r="B19" s="34" t="s">
        <v>2749</v>
      </c>
      <c r="C19" s="35" t="s">
        <v>62</v>
      </c>
      <c r="D19" s="34" t="s">
        <v>2913</v>
      </c>
      <c r="E19" s="11" t="s">
        <v>9</v>
      </c>
    </row>
    <row r="20">
      <c r="A20" s="66"/>
      <c r="B20" s="34" t="s">
        <v>2911</v>
      </c>
      <c r="C20" s="35" t="s">
        <v>378</v>
      </c>
      <c r="D20" s="32" t="s">
        <v>2912</v>
      </c>
      <c r="E20" s="11" t="s">
        <v>13</v>
      </c>
    </row>
    <row r="21">
      <c r="A21" s="66"/>
      <c r="B21" s="34" t="s">
        <v>105</v>
      </c>
      <c r="C21" s="35" t="s">
        <v>190</v>
      </c>
      <c r="D21" s="34" t="s">
        <v>2913</v>
      </c>
      <c r="E21" s="11" t="s">
        <v>9</v>
      </c>
    </row>
    <row r="22">
      <c r="A22" s="66"/>
      <c r="B22" s="34" t="s">
        <v>2749</v>
      </c>
      <c r="C22" s="35" t="s">
        <v>218</v>
      </c>
      <c r="D22" s="32" t="s">
        <v>2912</v>
      </c>
      <c r="E22" s="11" t="s">
        <v>13</v>
      </c>
    </row>
    <row r="23">
      <c r="A23" s="66"/>
      <c r="B23" s="72" t="s">
        <v>2308</v>
      </c>
      <c r="C23" s="2"/>
      <c r="D23" s="3"/>
      <c r="E23" s="29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973</v>
      </c>
      <c r="C25" s="35" t="s">
        <v>16</v>
      </c>
      <c r="D25" s="34" t="s">
        <v>2914</v>
      </c>
      <c r="E25" s="11" t="s">
        <v>9</v>
      </c>
    </row>
    <row r="26">
      <c r="A26" s="66"/>
      <c r="B26" s="34" t="s">
        <v>633</v>
      </c>
      <c r="C26" s="35" t="s">
        <v>58</v>
      </c>
      <c r="D26" s="32" t="s">
        <v>974</v>
      </c>
      <c r="E26" s="11" t="s">
        <v>13</v>
      </c>
    </row>
    <row r="27">
      <c r="A27" s="66"/>
      <c r="B27" s="34" t="s">
        <v>2915</v>
      </c>
      <c r="C27" s="35" t="s">
        <v>283</v>
      </c>
      <c r="D27" s="34" t="s">
        <v>973</v>
      </c>
      <c r="E27" s="11" t="s">
        <v>9</v>
      </c>
    </row>
    <row r="28">
      <c r="A28" s="66"/>
      <c r="B28" s="34" t="s">
        <v>633</v>
      </c>
      <c r="C28" s="35" t="s">
        <v>43</v>
      </c>
      <c r="D28" s="34" t="s">
        <v>2914</v>
      </c>
      <c r="E28" s="11" t="s">
        <v>13</v>
      </c>
    </row>
    <row r="29">
      <c r="A29" s="66"/>
      <c r="B29" s="34" t="s">
        <v>2915</v>
      </c>
      <c r="C29" s="35" t="s">
        <v>196</v>
      </c>
      <c r="D29" s="32" t="s">
        <v>974</v>
      </c>
      <c r="E29" s="11" t="s">
        <v>9</v>
      </c>
    </row>
    <row r="30">
      <c r="A30" s="66"/>
      <c r="B30" s="34" t="s">
        <v>633</v>
      </c>
      <c r="C30" s="35" t="s">
        <v>190</v>
      </c>
      <c r="D30" s="34" t="s">
        <v>973</v>
      </c>
      <c r="E30" s="11" t="s">
        <v>13</v>
      </c>
    </row>
    <row r="31">
      <c r="A31" s="66"/>
      <c r="B31" s="34" t="s">
        <v>2915</v>
      </c>
      <c r="C31" s="35" t="s">
        <v>16</v>
      </c>
      <c r="D31" s="34" t="s">
        <v>2914</v>
      </c>
      <c r="E31" s="11" t="s">
        <v>9</v>
      </c>
    </row>
    <row r="32">
      <c r="A32" s="66"/>
      <c r="B32" s="32" t="s">
        <v>974</v>
      </c>
      <c r="C32" s="35" t="s">
        <v>68</v>
      </c>
      <c r="D32" s="34" t="s">
        <v>973</v>
      </c>
      <c r="E32" s="11" t="s">
        <v>13</v>
      </c>
    </row>
    <row r="33">
      <c r="A33" s="66"/>
      <c r="B33" s="34" t="s">
        <v>2915</v>
      </c>
      <c r="C33" s="35" t="s">
        <v>76</v>
      </c>
      <c r="D33" s="34" t="s">
        <v>633</v>
      </c>
      <c r="E33" s="11" t="s">
        <v>9</v>
      </c>
    </row>
    <row r="34">
      <c r="A34" s="66"/>
      <c r="B34" s="32" t="s">
        <v>974</v>
      </c>
      <c r="C34" s="35" t="s">
        <v>416</v>
      </c>
      <c r="D34" s="34" t="s">
        <v>2914</v>
      </c>
      <c r="E34" s="11" t="s">
        <v>13</v>
      </c>
    </row>
    <row r="35">
      <c r="A35" s="66"/>
      <c r="B35" s="34" t="s">
        <v>2914</v>
      </c>
      <c r="C35" s="35" t="s">
        <v>240</v>
      </c>
      <c r="D35" s="34" t="s">
        <v>973</v>
      </c>
      <c r="E35" s="11" t="s">
        <v>9</v>
      </c>
    </row>
    <row r="36">
      <c r="A36" s="66"/>
      <c r="B36" s="32" t="s">
        <v>974</v>
      </c>
      <c r="C36" s="35" t="s">
        <v>416</v>
      </c>
      <c r="D36" s="34" t="s">
        <v>633</v>
      </c>
      <c r="E36" s="11" t="s">
        <v>13</v>
      </c>
    </row>
    <row r="37">
      <c r="A37" s="66"/>
      <c r="B37" s="34" t="s">
        <v>973</v>
      </c>
      <c r="C37" s="35" t="s">
        <v>243</v>
      </c>
      <c r="D37" s="34" t="s">
        <v>2915</v>
      </c>
      <c r="E37" s="11" t="s">
        <v>9</v>
      </c>
    </row>
    <row r="38">
      <c r="A38" s="66"/>
      <c r="B38" s="34" t="s">
        <v>2914</v>
      </c>
      <c r="C38" s="35" t="s">
        <v>14</v>
      </c>
      <c r="D38" s="34" t="s">
        <v>633</v>
      </c>
      <c r="E38" s="11" t="s">
        <v>13</v>
      </c>
    </row>
    <row r="39">
      <c r="A39" s="66"/>
      <c r="B39" s="32" t="s">
        <v>974</v>
      </c>
      <c r="C39" s="35" t="s">
        <v>251</v>
      </c>
      <c r="D39" s="34" t="s">
        <v>2915</v>
      </c>
      <c r="E39" s="11" t="s">
        <v>9</v>
      </c>
    </row>
    <row r="40">
      <c r="A40" s="66"/>
      <c r="B40" s="34" t="s">
        <v>973</v>
      </c>
      <c r="C40" s="35" t="s">
        <v>578</v>
      </c>
      <c r="D40" s="34" t="s">
        <v>633</v>
      </c>
      <c r="E40" s="11" t="s">
        <v>13</v>
      </c>
    </row>
    <row r="41">
      <c r="A41" s="66"/>
      <c r="B41" s="34" t="s">
        <v>2914</v>
      </c>
      <c r="C41" s="35" t="s">
        <v>239</v>
      </c>
      <c r="D41" s="34" t="s">
        <v>2915</v>
      </c>
      <c r="E41" s="11" t="s">
        <v>9</v>
      </c>
    </row>
    <row r="42">
      <c r="A42" s="66"/>
      <c r="B42" s="34" t="s">
        <v>973</v>
      </c>
      <c r="C42" s="35" t="s">
        <v>72</v>
      </c>
      <c r="D42" s="32" t="s">
        <v>974</v>
      </c>
      <c r="E42" s="11" t="s">
        <v>13</v>
      </c>
    </row>
    <row r="43">
      <c r="A43" s="66"/>
      <c r="B43" s="34" t="s">
        <v>633</v>
      </c>
      <c r="C43" s="35" t="s">
        <v>67</v>
      </c>
      <c r="D43" s="34" t="s">
        <v>2915</v>
      </c>
      <c r="E43" s="11" t="s">
        <v>9</v>
      </c>
    </row>
    <row r="44">
      <c r="A44" s="67"/>
      <c r="B44" s="34" t="s">
        <v>2914</v>
      </c>
      <c r="C44" s="35" t="s">
        <v>190</v>
      </c>
      <c r="D44" s="32" t="s">
        <v>974</v>
      </c>
      <c r="E44" s="11" t="s">
        <v>13</v>
      </c>
    </row>
    <row r="45">
      <c r="B45" s="72" t="s">
        <v>2547</v>
      </c>
      <c r="C45" s="2"/>
      <c r="D45" s="3"/>
      <c r="E45" s="84"/>
    </row>
    <row r="46">
      <c r="B46" s="85" t="s">
        <v>2</v>
      </c>
      <c r="C46" s="86" t="s">
        <v>3</v>
      </c>
      <c r="D46" s="86" t="s">
        <v>4</v>
      </c>
      <c r="E46" s="86" t="s">
        <v>5</v>
      </c>
    </row>
    <row r="47">
      <c r="B47" s="32" t="s">
        <v>2249</v>
      </c>
      <c r="C47" s="35" t="s">
        <v>68</v>
      </c>
      <c r="D47" s="32" t="s">
        <v>2513</v>
      </c>
      <c r="E47" s="80" t="s">
        <v>33</v>
      </c>
    </row>
    <row r="48">
      <c r="B48" s="32" t="s">
        <v>2916</v>
      </c>
      <c r="C48" s="35" t="s">
        <v>64</v>
      </c>
      <c r="D48" s="32" t="s">
        <v>2917</v>
      </c>
      <c r="E48" s="80" t="s">
        <v>37</v>
      </c>
    </row>
    <row r="49">
      <c r="B49" s="32" t="s">
        <v>2734</v>
      </c>
      <c r="C49" s="35" t="s">
        <v>283</v>
      </c>
      <c r="D49" s="32" t="s">
        <v>2249</v>
      </c>
      <c r="E49" s="80" t="s">
        <v>33</v>
      </c>
    </row>
    <row r="50">
      <c r="B50" s="32" t="s">
        <v>2916</v>
      </c>
      <c r="C50" s="35" t="s">
        <v>328</v>
      </c>
      <c r="D50" s="32" t="s">
        <v>2513</v>
      </c>
      <c r="E50" s="80" t="s">
        <v>37</v>
      </c>
    </row>
    <row r="51">
      <c r="B51" s="32" t="s">
        <v>2734</v>
      </c>
      <c r="C51" s="35" t="s">
        <v>581</v>
      </c>
      <c r="D51" s="32" t="s">
        <v>2917</v>
      </c>
      <c r="E51" s="80" t="s">
        <v>33</v>
      </c>
    </row>
    <row r="52">
      <c r="B52" s="32" t="s">
        <v>2916</v>
      </c>
      <c r="C52" s="35" t="s">
        <v>769</v>
      </c>
      <c r="D52" s="32" t="s">
        <v>2249</v>
      </c>
      <c r="E52" s="80" t="s">
        <v>37</v>
      </c>
    </row>
    <row r="53">
      <c r="B53" s="32" t="s">
        <v>2734</v>
      </c>
      <c r="C53" s="35" t="s">
        <v>1021</v>
      </c>
      <c r="D53" s="32" t="s">
        <v>2513</v>
      </c>
      <c r="E53" s="80" t="s">
        <v>33</v>
      </c>
    </row>
    <row r="54">
      <c r="B54" s="32" t="s">
        <v>2917</v>
      </c>
      <c r="C54" s="35" t="s">
        <v>306</v>
      </c>
      <c r="D54" s="32" t="s">
        <v>2249</v>
      </c>
      <c r="E54" s="80" t="s">
        <v>37</v>
      </c>
    </row>
    <row r="55">
      <c r="B55" s="32" t="s">
        <v>2734</v>
      </c>
      <c r="C55" s="35" t="s">
        <v>389</v>
      </c>
      <c r="D55" s="32" t="s">
        <v>2916</v>
      </c>
      <c r="E55" s="80" t="s">
        <v>33</v>
      </c>
    </row>
    <row r="56">
      <c r="B56" s="32" t="s">
        <v>2917</v>
      </c>
      <c r="C56" s="35" t="s">
        <v>2918</v>
      </c>
      <c r="D56" s="32" t="s">
        <v>2513</v>
      </c>
      <c r="E56" s="80" t="s">
        <v>37</v>
      </c>
    </row>
    <row r="57">
      <c r="B57" s="32" t="s">
        <v>2513</v>
      </c>
      <c r="C57" s="35" t="s">
        <v>1428</v>
      </c>
      <c r="D57" s="32" t="s">
        <v>2249</v>
      </c>
      <c r="E57" s="80" t="s">
        <v>33</v>
      </c>
    </row>
    <row r="58">
      <c r="B58" s="32" t="s">
        <v>2917</v>
      </c>
      <c r="C58" s="35" t="s">
        <v>88</v>
      </c>
      <c r="D58" s="32" t="s">
        <v>2916</v>
      </c>
      <c r="E58" s="80" t="s">
        <v>37</v>
      </c>
    </row>
    <row r="59">
      <c r="B59" s="32" t="s">
        <v>2249</v>
      </c>
      <c r="C59" s="35" t="s">
        <v>68</v>
      </c>
      <c r="D59" s="32" t="s">
        <v>2734</v>
      </c>
      <c r="E59" s="80" t="s">
        <v>33</v>
      </c>
    </row>
    <row r="60">
      <c r="B60" s="32" t="s">
        <v>2513</v>
      </c>
      <c r="C60" s="35" t="s">
        <v>35</v>
      </c>
      <c r="D60" s="32" t="s">
        <v>2916</v>
      </c>
      <c r="E60" s="80" t="s">
        <v>37</v>
      </c>
    </row>
    <row r="61">
      <c r="B61" s="32" t="s">
        <v>2917</v>
      </c>
      <c r="C61" s="35" t="s">
        <v>14</v>
      </c>
      <c r="D61" s="32" t="s">
        <v>2734</v>
      </c>
      <c r="E61" s="80" t="s">
        <v>33</v>
      </c>
    </row>
    <row r="62">
      <c r="B62" s="32" t="s">
        <v>2249</v>
      </c>
      <c r="C62" s="35" t="s">
        <v>52</v>
      </c>
      <c r="D62" s="32" t="s">
        <v>2916</v>
      </c>
      <c r="E62" s="80" t="s">
        <v>37</v>
      </c>
    </row>
    <row r="63">
      <c r="B63" s="32" t="s">
        <v>2513</v>
      </c>
      <c r="C63" s="35" t="s">
        <v>289</v>
      </c>
      <c r="D63" s="32" t="s">
        <v>2734</v>
      </c>
      <c r="E63" s="80" t="s">
        <v>33</v>
      </c>
    </row>
    <row r="64">
      <c r="B64" s="32" t="s">
        <v>2249</v>
      </c>
      <c r="C64" s="35" t="s">
        <v>244</v>
      </c>
      <c r="D64" s="32" t="s">
        <v>2917</v>
      </c>
      <c r="E64" s="80" t="s">
        <v>37</v>
      </c>
    </row>
    <row r="65">
      <c r="B65" s="32" t="s">
        <v>2916</v>
      </c>
      <c r="C65" s="35" t="s">
        <v>337</v>
      </c>
      <c r="D65" s="32" t="s">
        <v>2734</v>
      </c>
      <c r="E65" s="80" t="s">
        <v>33</v>
      </c>
    </row>
    <row r="66">
      <c r="B66" s="32" t="s">
        <v>2513</v>
      </c>
      <c r="C66" s="35" t="s">
        <v>69</v>
      </c>
      <c r="D66" s="32" t="s">
        <v>2917</v>
      </c>
      <c r="E66" s="80" t="s">
        <v>37</v>
      </c>
    </row>
    <row r="67">
      <c r="B67" s="72" t="s">
        <v>2646</v>
      </c>
      <c r="C67" s="2"/>
      <c r="D67" s="3"/>
      <c r="E67" s="84"/>
    </row>
    <row r="68">
      <c r="B68" s="85" t="s">
        <v>2</v>
      </c>
      <c r="C68" s="86" t="s">
        <v>3</v>
      </c>
      <c r="D68" s="86" t="s">
        <v>4</v>
      </c>
      <c r="E68" s="86" t="s">
        <v>5</v>
      </c>
    </row>
    <row r="69">
      <c r="B69" s="87" t="s">
        <v>1304</v>
      </c>
      <c r="C69" s="88" t="s">
        <v>19</v>
      </c>
      <c r="D69" s="89" t="s">
        <v>2146</v>
      </c>
      <c r="E69" s="80" t="s">
        <v>33</v>
      </c>
    </row>
    <row r="70">
      <c r="B70" s="87" t="s">
        <v>1008</v>
      </c>
      <c r="C70" s="88" t="s">
        <v>2256</v>
      </c>
      <c r="D70" s="89" t="s">
        <v>2803</v>
      </c>
      <c r="E70" s="80" t="s">
        <v>37</v>
      </c>
    </row>
    <row r="71">
      <c r="B71" s="87" t="s">
        <v>2804</v>
      </c>
      <c r="C71" s="88" t="s">
        <v>267</v>
      </c>
      <c r="D71" s="89" t="s">
        <v>1304</v>
      </c>
      <c r="E71" s="80" t="s">
        <v>33</v>
      </c>
    </row>
    <row r="72">
      <c r="B72" s="87" t="s">
        <v>1008</v>
      </c>
      <c r="C72" s="88" t="s">
        <v>351</v>
      </c>
      <c r="D72" s="89" t="s">
        <v>2146</v>
      </c>
      <c r="E72" s="80" t="s">
        <v>37</v>
      </c>
    </row>
    <row r="73">
      <c r="B73" s="87" t="s">
        <v>2804</v>
      </c>
      <c r="C73" s="88" t="s">
        <v>55</v>
      </c>
      <c r="D73" s="89" t="s">
        <v>2803</v>
      </c>
      <c r="E73" s="80" t="s">
        <v>33</v>
      </c>
    </row>
    <row r="74">
      <c r="B74" s="87" t="s">
        <v>1008</v>
      </c>
      <c r="C74" s="88" t="s">
        <v>41</v>
      </c>
      <c r="D74" s="89" t="s">
        <v>1304</v>
      </c>
      <c r="E74" s="80" t="s">
        <v>37</v>
      </c>
    </row>
    <row r="75">
      <c r="B75" s="87" t="s">
        <v>2804</v>
      </c>
      <c r="C75" s="88" t="s">
        <v>14</v>
      </c>
      <c r="D75" s="89" t="s">
        <v>2146</v>
      </c>
      <c r="E75" s="80" t="s">
        <v>33</v>
      </c>
    </row>
    <row r="76">
      <c r="B76" s="87" t="s">
        <v>2803</v>
      </c>
      <c r="C76" s="88" t="s">
        <v>312</v>
      </c>
      <c r="D76" s="89" t="s">
        <v>1304</v>
      </c>
      <c r="E76" s="80" t="s">
        <v>37</v>
      </c>
    </row>
    <row r="77">
      <c r="B77" s="87" t="s">
        <v>2804</v>
      </c>
      <c r="C77" s="88" t="s">
        <v>218</v>
      </c>
      <c r="D77" s="89" t="s">
        <v>1008</v>
      </c>
      <c r="E77" s="80" t="s">
        <v>33</v>
      </c>
    </row>
    <row r="78">
      <c r="B78" s="87" t="s">
        <v>2803</v>
      </c>
      <c r="C78" s="88" t="s">
        <v>19</v>
      </c>
      <c r="D78" s="89" t="s">
        <v>2146</v>
      </c>
      <c r="E78" s="80" t="s">
        <v>37</v>
      </c>
    </row>
    <row r="79">
      <c r="B79" s="87" t="s">
        <v>2146</v>
      </c>
      <c r="C79" s="88" t="s">
        <v>286</v>
      </c>
      <c r="D79" s="89" t="s">
        <v>1304</v>
      </c>
      <c r="E79" s="80" t="s">
        <v>33</v>
      </c>
    </row>
    <row r="80">
      <c r="B80" s="87" t="s">
        <v>2803</v>
      </c>
      <c r="C80" s="88" t="s">
        <v>71</v>
      </c>
      <c r="D80" s="89" t="s">
        <v>1008</v>
      </c>
      <c r="E80" s="80" t="s">
        <v>37</v>
      </c>
    </row>
    <row r="81">
      <c r="B81" s="87" t="s">
        <v>1304</v>
      </c>
      <c r="C81" s="88" t="s">
        <v>25</v>
      </c>
      <c r="D81" s="87" t="s">
        <v>2804</v>
      </c>
      <c r="E81" s="80" t="s">
        <v>33</v>
      </c>
      <c r="H81" s="36" t="s">
        <v>242</v>
      </c>
    </row>
    <row r="82">
      <c r="B82" s="87" t="s">
        <v>2146</v>
      </c>
      <c r="C82" s="88" t="s">
        <v>297</v>
      </c>
      <c r="D82" s="89" t="s">
        <v>1008</v>
      </c>
      <c r="E82" s="80" t="s">
        <v>37</v>
      </c>
    </row>
    <row r="83">
      <c r="B83" s="87" t="s">
        <v>2803</v>
      </c>
      <c r="C83" s="88" t="s">
        <v>20</v>
      </c>
      <c r="D83" s="87" t="s">
        <v>2804</v>
      </c>
      <c r="E83" s="80" t="s">
        <v>33</v>
      </c>
    </row>
    <row r="84">
      <c r="B84" s="87" t="s">
        <v>1304</v>
      </c>
      <c r="C84" s="88" t="s">
        <v>41</v>
      </c>
      <c r="D84" s="89" t="s">
        <v>1008</v>
      </c>
      <c r="E84" s="80" t="s">
        <v>37</v>
      </c>
    </row>
    <row r="85">
      <c r="B85" s="87" t="s">
        <v>2146</v>
      </c>
      <c r="C85" s="88" t="s">
        <v>2919</v>
      </c>
      <c r="D85" s="87" t="s">
        <v>2804</v>
      </c>
      <c r="E85" s="80" t="s">
        <v>33</v>
      </c>
    </row>
    <row r="86">
      <c r="B86" s="87" t="s">
        <v>1304</v>
      </c>
      <c r="C86" s="88" t="s">
        <v>1283</v>
      </c>
      <c r="D86" s="89" t="s">
        <v>2803</v>
      </c>
      <c r="E86" s="80" t="s">
        <v>37</v>
      </c>
    </row>
    <row r="87">
      <c r="B87" s="87" t="s">
        <v>1008</v>
      </c>
      <c r="C87" s="88" t="s">
        <v>72</v>
      </c>
      <c r="D87" s="87" t="s">
        <v>2804</v>
      </c>
      <c r="E87" s="80" t="s">
        <v>33</v>
      </c>
    </row>
    <row r="88">
      <c r="B88" s="87" t="s">
        <v>2146</v>
      </c>
      <c r="C88" s="88" t="s">
        <v>338</v>
      </c>
      <c r="D88" s="89" t="s">
        <v>2803</v>
      </c>
      <c r="E88" s="80" t="s">
        <v>37</v>
      </c>
    </row>
    <row r="89">
      <c r="B89" s="72" t="s">
        <v>2920</v>
      </c>
      <c r="C89" s="2"/>
      <c r="D89" s="3"/>
      <c r="E89" s="29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34" t="s">
        <v>2138</v>
      </c>
      <c r="C91" s="35" t="s">
        <v>17</v>
      </c>
      <c r="D91" s="34" t="s">
        <v>922</v>
      </c>
      <c r="E91" s="11" t="s">
        <v>9</v>
      </c>
    </row>
    <row r="92">
      <c r="B92" s="34" t="s">
        <v>2921</v>
      </c>
      <c r="C92" s="35" t="s">
        <v>87</v>
      </c>
      <c r="D92" s="8" t="s">
        <v>148</v>
      </c>
      <c r="E92" s="11" t="s">
        <v>13</v>
      </c>
    </row>
    <row r="93">
      <c r="B93" s="34" t="s">
        <v>2922</v>
      </c>
      <c r="C93" s="35" t="s">
        <v>87</v>
      </c>
      <c r="D93" s="34" t="s">
        <v>2138</v>
      </c>
      <c r="E93" s="11" t="s">
        <v>9</v>
      </c>
    </row>
    <row r="94">
      <c r="B94" s="34" t="s">
        <v>2921</v>
      </c>
      <c r="C94" s="35" t="s">
        <v>20</v>
      </c>
      <c r="D94" s="34" t="s">
        <v>922</v>
      </c>
      <c r="E94" s="11" t="s">
        <v>13</v>
      </c>
    </row>
    <row r="95">
      <c r="B95" s="34" t="s">
        <v>2922</v>
      </c>
      <c r="C95" s="35" t="s">
        <v>25</v>
      </c>
      <c r="D95" s="8" t="s">
        <v>148</v>
      </c>
      <c r="E95" s="11" t="s">
        <v>9</v>
      </c>
    </row>
    <row r="96">
      <c r="B96" s="34" t="s">
        <v>2921</v>
      </c>
      <c r="C96" s="35" t="s">
        <v>312</v>
      </c>
      <c r="D96" s="34" t="s">
        <v>2138</v>
      </c>
      <c r="E96" s="11" t="s">
        <v>13</v>
      </c>
    </row>
    <row r="97">
      <c r="B97" s="34" t="s">
        <v>2922</v>
      </c>
      <c r="C97" s="35" t="s">
        <v>11</v>
      </c>
      <c r="D97" s="34" t="s">
        <v>922</v>
      </c>
      <c r="E97" s="11" t="s">
        <v>9</v>
      </c>
    </row>
    <row r="98">
      <c r="B98" s="8" t="s">
        <v>148</v>
      </c>
      <c r="C98" s="35" t="s">
        <v>566</v>
      </c>
      <c r="D98" s="34" t="s">
        <v>2138</v>
      </c>
      <c r="E98" s="11" t="s">
        <v>13</v>
      </c>
    </row>
    <row r="99">
      <c r="B99" s="34" t="s">
        <v>2922</v>
      </c>
      <c r="C99" s="35" t="s">
        <v>239</v>
      </c>
      <c r="D99" s="34" t="s">
        <v>2921</v>
      </c>
      <c r="E99" s="11" t="s">
        <v>9</v>
      </c>
    </row>
    <row r="100">
      <c r="B100" s="8" t="s">
        <v>148</v>
      </c>
      <c r="C100" s="35" t="s">
        <v>270</v>
      </c>
      <c r="D100" s="34" t="s">
        <v>922</v>
      </c>
      <c r="E100" s="11" t="s">
        <v>13</v>
      </c>
    </row>
    <row r="101">
      <c r="B101" s="34" t="s">
        <v>922</v>
      </c>
      <c r="C101" s="35" t="s">
        <v>19</v>
      </c>
      <c r="D101" s="34" t="s">
        <v>2138</v>
      </c>
      <c r="E101" s="11" t="s">
        <v>9</v>
      </c>
    </row>
    <row r="102">
      <c r="B102" s="8" t="s">
        <v>148</v>
      </c>
      <c r="C102" s="35" t="s">
        <v>197</v>
      </c>
      <c r="D102" s="34" t="s">
        <v>2921</v>
      </c>
      <c r="E102" s="11" t="s">
        <v>13</v>
      </c>
    </row>
    <row r="103">
      <c r="B103" s="34" t="s">
        <v>2138</v>
      </c>
      <c r="C103" s="35" t="s">
        <v>355</v>
      </c>
      <c r="D103" s="34" t="s">
        <v>2922</v>
      </c>
      <c r="E103" s="11" t="s">
        <v>9</v>
      </c>
    </row>
    <row r="104">
      <c r="B104" s="34" t="s">
        <v>922</v>
      </c>
      <c r="C104" s="35" t="s">
        <v>218</v>
      </c>
      <c r="D104" s="34" t="s">
        <v>2921</v>
      </c>
      <c r="E104" s="11" t="s">
        <v>13</v>
      </c>
    </row>
    <row r="105">
      <c r="B105" s="8" t="s">
        <v>148</v>
      </c>
      <c r="C105" s="35" t="s">
        <v>337</v>
      </c>
      <c r="D105" s="34" t="s">
        <v>2922</v>
      </c>
      <c r="E105" s="11" t="s">
        <v>9</v>
      </c>
    </row>
    <row r="106">
      <c r="B106" s="34" t="s">
        <v>2138</v>
      </c>
      <c r="C106" s="35" t="s">
        <v>27</v>
      </c>
      <c r="D106" s="34" t="s">
        <v>2921</v>
      </c>
      <c r="E106" s="11" t="s">
        <v>13</v>
      </c>
    </row>
    <row r="107">
      <c r="B107" s="34" t="s">
        <v>922</v>
      </c>
      <c r="C107" s="35" t="s">
        <v>19</v>
      </c>
      <c r="D107" s="34" t="s">
        <v>2922</v>
      </c>
      <c r="E107" s="11" t="s">
        <v>9</v>
      </c>
    </row>
    <row r="108">
      <c r="B108" s="34" t="s">
        <v>2138</v>
      </c>
      <c r="C108" s="35" t="s">
        <v>416</v>
      </c>
      <c r="D108" s="8" t="s">
        <v>148</v>
      </c>
      <c r="E108" s="11" t="s">
        <v>13</v>
      </c>
    </row>
    <row r="109">
      <c r="B109" s="34" t="s">
        <v>2921</v>
      </c>
      <c r="C109" s="35" t="s">
        <v>319</v>
      </c>
      <c r="D109" s="34" t="s">
        <v>2922</v>
      </c>
      <c r="E109" s="11" t="s">
        <v>9</v>
      </c>
    </row>
    <row r="110">
      <c r="B110" s="34" t="s">
        <v>922</v>
      </c>
      <c r="C110" s="35" t="s">
        <v>87</v>
      </c>
      <c r="D110" s="8" t="s">
        <v>148</v>
      </c>
      <c r="E110" s="11" t="s">
        <v>13</v>
      </c>
    </row>
    <row r="111">
      <c r="B111" s="72" t="s">
        <v>2923</v>
      </c>
      <c r="C111" s="2"/>
      <c r="D111" s="3"/>
      <c r="E111" s="29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34" t="s">
        <v>1652</v>
      </c>
      <c r="C113" s="35" t="s">
        <v>251</v>
      </c>
      <c r="D113" s="34" t="s">
        <v>2679</v>
      </c>
      <c r="E113" s="11" t="s">
        <v>9</v>
      </c>
    </row>
    <row r="114">
      <c r="B114" s="34" t="s">
        <v>2924</v>
      </c>
      <c r="C114" s="35" t="s">
        <v>19</v>
      </c>
      <c r="D114" s="8" t="s">
        <v>1722</v>
      </c>
      <c r="E114" s="11" t="s">
        <v>13</v>
      </c>
    </row>
    <row r="115">
      <c r="B115" s="34" t="s">
        <v>2925</v>
      </c>
      <c r="C115" s="35" t="s">
        <v>239</v>
      </c>
      <c r="D115" s="34" t="s">
        <v>1652</v>
      </c>
      <c r="E115" s="11" t="s">
        <v>9</v>
      </c>
    </row>
    <row r="116">
      <c r="B116" s="34" t="s">
        <v>2924</v>
      </c>
      <c r="C116" s="35" t="s">
        <v>81</v>
      </c>
      <c r="D116" s="34" t="s">
        <v>2679</v>
      </c>
      <c r="E116" s="11" t="s">
        <v>13</v>
      </c>
    </row>
    <row r="117">
      <c r="B117" s="34" t="s">
        <v>2925</v>
      </c>
      <c r="C117" s="35" t="s">
        <v>320</v>
      </c>
      <c r="D117" s="8" t="s">
        <v>1722</v>
      </c>
      <c r="E117" s="11" t="s">
        <v>9</v>
      </c>
    </row>
    <row r="118">
      <c r="B118" s="34" t="s">
        <v>2924</v>
      </c>
      <c r="C118" s="35" t="s">
        <v>445</v>
      </c>
      <c r="D118" s="34" t="s">
        <v>1652</v>
      </c>
      <c r="E118" s="11" t="s">
        <v>13</v>
      </c>
    </row>
    <row r="119">
      <c r="B119" s="34" t="s">
        <v>2925</v>
      </c>
      <c r="C119" s="35" t="s">
        <v>16</v>
      </c>
      <c r="D119" s="34" t="s">
        <v>2679</v>
      </c>
      <c r="E119" s="11" t="s">
        <v>9</v>
      </c>
    </row>
    <row r="120">
      <c r="B120" s="8" t="s">
        <v>1722</v>
      </c>
      <c r="C120" s="35" t="s">
        <v>270</v>
      </c>
      <c r="D120" s="34" t="s">
        <v>1652</v>
      </c>
      <c r="E120" s="11" t="s">
        <v>13</v>
      </c>
    </row>
    <row r="121">
      <c r="B121" s="34" t="s">
        <v>2925</v>
      </c>
      <c r="C121" s="35" t="s">
        <v>17</v>
      </c>
      <c r="D121" s="34" t="s">
        <v>2924</v>
      </c>
      <c r="E121" s="11" t="s">
        <v>9</v>
      </c>
    </row>
    <row r="122">
      <c r="B122" s="8" t="s">
        <v>1722</v>
      </c>
      <c r="C122" s="35" t="s">
        <v>282</v>
      </c>
      <c r="D122" s="34" t="s">
        <v>2679</v>
      </c>
      <c r="E122" s="11" t="s">
        <v>13</v>
      </c>
    </row>
    <row r="123">
      <c r="B123" s="34" t="s">
        <v>2679</v>
      </c>
      <c r="C123" s="35" t="s">
        <v>62</v>
      </c>
      <c r="D123" s="34" t="s">
        <v>1652</v>
      </c>
      <c r="E123" s="11" t="s">
        <v>9</v>
      </c>
    </row>
    <row r="124">
      <c r="B124" s="8" t="s">
        <v>1722</v>
      </c>
      <c r="C124" s="35" t="s">
        <v>239</v>
      </c>
      <c r="D124" s="34" t="s">
        <v>2924</v>
      </c>
      <c r="E124" s="11" t="s">
        <v>13</v>
      </c>
    </row>
    <row r="125">
      <c r="B125" s="34" t="s">
        <v>1652</v>
      </c>
      <c r="C125" s="35" t="s">
        <v>362</v>
      </c>
      <c r="D125" s="34" t="s">
        <v>2925</v>
      </c>
      <c r="E125" s="11" t="s">
        <v>9</v>
      </c>
    </row>
    <row r="126">
      <c r="B126" s="34" t="s">
        <v>2679</v>
      </c>
      <c r="C126" s="35" t="s">
        <v>87</v>
      </c>
      <c r="D126" s="34" t="s">
        <v>2924</v>
      </c>
      <c r="E126" s="11" t="s">
        <v>13</v>
      </c>
    </row>
    <row r="127">
      <c r="B127" s="8" t="s">
        <v>1722</v>
      </c>
      <c r="C127" s="35" t="s">
        <v>416</v>
      </c>
      <c r="D127" s="34" t="s">
        <v>2925</v>
      </c>
      <c r="E127" s="11" t="s">
        <v>9</v>
      </c>
    </row>
    <row r="128">
      <c r="B128" s="34" t="s">
        <v>1652</v>
      </c>
      <c r="C128" s="35" t="s">
        <v>17</v>
      </c>
      <c r="D128" s="34" t="s">
        <v>2924</v>
      </c>
      <c r="E128" s="11" t="s">
        <v>13</v>
      </c>
    </row>
    <row r="129">
      <c r="B129" s="34" t="s">
        <v>2679</v>
      </c>
      <c r="C129" s="35" t="s">
        <v>66</v>
      </c>
      <c r="D129" s="34" t="s">
        <v>2925</v>
      </c>
      <c r="E129" s="11" t="s">
        <v>9</v>
      </c>
    </row>
    <row r="130">
      <c r="B130" s="34" t="s">
        <v>1652</v>
      </c>
      <c r="C130" s="35" t="s">
        <v>62</v>
      </c>
      <c r="D130" s="8" t="s">
        <v>1722</v>
      </c>
      <c r="E130" s="11" t="s">
        <v>13</v>
      </c>
    </row>
    <row r="131">
      <c r="B131" s="34" t="s">
        <v>2924</v>
      </c>
      <c r="C131" s="35" t="s">
        <v>197</v>
      </c>
      <c r="D131" s="34" t="s">
        <v>2925</v>
      </c>
      <c r="E131" s="11" t="s">
        <v>9</v>
      </c>
    </row>
    <row r="132">
      <c r="B132" s="34" t="s">
        <v>2679</v>
      </c>
      <c r="C132" s="35" t="s">
        <v>16</v>
      </c>
      <c r="D132" s="8" t="s">
        <v>1722</v>
      </c>
      <c r="E132" s="11" t="s">
        <v>13</v>
      </c>
    </row>
    <row r="133">
      <c r="B133" s="72" t="s">
        <v>2653</v>
      </c>
      <c r="C133" s="2"/>
      <c r="D133" s="3"/>
      <c r="E133" s="84"/>
    </row>
    <row r="134">
      <c r="B134" s="85" t="s">
        <v>2</v>
      </c>
      <c r="C134" s="86" t="s">
        <v>3</v>
      </c>
      <c r="D134" s="86" t="s">
        <v>4</v>
      </c>
      <c r="E134" s="86" t="s">
        <v>5</v>
      </c>
    </row>
    <row r="135">
      <c r="B135" s="87" t="s">
        <v>2732</v>
      </c>
      <c r="C135" s="88" t="s">
        <v>305</v>
      </c>
      <c r="D135" s="89" t="s">
        <v>2926</v>
      </c>
      <c r="E135" s="80" t="s">
        <v>33</v>
      </c>
    </row>
    <row r="136">
      <c r="B136" s="87" t="s">
        <v>2248</v>
      </c>
      <c r="C136" s="88" t="s">
        <v>48</v>
      </c>
      <c r="D136" s="89" t="s">
        <v>2598</v>
      </c>
      <c r="E136" s="80" t="s">
        <v>37</v>
      </c>
    </row>
    <row r="137">
      <c r="B137" s="87" t="s">
        <v>2927</v>
      </c>
      <c r="C137" s="88" t="s">
        <v>435</v>
      </c>
      <c r="D137" s="89" t="s">
        <v>2732</v>
      </c>
      <c r="E137" s="80" t="s">
        <v>33</v>
      </c>
    </row>
    <row r="138">
      <c r="B138" s="87" t="s">
        <v>2248</v>
      </c>
      <c r="C138" s="88" t="s">
        <v>328</v>
      </c>
      <c r="D138" s="89" t="s">
        <v>2926</v>
      </c>
      <c r="E138" s="80" t="s">
        <v>37</v>
      </c>
    </row>
    <row r="139">
      <c r="B139" s="87" t="s">
        <v>2927</v>
      </c>
      <c r="C139" s="88" t="s">
        <v>81</v>
      </c>
      <c r="D139" s="89" t="s">
        <v>2598</v>
      </c>
      <c r="E139" s="80" t="s">
        <v>33</v>
      </c>
    </row>
    <row r="140">
      <c r="B140" s="87" t="s">
        <v>2248</v>
      </c>
      <c r="C140" s="88" t="s">
        <v>232</v>
      </c>
      <c r="D140" s="89" t="s">
        <v>2732</v>
      </c>
      <c r="E140" s="80" t="s">
        <v>37</v>
      </c>
    </row>
    <row r="141">
      <c r="B141" s="87" t="s">
        <v>2927</v>
      </c>
      <c r="C141" s="88" t="s">
        <v>18</v>
      </c>
      <c r="D141" s="89" t="s">
        <v>2926</v>
      </c>
      <c r="E141" s="80" t="s">
        <v>33</v>
      </c>
    </row>
    <row r="142">
      <c r="B142" s="87" t="s">
        <v>2598</v>
      </c>
      <c r="C142" s="88" t="s">
        <v>196</v>
      </c>
      <c r="D142" s="89" t="s">
        <v>2732</v>
      </c>
      <c r="E142" s="80" t="s">
        <v>37</v>
      </c>
    </row>
    <row r="143">
      <c r="B143" s="87" t="s">
        <v>2927</v>
      </c>
      <c r="C143" s="88" t="s">
        <v>412</v>
      </c>
      <c r="D143" s="89" t="s">
        <v>2248</v>
      </c>
      <c r="E143" s="80" t="s">
        <v>33</v>
      </c>
    </row>
    <row r="144">
      <c r="B144" s="87" t="s">
        <v>2598</v>
      </c>
      <c r="C144" s="88" t="s">
        <v>55</v>
      </c>
      <c r="D144" s="89" t="s">
        <v>2926</v>
      </c>
      <c r="E144" s="80" t="s">
        <v>37</v>
      </c>
    </row>
    <row r="145">
      <c r="B145" s="87" t="s">
        <v>2926</v>
      </c>
      <c r="C145" s="88" t="s">
        <v>197</v>
      </c>
      <c r="D145" s="89" t="s">
        <v>2732</v>
      </c>
      <c r="E145" s="80" t="s">
        <v>33</v>
      </c>
    </row>
    <row r="146">
      <c r="B146" s="87" t="s">
        <v>2598</v>
      </c>
      <c r="C146" s="88" t="s">
        <v>42</v>
      </c>
      <c r="D146" s="89" t="s">
        <v>2248</v>
      </c>
      <c r="E146" s="80" t="s">
        <v>37</v>
      </c>
    </row>
    <row r="147">
      <c r="B147" s="87" t="s">
        <v>2732</v>
      </c>
      <c r="C147" s="88" t="s">
        <v>16</v>
      </c>
      <c r="D147" s="87" t="s">
        <v>2927</v>
      </c>
      <c r="E147" s="80" t="s">
        <v>33</v>
      </c>
    </row>
    <row r="148">
      <c r="B148" s="87" t="s">
        <v>2926</v>
      </c>
      <c r="C148" s="88" t="s">
        <v>22</v>
      </c>
      <c r="D148" s="89" t="s">
        <v>2248</v>
      </c>
      <c r="E148" s="80" t="s">
        <v>37</v>
      </c>
    </row>
    <row r="149">
      <c r="B149" s="87" t="s">
        <v>2598</v>
      </c>
      <c r="C149" s="88" t="s">
        <v>285</v>
      </c>
      <c r="D149" s="87" t="s">
        <v>2927</v>
      </c>
      <c r="E149" s="80" t="s">
        <v>33</v>
      </c>
    </row>
    <row r="150">
      <c r="B150" s="87" t="s">
        <v>2732</v>
      </c>
      <c r="C150" s="88" t="s">
        <v>23</v>
      </c>
      <c r="D150" s="89" t="s">
        <v>2248</v>
      </c>
      <c r="E150" s="80" t="s">
        <v>37</v>
      </c>
    </row>
    <row r="151">
      <c r="B151" s="87" t="s">
        <v>2926</v>
      </c>
      <c r="C151" s="88" t="s">
        <v>11</v>
      </c>
      <c r="D151" s="87" t="s">
        <v>2927</v>
      </c>
      <c r="E151" s="80" t="s">
        <v>33</v>
      </c>
    </row>
    <row r="152">
      <c r="B152" s="87" t="s">
        <v>2732</v>
      </c>
      <c r="C152" s="88" t="s">
        <v>64</v>
      </c>
      <c r="D152" s="89" t="s">
        <v>2598</v>
      </c>
      <c r="E152" s="80" t="s">
        <v>37</v>
      </c>
    </row>
    <row r="153">
      <c r="B153" s="87" t="s">
        <v>2248</v>
      </c>
      <c r="C153" s="88" t="s">
        <v>190</v>
      </c>
      <c r="D153" s="87" t="s">
        <v>2927</v>
      </c>
      <c r="E153" s="80" t="s">
        <v>33</v>
      </c>
    </row>
    <row r="154">
      <c r="B154" s="87" t="s">
        <v>2926</v>
      </c>
      <c r="C154" s="88" t="s">
        <v>66</v>
      </c>
      <c r="D154" s="89" t="s">
        <v>2598</v>
      </c>
      <c r="E154" s="80" t="s">
        <v>37</v>
      </c>
    </row>
    <row r="155">
      <c r="B155" s="72" t="s">
        <v>2928</v>
      </c>
      <c r="C155" s="2"/>
      <c r="D155" s="3"/>
      <c r="E155" s="84"/>
    </row>
    <row r="156">
      <c r="B156" s="85" t="s">
        <v>2</v>
      </c>
      <c r="C156" s="86" t="s">
        <v>3</v>
      </c>
      <c r="D156" s="86" t="s">
        <v>4</v>
      </c>
      <c r="E156" s="86" t="s">
        <v>5</v>
      </c>
    </row>
    <row r="157">
      <c r="B157" s="87" t="s">
        <v>2929</v>
      </c>
      <c r="C157" s="88" t="s">
        <v>207</v>
      </c>
      <c r="D157" s="89" t="s">
        <v>2930</v>
      </c>
      <c r="E157" s="80" t="s">
        <v>33</v>
      </c>
    </row>
    <row r="158">
      <c r="B158" s="87" t="s">
        <v>2931</v>
      </c>
      <c r="C158" s="88" t="s">
        <v>267</v>
      </c>
      <c r="D158" s="89" t="s">
        <v>2932</v>
      </c>
      <c r="E158" s="80" t="s">
        <v>37</v>
      </c>
    </row>
    <row r="159">
      <c r="B159" s="87" t="s">
        <v>2933</v>
      </c>
      <c r="C159" s="88" t="s">
        <v>197</v>
      </c>
      <c r="D159" s="89" t="s">
        <v>2929</v>
      </c>
      <c r="E159" s="80" t="s">
        <v>33</v>
      </c>
      <c r="I159" s="90" t="s">
        <v>37</v>
      </c>
    </row>
    <row r="160">
      <c r="B160" s="87" t="s">
        <v>2931</v>
      </c>
      <c r="C160" s="88" t="s">
        <v>28</v>
      </c>
      <c r="D160" s="89" t="s">
        <v>2930</v>
      </c>
      <c r="E160" s="80" t="s">
        <v>37</v>
      </c>
    </row>
    <row r="161">
      <c r="B161" s="87" t="s">
        <v>2933</v>
      </c>
      <c r="C161" s="88" t="s">
        <v>378</v>
      </c>
      <c r="D161" s="89" t="s">
        <v>2932</v>
      </c>
      <c r="E161" s="80" t="s">
        <v>33</v>
      </c>
    </row>
    <row r="162">
      <c r="B162" s="87" t="s">
        <v>2931</v>
      </c>
      <c r="C162" s="88" t="s">
        <v>494</v>
      </c>
      <c r="D162" s="89" t="s">
        <v>2929</v>
      </c>
      <c r="E162" s="80" t="s">
        <v>37</v>
      </c>
    </row>
    <row r="163">
      <c r="B163" s="87" t="s">
        <v>2933</v>
      </c>
      <c r="C163" s="88" t="s">
        <v>25</v>
      </c>
      <c r="D163" s="89" t="s">
        <v>2930</v>
      </c>
      <c r="E163" s="80" t="s">
        <v>33</v>
      </c>
    </row>
    <row r="164">
      <c r="B164" s="87" t="s">
        <v>2932</v>
      </c>
      <c r="C164" s="88" t="s">
        <v>751</v>
      </c>
      <c r="D164" s="89" t="s">
        <v>2929</v>
      </c>
      <c r="E164" s="80" t="s">
        <v>37</v>
      </c>
    </row>
    <row r="165">
      <c r="B165" s="87" t="s">
        <v>2933</v>
      </c>
      <c r="C165" s="88" t="s">
        <v>544</v>
      </c>
      <c r="D165" s="89" t="s">
        <v>2931</v>
      </c>
      <c r="E165" s="80" t="s">
        <v>33</v>
      </c>
    </row>
    <row r="166">
      <c r="B166" s="87" t="s">
        <v>2932</v>
      </c>
      <c r="C166" s="88" t="s">
        <v>67</v>
      </c>
      <c r="D166" s="89" t="s">
        <v>2930</v>
      </c>
      <c r="E166" s="80" t="s">
        <v>37</v>
      </c>
    </row>
    <row r="167">
      <c r="B167" s="87" t="s">
        <v>2930</v>
      </c>
      <c r="C167" s="88" t="s">
        <v>66</v>
      </c>
      <c r="D167" s="89" t="s">
        <v>2929</v>
      </c>
      <c r="E167" s="80" t="s">
        <v>33</v>
      </c>
    </row>
    <row r="168">
      <c r="B168" s="87" t="s">
        <v>2932</v>
      </c>
      <c r="C168" s="88" t="s">
        <v>2934</v>
      </c>
      <c r="D168" s="89" t="s">
        <v>2931</v>
      </c>
      <c r="E168" s="80" t="s">
        <v>37</v>
      </c>
    </row>
    <row r="169">
      <c r="B169" s="87" t="s">
        <v>2929</v>
      </c>
      <c r="C169" s="88" t="s">
        <v>244</v>
      </c>
      <c r="D169" s="87" t="s">
        <v>2933</v>
      </c>
      <c r="E169" s="80" t="s">
        <v>33</v>
      </c>
    </row>
    <row r="170">
      <c r="B170" s="87" t="s">
        <v>2930</v>
      </c>
      <c r="C170" s="88" t="s">
        <v>69</v>
      </c>
      <c r="D170" s="89" t="s">
        <v>2931</v>
      </c>
      <c r="E170" s="80" t="s">
        <v>37</v>
      </c>
    </row>
    <row r="171">
      <c r="B171" s="87" t="s">
        <v>2932</v>
      </c>
      <c r="C171" s="88" t="s">
        <v>912</v>
      </c>
      <c r="D171" s="87" t="s">
        <v>2933</v>
      </c>
      <c r="E171" s="80" t="s">
        <v>33</v>
      </c>
    </row>
    <row r="172">
      <c r="B172" s="87" t="s">
        <v>2929</v>
      </c>
      <c r="C172" s="88" t="s">
        <v>43</v>
      </c>
      <c r="D172" s="89" t="s">
        <v>2931</v>
      </c>
      <c r="E172" s="80" t="s">
        <v>37</v>
      </c>
    </row>
    <row r="173">
      <c r="B173" s="87" t="s">
        <v>2930</v>
      </c>
      <c r="C173" s="88" t="s">
        <v>190</v>
      </c>
      <c r="D173" s="87" t="s">
        <v>2933</v>
      </c>
      <c r="E173" s="80" t="s">
        <v>33</v>
      </c>
    </row>
    <row r="174">
      <c r="B174" s="87" t="s">
        <v>2929</v>
      </c>
      <c r="C174" s="88" t="s">
        <v>684</v>
      </c>
      <c r="D174" s="89" t="s">
        <v>2932</v>
      </c>
      <c r="E174" s="80" t="s">
        <v>37</v>
      </c>
    </row>
    <row r="175">
      <c r="B175" s="87" t="s">
        <v>2931</v>
      </c>
      <c r="C175" s="88" t="s">
        <v>45</v>
      </c>
      <c r="D175" s="87" t="s">
        <v>2933</v>
      </c>
      <c r="E175" s="80" t="s">
        <v>33</v>
      </c>
    </row>
    <row r="176">
      <c r="B176" s="87" t="s">
        <v>2930</v>
      </c>
      <c r="C176" s="88" t="s">
        <v>797</v>
      </c>
      <c r="D176" s="89" t="s">
        <v>2932</v>
      </c>
      <c r="E176" s="80" t="s">
        <v>37</v>
      </c>
    </row>
    <row r="177">
      <c r="B177" s="72" t="s">
        <v>2575</v>
      </c>
      <c r="C177" s="2"/>
      <c r="D177" s="3"/>
      <c r="E177" s="2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34" t="s">
        <v>2935</v>
      </c>
      <c r="C179" s="35" t="s">
        <v>14</v>
      </c>
      <c r="D179" s="34" t="s">
        <v>2936</v>
      </c>
      <c r="E179" s="11" t="s">
        <v>9</v>
      </c>
    </row>
    <row r="180">
      <c r="B180" s="34" t="s">
        <v>2631</v>
      </c>
      <c r="C180" s="35" t="s">
        <v>65</v>
      </c>
      <c r="D180" s="32" t="s">
        <v>2937</v>
      </c>
      <c r="E180" s="11" t="s">
        <v>13</v>
      </c>
    </row>
    <row r="181">
      <c r="B181" s="34" t="s">
        <v>2938</v>
      </c>
      <c r="C181" s="35" t="s">
        <v>18</v>
      </c>
      <c r="D181" s="34" t="s">
        <v>2935</v>
      </c>
      <c r="E181" s="11" t="s">
        <v>9</v>
      </c>
    </row>
    <row r="182">
      <c r="B182" s="34" t="s">
        <v>2631</v>
      </c>
      <c r="C182" s="35" t="s">
        <v>239</v>
      </c>
      <c r="D182" s="34" t="s">
        <v>2936</v>
      </c>
      <c r="E182" s="11" t="s">
        <v>13</v>
      </c>
    </row>
    <row r="183">
      <c r="B183" s="34" t="s">
        <v>2938</v>
      </c>
      <c r="C183" s="35" t="s">
        <v>912</v>
      </c>
      <c r="D183" s="32" t="s">
        <v>2937</v>
      </c>
      <c r="E183" s="11" t="s">
        <v>9</v>
      </c>
    </row>
    <row r="184">
      <c r="B184" s="34" t="s">
        <v>2631</v>
      </c>
      <c r="C184" s="35" t="s">
        <v>64</v>
      </c>
      <c r="D184" s="34" t="s">
        <v>2935</v>
      </c>
      <c r="E184" s="11" t="s">
        <v>13</v>
      </c>
    </row>
    <row r="185">
      <c r="B185" s="34" t="s">
        <v>2938</v>
      </c>
      <c r="C185" s="35" t="s">
        <v>201</v>
      </c>
      <c r="D185" s="34" t="s">
        <v>2936</v>
      </c>
      <c r="E185" s="11" t="s">
        <v>9</v>
      </c>
    </row>
    <row r="186">
      <c r="B186" s="32" t="s">
        <v>2937</v>
      </c>
      <c r="C186" s="35" t="s">
        <v>26</v>
      </c>
      <c r="D186" s="34" t="s">
        <v>2935</v>
      </c>
      <c r="E186" s="11" t="s">
        <v>13</v>
      </c>
    </row>
    <row r="187">
      <c r="B187" s="34" t="s">
        <v>2938</v>
      </c>
      <c r="C187" s="35" t="s">
        <v>16</v>
      </c>
      <c r="D187" s="34" t="s">
        <v>2631</v>
      </c>
      <c r="E187" s="11" t="s">
        <v>9</v>
      </c>
    </row>
    <row r="188">
      <c r="B188" s="32" t="s">
        <v>2937</v>
      </c>
      <c r="C188" s="35" t="s">
        <v>284</v>
      </c>
      <c r="D188" s="34" t="s">
        <v>2936</v>
      </c>
      <c r="E188" s="11" t="s">
        <v>13</v>
      </c>
    </row>
    <row r="189">
      <c r="B189" s="34" t="s">
        <v>2936</v>
      </c>
      <c r="C189" s="35" t="s">
        <v>193</v>
      </c>
      <c r="D189" s="34" t="s">
        <v>2935</v>
      </c>
      <c r="E189" s="11" t="s">
        <v>9</v>
      </c>
    </row>
    <row r="190">
      <c r="B190" s="32" t="s">
        <v>2937</v>
      </c>
      <c r="C190" s="35" t="s">
        <v>72</v>
      </c>
      <c r="D190" s="34" t="s">
        <v>2631</v>
      </c>
      <c r="E190" s="11" t="s">
        <v>13</v>
      </c>
    </row>
    <row r="191">
      <c r="B191" s="34" t="s">
        <v>2935</v>
      </c>
      <c r="C191" s="35" t="s">
        <v>239</v>
      </c>
      <c r="D191" s="34" t="s">
        <v>2938</v>
      </c>
      <c r="E191" s="11" t="s">
        <v>9</v>
      </c>
    </row>
    <row r="192">
      <c r="B192" s="34" t="s">
        <v>2936</v>
      </c>
      <c r="C192" s="35" t="s">
        <v>27</v>
      </c>
      <c r="D192" s="34" t="s">
        <v>2631</v>
      </c>
      <c r="E192" s="11" t="s">
        <v>13</v>
      </c>
    </row>
    <row r="193">
      <c r="B193" s="32" t="s">
        <v>2937</v>
      </c>
      <c r="C193" s="35" t="s">
        <v>38</v>
      </c>
      <c r="D193" s="34" t="s">
        <v>2938</v>
      </c>
      <c r="E193" s="11" t="s">
        <v>9</v>
      </c>
    </row>
    <row r="194">
      <c r="B194" s="34" t="s">
        <v>2935</v>
      </c>
      <c r="C194" s="35" t="s">
        <v>11</v>
      </c>
      <c r="D194" s="34" t="s">
        <v>2631</v>
      </c>
      <c r="E194" s="11" t="s">
        <v>13</v>
      </c>
    </row>
    <row r="195">
      <c r="B195" s="34" t="s">
        <v>2936</v>
      </c>
      <c r="C195" s="35" t="s">
        <v>544</v>
      </c>
      <c r="D195" s="34" t="s">
        <v>2938</v>
      </c>
      <c r="E195" s="11" t="s">
        <v>9</v>
      </c>
    </row>
    <row r="196">
      <c r="B196" s="34" t="s">
        <v>2935</v>
      </c>
      <c r="C196" s="35" t="s">
        <v>7</v>
      </c>
      <c r="D196" s="32" t="s">
        <v>2937</v>
      </c>
      <c r="E196" s="11" t="s">
        <v>13</v>
      </c>
    </row>
    <row r="197">
      <c r="B197" s="34" t="s">
        <v>2631</v>
      </c>
      <c r="C197" s="35" t="s">
        <v>857</v>
      </c>
      <c r="D197" s="34" t="s">
        <v>2938</v>
      </c>
      <c r="E197" s="11" t="s">
        <v>9</v>
      </c>
    </row>
    <row r="198">
      <c r="B198" s="34" t="s">
        <v>2936</v>
      </c>
      <c r="C198" s="35" t="s">
        <v>14</v>
      </c>
      <c r="D198" s="32" t="s">
        <v>2937</v>
      </c>
      <c r="E198" s="11" t="s">
        <v>13</v>
      </c>
    </row>
    <row r="199">
      <c r="B199" s="72" t="s">
        <v>2939</v>
      </c>
      <c r="C199" s="2"/>
      <c r="D199" s="3"/>
      <c r="E199" s="2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34" t="s">
        <v>2843</v>
      </c>
      <c r="C201" s="35" t="s">
        <v>196</v>
      </c>
      <c r="D201" s="34" t="s">
        <v>1292</v>
      </c>
      <c r="E201" s="11" t="s">
        <v>9</v>
      </c>
    </row>
    <row r="202">
      <c r="B202" s="34" t="s">
        <v>2536</v>
      </c>
      <c r="C202" s="35" t="s">
        <v>1067</v>
      </c>
      <c r="D202" s="32" t="s">
        <v>2940</v>
      </c>
      <c r="E202" s="11" t="s">
        <v>13</v>
      </c>
    </row>
    <row r="203">
      <c r="B203" s="34" t="s">
        <v>2941</v>
      </c>
      <c r="C203" s="35" t="s">
        <v>82</v>
      </c>
      <c r="D203" s="34" t="s">
        <v>2843</v>
      </c>
      <c r="E203" s="11" t="s">
        <v>9</v>
      </c>
    </row>
    <row r="204">
      <c r="B204" s="34" t="s">
        <v>2536</v>
      </c>
      <c r="C204" s="35" t="s">
        <v>62</v>
      </c>
      <c r="D204" s="34" t="s">
        <v>1292</v>
      </c>
      <c r="E204" s="11" t="s">
        <v>13</v>
      </c>
    </row>
    <row r="205">
      <c r="B205" s="34" t="s">
        <v>2941</v>
      </c>
      <c r="C205" s="35" t="s">
        <v>312</v>
      </c>
      <c r="D205" s="32" t="s">
        <v>2940</v>
      </c>
      <c r="E205" s="11" t="s">
        <v>9</v>
      </c>
    </row>
    <row r="206">
      <c r="B206" s="34" t="s">
        <v>2536</v>
      </c>
      <c r="C206" s="35" t="s">
        <v>404</v>
      </c>
      <c r="D206" s="34" t="s">
        <v>2843</v>
      </c>
      <c r="E206" s="11" t="s">
        <v>13</v>
      </c>
    </row>
    <row r="207">
      <c r="B207" s="34" t="s">
        <v>2941</v>
      </c>
      <c r="C207" s="35" t="s">
        <v>695</v>
      </c>
      <c r="D207" s="34" t="s">
        <v>1292</v>
      </c>
      <c r="E207" s="11" t="s">
        <v>9</v>
      </c>
    </row>
    <row r="208">
      <c r="B208" s="32" t="s">
        <v>2940</v>
      </c>
      <c r="C208" s="35" t="s">
        <v>389</v>
      </c>
      <c r="D208" s="34" t="s">
        <v>2843</v>
      </c>
      <c r="E208" s="11" t="s">
        <v>13</v>
      </c>
    </row>
    <row r="209">
      <c r="B209" s="34" t="s">
        <v>2941</v>
      </c>
      <c r="C209" s="35" t="s">
        <v>337</v>
      </c>
      <c r="D209" s="34" t="s">
        <v>2536</v>
      </c>
      <c r="E209" s="11" t="s">
        <v>9</v>
      </c>
    </row>
    <row r="210">
      <c r="B210" s="32" t="s">
        <v>2940</v>
      </c>
      <c r="C210" s="35" t="s">
        <v>802</v>
      </c>
      <c r="D210" s="34" t="s">
        <v>1292</v>
      </c>
      <c r="E210" s="11" t="s">
        <v>13</v>
      </c>
    </row>
    <row r="211">
      <c r="B211" s="34" t="s">
        <v>1292</v>
      </c>
      <c r="C211" s="35" t="s">
        <v>267</v>
      </c>
      <c r="D211" s="34" t="s">
        <v>2843</v>
      </c>
      <c r="E211" s="11" t="s">
        <v>9</v>
      </c>
    </row>
    <row r="212">
      <c r="B212" s="32" t="s">
        <v>2940</v>
      </c>
      <c r="C212" s="35" t="s">
        <v>355</v>
      </c>
      <c r="D212" s="34" t="s">
        <v>2536</v>
      </c>
      <c r="E212" s="11" t="s">
        <v>13</v>
      </c>
    </row>
    <row r="213">
      <c r="B213" s="34" t="s">
        <v>2843</v>
      </c>
      <c r="C213" s="35" t="s">
        <v>87</v>
      </c>
      <c r="D213" s="34" t="s">
        <v>2941</v>
      </c>
      <c r="E213" s="11" t="s">
        <v>9</v>
      </c>
    </row>
    <row r="214">
      <c r="B214" s="34" t="s">
        <v>1292</v>
      </c>
      <c r="C214" s="35" t="s">
        <v>240</v>
      </c>
      <c r="D214" s="34" t="s">
        <v>2536</v>
      </c>
      <c r="E214" s="11" t="s">
        <v>13</v>
      </c>
    </row>
    <row r="215">
      <c r="B215" s="32" t="s">
        <v>2940</v>
      </c>
      <c r="C215" s="35" t="s">
        <v>2942</v>
      </c>
      <c r="D215" s="34" t="s">
        <v>2941</v>
      </c>
      <c r="E215" s="11" t="s">
        <v>9</v>
      </c>
    </row>
    <row r="216">
      <c r="B216" s="34" t="s">
        <v>2843</v>
      </c>
      <c r="C216" s="35" t="s">
        <v>2943</v>
      </c>
      <c r="D216" s="34" t="s">
        <v>2536</v>
      </c>
      <c r="E216" s="11" t="s">
        <v>13</v>
      </c>
    </row>
    <row r="217">
      <c r="B217" s="34" t="s">
        <v>1292</v>
      </c>
      <c r="C217" s="35" t="s">
        <v>41</v>
      </c>
      <c r="D217" s="34" t="s">
        <v>2941</v>
      </c>
      <c r="E217" s="11" t="s">
        <v>9</v>
      </c>
    </row>
    <row r="218">
      <c r="B218" s="34" t="s">
        <v>2843</v>
      </c>
      <c r="C218" s="35" t="s">
        <v>88</v>
      </c>
      <c r="D218" s="32" t="s">
        <v>2940</v>
      </c>
      <c r="E218" s="11" t="s">
        <v>13</v>
      </c>
    </row>
    <row r="219">
      <c r="B219" s="34" t="s">
        <v>2536</v>
      </c>
      <c r="C219" s="35" t="s">
        <v>578</v>
      </c>
      <c r="D219" s="34" t="s">
        <v>2941</v>
      </c>
      <c r="E219" s="11" t="s">
        <v>9</v>
      </c>
    </row>
    <row r="220">
      <c r="B220" s="34" t="s">
        <v>1292</v>
      </c>
      <c r="C220" s="35" t="s">
        <v>414</v>
      </c>
      <c r="D220" s="32" t="s">
        <v>2940</v>
      </c>
      <c r="E220" s="11" t="s">
        <v>13</v>
      </c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4">
    <mergeCell ref="B133:D133"/>
    <mergeCell ref="B155:D155"/>
    <mergeCell ref="B177:D177"/>
    <mergeCell ref="B199:D199"/>
    <mergeCell ref="B223:D223"/>
    <mergeCell ref="B245:D245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I159"/>
    <hyperlink r:id="rId145" ref="E160"/>
    <hyperlink r:id="rId146" ref="E161"/>
    <hyperlink r:id="rId147" ref="E162"/>
    <hyperlink r:id="rId148" ref="E163"/>
    <hyperlink r:id="rId149" ref="E164"/>
    <hyperlink r:id="rId150" ref="E165"/>
    <hyperlink r:id="rId151" ref="E166"/>
    <hyperlink r:id="rId152" ref="E167"/>
    <hyperlink r:id="rId153" ref="E168"/>
    <hyperlink r:id="rId154" ref="E169"/>
    <hyperlink r:id="rId155" ref="E170"/>
    <hyperlink r:id="rId156" ref="E171"/>
    <hyperlink r:id="rId157" ref="E172"/>
    <hyperlink r:id="rId158" ref="E173"/>
    <hyperlink r:id="rId159" ref="E174"/>
    <hyperlink r:id="rId160" ref="E175"/>
    <hyperlink r:id="rId161" ref="E176"/>
    <hyperlink r:id="rId162" ref="E179"/>
    <hyperlink r:id="rId163" ref="E180"/>
    <hyperlink r:id="rId164" ref="E181"/>
    <hyperlink r:id="rId165" ref="E182"/>
    <hyperlink r:id="rId166" ref="E183"/>
    <hyperlink r:id="rId167" ref="E184"/>
    <hyperlink r:id="rId168" ref="E185"/>
    <hyperlink r:id="rId169" ref="E186"/>
    <hyperlink r:id="rId170" ref="E187"/>
    <hyperlink r:id="rId171" ref="E188"/>
    <hyperlink r:id="rId172" ref="E189"/>
    <hyperlink r:id="rId173" ref="E190"/>
    <hyperlink r:id="rId174" ref="E191"/>
    <hyperlink r:id="rId175" ref="E192"/>
    <hyperlink r:id="rId176" ref="E193"/>
    <hyperlink r:id="rId177" ref="E194"/>
    <hyperlink r:id="rId178" ref="E195"/>
    <hyperlink r:id="rId179" ref="E196"/>
    <hyperlink r:id="rId180" ref="E197"/>
    <hyperlink r:id="rId181" ref="E198"/>
    <hyperlink r:id="rId182" ref="E201"/>
    <hyperlink r:id="rId183" ref="E202"/>
    <hyperlink r:id="rId184" ref="E203"/>
    <hyperlink r:id="rId185" ref="E204"/>
    <hyperlink r:id="rId186" ref="E205"/>
    <hyperlink r:id="rId187" ref="E206"/>
    <hyperlink r:id="rId188" ref="E207"/>
    <hyperlink r:id="rId189" ref="E208"/>
    <hyperlink r:id="rId190" ref="E209"/>
    <hyperlink r:id="rId191" ref="E210"/>
    <hyperlink r:id="rId192" ref="E211"/>
    <hyperlink r:id="rId193" ref="E212"/>
    <hyperlink r:id="rId194" ref="E213"/>
    <hyperlink r:id="rId195" ref="E214"/>
    <hyperlink r:id="rId196" ref="E215"/>
    <hyperlink r:id="rId197" ref="E216"/>
    <hyperlink r:id="rId198" ref="E217"/>
    <hyperlink r:id="rId199" ref="E218"/>
    <hyperlink r:id="rId200" ref="E219"/>
    <hyperlink r:id="rId201" ref="E220"/>
  </hyperlinks>
  <drawing r:id="rId202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/>
      <c r="B1" s="72" t="s">
        <v>2944</v>
      </c>
      <c r="C1" s="2"/>
      <c r="D1" s="3"/>
      <c r="E1" s="84"/>
    </row>
    <row r="2">
      <c r="A2" s="66"/>
      <c r="B2" s="85" t="s">
        <v>2</v>
      </c>
      <c r="C2" s="86" t="s">
        <v>3</v>
      </c>
      <c r="D2" s="86" t="s">
        <v>4</v>
      </c>
      <c r="E2" s="86" t="s">
        <v>5</v>
      </c>
    </row>
    <row r="3">
      <c r="A3" s="66"/>
      <c r="B3" s="34" t="s">
        <v>2945</v>
      </c>
      <c r="C3" s="35" t="s">
        <v>201</v>
      </c>
      <c r="D3" s="34" t="s">
        <v>2224</v>
      </c>
      <c r="E3" s="80" t="s">
        <v>9</v>
      </c>
    </row>
    <row r="4">
      <c r="A4" s="66"/>
      <c r="B4" s="34" t="s">
        <v>2946</v>
      </c>
      <c r="C4" s="35" t="s">
        <v>41</v>
      </c>
      <c r="D4" s="32" t="s">
        <v>2947</v>
      </c>
      <c r="E4" s="80" t="s">
        <v>13</v>
      </c>
    </row>
    <row r="5">
      <c r="A5" s="66"/>
      <c r="B5" s="34" t="s">
        <v>2576</v>
      </c>
      <c r="C5" s="35" t="s">
        <v>853</v>
      </c>
      <c r="D5" s="34" t="s">
        <v>2945</v>
      </c>
      <c r="E5" s="80" t="s">
        <v>9</v>
      </c>
    </row>
    <row r="6">
      <c r="A6" s="66"/>
      <c r="B6" s="34" t="s">
        <v>2946</v>
      </c>
      <c r="C6" s="35" t="s">
        <v>43</v>
      </c>
      <c r="D6" s="34" t="s">
        <v>2224</v>
      </c>
      <c r="E6" s="80" t="s">
        <v>13</v>
      </c>
    </row>
    <row r="7">
      <c r="A7" s="66"/>
      <c r="B7" s="34" t="s">
        <v>2576</v>
      </c>
      <c r="C7" s="35" t="s">
        <v>22</v>
      </c>
      <c r="D7" s="32" t="s">
        <v>2947</v>
      </c>
      <c r="E7" s="80" t="s">
        <v>9</v>
      </c>
    </row>
    <row r="8">
      <c r="A8" s="66"/>
      <c r="B8" s="34" t="s">
        <v>2946</v>
      </c>
      <c r="C8" s="35" t="s">
        <v>68</v>
      </c>
      <c r="D8" s="34" t="s">
        <v>2945</v>
      </c>
      <c r="E8" s="80" t="s">
        <v>13</v>
      </c>
    </row>
    <row r="9">
      <c r="A9" s="66"/>
      <c r="B9" s="34" t="s">
        <v>2576</v>
      </c>
      <c r="C9" s="35" t="s">
        <v>43</v>
      </c>
      <c r="D9" s="34" t="s">
        <v>2224</v>
      </c>
      <c r="E9" s="80" t="s">
        <v>9</v>
      </c>
    </row>
    <row r="10">
      <c r="A10" s="66"/>
      <c r="B10" s="32" t="s">
        <v>2947</v>
      </c>
      <c r="C10" s="35" t="s">
        <v>217</v>
      </c>
      <c r="D10" s="34" t="s">
        <v>2945</v>
      </c>
      <c r="E10" s="80" t="s">
        <v>13</v>
      </c>
    </row>
    <row r="11">
      <c r="A11" s="66"/>
      <c r="B11" s="34" t="s">
        <v>2576</v>
      </c>
      <c r="C11" s="35" t="s">
        <v>658</v>
      </c>
      <c r="D11" s="34" t="s">
        <v>2946</v>
      </c>
      <c r="E11" s="80" t="s">
        <v>9</v>
      </c>
    </row>
    <row r="12">
      <c r="A12" s="66"/>
      <c r="B12" s="32" t="s">
        <v>2947</v>
      </c>
      <c r="C12" s="35" t="s">
        <v>1021</v>
      </c>
      <c r="D12" s="34" t="s">
        <v>2224</v>
      </c>
      <c r="E12" s="80" t="s">
        <v>13</v>
      </c>
    </row>
    <row r="13">
      <c r="A13" s="66"/>
      <c r="B13" s="34" t="s">
        <v>2224</v>
      </c>
      <c r="C13" s="35" t="s">
        <v>11</v>
      </c>
      <c r="D13" s="34" t="s">
        <v>2945</v>
      </c>
      <c r="E13" s="80" t="s">
        <v>9</v>
      </c>
    </row>
    <row r="14">
      <c r="A14" s="66"/>
      <c r="B14" s="32" t="s">
        <v>2947</v>
      </c>
      <c r="C14" s="35" t="s">
        <v>197</v>
      </c>
      <c r="D14" s="34" t="s">
        <v>2946</v>
      </c>
      <c r="E14" s="80" t="s">
        <v>13</v>
      </c>
    </row>
    <row r="15">
      <c r="A15" s="66"/>
      <c r="B15" s="34" t="s">
        <v>2945</v>
      </c>
      <c r="C15" s="35" t="s">
        <v>351</v>
      </c>
      <c r="D15" s="34" t="s">
        <v>2576</v>
      </c>
      <c r="E15" s="80" t="s">
        <v>9</v>
      </c>
    </row>
    <row r="16">
      <c r="A16" s="66"/>
      <c r="B16" s="34" t="s">
        <v>2224</v>
      </c>
      <c r="C16" s="35" t="s">
        <v>76</v>
      </c>
      <c r="D16" s="34" t="s">
        <v>2946</v>
      </c>
      <c r="E16" s="80" t="s">
        <v>13</v>
      </c>
    </row>
    <row r="17">
      <c r="A17" s="66"/>
      <c r="B17" s="32" t="s">
        <v>2947</v>
      </c>
      <c r="C17" s="35" t="s">
        <v>82</v>
      </c>
      <c r="D17" s="34" t="s">
        <v>2576</v>
      </c>
      <c r="E17" s="80" t="s">
        <v>9</v>
      </c>
    </row>
    <row r="18">
      <c r="A18" s="66"/>
      <c r="B18" s="34" t="s">
        <v>2945</v>
      </c>
      <c r="C18" s="35" t="s">
        <v>81</v>
      </c>
      <c r="D18" s="34" t="s">
        <v>2946</v>
      </c>
      <c r="E18" s="80" t="s">
        <v>13</v>
      </c>
    </row>
    <row r="19">
      <c r="A19" s="66"/>
      <c r="B19" s="34" t="s">
        <v>2224</v>
      </c>
      <c r="C19" s="35" t="s">
        <v>66</v>
      </c>
      <c r="D19" s="34" t="s">
        <v>2576</v>
      </c>
      <c r="E19" s="80" t="s">
        <v>9</v>
      </c>
    </row>
    <row r="20">
      <c r="A20" s="66"/>
      <c r="B20" s="34" t="s">
        <v>2945</v>
      </c>
      <c r="C20" s="35" t="s">
        <v>190</v>
      </c>
      <c r="D20" s="32" t="s">
        <v>2947</v>
      </c>
      <c r="E20" s="80" t="s">
        <v>13</v>
      </c>
    </row>
    <row r="21">
      <c r="A21" s="66"/>
      <c r="B21" s="34" t="s">
        <v>2946</v>
      </c>
      <c r="C21" s="35" t="s">
        <v>45</v>
      </c>
      <c r="D21" s="34" t="s">
        <v>2576</v>
      </c>
      <c r="E21" s="80" t="s">
        <v>9</v>
      </c>
    </row>
    <row r="22">
      <c r="A22" s="66"/>
      <c r="B22" s="34" t="s">
        <v>2224</v>
      </c>
      <c r="C22" s="35" t="s">
        <v>212</v>
      </c>
      <c r="D22" s="32" t="s">
        <v>2947</v>
      </c>
      <c r="E22" s="80" t="s">
        <v>13</v>
      </c>
    </row>
    <row r="23">
      <c r="A23" s="66"/>
      <c r="B23" s="72" t="s">
        <v>1331</v>
      </c>
      <c r="C23" s="2"/>
      <c r="D23" s="3"/>
      <c r="E23" s="29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2948</v>
      </c>
      <c r="C25" s="35" t="s">
        <v>31</v>
      </c>
      <c r="D25" s="34" t="s">
        <v>2949</v>
      </c>
      <c r="E25" s="11" t="s">
        <v>9</v>
      </c>
    </row>
    <row r="26">
      <c r="A26" s="66"/>
      <c r="B26" s="34" t="s">
        <v>2950</v>
      </c>
      <c r="C26" s="35" t="s">
        <v>48</v>
      </c>
      <c r="D26" s="32" t="s">
        <v>2951</v>
      </c>
      <c r="E26" s="11" t="s">
        <v>13</v>
      </c>
    </row>
    <row r="27">
      <c r="A27" s="66"/>
      <c r="B27" s="34" t="s">
        <v>2952</v>
      </c>
      <c r="C27" s="35" t="s">
        <v>243</v>
      </c>
      <c r="D27" s="34" t="s">
        <v>2948</v>
      </c>
      <c r="E27" s="11" t="s">
        <v>9</v>
      </c>
    </row>
    <row r="28">
      <c r="A28" s="66"/>
      <c r="B28" s="34" t="s">
        <v>2950</v>
      </c>
      <c r="C28" s="35" t="s">
        <v>68</v>
      </c>
      <c r="D28" s="34" t="s">
        <v>2949</v>
      </c>
      <c r="E28" s="11" t="s">
        <v>13</v>
      </c>
    </row>
    <row r="29">
      <c r="A29" s="66"/>
      <c r="B29" s="34" t="s">
        <v>2952</v>
      </c>
      <c r="C29" s="35" t="s">
        <v>352</v>
      </c>
      <c r="D29" s="32" t="s">
        <v>2951</v>
      </c>
      <c r="E29" s="11" t="s">
        <v>9</v>
      </c>
    </row>
    <row r="30">
      <c r="A30" s="66"/>
      <c r="B30" s="34" t="s">
        <v>2950</v>
      </c>
      <c r="C30" s="35" t="s">
        <v>190</v>
      </c>
      <c r="D30" s="34" t="s">
        <v>2948</v>
      </c>
      <c r="E30" s="11" t="s">
        <v>13</v>
      </c>
    </row>
    <row r="31">
      <c r="A31" s="66"/>
      <c r="B31" s="34" t="s">
        <v>2952</v>
      </c>
      <c r="C31" s="35" t="s">
        <v>25</v>
      </c>
      <c r="D31" s="34" t="s">
        <v>2949</v>
      </c>
      <c r="E31" s="11" t="s">
        <v>9</v>
      </c>
    </row>
    <row r="32">
      <c r="A32" s="66"/>
      <c r="B32" s="32" t="s">
        <v>2951</v>
      </c>
      <c r="C32" s="35" t="s">
        <v>400</v>
      </c>
      <c r="D32" s="34" t="s">
        <v>2948</v>
      </c>
      <c r="E32" s="11" t="s">
        <v>13</v>
      </c>
    </row>
    <row r="33">
      <c r="A33" s="66"/>
      <c r="B33" s="34" t="s">
        <v>2952</v>
      </c>
      <c r="C33" s="35" t="s">
        <v>81</v>
      </c>
      <c r="D33" s="34" t="s">
        <v>2950</v>
      </c>
      <c r="E33" s="11" t="s">
        <v>9</v>
      </c>
    </row>
    <row r="34">
      <c r="A34" s="66"/>
      <c r="B34" s="32" t="s">
        <v>2951</v>
      </c>
      <c r="C34" s="35" t="s">
        <v>1618</v>
      </c>
      <c r="D34" s="34" t="s">
        <v>2949</v>
      </c>
      <c r="E34" s="11" t="s">
        <v>13</v>
      </c>
    </row>
    <row r="35">
      <c r="A35" s="66"/>
      <c r="B35" s="34" t="s">
        <v>2949</v>
      </c>
      <c r="C35" s="35" t="s">
        <v>78</v>
      </c>
      <c r="D35" s="34" t="s">
        <v>2948</v>
      </c>
      <c r="E35" s="11" t="s">
        <v>9</v>
      </c>
    </row>
    <row r="36">
      <c r="A36" s="66"/>
      <c r="B36" s="32" t="s">
        <v>2951</v>
      </c>
      <c r="C36" s="35" t="s">
        <v>201</v>
      </c>
      <c r="D36" s="34" t="s">
        <v>2950</v>
      </c>
      <c r="E36" s="11" t="s">
        <v>13</v>
      </c>
    </row>
    <row r="37">
      <c r="A37" s="66"/>
      <c r="B37" s="34" t="s">
        <v>2948</v>
      </c>
      <c r="C37" s="35" t="s">
        <v>1832</v>
      </c>
      <c r="D37" s="34" t="s">
        <v>2952</v>
      </c>
      <c r="E37" s="11" t="s">
        <v>9</v>
      </c>
    </row>
    <row r="38">
      <c r="A38" s="66"/>
      <c r="B38" s="34" t="s">
        <v>2949</v>
      </c>
      <c r="C38" s="35" t="s">
        <v>81</v>
      </c>
      <c r="D38" s="34" t="s">
        <v>2950</v>
      </c>
      <c r="E38" s="11" t="s">
        <v>13</v>
      </c>
    </row>
    <row r="39">
      <c r="A39" s="66"/>
      <c r="B39" s="32" t="s">
        <v>2951</v>
      </c>
      <c r="C39" s="35" t="s">
        <v>520</v>
      </c>
      <c r="D39" s="34" t="s">
        <v>2952</v>
      </c>
      <c r="E39" s="11" t="s">
        <v>9</v>
      </c>
    </row>
    <row r="40">
      <c r="A40" s="66"/>
      <c r="B40" s="34" t="s">
        <v>2948</v>
      </c>
      <c r="C40" s="35" t="s">
        <v>26</v>
      </c>
      <c r="D40" s="34" t="s">
        <v>2950</v>
      </c>
      <c r="E40" s="11" t="s">
        <v>13</v>
      </c>
    </row>
    <row r="41">
      <c r="A41" s="66"/>
      <c r="B41" s="34" t="s">
        <v>2949</v>
      </c>
      <c r="C41" s="35" t="s">
        <v>22</v>
      </c>
      <c r="D41" s="34" t="s">
        <v>2952</v>
      </c>
      <c r="E41" s="11" t="s">
        <v>9</v>
      </c>
    </row>
    <row r="42">
      <c r="A42" s="66"/>
      <c r="B42" s="34" t="s">
        <v>2948</v>
      </c>
      <c r="C42" s="35" t="s">
        <v>286</v>
      </c>
      <c r="D42" s="32" t="s">
        <v>2951</v>
      </c>
      <c r="E42" s="11" t="s">
        <v>13</v>
      </c>
    </row>
    <row r="43">
      <c r="A43" s="66"/>
      <c r="B43" s="34" t="s">
        <v>2950</v>
      </c>
      <c r="C43" s="35" t="s">
        <v>48</v>
      </c>
      <c r="D43" s="34" t="s">
        <v>2952</v>
      </c>
      <c r="E43" s="11" t="s">
        <v>9</v>
      </c>
    </row>
    <row r="44">
      <c r="A44" s="67"/>
      <c r="B44" s="34" t="s">
        <v>2949</v>
      </c>
      <c r="C44" s="35" t="s">
        <v>71</v>
      </c>
      <c r="D44" s="32" t="s">
        <v>2951</v>
      </c>
      <c r="E44" s="11" t="s">
        <v>13</v>
      </c>
    </row>
    <row r="45">
      <c r="B45" s="72" t="s">
        <v>2953</v>
      </c>
      <c r="C45" s="2"/>
      <c r="D45" s="3"/>
      <c r="E45" s="2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34" t="s">
        <v>1667</v>
      </c>
      <c r="C47" s="35" t="s">
        <v>193</v>
      </c>
      <c r="D47" s="34" t="s">
        <v>2954</v>
      </c>
      <c r="E47" s="11" t="s">
        <v>9</v>
      </c>
    </row>
    <row r="48">
      <c r="B48" s="34" t="s">
        <v>2955</v>
      </c>
      <c r="C48" s="35" t="s">
        <v>1849</v>
      </c>
      <c r="D48" s="32" t="s">
        <v>1955</v>
      </c>
      <c r="E48" s="11" t="s">
        <v>13</v>
      </c>
    </row>
    <row r="49">
      <c r="B49" s="34" t="s">
        <v>1669</v>
      </c>
      <c r="C49" s="35" t="s">
        <v>260</v>
      </c>
      <c r="D49" s="34" t="s">
        <v>1667</v>
      </c>
      <c r="E49" s="11" t="s">
        <v>9</v>
      </c>
    </row>
    <row r="50">
      <c r="B50" s="34" t="s">
        <v>2955</v>
      </c>
      <c r="C50" s="35" t="s">
        <v>81</v>
      </c>
      <c r="D50" s="34" t="s">
        <v>2954</v>
      </c>
      <c r="E50" s="11" t="s">
        <v>13</v>
      </c>
    </row>
    <row r="51">
      <c r="B51" s="34" t="s">
        <v>1669</v>
      </c>
      <c r="C51" s="35" t="s">
        <v>722</v>
      </c>
      <c r="D51" s="32" t="s">
        <v>1955</v>
      </c>
      <c r="E51" s="11" t="s">
        <v>9</v>
      </c>
    </row>
    <row r="52">
      <c r="B52" s="34" t="s">
        <v>2955</v>
      </c>
      <c r="C52" s="35" t="s">
        <v>64</v>
      </c>
      <c r="D52" s="34" t="s">
        <v>1667</v>
      </c>
      <c r="E52" s="11" t="s">
        <v>13</v>
      </c>
    </row>
    <row r="53">
      <c r="B53" s="34" t="s">
        <v>1669</v>
      </c>
      <c r="C53" s="35" t="s">
        <v>16</v>
      </c>
      <c r="D53" s="34" t="s">
        <v>2954</v>
      </c>
      <c r="E53" s="11" t="s">
        <v>9</v>
      </c>
    </row>
    <row r="54">
      <c r="B54" s="32" t="s">
        <v>1955</v>
      </c>
      <c r="C54" s="35" t="s">
        <v>217</v>
      </c>
      <c r="D54" s="34" t="s">
        <v>1667</v>
      </c>
      <c r="E54" s="11" t="s">
        <v>13</v>
      </c>
    </row>
    <row r="55">
      <c r="B55" s="34" t="s">
        <v>1669</v>
      </c>
      <c r="C55" s="35" t="s">
        <v>218</v>
      </c>
      <c r="D55" s="34" t="s">
        <v>2955</v>
      </c>
      <c r="E55" s="11" t="s">
        <v>9</v>
      </c>
    </row>
    <row r="56">
      <c r="B56" s="32" t="s">
        <v>1955</v>
      </c>
      <c r="C56" s="35" t="s">
        <v>14</v>
      </c>
      <c r="D56" s="34" t="s">
        <v>2954</v>
      </c>
      <c r="E56" s="11" t="s">
        <v>13</v>
      </c>
    </row>
    <row r="57">
      <c r="B57" s="34" t="s">
        <v>2954</v>
      </c>
      <c r="C57" s="35" t="s">
        <v>69</v>
      </c>
      <c r="D57" s="34" t="s">
        <v>1667</v>
      </c>
      <c r="E57" s="11" t="s">
        <v>9</v>
      </c>
    </row>
    <row r="58">
      <c r="B58" s="32" t="s">
        <v>1955</v>
      </c>
      <c r="C58" s="35" t="s">
        <v>201</v>
      </c>
      <c r="D58" s="34" t="s">
        <v>2955</v>
      </c>
      <c r="E58" s="11" t="s">
        <v>13</v>
      </c>
    </row>
    <row r="59">
      <c r="B59" s="34" t="s">
        <v>1667</v>
      </c>
      <c r="C59" s="35" t="s">
        <v>190</v>
      </c>
      <c r="D59" s="34" t="s">
        <v>1669</v>
      </c>
      <c r="E59" s="11" t="s">
        <v>9</v>
      </c>
    </row>
    <row r="60">
      <c r="B60" s="34" t="s">
        <v>2954</v>
      </c>
      <c r="C60" s="35" t="s">
        <v>190</v>
      </c>
      <c r="D60" s="34" t="s">
        <v>2955</v>
      </c>
      <c r="E60" s="11" t="s">
        <v>13</v>
      </c>
    </row>
    <row r="61">
      <c r="B61" s="32" t="s">
        <v>1955</v>
      </c>
      <c r="C61" s="35" t="s">
        <v>196</v>
      </c>
      <c r="D61" s="34" t="s">
        <v>1669</v>
      </c>
      <c r="E61" s="11" t="s">
        <v>9</v>
      </c>
    </row>
    <row r="62">
      <c r="B62" s="34" t="s">
        <v>1667</v>
      </c>
      <c r="C62" s="35" t="s">
        <v>190</v>
      </c>
      <c r="D62" s="34" t="s">
        <v>2955</v>
      </c>
      <c r="E62" s="11" t="s">
        <v>13</v>
      </c>
    </row>
    <row r="63">
      <c r="B63" s="34" t="s">
        <v>2954</v>
      </c>
      <c r="C63" s="35" t="s">
        <v>658</v>
      </c>
      <c r="D63" s="34" t="s">
        <v>1669</v>
      </c>
      <c r="E63" s="11" t="s">
        <v>9</v>
      </c>
    </row>
    <row r="64">
      <c r="B64" s="34" t="s">
        <v>1667</v>
      </c>
      <c r="C64" s="35" t="s">
        <v>17</v>
      </c>
      <c r="D64" s="32" t="s">
        <v>1955</v>
      </c>
      <c r="E64" s="11" t="s">
        <v>13</v>
      </c>
    </row>
    <row r="65">
      <c r="B65" s="34" t="s">
        <v>2955</v>
      </c>
      <c r="C65" s="35" t="s">
        <v>578</v>
      </c>
      <c r="D65" s="34" t="s">
        <v>1669</v>
      </c>
      <c r="E65" s="11" t="s">
        <v>9</v>
      </c>
    </row>
    <row r="66">
      <c r="B66" s="34" t="s">
        <v>2954</v>
      </c>
      <c r="C66" s="35" t="s">
        <v>325</v>
      </c>
      <c r="D66" s="32" t="s">
        <v>1955</v>
      </c>
      <c r="E66" s="11" t="s">
        <v>13</v>
      </c>
    </row>
    <row r="67">
      <c r="B67" s="72" t="s">
        <v>2099</v>
      </c>
      <c r="C67" s="2"/>
      <c r="D67" s="3"/>
      <c r="E67" s="29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34" t="s">
        <v>2638</v>
      </c>
      <c r="C69" s="35" t="s">
        <v>25</v>
      </c>
      <c r="D69" s="34" t="s">
        <v>2956</v>
      </c>
      <c r="E69" s="11" t="s">
        <v>9</v>
      </c>
    </row>
    <row r="70">
      <c r="B70" s="34" t="s">
        <v>2636</v>
      </c>
      <c r="C70" s="35" t="s">
        <v>17</v>
      </c>
      <c r="D70" s="32" t="s">
        <v>2495</v>
      </c>
      <c r="E70" s="11" t="s">
        <v>13</v>
      </c>
    </row>
    <row r="71">
      <c r="B71" s="34" t="s">
        <v>2857</v>
      </c>
      <c r="C71" s="35" t="s">
        <v>285</v>
      </c>
      <c r="D71" s="34" t="s">
        <v>2638</v>
      </c>
      <c r="E71" s="11" t="s">
        <v>9</v>
      </c>
    </row>
    <row r="72">
      <c r="B72" s="34" t="s">
        <v>2636</v>
      </c>
      <c r="C72" s="35" t="s">
        <v>18</v>
      </c>
      <c r="D72" s="34" t="s">
        <v>2956</v>
      </c>
      <c r="E72" s="11" t="s">
        <v>13</v>
      </c>
    </row>
    <row r="73">
      <c r="B73" s="34" t="s">
        <v>2857</v>
      </c>
      <c r="C73" s="35" t="s">
        <v>11</v>
      </c>
      <c r="D73" s="32" t="s">
        <v>2495</v>
      </c>
      <c r="E73" s="11" t="s">
        <v>9</v>
      </c>
    </row>
    <row r="74">
      <c r="B74" s="34" t="s">
        <v>2636</v>
      </c>
      <c r="C74" s="35" t="s">
        <v>404</v>
      </c>
      <c r="D74" s="34" t="s">
        <v>2638</v>
      </c>
      <c r="E74" s="11" t="s">
        <v>13</v>
      </c>
    </row>
    <row r="75">
      <c r="B75" s="34" t="s">
        <v>2857</v>
      </c>
      <c r="C75" s="35" t="s">
        <v>195</v>
      </c>
      <c r="D75" s="34" t="s">
        <v>2956</v>
      </c>
      <c r="E75" s="11" t="s">
        <v>9</v>
      </c>
    </row>
    <row r="76">
      <c r="B76" s="32" t="s">
        <v>2495</v>
      </c>
      <c r="C76" s="35" t="s">
        <v>197</v>
      </c>
      <c r="D76" s="34" t="s">
        <v>2638</v>
      </c>
      <c r="E76" s="11" t="s">
        <v>13</v>
      </c>
    </row>
    <row r="77">
      <c r="B77" s="34" t="s">
        <v>2857</v>
      </c>
      <c r="C77" s="35" t="s">
        <v>43</v>
      </c>
      <c r="D77" s="34" t="s">
        <v>2636</v>
      </c>
      <c r="E77" s="11" t="s">
        <v>9</v>
      </c>
    </row>
    <row r="78">
      <c r="B78" s="32" t="s">
        <v>2495</v>
      </c>
      <c r="C78" s="35" t="s">
        <v>64</v>
      </c>
      <c r="D78" s="34" t="s">
        <v>2956</v>
      </c>
      <c r="E78" s="11" t="s">
        <v>13</v>
      </c>
    </row>
    <row r="79">
      <c r="B79" s="34" t="s">
        <v>2956</v>
      </c>
      <c r="C79" s="35" t="s">
        <v>19</v>
      </c>
      <c r="D79" s="34" t="s">
        <v>2638</v>
      </c>
      <c r="E79" s="11" t="s">
        <v>9</v>
      </c>
    </row>
    <row r="80">
      <c r="B80" s="32" t="s">
        <v>2495</v>
      </c>
      <c r="C80" s="35" t="s">
        <v>87</v>
      </c>
      <c r="D80" s="34" t="s">
        <v>2636</v>
      </c>
      <c r="E80" s="11" t="s">
        <v>13</v>
      </c>
    </row>
    <row r="81">
      <c r="B81" s="34" t="s">
        <v>2638</v>
      </c>
      <c r="C81" s="35" t="s">
        <v>41</v>
      </c>
      <c r="D81" s="34" t="s">
        <v>2857</v>
      </c>
      <c r="E81" s="11" t="s">
        <v>9</v>
      </c>
    </row>
    <row r="82">
      <c r="B82" s="34" t="s">
        <v>2956</v>
      </c>
      <c r="C82" s="35" t="s">
        <v>578</v>
      </c>
      <c r="D82" s="34" t="s">
        <v>2636</v>
      </c>
      <c r="E82" s="11" t="s">
        <v>13</v>
      </c>
    </row>
    <row r="83">
      <c r="B83" s="32" t="s">
        <v>2495</v>
      </c>
      <c r="C83" s="35" t="s">
        <v>81</v>
      </c>
      <c r="D83" s="34" t="s">
        <v>2857</v>
      </c>
      <c r="E83" s="11" t="s">
        <v>9</v>
      </c>
    </row>
    <row r="84">
      <c r="B84" s="34" t="s">
        <v>2638</v>
      </c>
      <c r="C84" s="35" t="s">
        <v>488</v>
      </c>
      <c r="D84" s="34" t="s">
        <v>2636</v>
      </c>
      <c r="E84" s="11" t="s">
        <v>13</v>
      </c>
    </row>
    <row r="85">
      <c r="B85" s="34" t="s">
        <v>2956</v>
      </c>
      <c r="C85" s="35" t="s">
        <v>66</v>
      </c>
      <c r="D85" s="34" t="s">
        <v>2857</v>
      </c>
      <c r="E85" s="11" t="s">
        <v>9</v>
      </c>
    </row>
    <row r="86">
      <c r="B86" s="34" t="s">
        <v>2638</v>
      </c>
      <c r="C86" s="35" t="s">
        <v>190</v>
      </c>
      <c r="D86" s="32" t="s">
        <v>2495</v>
      </c>
      <c r="E86" s="11" t="s">
        <v>13</v>
      </c>
    </row>
    <row r="87">
      <c r="B87" s="34" t="s">
        <v>2636</v>
      </c>
      <c r="C87" s="35" t="s">
        <v>207</v>
      </c>
      <c r="D87" s="34" t="s">
        <v>2857</v>
      </c>
      <c r="E87" s="11" t="s">
        <v>9</v>
      </c>
    </row>
    <row r="88">
      <c r="B88" s="34" t="s">
        <v>2956</v>
      </c>
      <c r="C88" s="35" t="s">
        <v>201</v>
      </c>
      <c r="D88" s="32" t="s">
        <v>2495</v>
      </c>
      <c r="E88" s="11" t="s">
        <v>13</v>
      </c>
    </row>
    <row r="89">
      <c r="B89" s="72" t="s">
        <v>2828</v>
      </c>
      <c r="C89" s="2"/>
      <c r="D89" s="3"/>
      <c r="E89" s="84"/>
    </row>
    <row r="90">
      <c r="B90" s="85" t="s">
        <v>2</v>
      </c>
      <c r="C90" s="86" t="s">
        <v>3</v>
      </c>
      <c r="D90" s="86" t="s">
        <v>4</v>
      </c>
      <c r="E90" s="86" t="s">
        <v>5</v>
      </c>
    </row>
    <row r="91">
      <c r="B91" s="32" t="s">
        <v>1017</v>
      </c>
      <c r="C91" s="35" t="s">
        <v>250</v>
      </c>
      <c r="D91" s="32" t="s">
        <v>2643</v>
      </c>
      <c r="E91" s="80" t="s">
        <v>33</v>
      </c>
    </row>
    <row r="92">
      <c r="B92" s="32" t="s">
        <v>2568</v>
      </c>
      <c r="C92" s="35" t="s">
        <v>193</v>
      </c>
      <c r="D92" s="32" t="s">
        <v>1576</v>
      </c>
      <c r="E92" s="80" t="s">
        <v>37</v>
      </c>
    </row>
    <row r="93">
      <c r="B93" s="32" t="s">
        <v>2957</v>
      </c>
      <c r="C93" s="35" t="s">
        <v>22</v>
      </c>
      <c r="D93" s="32" t="s">
        <v>1017</v>
      </c>
      <c r="E93" s="80" t="s">
        <v>33</v>
      </c>
    </row>
    <row r="94">
      <c r="B94" s="32" t="s">
        <v>2568</v>
      </c>
      <c r="C94" s="35" t="s">
        <v>41</v>
      </c>
      <c r="D94" s="32" t="s">
        <v>2643</v>
      </c>
      <c r="E94" s="80" t="s">
        <v>37</v>
      </c>
      <c r="H94" s="36"/>
    </row>
    <row r="95">
      <c r="B95" s="91" t="s">
        <v>2957</v>
      </c>
      <c r="C95" s="92" t="s">
        <v>71</v>
      </c>
      <c r="D95" s="91" t="s">
        <v>1576</v>
      </c>
      <c r="E95" s="80" t="s">
        <v>33</v>
      </c>
    </row>
    <row r="96">
      <c r="B96" s="32" t="s">
        <v>2568</v>
      </c>
      <c r="C96" s="35" t="s">
        <v>250</v>
      </c>
      <c r="D96" s="32" t="s">
        <v>1017</v>
      </c>
      <c r="E96" s="80" t="s">
        <v>37</v>
      </c>
    </row>
    <row r="97">
      <c r="B97" s="91" t="s">
        <v>2957</v>
      </c>
      <c r="C97" s="92" t="s">
        <v>295</v>
      </c>
      <c r="D97" s="91" t="s">
        <v>2643</v>
      </c>
      <c r="E97" s="80" t="s">
        <v>33</v>
      </c>
      <c r="H97" s="36"/>
    </row>
    <row r="98">
      <c r="B98" s="32" t="s">
        <v>1576</v>
      </c>
      <c r="C98" s="35" t="s">
        <v>699</v>
      </c>
      <c r="D98" s="32" t="s">
        <v>1017</v>
      </c>
      <c r="E98" s="80" t="s">
        <v>37</v>
      </c>
    </row>
    <row r="99">
      <c r="B99" s="91" t="s">
        <v>2957</v>
      </c>
      <c r="C99" s="92" t="s">
        <v>2326</v>
      </c>
      <c r="D99" s="91" t="s">
        <v>2568</v>
      </c>
      <c r="E99" s="80" t="s">
        <v>33</v>
      </c>
    </row>
    <row r="100">
      <c r="B100" s="32" t="s">
        <v>1576</v>
      </c>
      <c r="C100" s="35" t="s">
        <v>87</v>
      </c>
      <c r="D100" s="32" t="s">
        <v>2643</v>
      </c>
      <c r="E100" s="80" t="s">
        <v>37</v>
      </c>
    </row>
    <row r="101">
      <c r="B101" s="91" t="s">
        <v>2643</v>
      </c>
      <c r="C101" s="92" t="s">
        <v>239</v>
      </c>
      <c r="D101" s="91" t="s">
        <v>1017</v>
      </c>
      <c r="E101" s="80" t="s">
        <v>33</v>
      </c>
    </row>
    <row r="102">
      <c r="B102" s="32" t="s">
        <v>1576</v>
      </c>
      <c r="C102" s="35" t="s">
        <v>239</v>
      </c>
      <c r="D102" s="32" t="s">
        <v>2568</v>
      </c>
      <c r="E102" s="80" t="s">
        <v>37</v>
      </c>
    </row>
    <row r="103">
      <c r="B103" s="91" t="s">
        <v>1017</v>
      </c>
      <c r="C103" s="92" t="s">
        <v>2958</v>
      </c>
      <c r="D103" s="91" t="s">
        <v>2957</v>
      </c>
      <c r="E103" s="80" t="s">
        <v>33</v>
      </c>
    </row>
    <row r="104">
      <c r="B104" s="32" t="s">
        <v>2643</v>
      </c>
      <c r="C104" s="35" t="s">
        <v>193</v>
      </c>
      <c r="D104" s="32" t="s">
        <v>2568</v>
      </c>
      <c r="E104" s="80" t="s">
        <v>37</v>
      </c>
    </row>
    <row r="105">
      <c r="B105" s="91" t="s">
        <v>1576</v>
      </c>
      <c r="C105" s="92" t="s">
        <v>658</v>
      </c>
      <c r="D105" s="91" t="s">
        <v>2957</v>
      </c>
      <c r="E105" s="80" t="s">
        <v>33</v>
      </c>
    </row>
    <row r="106">
      <c r="B106" s="32" t="s">
        <v>1017</v>
      </c>
      <c r="C106" s="35" t="s">
        <v>20</v>
      </c>
      <c r="D106" s="32" t="s">
        <v>2568</v>
      </c>
      <c r="E106" s="80" t="s">
        <v>37</v>
      </c>
    </row>
    <row r="107">
      <c r="B107" s="91" t="s">
        <v>2643</v>
      </c>
      <c r="C107" s="92" t="s">
        <v>331</v>
      </c>
      <c r="D107" s="91" t="s">
        <v>2957</v>
      </c>
      <c r="E107" s="80" t="s">
        <v>33</v>
      </c>
    </row>
    <row r="108">
      <c r="B108" s="32" t="s">
        <v>1017</v>
      </c>
      <c r="C108" s="35" t="s">
        <v>2959</v>
      </c>
      <c r="D108" s="32" t="s">
        <v>1576</v>
      </c>
      <c r="E108" s="80" t="s">
        <v>37</v>
      </c>
    </row>
    <row r="109">
      <c r="B109" s="91" t="s">
        <v>2568</v>
      </c>
      <c r="C109" s="92" t="s">
        <v>352</v>
      </c>
      <c r="D109" s="91" t="s">
        <v>2957</v>
      </c>
      <c r="E109" s="80" t="s">
        <v>33</v>
      </c>
    </row>
    <row r="110">
      <c r="B110" s="32" t="s">
        <v>2643</v>
      </c>
      <c r="C110" s="35" t="s">
        <v>41</v>
      </c>
      <c r="D110" s="32" t="s">
        <v>1576</v>
      </c>
      <c r="E110" s="80" t="s">
        <v>37</v>
      </c>
      <c r="H110" s="36" t="s">
        <v>242</v>
      </c>
    </row>
    <row r="111">
      <c r="B111" s="72" t="s">
        <v>2960</v>
      </c>
      <c r="C111" s="2"/>
      <c r="D111" s="3"/>
      <c r="E111" s="84"/>
    </row>
    <row r="112">
      <c r="B112" s="85" t="s">
        <v>2</v>
      </c>
      <c r="C112" s="86" t="s">
        <v>3</v>
      </c>
      <c r="D112" s="86" t="s">
        <v>4</v>
      </c>
      <c r="E112" s="86" t="s">
        <v>5</v>
      </c>
    </row>
    <row r="113">
      <c r="B113" s="93" t="s">
        <v>1530</v>
      </c>
      <c r="C113" s="92" t="s">
        <v>362</v>
      </c>
      <c r="D113" s="94" t="s">
        <v>2517</v>
      </c>
      <c r="E113" s="80" t="s">
        <v>33</v>
      </c>
    </row>
    <row r="114">
      <c r="B114" s="87" t="s">
        <v>2961</v>
      </c>
      <c r="C114" s="35" t="s">
        <v>195</v>
      </c>
      <c r="D114" s="89" t="s">
        <v>2962</v>
      </c>
      <c r="E114" s="80" t="s">
        <v>37</v>
      </c>
    </row>
    <row r="115">
      <c r="B115" s="93" t="s">
        <v>2963</v>
      </c>
      <c r="C115" s="92" t="s">
        <v>86</v>
      </c>
      <c r="D115" s="94" t="s">
        <v>1530</v>
      </c>
      <c r="E115" s="80" t="s">
        <v>33</v>
      </c>
    </row>
    <row r="116">
      <c r="B116" s="87" t="s">
        <v>2961</v>
      </c>
      <c r="C116" s="35" t="s">
        <v>906</v>
      </c>
      <c r="D116" s="89" t="s">
        <v>2517</v>
      </c>
      <c r="E116" s="80" t="s">
        <v>37</v>
      </c>
    </row>
    <row r="117">
      <c r="B117" s="93" t="s">
        <v>2963</v>
      </c>
      <c r="C117" s="92" t="s">
        <v>566</v>
      </c>
      <c r="D117" s="94" t="s">
        <v>2962</v>
      </c>
      <c r="E117" s="80" t="s">
        <v>33</v>
      </c>
    </row>
    <row r="118">
      <c r="B118" s="87" t="s">
        <v>2961</v>
      </c>
      <c r="C118" s="35" t="s">
        <v>426</v>
      </c>
      <c r="D118" s="89" t="s">
        <v>1530</v>
      </c>
      <c r="E118" s="80" t="s">
        <v>37</v>
      </c>
    </row>
    <row r="119">
      <c r="B119" s="93" t="s">
        <v>2963</v>
      </c>
      <c r="C119" s="92" t="s">
        <v>259</v>
      </c>
      <c r="D119" s="94" t="s">
        <v>2517</v>
      </c>
      <c r="E119" s="80" t="s">
        <v>33</v>
      </c>
    </row>
    <row r="120">
      <c r="B120" s="87" t="s">
        <v>2962</v>
      </c>
      <c r="C120" s="35" t="s">
        <v>64</v>
      </c>
      <c r="D120" s="89" t="s">
        <v>1530</v>
      </c>
      <c r="E120" s="80" t="s">
        <v>37</v>
      </c>
      <c r="I120" s="36" t="s">
        <v>242</v>
      </c>
    </row>
    <row r="121">
      <c r="B121" s="93" t="s">
        <v>2963</v>
      </c>
      <c r="C121" s="92" t="s">
        <v>87</v>
      </c>
      <c r="D121" s="94" t="s">
        <v>2961</v>
      </c>
      <c r="E121" s="80" t="s">
        <v>33</v>
      </c>
    </row>
    <row r="122">
      <c r="B122" s="87" t="s">
        <v>2962</v>
      </c>
      <c r="C122" s="35" t="s">
        <v>699</v>
      </c>
      <c r="D122" s="89" t="s">
        <v>2517</v>
      </c>
      <c r="E122" s="80" t="s">
        <v>37</v>
      </c>
    </row>
    <row r="123">
      <c r="B123" s="93" t="s">
        <v>2517</v>
      </c>
      <c r="C123" s="92" t="s">
        <v>215</v>
      </c>
      <c r="D123" s="94" t="s">
        <v>1530</v>
      </c>
      <c r="E123" s="80" t="s">
        <v>33</v>
      </c>
      <c r="H123" s="36" t="s">
        <v>663</v>
      </c>
    </row>
    <row r="124">
      <c r="B124" s="87" t="s">
        <v>2962</v>
      </c>
      <c r="C124" s="35" t="s">
        <v>1952</v>
      </c>
      <c r="D124" s="89" t="s">
        <v>2961</v>
      </c>
      <c r="E124" s="80" t="s">
        <v>37</v>
      </c>
    </row>
    <row r="125">
      <c r="B125" s="93" t="s">
        <v>1530</v>
      </c>
      <c r="C125" s="92" t="s">
        <v>369</v>
      </c>
      <c r="D125" s="93" t="s">
        <v>2963</v>
      </c>
      <c r="E125" s="80" t="s">
        <v>33</v>
      </c>
    </row>
    <row r="126">
      <c r="B126" s="87" t="s">
        <v>2517</v>
      </c>
      <c r="C126" s="35" t="s">
        <v>52</v>
      </c>
      <c r="D126" s="89" t="s">
        <v>2961</v>
      </c>
      <c r="E126" s="80" t="s">
        <v>37</v>
      </c>
    </row>
    <row r="127">
      <c r="B127" s="93" t="s">
        <v>2962</v>
      </c>
      <c r="C127" s="92" t="s">
        <v>18</v>
      </c>
      <c r="D127" s="93" t="s">
        <v>2963</v>
      </c>
      <c r="E127" s="80" t="s">
        <v>33</v>
      </c>
    </row>
    <row r="128">
      <c r="B128" s="93" t="s">
        <v>1530</v>
      </c>
      <c r="C128" s="92" t="s">
        <v>297</v>
      </c>
      <c r="D128" s="94" t="s">
        <v>2961</v>
      </c>
      <c r="E128" s="80" t="s">
        <v>37</v>
      </c>
    </row>
    <row r="129">
      <c r="B129" s="93" t="s">
        <v>2517</v>
      </c>
      <c r="C129" s="92" t="s">
        <v>218</v>
      </c>
      <c r="D129" s="93" t="s">
        <v>2963</v>
      </c>
      <c r="E129" s="80" t="s">
        <v>33</v>
      </c>
    </row>
    <row r="130">
      <c r="B130" s="87" t="s">
        <v>1530</v>
      </c>
      <c r="C130" s="35" t="s">
        <v>770</v>
      </c>
      <c r="D130" s="89" t="s">
        <v>2962</v>
      </c>
      <c r="E130" s="80" t="s">
        <v>37</v>
      </c>
    </row>
    <row r="131">
      <c r="B131" s="93" t="s">
        <v>2961</v>
      </c>
      <c r="C131" s="92" t="s">
        <v>80</v>
      </c>
      <c r="D131" s="93" t="s">
        <v>2963</v>
      </c>
      <c r="E131" s="80" t="s">
        <v>33</v>
      </c>
    </row>
    <row r="132">
      <c r="B132" s="87" t="s">
        <v>2517</v>
      </c>
      <c r="C132" s="35" t="s">
        <v>68</v>
      </c>
      <c r="D132" s="89" t="s">
        <v>2962</v>
      </c>
      <c r="E132" s="80" t="s">
        <v>37</v>
      </c>
    </row>
    <row r="133">
      <c r="B133" s="72" t="s">
        <v>2041</v>
      </c>
      <c r="C133" s="2"/>
      <c r="D133" s="3"/>
      <c r="E133" s="2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34" t="s">
        <v>2964</v>
      </c>
      <c r="C135" s="35" t="s">
        <v>190</v>
      </c>
      <c r="D135" s="34" t="s">
        <v>2965</v>
      </c>
      <c r="E135" s="11" t="s">
        <v>9</v>
      </c>
    </row>
    <row r="136">
      <c r="B136" s="34" t="s">
        <v>2966</v>
      </c>
      <c r="C136" s="35" t="s">
        <v>282</v>
      </c>
      <c r="D136" s="32" t="s">
        <v>1482</v>
      </c>
      <c r="E136" s="11" t="s">
        <v>13</v>
      </c>
    </row>
    <row r="137">
      <c r="B137" s="34" t="s">
        <v>1480</v>
      </c>
      <c r="C137" s="35" t="s">
        <v>17</v>
      </c>
      <c r="D137" s="34" t="s">
        <v>2964</v>
      </c>
      <c r="E137" s="11" t="s">
        <v>9</v>
      </c>
    </row>
    <row r="138">
      <c r="B138" s="34" t="s">
        <v>2966</v>
      </c>
      <c r="C138" s="35" t="s">
        <v>87</v>
      </c>
      <c r="D138" s="34" t="s">
        <v>2965</v>
      </c>
      <c r="E138" s="11" t="s">
        <v>13</v>
      </c>
    </row>
    <row r="139">
      <c r="B139" s="34" t="s">
        <v>1480</v>
      </c>
      <c r="C139" s="35" t="s">
        <v>22</v>
      </c>
      <c r="D139" s="32" t="s">
        <v>1482</v>
      </c>
      <c r="E139" s="11" t="s">
        <v>9</v>
      </c>
    </row>
    <row r="140">
      <c r="B140" s="34" t="s">
        <v>2966</v>
      </c>
      <c r="C140" s="35" t="s">
        <v>64</v>
      </c>
      <c r="D140" s="34" t="s">
        <v>2964</v>
      </c>
      <c r="E140" s="11" t="s">
        <v>13</v>
      </c>
    </row>
    <row r="141">
      <c r="B141" s="34" t="s">
        <v>1480</v>
      </c>
      <c r="C141" s="35" t="s">
        <v>28</v>
      </c>
      <c r="D141" s="34" t="s">
        <v>2965</v>
      </c>
      <c r="E141" s="11" t="s">
        <v>9</v>
      </c>
    </row>
    <row r="142">
      <c r="B142" s="32" t="s">
        <v>1482</v>
      </c>
      <c r="C142" s="35" t="s">
        <v>217</v>
      </c>
      <c r="D142" s="34" t="s">
        <v>2964</v>
      </c>
      <c r="E142" s="11" t="s">
        <v>13</v>
      </c>
    </row>
    <row r="143">
      <c r="B143" s="34" t="s">
        <v>1480</v>
      </c>
      <c r="C143" s="35" t="s">
        <v>24</v>
      </c>
      <c r="D143" s="34" t="s">
        <v>2966</v>
      </c>
      <c r="E143" s="11" t="s">
        <v>9</v>
      </c>
    </row>
    <row r="144">
      <c r="B144" s="32" t="s">
        <v>1482</v>
      </c>
      <c r="C144" s="35" t="s">
        <v>389</v>
      </c>
      <c r="D144" s="34" t="s">
        <v>2965</v>
      </c>
      <c r="E144" s="11" t="s">
        <v>13</v>
      </c>
    </row>
    <row r="145">
      <c r="B145" s="34" t="s">
        <v>2965</v>
      </c>
      <c r="C145" s="35" t="s">
        <v>658</v>
      </c>
      <c r="D145" s="34" t="s">
        <v>2964</v>
      </c>
      <c r="E145" s="11" t="s">
        <v>9</v>
      </c>
    </row>
    <row r="146">
      <c r="B146" s="32" t="s">
        <v>1482</v>
      </c>
      <c r="C146" s="35" t="s">
        <v>42</v>
      </c>
      <c r="D146" s="34" t="s">
        <v>2966</v>
      </c>
      <c r="E146" s="11" t="s">
        <v>13</v>
      </c>
    </row>
    <row r="147">
      <c r="B147" s="34" t="s">
        <v>2964</v>
      </c>
      <c r="C147" s="35" t="s">
        <v>18</v>
      </c>
      <c r="D147" s="34" t="s">
        <v>1480</v>
      </c>
      <c r="E147" s="11" t="s">
        <v>9</v>
      </c>
    </row>
    <row r="148">
      <c r="B148" s="34" t="s">
        <v>2965</v>
      </c>
      <c r="C148" s="35" t="s">
        <v>306</v>
      </c>
      <c r="D148" s="34" t="s">
        <v>2966</v>
      </c>
      <c r="E148" s="11" t="s">
        <v>13</v>
      </c>
    </row>
    <row r="149">
      <c r="B149" s="32" t="s">
        <v>1482</v>
      </c>
      <c r="C149" s="35" t="s">
        <v>400</v>
      </c>
      <c r="D149" s="34" t="s">
        <v>1480</v>
      </c>
      <c r="E149" s="11" t="s">
        <v>9</v>
      </c>
    </row>
    <row r="150">
      <c r="B150" s="34" t="s">
        <v>2964</v>
      </c>
      <c r="C150" s="35" t="s">
        <v>7</v>
      </c>
      <c r="D150" s="34" t="s">
        <v>2966</v>
      </c>
      <c r="E150" s="11" t="s">
        <v>13</v>
      </c>
    </row>
    <row r="151">
      <c r="B151" s="34" t="s">
        <v>2965</v>
      </c>
      <c r="C151" s="35" t="s">
        <v>270</v>
      </c>
      <c r="D151" s="34" t="s">
        <v>1480</v>
      </c>
      <c r="E151" s="11" t="s">
        <v>9</v>
      </c>
    </row>
    <row r="152">
      <c r="B152" s="34" t="s">
        <v>2964</v>
      </c>
      <c r="C152" s="35" t="s">
        <v>190</v>
      </c>
      <c r="D152" s="32" t="s">
        <v>1482</v>
      </c>
      <c r="E152" s="11" t="s">
        <v>13</v>
      </c>
    </row>
    <row r="153">
      <c r="B153" s="34" t="s">
        <v>2966</v>
      </c>
      <c r="C153" s="35" t="s">
        <v>217</v>
      </c>
      <c r="D153" s="34" t="s">
        <v>1480</v>
      </c>
      <c r="E153" s="11" t="s">
        <v>9</v>
      </c>
    </row>
    <row r="154">
      <c r="B154" s="34" t="s">
        <v>2965</v>
      </c>
      <c r="C154" s="35" t="s">
        <v>55</v>
      </c>
      <c r="D154" s="32" t="s">
        <v>1482</v>
      </c>
      <c r="E154" s="11" t="s">
        <v>13</v>
      </c>
    </row>
    <row r="155">
      <c r="B155" s="72" t="s">
        <v>1685</v>
      </c>
      <c r="C155" s="2"/>
      <c r="D155" s="3"/>
      <c r="E155" s="2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34" t="s">
        <v>2967</v>
      </c>
      <c r="C157" s="35" t="s">
        <v>338</v>
      </c>
      <c r="D157" s="34" t="s">
        <v>2968</v>
      </c>
      <c r="E157" s="11" t="s">
        <v>9</v>
      </c>
    </row>
    <row r="158">
      <c r="B158" s="34" t="s">
        <v>2969</v>
      </c>
      <c r="C158" s="35" t="s">
        <v>217</v>
      </c>
      <c r="D158" s="32" t="s">
        <v>2970</v>
      </c>
      <c r="E158" s="11" t="s">
        <v>13</v>
      </c>
    </row>
    <row r="159">
      <c r="B159" s="34" t="s">
        <v>2971</v>
      </c>
      <c r="C159" s="35" t="s">
        <v>201</v>
      </c>
      <c r="D159" s="34" t="s">
        <v>2967</v>
      </c>
      <c r="E159" s="11" t="s">
        <v>9</v>
      </c>
    </row>
    <row r="160">
      <c r="B160" s="34" t="s">
        <v>2969</v>
      </c>
      <c r="C160" s="35" t="s">
        <v>274</v>
      </c>
      <c r="D160" s="34" t="s">
        <v>2968</v>
      </c>
      <c r="E160" s="11" t="s">
        <v>13</v>
      </c>
    </row>
    <row r="161">
      <c r="B161" s="34" t="s">
        <v>2971</v>
      </c>
      <c r="C161" s="35" t="s">
        <v>446</v>
      </c>
      <c r="D161" s="32" t="s">
        <v>2970</v>
      </c>
      <c r="E161" s="11" t="s">
        <v>9</v>
      </c>
    </row>
    <row r="162">
      <c r="B162" s="34" t="s">
        <v>2969</v>
      </c>
      <c r="C162" s="35" t="s">
        <v>18</v>
      </c>
      <c r="D162" s="34" t="s">
        <v>2967</v>
      </c>
      <c r="E162" s="11" t="s">
        <v>13</v>
      </c>
    </row>
    <row r="163">
      <c r="B163" s="34" t="s">
        <v>2971</v>
      </c>
      <c r="C163" s="35" t="s">
        <v>25</v>
      </c>
      <c r="D163" s="34" t="s">
        <v>2968</v>
      </c>
      <c r="E163" s="11" t="s">
        <v>9</v>
      </c>
    </row>
    <row r="164">
      <c r="B164" s="32" t="s">
        <v>2970</v>
      </c>
      <c r="C164" s="35" t="s">
        <v>217</v>
      </c>
      <c r="D164" s="34" t="s">
        <v>2967</v>
      </c>
      <c r="E164" s="11" t="s">
        <v>13</v>
      </c>
    </row>
    <row r="165">
      <c r="B165" s="34" t="s">
        <v>2971</v>
      </c>
      <c r="C165" s="35" t="s">
        <v>68</v>
      </c>
      <c r="D165" s="34" t="s">
        <v>2969</v>
      </c>
      <c r="E165" s="11" t="s">
        <v>9</v>
      </c>
    </row>
    <row r="166">
      <c r="B166" s="32" t="s">
        <v>2970</v>
      </c>
      <c r="C166" s="35" t="s">
        <v>25</v>
      </c>
      <c r="D166" s="34" t="s">
        <v>2968</v>
      </c>
      <c r="E166" s="11" t="s">
        <v>13</v>
      </c>
    </row>
    <row r="167">
      <c r="B167" s="34" t="s">
        <v>2968</v>
      </c>
      <c r="C167" s="35" t="s">
        <v>25</v>
      </c>
      <c r="D167" s="34" t="s">
        <v>2967</v>
      </c>
      <c r="E167" s="11" t="s">
        <v>9</v>
      </c>
    </row>
    <row r="168">
      <c r="B168" s="32" t="s">
        <v>2970</v>
      </c>
      <c r="C168" s="35" t="s">
        <v>286</v>
      </c>
      <c r="D168" s="34" t="s">
        <v>2969</v>
      </c>
      <c r="E168" s="11" t="s">
        <v>13</v>
      </c>
    </row>
    <row r="169">
      <c r="B169" s="34" t="s">
        <v>2967</v>
      </c>
      <c r="C169" s="35" t="s">
        <v>217</v>
      </c>
      <c r="D169" s="34" t="s">
        <v>2971</v>
      </c>
      <c r="E169" s="11" t="s">
        <v>9</v>
      </c>
    </row>
    <row r="170">
      <c r="B170" s="34" t="s">
        <v>2968</v>
      </c>
      <c r="C170" s="35" t="s">
        <v>27</v>
      </c>
      <c r="D170" s="34" t="s">
        <v>2969</v>
      </c>
      <c r="E170" s="11" t="s">
        <v>13</v>
      </c>
    </row>
    <row r="171">
      <c r="B171" s="32" t="s">
        <v>2970</v>
      </c>
      <c r="C171" s="35" t="s">
        <v>201</v>
      </c>
      <c r="D171" s="34" t="s">
        <v>2971</v>
      </c>
      <c r="E171" s="11" t="s">
        <v>9</v>
      </c>
    </row>
    <row r="172">
      <c r="B172" s="34" t="s">
        <v>2967</v>
      </c>
      <c r="C172" s="35" t="s">
        <v>47</v>
      </c>
      <c r="D172" s="34" t="s">
        <v>2969</v>
      </c>
      <c r="E172" s="11" t="s">
        <v>13</v>
      </c>
    </row>
    <row r="173">
      <c r="B173" s="34" t="s">
        <v>2968</v>
      </c>
      <c r="C173" s="35" t="s">
        <v>196</v>
      </c>
      <c r="D173" s="34" t="s">
        <v>2971</v>
      </c>
      <c r="E173" s="11" t="s">
        <v>9</v>
      </c>
    </row>
    <row r="174">
      <c r="B174" s="34" t="s">
        <v>2967</v>
      </c>
      <c r="C174" s="35" t="s">
        <v>43</v>
      </c>
      <c r="D174" s="32" t="s">
        <v>2970</v>
      </c>
      <c r="E174" s="11" t="s">
        <v>13</v>
      </c>
    </row>
    <row r="175">
      <c r="B175" s="34" t="s">
        <v>2969</v>
      </c>
      <c r="C175" s="35" t="s">
        <v>88</v>
      </c>
      <c r="D175" s="34" t="s">
        <v>2971</v>
      </c>
      <c r="E175" s="11" t="s">
        <v>9</v>
      </c>
    </row>
    <row r="176">
      <c r="B176" s="34" t="s">
        <v>2968</v>
      </c>
      <c r="C176" s="35" t="s">
        <v>220</v>
      </c>
      <c r="D176" s="32" t="s">
        <v>2970</v>
      </c>
      <c r="E176" s="11" t="s">
        <v>13</v>
      </c>
    </row>
    <row r="177">
      <c r="B177" s="72" t="s">
        <v>2727</v>
      </c>
      <c r="C177" s="2"/>
      <c r="D177" s="3"/>
      <c r="E177" s="84"/>
    </row>
    <row r="178">
      <c r="B178" s="85" t="s">
        <v>2</v>
      </c>
      <c r="C178" s="86" t="s">
        <v>3</v>
      </c>
      <c r="D178" s="86" t="s">
        <v>4</v>
      </c>
      <c r="E178" s="86" t="s">
        <v>5</v>
      </c>
    </row>
    <row r="179">
      <c r="B179" s="93" t="s">
        <v>1100</v>
      </c>
      <c r="C179" s="92" t="s">
        <v>212</v>
      </c>
      <c r="D179" s="94" t="s">
        <v>1305</v>
      </c>
      <c r="E179" s="80" t="s">
        <v>33</v>
      </c>
    </row>
    <row r="180">
      <c r="B180" s="87" t="s">
        <v>927</v>
      </c>
      <c r="C180" s="35" t="s">
        <v>83</v>
      </c>
      <c r="D180" s="89" t="s">
        <v>1590</v>
      </c>
      <c r="E180" s="80" t="s">
        <v>37</v>
      </c>
    </row>
    <row r="181">
      <c r="B181" s="93" t="s">
        <v>2972</v>
      </c>
      <c r="C181" s="92" t="s">
        <v>17</v>
      </c>
      <c r="D181" s="94" t="s">
        <v>1100</v>
      </c>
      <c r="E181" s="80" t="s">
        <v>33</v>
      </c>
    </row>
    <row r="182">
      <c r="B182" s="87" t="s">
        <v>927</v>
      </c>
      <c r="C182" s="35" t="s">
        <v>31</v>
      </c>
      <c r="D182" s="89" t="s">
        <v>1305</v>
      </c>
      <c r="E182" s="80" t="s">
        <v>37</v>
      </c>
    </row>
    <row r="183">
      <c r="B183" s="93" t="s">
        <v>2972</v>
      </c>
      <c r="C183" s="92" t="s">
        <v>83</v>
      </c>
      <c r="D183" s="94" t="s">
        <v>1590</v>
      </c>
      <c r="E183" s="80" t="s">
        <v>33</v>
      </c>
    </row>
    <row r="184">
      <c r="B184" s="87" t="s">
        <v>927</v>
      </c>
      <c r="C184" s="35" t="s">
        <v>87</v>
      </c>
      <c r="D184" s="89" t="s">
        <v>1100</v>
      </c>
      <c r="E184" s="80" t="s">
        <v>37</v>
      </c>
    </row>
    <row r="185">
      <c r="B185" s="93" t="s">
        <v>2972</v>
      </c>
      <c r="C185" s="92" t="s">
        <v>43</v>
      </c>
      <c r="D185" s="94" t="s">
        <v>1305</v>
      </c>
      <c r="E185" s="80" t="s">
        <v>33</v>
      </c>
      <c r="I185" s="36" t="s">
        <v>242</v>
      </c>
    </row>
    <row r="186">
      <c r="B186" s="87" t="s">
        <v>1590</v>
      </c>
      <c r="C186" s="35" t="s">
        <v>497</v>
      </c>
      <c r="D186" s="89" t="s">
        <v>1100</v>
      </c>
      <c r="E186" s="80" t="s">
        <v>37</v>
      </c>
    </row>
    <row r="187">
      <c r="B187" s="93" t="s">
        <v>2972</v>
      </c>
      <c r="C187" s="92" t="s">
        <v>337</v>
      </c>
      <c r="D187" s="94" t="s">
        <v>927</v>
      </c>
      <c r="E187" s="80" t="s">
        <v>33</v>
      </c>
    </row>
    <row r="188">
      <c r="B188" s="87" t="s">
        <v>1590</v>
      </c>
      <c r="C188" s="35" t="s">
        <v>289</v>
      </c>
      <c r="D188" s="89" t="s">
        <v>1305</v>
      </c>
      <c r="E188" s="80" t="s">
        <v>37</v>
      </c>
    </row>
    <row r="189">
      <c r="B189" s="93" t="s">
        <v>1305</v>
      </c>
      <c r="C189" s="92" t="s">
        <v>52</v>
      </c>
      <c r="D189" s="94" t="s">
        <v>1100</v>
      </c>
      <c r="E189" s="80" t="s">
        <v>33</v>
      </c>
    </row>
    <row r="190">
      <c r="B190" s="87" t="s">
        <v>1590</v>
      </c>
      <c r="C190" s="35" t="s">
        <v>283</v>
      </c>
      <c r="D190" s="89" t="s">
        <v>927</v>
      </c>
      <c r="E190" s="80" t="s">
        <v>37</v>
      </c>
    </row>
    <row r="191">
      <c r="B191" s="93" t="s">
        <v>1100</v>
      </c>
      <c r="C191" s="92" t="s">
        <v>196</v>
      </c>
      <c r="D191" s="93" t="s">
        <v>2972</v>
      </c>
      <c r="E191" s="80" t="s">
        <v>33</v>
      </c>
    </row>
    <row r="192">
      <c r="B192" s="87" t="s">
        <v>1305</v>
      </c>
      <c r="C192" s="35" t="s">
        <v>206</v>
      </c>
      <c r="D192" s="89" t="s">
        <v>927</v>
      </c>
      <c r="E192" s="80" t="s">
        <v>37</v>
      </c>
    </row>
    <row r="193">
      <c r="B193" s="93" t="s">
        <v>1590</v>
      </c>
      <c r="C193" s="92" t="s">
        <v>589</v>
      </c>
      <c r="D193" s="93" t="s">
        <v>2972</v>
      </c>
      <c r="E193" s="80" t="s">
        <v>33</v>
      </c>
    </row>
    <row r="194">
      <c r="B194" s="87" t="s">
        <v>1100</v>
      </c>
      <c r="C194" s="35" t="s">
        <v>212</v>
      </c>
      <c r="D194" s="89" t="s">
        <v>927</v>
      </c>
      <c r="E194" s="80" t="s">
        <v>37</v>
      </c>
    </row>
    <row r="195">
      <c r="B195" s="93" t="s">
        <v>1305</v>
      </c>
      <c r="C195" s="92" t="s">
        <v>72</v>
      </c>
      <c r="D195" s="93" t="s">
        <v>2972</v>
      </c>
      <c r="E195" s="80" t="s">
        <v>33</v>
      </c>
    </row>
    <row r="196">
      <c r="B196" s="87" t="s">
        <v>1100</v>
      </c>
      <c r="C196" s="35" t="s">
        <v>259</v>
      </c>
      <c r="D196" s="89" t="s">
        <v>1590</v>
      </c>
      <c r="E196" s="80" t="s">
        <v>37</v>
      </c>
    </row>
    <row r="197">
      <c r="B197" s="93" t="s">
        <v>927</v>
      </c>
      <c r="C197" s="92" t="s">
        <v>196</v>
      </c>
      <c r="D197" s="93" t="s">
        <v>2972</v>
      </c>
      <c r="E197" s="80" t="s">
        <v>33</v>
      </c>
    </row>
    <row r="198">
      <c r="B198" s="87" t="s">
        <v>1305</v>
      </c>
      <c r="C198" s="35" t="s">
        <v>258</v>
      </c>
      <c r="D198" s="89" t="s">
        <v>1590</v>
      </c>
      <c r="E198" s="80" t="s">
        <v>37</v>
      </c>
    </row>
    <row r="199">
      <c r="B199" s="72" t="s">
        <v>2571</v>
      </c>
      <c r="C199" s="2"/>
      <c r="D199" s="3"/>
      <c r="E199" s="84"/>
    </row>
    <row r="200">
      <c r="B200" s="85" t="s">
        <v>2</v>
      </c>
      <c r="C200" s="86" t="s">
        <v>3</v>
      </c>
      <c r="D200" s="86" t="s">
        <v>4</v>
      </c>
      <c r="E200" s="86" t="s">
        <v>5</v>
      </c>
    </row>
    <row r="201">
      <c r="B201" s="93" t="s">
        <v>1910</v>
      </c>
      <c r="C201" s="92" t="s">
        <v>351</v>
      </c>
      <c r="D201" s="94" t="s">
        <v>1358</v>
      </c>
      <c r="E201" s="80" t="s">
        <v>33</v>
      </c>
    </row>
    <row r="202">
      <c r="B202" s="87" t="s">
        <v>124</v>
      </c>
      <c r="C202" s="35" t="s">
        <v>243</v>
      </c>
      <c r="D202" s="89" t="s">
        <v>2973</v>
      </c>
      <c r="E202" s="80" t="s">
        <v>37</v>
      </c>
    </row>
    <row r="203">
      <c r="B203" s="93" t="s">
        <v>1912</v>
      </c>
      <c r="C203" s="92" t="s">
        <v>26</v>
      </c>
      <c r="D203" s="94" t="s">
        <v>1910</v>
      </c>
      <c r="E203" s="80" t="s">
        <v>33</v>
      </c>
    </row>
    <row r="204">
      <c r="B204" s="87" t="s">
        <v>124</v>
      </c>
      <c r="C204" s="35" t="s">
        <v>365</v>
      </c>
      <c r="D204" s="89" t="s">
        <v>1358</v>
      </c>
      <c r="E204" s="80" t="s">
        <v>37</v>
      </c>
    </row>
    <row r="205">
      <c r="B205" s="93" t="s">
        <v>1912</v>
      </c>
      <c r="C205" s="92" t="s">
        <v>201</v>
      </c>
      <c r="D205" s="94" t="s">
        <v>2973</v>
      </c>
      <c r="E205" s="80" t="s">
        <v>33</v>
      </c>
    </row>
    <row r="206">
      <c r="B206" s="87" t="s">
        <v>124</v>
      </c>
      <c r="C206" s="35" t="s">
        <v>25</v>
      </c>
      <c r="D206" s="89" t="s">
        <v>1910</v>
      </c>
      <c r="E206" s="80" t="s">
        <v>37</v>
      </c>
    </row>
    <row r="207">
      <c r="B207" s="93" t="s">
        <v>1912</v>
      </c>
      <c r="C207" s="92" t="s">
        <v>197</v>
      </c>
      <c r="D207" s="94" t="s">
        <v>1358</v>
      </c>
      <c r="E207" s="80" t="s">
        <v>33</v>
      </c>
    </row>
    <row r="208">
      <c r="B208" s="87" t="s">
        <v>2973</v>
      </c>
      <c r="C208" s="35" t="s">
        <v>66</v>
      </c>
      <c r="D208" s="89" t="s">
        <v>1910</v>
      </c>
      <c r="E208" s="80" t="s">
        <v>37</v>
      </c>
    </row>
    <row r="209">
      <c r="B209" s="93" t="s">
        <v>1912</v>
      </c>
      <c r="C209" s="92" t="s">
        <v>284</v>
      </c>
      <c r="D209" s="94" t="s">
        <v>124</v>
      </c>
      <c r="E209" s="80" t="s">
        <v>33</v>
      </c>
    </row>
    <row r="210">
      <c r="B210" s="87" t="s">
        <v>2973</v>
      </c>
      <c r="C210" s="35" t="s">
        <v>25</v>
      </c>
      <c r="D210" s="89" t="s">
        <v>1358</v>
      </c>
      <c r="E210" s="80" t="s">
        <v>37</v>
      </c>
    </row>
    <row r="211">
      <c r="B211" s="93" t="s">
        <v>1358</v>
      </c>
      <c r="C211" s="92" t="s">
        <v>201</v>
      </c>
      <c r="D211" s="94" t="s">
        <v>1910</v>
      </c>
      <c r="E211" s="80" t="s">
        <v>33</v>
      </c>
    </row>
    <row r="212">
      <c r="B212" s="87" t="s">
        <v>2973</v>
      </c>
      <c r="C212" s="35" t="s">
        <v>69</v>
      </c>
      <c r="D212" s="89" t="s">
        <v>124</v>
      </c>
      <c r="E212" s="80" t="s">
        <v>37</v>
      </c>
      <c r="G212" s="36" t="s">
        <v>242</v>
      </c>
    </row>
    <row r="213">
      <c r="B213" s="93" t="s">
        <v>1910</v>
      </c>
      <c r="C213" s="92" t="s">
        <v>544</v>
      </c>
      <c r="D213" s="93" t="s">
        <v>1912</v>
      </c>
      <c r="E213" s="80" t="s">
        <v>33</v>
      </c>
    </row>
    <row r="214">
      <c r="B214" s="87" t="s">
        <v>1358</v>
      </c>
      <c r="C214" s="35" t="s">
        <v>71</v>
      </c>
      <c r="D214" s="89" t="s">
        <v>124</v>
      </c>
      <c r="E214" s="80" t="s">
        <v>37</v>
      </c>
    </row>
    <row r="215">
      <c r="B215" s="93" t="s">
        <v>2973</v>
      </c>
      <c r="C215" s="92" t="s">
        <v>196</v>
      </c>
      <c r="D215" s="93" t="s">
        <v>1912</v>
      </c>
      <c r="E215" s="80" t="s">
        <v>33</v>
      </c>
    </row>
    <row r="216">
      <c r="B216" s="87" t="s">
        <v>1910</v>
      </c>
      <c r="C216" s="35" t="s">
        <v>212</v>
      </c>
      <c r="D216" s="89" t="s">
        <v>124</v>
      </c>
      <c r="E216" s="80" t="s">
        <v>37</v>
      </c>
    </row>
    <row r="217">
      <c r="B217" s="93" t="s">
        <v>1358</v>
      </c>
      <c r="C217" s="92" t="s">
        <v>71</v>
      </c>
      <c r="D217" s="93" t="s">
        <v>1912</v>
      </c>
      <c r="E217" s="80" t="s">
        <v>33</v>
      </c>
    </row>
    <row r="218">
      <c r="B218" s="87" t="s">
        <v>1910</v>
      </c>
      <c r="C218" s="35" t="s">
        <v>16</v>
      </c>
      <c r="D218" s="89" t="s">
        <v>2973</v>
      </c>
      <c r="E218" s="80" t="s">
        <v>37</v>
      </c>
    </row>
    <row r="219">
      <c r="B219" s="93" t="s">
        <v>124</v>
      </c>
      <c r="C219" s="92" t="s">
        <v>389</v>
      </c>
      <c r="D219" s="93" t="s">
        <v>1912</v>
      </c>
      <c r="E219" s="80" t="s">
        <v>33</v>
      </c>
    </row>
    <row r="220">
      <c r="B220" s="87" t="s">
        <v>1358</v>
      </c>
      <c r="C220" s="35" t="s">
        <v>1497</v>
      </c>
      <c r="D220" s="89" t="s">
        <v>2973</v>
      </c>
      <c r="E220" s="80" t="s">
        <v>37</v>
      </c>
    </row>
    <row r="221">
      <c r="B221" s="72" t="s">
        <v>2974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34" t="s">
        <v>2736</v>
      </c>
      <c r="C223" s="35" t="s">
        <v>48</v>
      </c>
      <c r="D223" s="34" t="s">
        <v>2975</v>
      </c>
      <c r="E223" s="11" t="s">
        <v>9</v>
      </c>
    </row>
    <row r="224">
      <c r="B224" s="34" t="s">
        <v>2976</v>
      </c>
      <c r="C224" s="35" t="s">
        <v>579</v>
      </c>
      <c r="D224" s="32" t="s">
        <v>2977</v>
      </c>
      <c r="E224" s="11" t="s">
        <v>13</v>
      </c>
    </row>
    <row r="225">
      <c r="B225" s="34" t="s">
        <v>2329</v>
      </c>
      <c r="C225" s="35" t="s">
        <v>352</v>
      </c>
      <c r="D225" s="34" t="s">
        <v>2736</v>
      </c>
      <c r="E225" s="11" t="s">
        <v>9</v>
      </c>
    </row>
    <row r="226">
      <c r="B226" s="34" t="s">
        <v>2976</v>
      </c>
      <c r="C226" s="35" t="s">
        <v>23</v>
      </c>
      <c r="D226" s="34" t="s">
        <v>2975</v>
      </c>
      <c r="E226" s="11" t="s">
        <v>13</v>
      </c>
    </row>
    <row r="227">
      <c r="B227" s="34" t="s">
        <v>2329</v>
      </c>
      <c r="C227" s="35" t="s">
        <v>17</v>
      </c>
      <c r="D227" s="32" t="s">
        <v>2977</v>
      </c>
      <c r="E227" s="11" t="s">
        <v>9</v>
      </c>
    </row>
    <row r="228">
      <c r="B228" s="34" t="s">
        <v>2976</v>
      </c>
      <c r="C228" s="35" t="s">
        <v>19</v>
      </c>
      <c r="D228" s="34" t="s">
        <v>2736</v>
      </c>
      <c r="E228" s="11" t="s">
        <v>13</v>
      </c>
    </row>
    <row r="229">
      <c r="B229" s="34" t="s">
        <v>2329</v>
      </c>
      <c r="C229" s="35" t="s">
        <v>87</v>
      </c>
      <c r="D229" s="34" t="s">
        <v>2975</v>
      </c>
      <c r="E229" s="11" t="s">
        <v>9</v>
      </c>
    </row>
    <row r="230">
      <c r="B230" s="32" t="s">
        <v>2977</v>
      </c>
      <c r="C230" s="35" t="s">
        <v>78</v>
      </c>
      <c r="D230" s="34" t="s">
        <v>2736</v>
      </c>
      <c r="E230" s="11" t="s">
        <v>13</v>
      </c>
    </row>
    <row r="231">
      <c r="B231" s="34" t="s">
        <v>2329</v>
      </c>
      <c r="C231" s="35" t="s">
        <v>260</v>
      </c>
      <c r="D231" s="34" t="s">
        <v>2976</v>
      </c>
      <c r="E231" s="11" t="s">
        <v>9</v>
      </c>
    </row>
    <row r="232">
      <c r="B232" s="32" t="s">
        <v>2977</v>
      </c>
      <c r="C232" s="35" t="s">
        <v>81</v>
      </c>
      <c r="D232" s="34" t="s">
        <v>2975</v>
      </c>
      <c r="E232" s="11" t="s">
        <v>13</v>
      </c>
    </row>
    <row r="233">
      <c r="B233" s="34" t="s">
        <v>2975</v>
      </c>
      <c r="C233" s="35" t="s">
        <v>64</v>
      </c>
      <c r="D233" s="34" t="s">
        <v>2736</v>
      </c>
      <c r="E233" s="11" t="s">
        <v>9</v>
      </c>
    </row>
    <row r="234">
      <c r="B234" s="32" t="s">
        <v>2977</v>
      </c>
      <c r="C234" s="35" t="s">
        <v>836</v>
      </c>
      <c r="D234" s="34" t="s">
        <v>2976</v>
      </c>
      <c r="E234" s="11" t="s">
        <v>13</v>
      </c>
    </row>
    <row r="235">
      <c r="B235" s="34" t="s">
        <v>2736</v>
      </c>
      <c r="C235" s="35" t="s">
        <v>404</v>
      </c>
      <c r="D235" s="34" t="s">
        <v>2329</v>
      </c>
      <c r="E235" s="11" t="s">
        <v>9</v>
      </c>
    </row>
    <row r="236">
      <c r="B236" s="34" t="s">
        <v>2975</v>
      </c>
      <c r="C236" s="35" t="s">
        <v>866</v>
      </c>
      <c r="D236" s="34" t="s">
        <v>2976</v>
      </c>
      <c r="E236" s="11" t="s">
        <v>13</v>
      </c>
    </row>
    <row r="237">
      <c r="B237" s="32" t="s">
        <v>2977</v>
      </c>
      <c r="C237" s="35" t="s">
        <v>20</v>
      </c>
      <c r="D237" s="34" t="s">
        <v>2329</v>
      </c>
      <c r="E237" s="11" t="s">
        <v>9</v>
      </c>
    </row>
    <row r="238">
      <c r="B238" s="34" t="s">
        <v>2736</v>
      </c>
      <c r="C238" s="35" t="s">
        <v>520</v>
      </c>
      <c r="D238" s="34" t="s">
        <v>2976</v>
      </c>
      <c r="E238" s="11" t="s">
        <v>13</v>
      </c>
    </row>
    <row r="239">
      <c r="B239" s="34" t="s">
        <v>2975</v>
      </c>
      <c r="C239" s="35" t="s">
        <v>45</v>
      </c>
      <c r="D239" s="34" t="s">
        <v>2329</v>
      </c>
      <c r="E239" s="11" t="s">
        <v>9</v>
      </c>
    </row>
    <row r="240">
      <c r="B240" s="34" t="s">
        <v>2736</v>
      </c>
      <c r="C240" s="35" t="s">
        <v>22</v>
      </c>
      <c r="D240" s="32" t="s">
        <v>2977</v>
      </c>
      <c r="E240" s="11" t="s">
        <v>13</v>
      </c>
    </row>
    <row r="241">
      <c r="B241" s="34" t="s">
        <v>2976</v>
      </c>
      <c r="C241" s="35" t="s">
        <v>62</v>
      </c>
      <c r="D241" s="34" t="s">
        <v>2329</v>
      </c>
      <c r="E241" s="11" t="s">
        <v>9</v>
      </c>
    </row>
    <row r="242">
      <c r="B242" s="34" t="s">
        <v>2975</v>
      </c>
      <c r="C242" s="35" t="s">
        <v>212</v>
      </c>
      <c r="D242" s="32" t="s">
        <v>2977</v>
      </c>
      <c r="E242" s="11" t="s">
        <v>13</v>
      </c>
    </row>
    <row r="243">
      <c r="B243" s="72" t="s">
        <v>2978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34" t="s">
        <v>2979</v>
      </c>
      <c r="C245" s="35" t="s">
        <v>58</v>
      </c>
      <c r="D245" s="34" t="s">
        <v>2980</v>
      </c>
      <c r="E245" s="11" t="s">
        <v>9</v>
      </c>
    </row>
    <row r="246">
      <c r="B246" s="34" t="s">
        <v>2981</v>
      </c>
      <c r="C246" s="35" t="s">
        <v>16</v>
      </c>
      <c r="D246" s="32" t="s">
        <v>2324</v>
      </c>
      <c r="E246" s="11" t="s">
        <v>13</v>
      </c>
    </row>
    <row r="247">
      <c r="B247" s="34" t="s">
        <v>2982</v>
      </c>
      <c r="C247" s="35" t="s">
        <v>506</v>
      </c>
      <c r="D247" s="34" t="s">
        <v>2979</v>
      </c>
      <c r="E247" s="11" t="s">
        <v>9</v>
      </c>
    </row>
    <row r="248">
      <c r="B248" s="34" t="s">
        <v>2981</v>
      </c>
      <c r="C248" s="35" t="s">
        <v>337</v>
      </c>
      <c r="D248" s="34" t="s">
        <v>2980</v>
      </c>
      <c r="E248" s="11" t="s">
        <v>13</v>
      </c>
    </row>
    <row r="249">
      <c r="B249" s="34" t="s">
        <v>2982</v>
      </c>
      <c r="C249" s="35" t="s">
        <v>58</v>
      </c>
      <c r="D249" s="32" t="s">
        <v>2324</v>
      </c>
      <c r="E249" s="11" t="s">
        <v>9</v>
      </c>
    </row>
    <row r="250">
      <c r="B250" s="34" t="s">
        <v>2981</v>
      </c>
      <c r="C250" s="35" t="s">
        <v>2574</v>
      </c>
      <c r="D250" s="34" t="s">
        <v>2979</v>
      </c>
      <c r="E250" s="11" t="s">
        <v>13</v>
      </c>
    </row>
    <row r="251">
      <c r="B251" s="34" t="s">
        <v>2982</v>
      </c>
      <c r="C251" s="35" t="s">
        <v>25</v>
      </c>
      <c r="D251" s="34" t="s">
        <v>2980</v>
      </c>
      <c r="E251" s="11" t="s">
        <v>9</v>
      </c>
    </row>
    <row r="252">
      <c r="B252" s="32" t="s">
        <v>2324</v>
      </c>
      <c r="C252" s="35" t="s">
        <v>201</v>
      </c>
      <c r="D252" s="34" t="s">
        <v>2979</v>
      </c>
      <c r="E252" s="11" t="s">
        <v>13</v>
      </c>
    </row>
    <row r="253">
      <c r="B253" s="34" t="s">
        <v>2982</v>
      </c>
      <c r="C253" s="35" t="s">
        <v>212</v>
      </c>
      <c r="D253" s="34" t="s">
        <v>2981</v>
      </c>
      <c r="E253" s="11" t="s">
        <v>9</v>
      </c>
    </row>
    <row r="254">
      <c r="B254" s="32" t="s">
        <v>2324</v>
      </c>
      <c r="C254" s="35" t="s">
        <v>270</v>
      </c>
      <c r="D254" s="34" t="s">
        <v>2980</v>
      </c>
      <c r="E254" s="11" t="s">
        <v>13</v>
      </c>
    </row>
    <row r="255">
      <c r="B255" s="34" t="s">
        <v>2980</v>
      </c>
      <c r="C255" s="35" t="s">
        <v>81</v>
      </c>
      <c r="D255" s="34" t="s">
        <v>2979</v>
      </c>
      <c r="E255" s="11" t="s">
        <v>9</v>
      </c>
    </row>
    <row r="256">
      <c r="B256" s="32" t="s">
        <v>2324</v>
      </c>
      <c r="C256" s="35" t="s">
        <v>22</v>
      </c>
      <c r="D256" s="34" t="s">
        <v>2981</v>
      </c>
      <c r="E256" s="11" t="s">
        <v>13</v>
      </c>
    </row>
    <row r="257">
      <c r="B257" s="34" t="s">
        <v>2979</v>
      </c>
      <c r="C257" s="35" t="s">
        <v>239</v>
      </c>
      <c r="D257" s="34" t="s">
        <v>2982</v>
      </c>
      <c r="E257" s="11" t="s">
        <v>9</v>
      </c>
    </row>
    <row r="258">
      <c r="B258" s="34" t="s">
        <v>2980</v>
      </c>
      <c r="C258" s="35" t="s">
        <v>217</v>
      </c>
      <c r="D258" s="34" t="s">
        <v>2981</v>
      </c>
      <c r="E258" s="11" t="s">
        <v>13</v>
      </c>
    </row>
    <row r="259">
      <c r="B259" s="32" t="s">
        <v>2324</v>
      </c>
      <c r="C259" s="35" t="s">
        <v>205</v>
      </c>
      <c r="D259" s="34" t="s">
        <v>2982</v>
      </c>
      <c r="E259" s="11" t="s">
        <v>9</v>
      </c>
    </row>
    <row r="260">
      <c r="B260" s="34" t="s">
        <v>2979</v>
      </c>
      <c r="C260" s="35" t="s">
        <v>2983</v>
      </c>
      <c r="D260" s="34" t="s">
        <v>2981</v>
      </c>
      <c r="E260" s="11" t="s">
        <v>13</v>
      </c>
    </row>
    <row r="261">
      <c r="B261" s="34" t="s">
        <v>2980</v>
      </c>
      <c r="C261" s="35" t="s">
        <v>201</v>
      </c>
      <c r="D261" s="34" t="s">
        <v>2982</v>
      </c>
      <c r="E261" s="11" t="s">
        <v>9</v>
      </c>
    </row>
    <row r="262">
      <c r="B262" s="34" t="s">
        <v>2979</v>
      </c>
      <c r="C262" s="35" t="s">
        <v>400</v>
      </c>
      <c r="D262" s="32" t="s">
        <v>2324</v>
      </c>
      <c r="E262" s="11" t="s">
        <v>13</v>
      </c>
    </row>
    <row r="263">
      <c r="B263" s="34" t="s">
        <v>2981</v>
      </c>
      <c r="C263" s="35" t="s">
        <v>790</v>
      </c>
      <c r="D263" s="34" t="s">
        <v>2982</v>
      </c>
      <c r="E263" s="11" t="s">
        <v>9</v>
      </c>
    </row>
    <row r="264">
      <c r="B264" s="34" t="s">
        <v>2980</v>
      </c>
      <c r="C264" s="35" t="s">
        <v>87</v>
      </c>
      <c r="D264" s="32" t="s">
        <v>2324</v>
      </c>
      <c r="E264" s="11" t="s">
        <v>13</v>
      </c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/>
      <c r="B1" s="72" t="s">
        <v>2527</v>
      </c>
      <c r="C1" s="2"/>
      <c r="D1" s="3"/>
      <c r="E1" s="84"/>
    </row>
    <row r="2">
      <c r="A2" s="66"/>
      <c r="B2" s="85" t="s">
        <v>2</v>
      </c>
      <c r="C2" s="86" t="s">
        <v>3</v>
      </c>
      <c r="D2" s="86" t="s">
        <v>4</v>
      </c>
      <c r="E2" s="86" t="s">
        <v>5</v>
      </c>
    </row>
    <row r="3">
      <c r="A3" s="66"/>
      <c r="B3" s="34" t="s">
        <v>2073</v>
      </c>
      <c r="C3" s="35" t="s">
        <v>270</v>
      </c>
      <c r="D3" s="34" t="s">
        <v>2848</v>
      </c>
      <c r="E3" s="80" t="s">
        <v>9</v>
      </c>
    </row>
    <row r="4">
      <c r="A4" s="66"/>
      <c r="B4" s="34" t="s">
        <v>2984</v>
      </c>
      <c r="C4" s="35" t="s">
        <v>48</v>
      </c>
      <c r="D4" s="32" t="s">
        <v>1715</v>
      </c>
      <c r="E4" s="80" t="s">
        <v>13</v>
      </c>
    </row>
    <row r="5">
      <c r="A5" s="66"/>
      <c r="B5" s="34" t="s">
        <v>2292</v>
      </c>
      <c r="C5" s="35" t="s">
        <v>446</v>
      </c>
      <c r="D5" s="34" t="s">
        <v>2073</v>
      </c>
      <c r="E5" s="80" t="s">
        <v>9</v>
      </c>
    </row>
    <row r="6">
      <c r="A6" s="66"/>
      <c r="B6" s="34" t="s">
        <v>2984</v>
      </c>
      <c r="C6" s="35" t="s">
        <v>35</v>
      </c>
      <c r="D6" s="34" t="s">
        <v>2848</v>
      </c>
      <c r="E6" s="80" t="s">
        <v>13</v>
      </c>
    </row>
    <row r="7">
      <c r="A7" s="66"/>
      <c r="B7" s="34" t="s">
        <v>2292</v>
      </c>
      <c r="C7" s="35" t="s">
        <v>416</v>
      </c>
      <c r="D7" s="32" t="s">
        <v>1715</v>
      </c>
      <c r="E7" s="80" t="s">
        <v>9</v>
      </c>
    </row>
    <row r="8">
      <c r="A8" s="66"/>
      <c r="B8" s="34" t="s">
        <v>2984</v>
      </c>
      <c r="C8" s="35" t="s">
        <v>24</v>
      </c>
      <c r="D8" s="34" t="s">
        <v>2073</v>
      </c>
      <c r="E8" s="80" t="s">
        <v>13</v>
      </c>
    </row>
    <row r="9">
      <c r="A9" s="66"/>
      <c r="B9" s="34" t="s">
        <v>2292</v>
      </c>
      <c r="C9" s="35" t="s">
        <v>534</v>
      </c>
      <c r="D9" s="34" t="s">
        <v>2848</v>
      </c>
      <c r="E9" s="80" t="s">
        <v>9</v>
      </c>
    </row>
    <row r="10">
      <c r="A10" s="66"/>
      <c r="B10" s="32" t="s">
        <v>1715</v>
      </c>
      <c r="C10" s="35" t="s">
        <v>533</v>
      </c>
      <c r="D10" s="34" t="s">
        <v>2073</v>
      </c>
      <c r="E10" s="80" t="s">
        <v>13</v>
      </c>
    </row>
    <row r="11">
      <c r="A11" s="66"/>
      <c r="B11" s="34" t="s">
        <v>2292</v>
      </c>
      <c r="C11" s="35" t="s">
        <v>488</v>
      </c>
      <c r="D11" s="34" t="s">
        <v>2984</v>
      </c>
      <c r="E11" s="80" t="s">
        <v>9</v>
      </c>
    </row>
    <row r="12">
      <c r="A12" s="66"/>
      <c r="B12" s="32" t="s">
        <v>1715</v>
      </c>
      <c r="C12" s="35" t="s">
        <v>267</v>
      </c>
      <c r="D12" s="34" t="s">
        <v>2848</v>
      </c>
      <c r="E12" s="80" t="s">
        <v>13</v>
      </c>
    </row>
    <row r="13">
      <c r="A13" s="66"/>
      <c r="B13" s="34" t="s">
        <v>2848</v>
      </c>
      <c r="C13" s="35" t="s">
        <v>82</v>
      </c>
      <c r="D13" s="34" t="s">
        <v>2073</v>
      </c>
      <c r="E13" s="80" t="s">
        <v>9</v>
      </c>
    </row>
    <row r="14">
      <c r="A14" s="66"/>
      <c r="B14" s="32" t="s">
        <v>1715</v>
      </c>
      <c r="C14" s="35" t="s">
        <v>207</v>
      </c>
      <c r="D14" s="34" t="s">
        <v>2984</v>
      </c>
      <c r="E14" s="80" t="s">
        <v>13</v>
      </c>
    </row>
    <row r="15">
      <c r="A15" s="66"/>
      <c r="B15" s="34" t="s">
        <v>2073</v>
      </c>
      <c r="C15" s="35" t="s">
        <v>64</v>
      </c>
      <c r="D15" s="34" t="s">
        <v>2292</v>
      </c>
      <c r="E15" s="80" t="s">
        <v>9</v>
      </c>
    </row>
    <row r="16">
      <c r="A16" s="66"/>
      <c r="B16" s="34" t="s">
        <v>2848</v>
      </c>
      <c r="C16" s="35" t="s">
        <v>81</v>
      </c>
      <c r="D16" s="34" t="s">
        <v>2984</v>
      </c>
      <c r="E16" s="80" t="s">
        <v>13</v>
      </c>
    </row>
    <row r="17">
      <c r="A17" s="66"/>
      <c r="B17" s="32" t="s">
        <v>1715</v>
      </c>
      <c r="C17" s="35" t="s">
        <v>232</v>
      </c>
      <c r="D17" s="34" t="s">
        <v>2292</v>
      </c>
      <c r="E17" s="80" t="s">
        <v>9</v>
      </c>
    </row>
    <row r="18">
      <c r="A18" s="66"/>
      <c r="B18" s="34" t="s">
        <v>2073</v>
      </c>
      <c r="C18" s="35" t="s">
        <v>195</v>
      </c>
      <c r="D18" s="34" t="s">
        <v>2984</v>
      </c>
      <c r="E18" s="80" t="s">
        <v>13</v>
      </c>
    </row>
    <row r="19">
      <c r="A19" s="66"/>
      <c r="B19" s="34" t="s">
        <v>2848</v>
      </c>
      <c r="C19" s="35" t="s">
        <v>239</v>
      </c>
      <c r="D19" s="34" t="s">
        <v>2292</v>
      </c>
      <c r="E19" s="80" t="s">
        <v>9</v>
      </c>
    </row>
    <row r="20">
      <c r="A20" s="66"/>
      <c r="B20" s="34" t="s">
        <v>2073</v>
      </c>
      <c r="C20" s="35" t="s">
        <v>797</v>
      </c>
      <c r="D20" s="32" t="s">
        <v>1715</v>
      </c>
      <c r="E20" s="80" t="s">
        <v>13</v>
      </c>
    </row>
    <row r="21">
      <c r="A21" s="66"/>
      <c r="B21" s="34" t="s">
        <v>2984</v>
      </c>
      <c r="C21" s="35" t="s">
        <v>72</v>
      </c>
      <c r="D21" s="34" t="s">
        <v>2292</v>
      </c>
      <c r="E21" s="80" t="s">
        <v>9</v>
      </c>
    </row>
    <row r="22">
      <c r="A22" s="66"/>
      <c r="B22" s="34" t="s">
        <v>2848</v>
      </c>
      <c r="C22" s="35" t="s">
        <v>55</v>
      </c>
      <c r="D22" s="32" t="s">
        <v>1715</v>
      </c>
      <c r="E22" s="80" t="s">
        <v>13</v>
      </c>
    </row>
    <row r="23">
      <c r="A23" s="66"/>
      <c r="B23" s="72" t="s">
        <v>2586</v>
      </c>
      <c r="C23" s="2"/>
      <c r="D23" s="3"/>
      <c r="E23" s="29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2985</v>
      </c>
      <c r="C25" s="35" t="s">
        <v>19</v>
      </c>
      <c r="D25" s="34" t="s">
        <v>2883</v>
      </c>
      <c r="E25" s="11" t="s">
        <v>9</v>
      </c>
    </row>
    <row r="26">
      <c r="A26" s="66"/>
      <c r="B26" s="34" t="s">
        <v>2986</v>
      </c>
      <c r="C26" s="35" t="s">
        <v>352</v>
      </c>
      <c r="D26" s="32" t="s">
        <v>2987</v>
      </c>
      <c r="E26" s="11" t="s">
        <v>13</v>
      </c>
    </row>
    <row r="27">
      <c r="A27" s="66"/>
      <c r="B27" s="34" t="s">
        <v>1444</v>
      </c>
      <c r="C27" s="35" t="s">
        <v>55</v>
      </c>
      <c r="D27" s="34" t="s">
        <v>2985</v>
      </c>
      <c r="E27" s="11" t="s">
        <v>9</v>
      </c>
    </row>
    <row r="28">
      <c r="A28" s="66"/>
      <c r="B28" s="34" t="s">
        <v>2986</v>
      </c>
      <c r="C28" s="35" t="s">
        <v>48</v>
      </c>
      <c r="D28" s="34" t="s">
        <v>2883</v>
      </c>
      <c r="E28" s="11" t="s">
        <v>13</v>
      </c>
    </row>
    <row r="29">
      <c r="A29" s="66"/>
      <c r="B29" s="34" t="s">
        <v>1444</v>
      </c>
      <c r="C29" s="35" t="s">
        <v>62</v>
      </c>
      <c r="D29" s="32" t="s">
        <v>2987</v>
      </c>
      <c r="E29" s="11" t="s">
        <v>9</v>
      </c>
    </row>
    <row r="30">
      <c r="A30" s="66"/>
      <c r="B30" s="34" t="s">
        <v>2986</v>
      </c>
      <c r="C30" s="35" t="s">
        <v>536</v>
      </c>
      <c r="D30" s="34" t="s">
        <v>2985</v>
      </c>
      <c r="E30" s="11" t="s">
        <v>13</v>
      </c>
    </row>
    <row r="31">
      <c r="A31" s="66"/>
      <c r="B31" s="34" t="s">
        <v>1444</v>
      </c>
      <c r="C31" s="35" t="s">
        <v>31</v>
      </c>
      <c r="D31" s="34" t="s">
        <v>2883</v>
      </c>
      <c r="E31" s="11" t="s">
        <v>9</v>
      </c>
    </row>
    <row r="32">
      <c r="A32" s="66"/>
      <c r="B32" s="32" t="s">
        <v>2987</v>
      </c>
      <c r="C32" s="35" t="s">
        <v>26</v>
      </c>
      <c r="D32" s="34" t="s">
        <v>2985</v>
      </c>
      <c r="E32" s="11" t="s">
        <v>13</v>
      </c>
    </row>
    <row r="33">
      <c r="A33" s="66"/>
      <c r="B33" s="34" t="s">
        <v>1444</v>
      </c>
      <c r="C33" s="35" t="s">
        <v>22</v>
      </c>
      <c r="D33" s="34" t="s">
        <v>2986</v>
      </c>
      <c r="E33" s="11" t="s">
        <v>9</v>
      </c>
    </row>
    <row r="34">
      <c r="A34" s="66"/>
      <c r="B34" s="32" t="s">
        <v>2987</v>
      </c>
      <c r="C34" s="35" t="s">
        <v>58</v>
      </c>
      <c r="D34" s="34" t="s">
        <v>2883</v>
      </c>
      <c r="E34" s="11" t="s">
        <v>13</v>
      </c>
    </row>
    <row r="35">
      <c r="A35" s="66"/>
      <c r="B35" s="34" t="s">
        <v>2883</v>
      </c>
      <c r="C35" s="35" t="s">
        <v>22</v>
      </c>
      <c r="D35" s="34" t="s">
        <v>2985</v>
      </c>
      <c r="E35" s="11" t="s">
        <v>9</v>
      </c>
    </row>
    <row r="36">
      <c r="A36" s="66"/>
      <c r="B36" s="32" t="s">
        <v>2987</v>
      </c>
      <c r="C36" s="35" t="s">
        <v>494</v>
      </c>
      <c r="D36" s="34" t="s">
        <v>2986</v>
      </c>
      <c r="E36" s="11" t="s">
        <v>13</v>
      </c>
    </row>
    <row r="37">
      <c r="A37" s="66"/>
      <c r="B37" s="34" t="s">
        <v>2985</v>
      </c>
      <c r="C37" s="35" t="s">
        <v>38</v>
      </c>
      <c r="D37" s="34" t="s">
        <v>1444</v>
      </c>
      <c r="E37" s="11" t="s">
        <v>9</v>
      </c>
    </row>
    <row r="38">
      <c r="A38" s="66"/>
      <c r="B38" s="34" t="s">
        <v>2883</v>
      </c>
      <c r="C38" s="35" t="s">
        <v>197</v>
      </c>
      <c r="D38" s="34" t="s">
        <v>2986</v>
      </c>
      <c r="E38" s="11" t="s">
        <v>13</v>
      </c>
    </row>
    <row r="39">
      <c r="A39" s="66"/>
      <c r="B39" s="32" t="s">
        <v>2987</v>
      </c>
      <c r="C39" s="35" t="s">
        <v>2959</v>
      </c>
      <c r="D39" s="34" t="s">
        <v>1444</v>
      </c>
      <c r="E39" s="11" t="s">
        <v>9</v>
      </c>
    </row>
    <row r="40">
      <c r="A40" s="66"/>
      <c r="B40" s="34" t="s">
        <v>2985</v>
      </c>
      <c r="C40" s="35" t="s">
        <v>472</v>
      </c>
      <c r="D40" s="34" t="s">
        <v>2986</v>
      </c>
      <c r="E40" s="11" t="s">
        <v>13</v>
      </c>
    </row>
    <row r="41">
      <c r="A41" s="66"/>
      <c r="B41" s="34" t="s">
        <v>2883</v>
      </c>
      <c r="C41" s="35" t="s">
        <v>22</v>
      </c>
      <c r="D41" s="34" t="s">
        <v>1444</v>
      </c>
      <c r="E41" s="11" t="s">
        <v>9</v>
      </c>
    </row>
    <row r="42">
      <c r="A42" s="66"/>
      <c r="B42" s="34" t="s">
        <v>2985</v>
      </c>
      <c r="C42" s="35" t="s">
        <v>52</v>
      </c>
      <c r="D42" s="32" t="s">
        <v>2987</v>
      </c>
      <c r="E42" s="11" t="s">
        <v>13</v>
      </c>
    </row>
    <row r="43">
      <c r="A43" s="66"/>
      <c r="B43" s="34" t="s">
        <v>2986</v>
      </c>
      <c r="C43" s="35" t="s">
        <v>190</v>
      </c>
      <c r="D43" s="34" t="s">
        <v>1444</v>
      </c>
      <c r="E43" s="11" t="s">
        <v>9</v>
      </c>
    </row>
    <row r="44">
      <c r="A44" s="67"/>
      <c r="B44" s="34" t="s">
        <v>2883</v>
      </c>
      <c r="C44" s="35" t="s">
        <v>195</v>
      </c>
      <c r="D44" s="32" t="s">
        <v>2987</v>
      </c>
      <c r="E44" s="11" t="s">
        <v>13</v>
      </c>
    </row>
    <row r="45">
      <c r="B45" s="72" t="s">
        <v>2988</v>
      </c>
      <c r="C45" s="2"/>
      <c r="D45" s="3"/>
      <c r="E45" s="2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34" t="s">
        <v>2332</v>
      </c>
      <c r="C47" s="35" t="s">
        <v>16</v>
      </c>
      <c r="D47" s="34" t="s">
        <v>418</v>
      </c>
      <c r="E47" s="11" t="s">
        <v>9</v>
      </c>
    </row>
    <row r="48">
      <c r="B48" s="34" t="s">
        <v>989</v>
      </c>
      <c r="C48" s="35" t="s">
        <v>285</v>
      </c>
      <c r="D48" s="32" t="s">
        <v>2989</v>
      </c>
      <c r="E48" s="11" t="s">
        <v>13</v>
      </c>
    </row>
    <row r="49">
      <c r="B49" s="34" t="s">
        <v>941</v>
      </c>
      <c r="C49" s="35" t="s">
        <v>751</v>
      </c>
      <c r="D49" s="34" t="s">
        <v>2332</v>
      </c>
      <c r="E49" s="11" t="s">
        <v>9</v>
      </c>
    </row>
    <row r="50">
      <c r="B50" s="34" t="s">
        <v>989</v>
      </c>
      <c r="C50" s="35" t="s">
        <v>82</v>
      </c>
      <c r="D50" s="34" t="s">
        <v>418</v>
      </c>
      <c r="E50" s="11" t="s">
        <v>13</v>
      </c>
    </row>
    <row r="51">
      <c r="B51" s="34" t="s">
        <v>941</v>
      </c>
      <c r="C51" s="35" t="s">
        <v>87</v>
      </c>
      <c r="D51" s="32" t="s">
        <v>2989</v>
      </c>
      <c r="E51" s="11" t="s">
        <v>9</v>
      </c>
    </row>
    <row r="52">
      <c r="B52" s="34" t="s">
        <v>989</v>
      </c>
      <c r="C52" s="35" t="s">
        <v>69</v>
      </c>
      <c r="D52" s="34" t="s">
        <v>2332</v>
      </c>
      <c r="E52" s="11" t="s">
        <v>13</v>
      </c>
    </row>
    <row r="53">
      <c r="B53" s="34" t="s">
        <v>941</v>
      </c>
      <c r="C53" s="35" t="s">
        <v>197</v>
      </c>
      <c r="D53" s="34" t="s">
        <v>418</v>
      </c>
      <c r="E53" s="11" t="s">
        <v>9</v>
      </c>
    </row>
    <row r="54">
      <c r="B54" s="32" t="s">
        <v>2989</v>
      </c>
      <c r="C54" s="35" t="s">
        <v>363</v>
      </c>
      <c r="D54" s="34" t="s">
        <v>2332</v>
      </c>
      <c r="E54" s="11" t="s">
        <v>13</v>
      </c>
    </row>
    <row r="55">
      <c r="B55" s="34" t="s">
        <v>941</v>
      </c>
      <c r="C55" s="35" t="s">
        <v>35</v>
      </c>
      <c r="D55" s="34" t="s">
        <v>989</v>
      </c>
      <c r="E55" s="11" t="s">
        <v>9</v>
      </c>
    </row>
    <row r="56">
      <c r="B56" s="32" t="s">
        <v>2989</v>
      </c>
      <c r="C56" s="35" t="s">
        <v>578</v>
      </c>
      <c r="D56" s="34" t="s">
        <v>418</v>
      </c>
      <c r="E56" s="11" t="s">
        <v>13</v>
      </c>
    </row>
    <row r="57">
      <c r="B57" s="34" t="s">
        <v>418</v>
      </c>
      <c r="C57" s="35" t="s">
        <v>249</v>
      </c>
      <c r="D57" s="34" t="s">
        <v>2332</v>
      </c>
      <c r="E57" s="11" t="s">
        <v>9</v>
      </c>
    </row>
    <row r="58">
      <c r="B58" s="32" t="s">
        <v>2989</v>
      </c>
      <c r="C58" s="35" t="s">
        <v>241</v>
      </c>
      <c r="D58" s="34" t="s">
        <v>989</v>
      </c>
      <c r="E58" s="11" t="s">
        <v>13</v>
      </c>
    </row>
    <row r="59">
      <c r="B59" s="34" t="s">
        <v>2332</v>
      </c>
      <c r="C59" s="35" t="s">
        <v>62</v>
      </c>
      <c r="D59" s="34" t="s">
        <v>941</v>
      </c>
      <c r="E59" s="11" t="s">
        <v>9</v>
      </c>
    </row>
    <row r="60">
      <c r="B60" s="34" t="s">
        <v>418</v>
      </c>
      <c r="C60" s="35" t="s">
        <v>578</v>
      </c>
      <c r="D60" s="34" t="s">
        <v>989</v>
      </c>
      <c r="E60" s="11" t="s">
        <v>13</v>
      </c>
    </row>
    <row r="61">
      <c r="B61" s="32" t="s">
        <v>2989</v>
      </c>
      <c r="C61" s="35" t="s">
        <v>7</v>
      </c>
      <c r="D61" s="34" t="s">
        <v>941</v>
      </c>
      <c r="E61" s="11" t="s">
        <v>9</v>
      </c>
    </row>
    <row r="62">
      <c r="B62" s="34" t="s">
        <v>2332</v>
      </c>
      <c r="C62" s="35" t="s">
        <v>195</v>
      </c>
      <c r="D62" s="34" t="s">
        <v>989</v>
      </c>
      <c r="E62" s="11" t="s">
        <v>13</v>
      </c>
    </row>
    <row r="63">
      <c r="B63" s="34" t="s">
        <v>418</v>
      </c>
      <c r="C63" s="35" t="s">
        <v>68</v>
      </c>
      <c r="D63" s="34" t="s">
        <v>941</v>
      </c>
      <c r="E63" s="11" t="s">
        <v>9</v>
      </c>
    </row>
    <row r="64">
      <c r="B64" s="34" t="s">
        <v>2332</v>
      </c>
      <c r="C64" s="35" t="s">
        <v>187</v>
      </c>
      <c r="D64" s="32" t="s">
        <v>2989</v>
      </c>
      <c r="E64" s="11" t="s">
        <v>13</v>
      </c>
    </row>
    <row r="65">
      <c r="B65" s="34" t="s">
        <v>989</v>
      </c>
      <c r="C65" s="35" t="s">
        <v>193</v>
      </c>
      <c r="D65" s="34" t="s">
        <v>941</v>
      </c>
      <c r="E65" s="11" t="s">
        <v>9</v>
      </c>
    </row>
    <row r="66">
      <c r="B66" s="34" t="s">
        <v>418</v>
      </c>
      <c r="C66" s="35" t="s">
        <v>212</v>
      </c>
      <c r="D66" s="32" t="s">
        <v>2989</v>
      </c>
      <c r="E66" s="11" t="s">
        <v>13</v>
      </c>
    </row>
    <row r="67">
      <c r="B67" s="72" t="s">
        <v>2308</v>
      </c>
      <c r="C67" s="2"/>
      <c r="D67" s="3"/>
      <c r="E67" s="29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34" t="s">
        <v>1479</v>
      </c>
      <c r="C69" s="35" t="s">
        <v>63</v>
      </c>
      <c r="D69" s="34" t="s">
        <v>1403</v>
      </c>
      <c r="E69" s="11" t="s">
        <v>9</v>
      </c>
    </row>
    <row r="70">
      <c r="B70" s="34" t="s">
        <v>2564</v>
      </c>
      <c r="C70" s="35" t="s">
        <v>2256</v>
      </c>
      <c r="D70" s="32" t="s">
        <v>1544</v>
      </c>
      <c r="E70" s="11" t="s">
        <v>13</v>
      </c>
    </row>
    <row r="71">
      <c r="B71" s="34" t="s">
        <v>2990</v>
      </c>
      <c r="C71" s="35" t="s">
        <v>197</v>
      </c>
      <c r="D71" s="34" t="s">
        <v>1479</v>
      </c>
      <c r="E71" s="11" t="s">
        <v>9</v>
      </c>
    </row>
    <row r="72">
      <c r="B72" s="34" t="s">
        <v>2564</v>
      </c>
      <c r="C72" s="35" t="s">
        <v>259</v>
      </c>
      <c r="D72" s="34" t="s">
        <v>1403</v>
      </c>
      <c r="E72" s="11" t="s">
        <v>13</v>
      </c>
    </row>
    <row r="73">
      <c r="B73" s="34" t="s">
        <v>2990</v>
      </c>
      <c r="C73" s="35" t="s">
        <v>66</v>
      </c>
      <c r="D73" s="32" t="s">
        <v>1544</v>
      </c>
      <c r="E73" s="11" t="s">
        <v>9</v>
      </c>
    </row>
    <row r="74">
      <c r="B74" s="34" t="s">
        <v>2564</v>
      </c>
      <c r="C74" s="35" t="s">
        <v>19</v>
      </c>
      <c r="D74" s="34" t="s">
        <v>1479</v>
      </c>
      <c r="E74" s="11" t="s">
        <v>13</v>
      </c>
    </row>
    <row r="75">
      <c r="B75" s="34" t="s">
        <v>2990</v>
      </c>
      <c r="C75" s="35" t="s">
        <v>2991</v>
      </c>
      <c r="D75" s="34" t="s">
        <v>1403</v>
      </c>
      <c r="E75" s="11" t="s">
        <v>9</v>
      </c>
    </row>
    <row r="76">
      <c r="B76" s="32" t="s">
        <v>1544</v>
      </c>
      <c r="C76" s="35" t="s">
        <v>55</v>
      </c>
      <c r="D76" s="34" t="s">
        <v>1479</v>
      </c>
      <c r="E76" s="11" t="s">
        <v>13</v>
      </c>
    </row>
    <row r="77">
      <c r="B77" s="34" t="s">
        <v>2990</v>
      </c>
      <c r="C77" s="35" t="s">
        <v>27</v>
      </c>
      <c r="D77" s="34" t="s">
        <v>2564</v>
      </c>
      <c r="E77" s="11" t="s">
        <v>9</v>
      </c>
    </row>
    <row r="78">
      <c r="B78" s="32" t="s">
        <v>1544</v>
      </c>
      <c r="C78" s="35" t="s">
        <v>195</v>
      </c>
      <c r="D78" s="34" t="s">
        <v>1403</v>
      </c>
      <c r="E78" s="11" t="s">
        <v>13</v>
      </c>
    </row>
    <row r="79">
      <c r="B79" s="34" t="s">
        <v>1403</v>
      </c>
      <c r="C79" s="35" t="s">
        <v>614</v>
      </c>
      <c r="D79" s="34" t="s">
        <v>1479</v>
      </c>
      <c r="E79" s="11" t="s">
        <v>9</v>
      </c>
    </row>
    <row r="80">
      <c r="B80" s="32" t="s">
        <v>1544</v>
      </c>
      <c r="C80" s="35" t="s">
        <v>286</v>
      </c>
      <c r="D80" s="34" t="s">
        <v>2564</v>
      </c>
      <c r="E80" s="11" t="s">
        <v>13</v>
      </c>
    </row>
    <row r="81">
      <c r="B81" s="34" t="s">
        <v>1479</v>
      </c>
      <c r="C81" s="35" t="s">
        <v>52</v>
      </c>
      <c r="D81" s="34" t="s">
        <v>2990</v>
      </c>
      <c r="E81" s="11" t="s">
        <v>9</v>
      </c>
    </row>
    <row r="82">
      <c r="B82" s="34" t="s">
        <v>1403</v>
      </c>
      <c r="C82" s="35" t="s">
        <v>239</v>
      </c>
      <c r="D82" s="34" t="s">
        <v>2564</v>
      </c>
      <c r="E82" s="11" t="s">
        <v>13</v>
      </c>
    </row>
    <row r="83">
      <c r="B83" s="32" t="s">
        <v>1544</v>
      </c>
      <c r="C83" s="35" t="s">
        <v>87</v>
      </c>
      <c r="D83" s="34" t="s">
        <v>2990</v>
      </c>
      <c r="E83" s="11" t="s">
        <v>9</v>
      </c>
    </row>
    <row r="84">
      <c r="B84" s="34" t="s">
        <v>1479</v>
      </c>
      <c r="C84" s="35" t="s">
        <v>68</v>
      </c>
      <c r="D84" s="34" t="s">
        <v>2564</v>
      </c>
      <c r="E84" s="11" t="s">
        <v>13</v>
      </c>
    </row>
    <row r="85">
      <c r="B85" s="34" t="s">
        <v>1403</v>
      </c>
      <c r="C85" s="35" t="s">
        <v>41</v>
      </c>
      <c r="D85" s="34" t="s">
        <v>2990</v>
      </c>
      <c r="E85" s="11" t="s">
        <v>9</v>
      </c>
    </row>
    <row r="86">
      <c r="B86" s="34" t="s">
        <v>1479</v>
      </c>
      <c r="C86" s="35" t="s">
        <v>693</v>
      </c>
      <c r="D86" s="32" t="s">
        <v>1544</v>
      </c>
      <c r="E86" s="11" t="s">
        <v>13</v>
      </c>
    </row>
    <row r="87">
      <c r="B87" s="34" t="s">
        <v>2564</v>
      </c>
      <c r="C87" s="35" t="s">
        <v>68</v>
      </c>
      <c r="D87" s="34" t="s">
        <v>2990</v>
      </c>
      <c r="E87" s="11" t="s">
        <v>9</v>
      </c>
    </row>
    <row r="88">
      <c r="B88" s="34" t="s">
        <v>1403</v>
      </c>
      <c r="C88" s="35" t="s">
        <v>16</v>
      </c>
      <c r="D88" s="32" t="s">
        <v>1544</v>
      </c>
      <c r="E88" s="11" t="s">
        <v>13</v>
      </c>
    </row>
    <row r="89">
      <c r="B89" s="72" t="s">
        <v>2828</v>
      </c>
      <c r="C89" s="2"/>
      <c r="D89" s="3"/>
      <c r="E89" s="84"/>
    </row>
    <row r="90">
      <c r="B90" s="85" t="s">
        <v>2</v>
      </c>
      <c r="C90" s="86" t="s">
        <v>3</v>
      </c>
      <c r="D90" s="86" t="s">
        <v>4</v>
      </c>
      <c r="E90" s="86" t="s">
        <v>5</v>
      </c>
    </row>
    <row r="91">
      <c r="B91" s="87" t="s">
        <v>476</v>
      </c>
      <c r="C91" s="88" t="s">
        <v>362</v>
      </c>
      <c r="D91" s="89" t="s">
        <v>2012</v>
      </c>
      <c r="E91" s="80" t="s">
        <v>33</v>
      </c>
    </row>
    <row r="92">
      <c r="B92" s="87" t="s">
        <v>2722</v>
      </c>
      <c r="C92" s="88" t="s">
        <v>285</v>
      </c>
      <c r="D92" s="89" t="s">
        <v>2263</v>
      </c>
      <c r="E92" s="80" t="s">
        <v>37</v>
      </c>
    </row>
    <row r="93">
      <c r="B93" s="87" t="s">
        <v>2992</v>
      </c>
      <c r="C93" s="88" t="s">
        <v>18</v>
      </c>
      <c r="D93" s="89" t="s">
        <v>476</v>
      </c>
      <c r="E93" s="80" t="s">
        <v>33</v>
      </c>
    </row>
    <row r="94">
      <c r="B94" s="87" t="s">
        <v>2722</v>
      </c>
      <c r="C94" s="88" t="s">
        <v>2993</v>
      </c>
      <c r="D94" s="89" t="s">
        <v>2012</v>
      </c>
      <c r="E94" s="80" t="s">
        <v>37</v>
      </c>
    </row>
    <row r="95">
      <c r="B95" s="87" t="s">
        <v>2992</v>
      </c>
      <c r="C95" s="88" t="s">
        <v>63</v>
      </c>
      <c r="D95" s="89" t="s">
        <v>2263</v>
      </c>
      <c r="E95" s="80" t="s">
        <v>33</v>
      </c>
    </row>
    <row r="96">
      <c r="B96" s="87" t="s">
        <v>2722</v>
      </c>
      <c r="C96" s="88" t="s">
        <v>319</v>
      </c>
      <c r="D96" s="89" t="s">
        <v>476</v>
      </c>
      <c r="E96" s="80" t="s">
        <v>37</v>
      </c>
    </row>
    <row r="97">
      <c r="B97" s="87" t="s">
        <v>2992</v>
      </c>
      <c r="C97" s="88" t="s">
        <v>28</v>
      </c>
      <c r="D97" s="89" t="s">
        <v>2012</v>
      </c>
      <c r="E97" s="80" t="s">
        <v>33</v>
      </c>
    </row>
    <row r="98">
      <c r="B98" s="87" t="s">
        <v>2263</v>
      </c>
      <c r="C98" s="88" t="s">
        <v>260</v>
      </c>
      <c r="D98" s="89" t="s">
        <v>476</v>
      </c>
      <c r="E98" s="80" t="s">
        <v>37</v>
      </c>
    </row>
    <row r="99">
      <c r="B99" s="87" t="s">
        <v>2992</v>
      </c>
      <c r="C99" s="88" t="s">
        <v>389</v>
      </c>
      <c r="D99" s="89" t="s">
        <v>2722</v>
      </c>
      <c r="E99" s="80" t="s">
        <v>33</v>
      </c>
    </row>
    <row r="100">
      <c r="B100" s="87" t="s">
        <v>2263</v>
      </c>
      <c r="C100" s="88" t="s">
        <v>196</v>
      </c>
      <c r="D100" s="89" t="s">
        <v>2012</v>
      </c>
      <c r="E100" s="80" t="s">
        <v>37</v>
      </c>
    </row>
    <row r="101">
      <c r="B101" s="87" t="s">
        <v>2012</v>
      </c>
      <c r="C101" s="88" t="s">
        <v>686</v>
      </c>
      <c r="D101" s="89" t="s">
        <v>476</v>
      </c>
      <c r="E101" s="80" t="s">
        <v>33</v>
      </c>
    </row>
    <row r="102">
      <c r="B102" s="87" t="s">
        <v>2263</v>
      </c>
      <c r="C102" s="88" t="s">
        <v>215</v>
      </c>
      <c r="D102" s="89" t="s">
        <v>2722</v>
      </c>
      <c r="E102" s="80" t="s">
        <v>37</v>
      </c>
    </row>
    <row r="103">
      <c r="B103" s="87" t="s">
        <v>476</v>
      </c>
      <c r="C103" s="88" t="s">
        <v>320</v>
      </c>
      <c r="D103" s="87" t="s">
        <v>2992</v>
      </c>
      <c r="E103" s="80" t="s">
        <v>33</v>
      </c>
    </row>
    <row r="104">
      <c r="B104" s="87" t="s">
        <v>2012</v>
      </c>
      <c r="C104" s="88" t="s">
        <v>78</v>
      </c>
      <c r="D104" s="89" t="s">
        <v>2722</v>
      </c>
      <c r="E104" s="80" t="s">
        <v>37</v>
      </c>
    </row>
    <row r="105">
      <c r="B105" s="87" t="s">
        <v>2263</v>
      </c>
      <c r="C105" s="88" t="s">
        <v>19</v>
      </c>
      <c r="D105" s="87" t="s">
        <v>2992</v>
      </c>
      <c r="E105" s="80" t="s">
        <v>33</v>
      </c>
    </row>
    <row r="106">
      <c r="B106" s="87" t="s">
        <v>476</v>
      </c>
      <c r="C106" s="88" t="s">
        <v>488</v>
      </c>
      <c r="D106" s="89" t="s">
        <v>2722</v>
      </c>
      <c r="E106" s="80" t="s">
        <v>37</v>
      </c>
    </row>
    <row r="107">
      <c r="B107" s="87" t="s">
        <v>2012</v>
      </c>
      <c r="C107" s="88" t="s">
        <v>1477</v>
      </c>
      <c r="D107" s="87" t="s">
        <v>2992</v>
      </c>
      <c r="E107" s="80" t="s">
        <v>33</v>
      </c>
    </row>
    <row r="108">
      <c r="B108" s="87" t="s">
        <v>476</v>
      </c>
      <c r="C108" s="88" t="s">
        <v>460</v>
      </c>
      <c r="D108" s="89" t="s">
        <v>2263</v>
      </c>
      <c r="E108" s="80" t="s">
        <v>37</v>
      </c>
    </row>
    <row r="109">
      <c r="B109" s="87" t="s">
        <v>2722</v>
      </c>
      <c r="C109" s="88" t="s">
        <v>17</v>
      </c>
      <c r="D109" s="87" t="s">
        <v>2992</v>
      </c>
      <c r="E109" s="80" t="s">
        <v>33</v>
      </c>
    </row>
    <row r="110">
      <c r="B110" s="87" t="s">
        <v>2012</v>
      </c>
      <c r="C110" s="88" t="s">
        <v>45</v>
      </c>
      <c r="D110" s="89" t="s">
        <v>2263</v>
      </c>
      <c r="E110" s="80" t="s">
        <v>37</v>
      </c>
    </row>
    <row r="111">
      <c r="B111" s="72" t="s">
        <v>2646</v>
      </c>
      <c r="C111" s="2"/>
      <c r="D111" s="3"/>
      <c r="E111" s="84"/>
    </row>
    <row r="112">
      <c r="B112" s="85" t="s">
        <v>2</v>
      </c>
      <c r="C112" s="86" t="s">
        <v>3</v>
      </c>
      <c r="D112" s="86" t="s">
        <v>4</v>
      </c>
      <c r="E112" s="86" t="s">
        <v>5</v>
      </c>
    </row>
    <row r="113">
      <c r="B113" s="87" t="s">
        <v>863</v>
      </c>
      <c r="C113" s="88" t="s">
        <v>286</v>
      </c>
      <c r="D113" s="89" t="s">
        <v>2061</v>
      </c>
      <c r="E113" s="80" t="s">
        <v>33</v>
      </c>
    </row>
    <row r="114">
      <c r="B114" s="87" t="s">
        <v>776</v>
      </c>
      <c r="C114" s="88" t="s">
        <v>88</v>
      </c>
      <c r="D114" s="89" t="s">
        <v>2994</v>
      </c>
      <c r="E114" s="80" t="s">
        <v>37</v>
      </c>
    </row>
    <row r="115">
      <c r="B115" s="87" t="s">
        <v>2731</v>
      </c>
      <c r="C115" s="88" t="s">
        <v>289</v>
      </c>
      <c r="D115" s="89" t="s">
        <v>863</v>
      </c>
      <c r="E115" s="95" t="s">
        <v>33</v>
      </c>
    </row>
    <row r="116">
      <c r="B116" s="87" t="s">
        <v>776</v>
      </c>
      <c r="C116" s="88" t="s">
        <v>259</v>
      </c>
      <c r="D116" s="89" t="s">
        <v>2061</v>
      </c>
      <c r="E116" s="80" t="s">
        <v>37</v>
      </c>
    </row>
    <row r="117">
      <c r="B117" s="87" t="s">
        <v>2731</v>
      </c>
      <c r="C117" s="88" t="s">
        <v>76</v>
      </c>
      <c r="D117" s="89" t="s">
        <v>2994</v>
      </c>
      <c r="E117" s="95" t="s">
        <v>33</v>
      </c>
    </row>
    <row r="118">
      <c r="B118" s="87" t="s">
        <v>776</v>
      </c>
      <c r="C118" s="88" t="s">
        <v>337</v>
      </c>
      <c r="D118" s="89" t="s">
        <v>863</v>
      </c>
      <c r="E118" s="80" t="s">
        <v>37</v>
      </c>
    </row>
    <row r="119">
      <c r="B119" s="87" t="s">
        <v>2731</v>
      </c>
      <c r="C119" s="88" t="s">
        <v>81</v>
      </c>
      <c r="D119" s="89" t="s">
        <v>2061</v>
      </c>
      <c r="E119" s="95" t="s">
        <v>33</v>
      </c>
    </row>
    <row r="120">
      <c r="B120" s="87" t="s">
        <v>2994</v>
      </c>
      <c r="C120" s="88" t="s">
        <v>488</v>
      </c>
      <c r="D120" s="89" t="s">
        <v>863</v>
      </c>
      <c r="E120" s="80" t="s">
        <v>37</v>
      </c>
    </row>
    <row r="121">
      <c r="B121" s="87" t="s">
        <v>2731</v>
      </c>
      <c r="C121" s="88" t="s">
        <v>27</v>
      </c>
      <c r="D121" s="89" t="s">
        <v>776</v>
      </c>
      <c r="E121" s="95" t="s">
        <v>33</v>
      </c>
    </row>
    <row r="122">
      <c r="B122" s="87" t="s">
        <v>2994</v>
      </c>
      <c r="C122" s="88" t="s">
        <v>400</v>
      </c>
      <c r="D122" s="89" t="s">
        <v>2061</v>
      </c>
      <c r="E122" s="80" t="s">
        <v>37</v>
      </c>
      <c r="I122" s="36"/>
    </row>
    <row r="123">
      <c r="B123" s="87" t="s">
        <v>2061</v>
      </c>
      <c r="C123" s="88" t="s">
        <v>47</v>
      </c>
      <c r="D123" s="89" t="s">
        <v>863</v>
      </c>
      <c r="E123" s="95" t="s">
        <v>33</v>
      </c>
    </row>
    <row r="124">
      <c r="B124" s="87" t="s">
        <v>2994</v>
      </c>
      <c r="C124" s="88" t="s">
        <v>220</v>
      </c>
      <c r="D124" s="89" t="s">
        <v>776</v>
      </c>
      <c r="E124" s="80" t="s">
        <v>37</v>
      </c>
      <c r="I124" s="36"/>
    </row>
    <row r="125">
      <c r="B125" s="87" t="s">
        <v>863</v>
      </c>
      <c r="C125" s="88" t="s">
        <v>70</v>
      </c>
      <c r="D125" s="87" t="s">
        <v>2731</v>
      </c>
      <c r="E125" s="95" t="s">
        <v>33</v>
      </c>
    </row>
    <row r="126">
      <c r="B126" s="87" t="s">
        <v>2061</v>
      </c>
      <c r="C126" s="88" t="s">
        <v>78</v>
      </c>
      <c r="D126" s="89" t="s">
        <v>776</v>
      </c>
      <c r="E126" s="80" t="s">
        <v>37</v>
      </c>
    </row>
    <row r="127">
      <c r="B127" s="87" t="s">
        <v>2994</v>
      </c>
      <c r="C127" s="88" t="s">
        <v>488</v>
      </c>
      <c r="D127" s="87" t="s">
        <v>2731</v>
      </c>
      <c r="E127" s="95" t="s">
        <v>33</v>
      </c>
    </row>
    <row r="128">
      <c r="B128" s="87" t="s">
        <v>863</v>
      </c>
      <c r="C128" s="88" t="s">
        <v>50</v>
      </c>
      <c r="D128" s="89" t="s">
        <v>776</v>
      </c>
      <c r="E128" s="80" t="s">
        <v>37</v>
      </c>
    </row>
    <row r="129">
      <c r="B129" s="87" t="s">
        <v>2061</v>
      </c>
      <c r="C129" s="88" t="s">
        <v>426</v>
      </c>
      <c r="D129" s="87" t="s">
        <v>2731</v>
      </c>
      <c r="E129" s="95" t="s">
        <v>33</v>
      </c>
    </row>
    <row r="130">
      <c r="B130" s="87" t="s">
        <v>863</v>
      </c>
      <c r="C130" s="88" t="s">
        <v>45</v>
      </c>
      <c r="D130" s="89" t="s">
        <v>2994</v>
      </c>
      <c r="E130" s="80" t="s">
        <v>37</v>
      </c>
    </row>
    <row r="131">
      <c r="B131" s="87" t="s">
        <v>776</v>
      </c>
      <c r="C131" s="88" t="s">
        <v>81</v>
      </c>
      <c r="D131" s="87" t="s">
        <v>2731</v>
      </c>
      <c r="E131" s="95" t="s">
        <v>33</v>
      </c>
    </row>
    <row r="132">
      <c r="B132" s="87" t="s">
        <v>2061</v>
      </c>
      <c r="C132" s="88" t="s">
        <v>561</v>
      </c>
      <c r="D132" s="89" t="s">
        <v>2994</v>
      </c>
      <c r="E132" s="80" t="s">
        <v>37</v>
      </c>
    </row>
    <row r="133">
      <c r="B133" s="72" t="s">
        <v>1419</v>
      </c>
      <c r="C133" s="2"/>
      <c r="D133" s="3"/>
      <c r="E133" s="2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34" t="s">
        <v>2492</v>
      </c>
      <c r="C135" s="35" t="s">
        <v>7</v>
      </c>
      <c r="D135" s="34" t="s">
        <v>573</v>
      </c>
      <c r="E135" s="11" t="s">
        <v>9</v>
      </c>
    </row>
    <row r="136">
      <c r="B136" s="34" t="s">
        <v>1861</v>
      </c>
      <c r="C136" s="35" t="s">
        <v>719</v>
      </c>
      <c r="D136" s="32" t="s">
        <v>2995</v>
      </c>
      <c r="E136" s="11" t="s">
        <v>13</v>
      </c>
    </row>
    <row r="137">
      <c r="B137" s="34" t="s">
        <v>1006</v>
      </c>
      <c r="C137" s="35" t="s">
        <v>937</v>
      </c>
      <c r="D137" s="34" t="s">
        <v>2492</v>
      </c>
      <c r="E137" s="11" t="s">
        <v>9</v>
      </c>
    </row>
    <row r="138">
      <c r="B138" s="34" t="s">
        <v>1861</v>
      </c>
      <c r="C138" s="35" t="s">
        <v>328</v>
      </c>
      <c r="D138" s="34" t="s">
        <v>573</v>
      </c>
      <c r="E138" s="11" t="s">
        <v>13</v>
      </c>
    </row>
    <row r="139">
      <c r="B139" s="34" t="s">
        <v>1006</v>
      </c>
      <c r="C139" s="35" t="s">
        <v>38</v>
      </c>
      <c r="D139" s="32" t="s">
        <v>2995</v>
      </c>
      <c r="E139" s="11" t="s">
        <v>9</v>
      </c>
    </row>
    <row r="140">
      <c r="B140" s="34" t="s">
        <v>1861</v>
      </c>
      <c r="C140" s="35" t="s">
        <v>201</v>
      </c>
      <c r="D140" s="34" t="s">
        <v>2492</v>
      </c>
      <c r="E140" s="11" t="s">
        <v>13</v>
      </c>
    </row>
    <row r="141">
      <c r="B141" s="34" t="s">
        <v>1006</v>
      </c>
      <c r="C141" s="35" t="s">
        <v>11</v>
      </c>
      <c r="D141" s="34" t="s">
        <v>573</v>
      </c>
      <c r="E141" s="11" t="s">
        <v>9</v>
      </c>
    </row>
    <row r="142">
      <c r="B142" s="32" t="s">
        <v>2995</v>
      </c>
      <c r="C142" s="35" t="s">
        <v>239</v>
      </c>
      <c r="D142" s="34" t="s">
        <v>2492</v>
      </c>
      <c r="E142" s="11" t="s">
        <v>13</v>
      </c>
    </row>
    <row r="143">
      <c r="B143" s="34" t="s">
        <v>1006</v>
      </c>
      <c r="C143" s="35" t="s">
        <v>17</v>
      </c>
      <c r="D143" s="34" t="s">
        <v>1861</v>
      </c>
      <c r="E143" s="11" t="s">
        <v>9</v>
      </c>
    </row>
    <row r="144">
      <c r="B144" s="32" t="s">
        <v>2995</v>
      </c>
      <c r="C144" s="35" t="s">
        <v>233</v>
      </c>
      <c r="D144" s="34" t="s">
        <v>573</v>
      </c>
      <c r="E144" s="11" t="s">
        <v>13</v>
      </c>
    </row>
    <row r="145">
      <c r="B145" s="34" t="s">
        <v>573</v>
      </c>
      <c r="C145" s="35" t="s">
        <v>218</v>
      </c>
      <c r="D145" s="34" t="s">
        <v>2492</v>
      </c>
      <c r="E145" s="11" t="s">
        <v>9</v>
      </c>
    </row>
    <row r="146">
      <c r="B146" s="32" t="s">
        <v>2995</v>
      </c>
      <c r="C146" s="35" t="s">
        <v>239</v>
      </c>
      <c r="D146" s="34" t="s">
        <v>1861</v>
      </c>
      <c r="E146" s="11" t="s">
        <v>13</v>
      </c>
    </row>
    <row r="147">
      <c r="B147" s="34" t="s">
        <v>2492</v>
      </c>
      <c r="C147" s="35" t="s">
        <v>258</v>
      </c>
      <c r="D147" s="34" t="s">
        <v>1006</v>
      </c>
      <c r="E147" s="11" t="s">
        <v>9</v>
      </c>
    </row>
    <row r="148">
      <c r="B148" s="34" t="s">
        <v>573</v>
      </c>
      <c r="C148" s="35" t="s">
        <v>31</v>
      </c>
      <c r="D148" s="34" t="s">
        <v>1861</v>
      </c>
      <c r="E148" s="11" t="s">
        <v>13</v>
      </c>
    </row>
    <row r="149">
      <c r="B149" s="32" t="s">
        <v>2995</v>
      </c>
      <c r="C149" s="35" t="s">
        <v>370</v>
      </c>
      <c r="D149" s="34" t="s">
        <v>1006</v>
      </c>
      <c r="E149" s="11" t="s">
        <v>9</v>
      </c>
    </row>
    <row r="150">
      <c r="B150" s="34" t="s">
        <v>2492</v>
      </c>
      <c r="C150" s="35" t="s">
        <v>297</v>
      </c>
      <c r="D150" s="34" t="s">
        <v>1861</v>
      </c>
      <c r="E150" s="11" t="s">
        <v>13</v>
      </c>
    </row>
    <row r="151">
      <c r="B151" s="34" t="s">
        <v>573</v>
      </c>
      <c r="C151" s="35" t="s">
        <v>195</v>
      </c>
      <c r="D151" s="34" t="s">
        <v>1006</v>
      </c>
      <c r="E151" s="11" t="s">
        <v>9</v>
      </c>
    </row>
    <row r="152">
      <c r="B152" s="34" t="s">
        <v>2492</v>
      </c>
      <c r="C152" s="35" t="s">
        <v>260</v>
      </c>
      <c r="D152" s="32" t="s">
        <v>2995</v>
      </c>
      <c r="E152" s="11" t="s">
        <v>13</v>
      </c>
    </row>
    <row r="153">
      <c r="B153" s="34" t="s">
        <v>1861</v>
      </c>
      <c r="C153" s="35" t="s">
        <v>16</v>
      </c>
      <c r="D153" s="34" t="s">
        <v>1006</v>
      </c>
      <c r="E153" s="11" t="s">
        <v>9</v>
      </c>
    </row>
    <row r="154">
      <c r="B154" s="34" t="s">
        <v>573</v>
      </c>
      <c r="C154" s="35" t="s">
        <v>19</v>
      </c>
      <c r="D154" s="32" t="s">
        <v>2995</v>
      </c>
      <c r="E154" s="11" t="s">
        <v>13</v>
      </c>
    </row>
    <row r="155">
      <c r="B155" s="72" t="s">
        <v>1435</v>
      </c>
      <c r="C155" s="2"/>
      <c r="D155" s="3"/>
      <c r="E155" s="2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34" t="s">
        <v>2371</v>
      </c>
      <c r="C157" s="35" t="s">
        <v>64</v>
      </c>
      <c r="D157" s="34" t="s">
        <v>869</v>
      </c>
      <c r="E157" s="11" t="s">
        <v>9</v>
      </c>
    </row>
    <row r="158">
      <c r="B158" s="34" t="s">
        <v>732</v>
      </c>
      <c r="C158" s="35" t="s">
        <v>187</v>
      </c>
      <c r="D158" s="32" t="s">
        <v>2975</v>
      </c>
      <c r="E158" s="11" t="s">
        <v>13</v>
      </c>
    </row>
    <row r="159">
      <c r="B159" s="34" t="s">
        <v>2996</v>
      </c>
      <c r="C159" s="35" t="s">
        <v>41</v>
      </c>
      <c r="D159" s="34" t="s">
        <v>2371</v>
      </c>
      <c r="E159" s="11" t="s">
        <v>9</v>
      </c>
    </row>
    <row r="160">
      <c r="B160" s="34" t="s">
        <v>732</v>
      </c>
      <c r="C160" s="37" t="s">
        <v>201</v>
      </c>
      <c r="D160" s="34" t="s">
        <v>869</v>
      </c>
      <c r="E160" s="11" t="s">
        <v>13</v>
      </c>
    </row>
    <row r="161">
      <c r="B161" s="34" t="s">
        <v>2996</v>
      </c>
      <c r="C161" s="35" t="s">
        <v>17</v>
      </c>
      <c r="D161" s="32" t="s">
        <v>2975</v>
      </c>
      <c r="E161" s="11" t="s">
        <v>9</v>
      </c>
    </row>
    <row r="162">
      <c r="B162" s="34" t="s">
        <v>732</v>
      </c>
      <c r="C162" s="35" t="s">
        <v>68</v>
      </c>
      <c r="D162" s="34" t="s">
        <v>2371</v>
      </c>
      <c r="E162" s="11" t="s">
        <v>13</v>
      </c>
    </row>
    <row r="163">
      <c r="B163" s="34" t="s">
        <v>2996</v>
      </c>
      <c r="C163" s="35" t="s">
        <v>43</v>
      </c>
      <c r="D163" s="34" t="s">
        <v>869</v>
      </c>
      <c r="E163" s="11" t="s">
        <v>9</v>
      </c>
    </row>
    <row r="164">
      <c r="B164" s="32" t="s">
        <v>2975</v>
      </c>
      <c r="C164" s="35" t="s">
        <v>67</v>
      </c>
      <c r="D164" s="34" t="s">
        <v>2371</v>
      </c>
      <c r="E164" s="11" t="s">
        <v>13</v>
      </c>
    </row>
    <row r="165">
      <c r="B165" s="34" t="s">
        <v>2996</v>
      </c>
      <c r="C165" s="35" t="s">
        <v>28</v>
      </c>
      <c r="D165" s="34" t="s">
        <v>732</v>
      </c>
      <c r="E165" s="11" t="s">
        <v>9</v>
      </c>
    </row>
    <row r="166">
      <c r="B166" s="32" t="s">
        <v>2975</v>
      </c>
      <c r="C166" s="35" t="s">
        <v>267</v>
      </c>
      <c r="D166" s="34" t="s">
        <v>869</v>
      </c>
      <c r="E166" s="11" t="s">
        <v>13</v>
      </c>
    </row>
    <row r="167">
      <c r="B167" s="34" t="s">
        <v>869</v>
      </c>
      <c r="C167" s="35" t="s">
        <v>984</v>
      </c>
      <c r="D167" s="34" t="s">
        <v>2371</v>
      </c>
      <c r="E167" s="11" t="s">
        <v>9</v>
      </c>
    </row>
    <row r="168">
      <c r="B168" s="32" t="s">
        <v>2975</v>
      </c>
      <c r="C168" s="35" t="s">
        <v>22</v>
      </c>
      <c r="D168" s="34" t="s">
        <v>732</v>
      </c>
      <c r="E168" s="11" t="s">
        <v>13</v>
      </c>
    </row>
    <row r="169">
      <c r="B169" s="34" t="s">
        <v>2371</v>
      </c>
      <c r="C169" s="35" t="s">
        <v>260</v>
      </c>
      <c r="D169" s="34" t="s">
        <v>2996</v>
      </c>
      <c r="E169" s="11" t="s">
        <v>9</v>
      </c>
    </row>
    <row r="170">
      <c r="B170" s="34" t="s">
        <v>869</v>
      </c>
      <c r="C170" s="35" t="s">
        <v>68</v>
      </c>
      <c r="D170" s="34" t="s">
        <v>732</v>
      </c>
      <c r="E170" s="11" t="s">
        <v>13</v>
      </c>
    </row>
    <row r="171">
      <c r="B171" s="32" t="s">
        <v>2975</v>
      </c>
      <c r="C171" s="35" t="s">
        <v>220</v>
      </c>
      <c r="D171" s="34" t="s">
        <v>2996</v>
      </c>
      <c r="E171" s="11" t="s">
        <v>9</v>
      </c>
    </row>
    <row r="172">
      <c r="B172" s="34" t="s">
        <v>2371</v>
      </c>
      <c r="C172" s="35" t="s">
        <v>536</v>
      </c>
      <c r="D172" s="34" t="s">
        <v>732</v>
      </c>
      <c r="E172" s="11" t="s">
        <v>13</v>
      </c>
    </row>
    <row r="173">
      <c r="B173" s="34" t="s">
        <v>869</v>
      </c>
      <c r="C173" s="35" t="s">
        <v>78</v>
      </c>
      <c r="D173" s="34" t="s">
        <v>2996</v>
      </c>
      <c r="E173" s="11" t="s">
        <v>9</v>
      </c>
    </row>
    <row r="174">
      <c r="B174" s="34" t="s">
        <v>2371</v>
      </c>
      <c r="C174" s="35" t="s">
        <v>28</v>
      </c>
      <c r="D174" s="32" t="s">
        <v>2975</v>
      </c>
      <c r="E174" s="11" t="s">
        <v>13</v>
      </c>
    </row>
    <row r="175">
      <c r="B175" s="34" t="s">
        <v>732</v>
      </c>
      <c r="C175" s="35" t="s">
        <v>218</v>
      </c>
      <c r="D175" s="34" t="s">
        <v>2996</v>
      </c>
      <c r="E175" s="11" t="s">
        <v>9</v>
      </c>
    </row>
    <row r="176">
      <c r="B176" s="34" t="s">
        <v>869</v>
      </c>
      <c r="C176" s="35" t="s">
        <v>193</v>
      </c>
      <c r="D176" s="32" t="s">
        <v>2975</v>
      </c>
      <c r="E176" s="11" t="s">
        <v>13</v>
      </c>
    </row>
    <row r="177">
      <c r="B177" s="72" t="s">
        <v>2997</v>
      </c>
      <c r="C177" s="2"/>
      <c r="D177" s="3"/>
      <c r="E177" s="84"/>
    </row>
    <row r="178">
      <c r="B178" s="85" t="s">
        <v>2</v>
      </c>
      <c r="C178" s="86" t="s">
        <v>3</v>
      </c>
      <c r="D178" s="86" t="s">
        <v>4</v>
      </c>
      <c r="E178" s="86" t="s">
        <v>5</v>
      </c>
    </row>
    <row r="179">
      <c r="B179" s="87" t="s">
        <v>2904</v>
      </c>
      <c r="C179" s="88" t="s">
        <v>2393</v>
      </c>
      <c r="D179" s="89" t="s">
        <v>2998</v>
      </c>
      <c r="E179" s="80" t="s">
        <v>33</v>
      </c>
    </row>
    <row r="180">
      <c r="B180" s="87" t="s">
        <v>2484</v>
      </c>
      <c r="C180" s="88" t="s">
        <v>488</v>
      </c>
      <c r="D180" s="89" t="s">
        <v>2410</v>
      </c>
      <c r="E180" s="80" t="s">
        <v>37</v>
      </c>
    </row>
    <row r="181">
      <c r="B181" s="87" t="s">
        <v>2903</v>
      </c>
      <c r="C181" s="88" t="s">
        <v>312</v>
      </c>
      <c r="D181" s="89" t="s">
        <v>2904</v>
      </c>
      <c r="E181" s="80" t="s">
        <v>33</v>
      </c>
    </row>
    <row r="182">
      <c r="B182" s="87" t="s">
        <v>2484</v>
      </c>
      <c r="C182" s="88" t="s">
        <v>24</v>
      </c>
      <c r="D182" s="89" t="s">
        <v>2998</v>
      </c>
      <c r="E182" s="80" t="s">
        <v>37</v>
      </c>
    </row>
    <row r="183">
      <c r="B183" s="87" t="s">
        <v>2903</v>
      </c>
      <c r="C183" s="88" t="s">
        <v>45</v>
      </c>
      <c r="D183" s="89" t="s">
        <v>2410</v>
      </c>
      <c r="E183" s="80" t="s">
        <v>33</v>
      </c>
    </row>
    <row r="184">
      <c r="B184" s="87" t="s">
        <v>2484</v>
      </c>
      <c r="C184" s="88" t="s">
        <v>48</v>
      </c>
      <c r="D184" s="89" t="s">
        <v>2904</v>
      </c>
      <c r="E184" s="80" t="s">
        <v>37</v>
      </c>
    </row>
    <row r="185">
      <c r="B185" s="87" t="s">
        <v>2903</v>
      </c>
      <c r="C185" s="88" t="s">
        <v>58</v>
      </c>
      <c r="D185" s="89" t="s">
        <v>2998</v>
      </c>
      <c r="E185" s="80" t="s">
        <v>33</v>
      </c>
    </row>
    <row r="186">
      <c r="B186" s="87" t="s">
        <v>2410</v>
      </c>
      <c r="C186" s="88" t="s">
        <v>17</v>
      </c>
      <c r="D186" s="89" t="s">
        <v>2904</v>
      </c>
      <c r="E186" s="80" t="s">
        <v>37</v>
      </c>
    </row>
    <row r="187">
      <c r="B187" s="87" t="s">
        <v>2903</v>
      </c>
      <c r="C187" s="88" t="s">
        <v>25</v>
      </c>
      <c r="D187" s="89" t="s">
        <v>2484</v>
      </c>
      <c r="E187" s="80" t="s">
        <v>33</v>
      </c>
    </row>
    <row r="188">
      <c r="B188" s="87" t="s">
        <v>2410</v>
      </c>
      <c r="C188" s="88" t="s">
        <v>35</v>
      </c>
      <c r="D188" s="89" t="s">
        <v>2998</v>
      </c>
      <c r="E188" s="80" t="s">
        <v>37</v>
      </c>
    </row>
    <row r="189">
      <c r="B189" s="87" t="s">
        <v>2998</v>
      </c>
      <c r="C189" s="88" t="s">
        <v>72</v>
      </c>
      <c r="D189" s="89" t="s">
        <v>2904</v>
      </c>
      <c r="E189" s="80" t="s">
        <v>33</v>
      </c>
    </row>
    <row r="190">
      <c r="B190" s="87" t="s">
        <v>2410</v>
      </c>
      <c r="C190" s="88" t="s">
        <v>509</v>
      </c>
      <c r="D190" s="89" t="s">
        <v>2484</v>
      </c>
      <c r="E190" s="80" t="s">
        <v>37</v>
      </c>
    </row>
    <row r="191">
      <c r="B191" s="87" t="s">
        <v>2904</v>
      </c>
      <c r="C191" s="88" t="s">
        <v>35</v>
      </c>
      <c r="D191" s="87" t="s">
        <v>2903</v>
      </c>
      <c r="E191" s="80" t="s">
        <v>33</v>
      </c>
    </row>
    <row r="192">
      <c r="B192" s="87" t="s">
        <v>2998</v>
      </c>
      <c r="C192" s="88" t="s">
        <v>590</v>
      </c>
      <c r="D192" s="89" t="s">
        <v>2484</v>
      </c>
      <c r="E192" s="80" t="s">
        <v>37</v>
      </c>
    </row>
    <row r="193">
      <c r="B193" s="87" t="s">
        <v>2410</v>
      </c>
      <c r="C193" s="88" t="s">
        <v>220</v>
      </c>
      <c r="D193" s="87" t="s">
        <v>2903</v>
      </c>
      <c r="E193" s="80" t="s">
        <v>33</v>
      </c>
    </row>
    <row r="194">
      <c r="B194" s="87" t="s">
        <v>2904</v>
      </c>
      <c r="C194" s="88" t="s">
        <v>295</v>
      </c>
      <c r="D194" s="89" t="s">
        <v>2484</v>
      </c>
      <c r="E194" s="80" t="s">
        <v>37</v>
      </c>
    </row>
    <row r="195">
      <c r="B195" s="87" t="s">
        <v>2998</v>
      </c>
      <c r="C195" s="88" t="s">
        <v>68</v>
      </c>
      <c r="D195" s="87" t="s">
        <v>2903</v>
      </c>
      <c r="E195" s="80" t="s">
        <v>33</v>
      </c>
    </row>
    <row r="196">
      <c r="B196" s="87" t="s">
        <v>2904</v>
      </c>
      <c r="C196" s="88" t="s">
        <v>218</v>
      </c>
      <c r="D196" s="89" t="s">
        <v>2410</v>
      </c>
      <c r="E196" s="80" t="s">
        <v>37</v>
      </c>
    </row>
    <row r="197">
      <c r="B197" s="87" t="s">
        <v>2484</v>
      </c>
      <c r="C197" s="88" t="s">
        <v>472</v>
      </c>
      <c r="D197" s="87" t="s">
        <v>2903</v>
      </c>
      <c r="E197" s="80" t="s">
        <v>33</v>
      </c>
    </row>
    <row r="198">
      <c r="B198" s="87" t="s">
        <v>2998</v>
      </c>
      <c r="C198" s="88" t="s">
        <v>71</v>
      </c>
      <c r="D198" s="89" t="s">
        <v>2410</v>
      </c>
      <c r="E198" s="80" t="s">
        <v>37</v>
      </c>
    </row>
    <row r="199">
      <c r="B199" s="72" t="s">
        <v>2999</v>
      </c>
      <c r="C199" s="2"/>
      <c r="D199" s="3"/>
      <c r="E199" s="84"/>
    </row>
    <row r="200">
      <c r="B200" s="85" t="s">
        <v>2</v>
      </c>
      <c r="C200" s="86" t="s">
        <v>3</v>
      </c>
      <c r="D200" s="86" t="s">
        <v>4</v>
      </c>
      <c r="E200" s="86" t="s">
        <v>5</v>
      </c>
    </row>
    <row r="201">
      <c r="B201" s="87" t="s">
        <v>2330</v>
      </c>
      <c r="C201" s="88" t="s">
        <v>71</v>
      </c>
      <c r="D201" s="89" t="s">
        <v>1518</v>
      </c>
      <c r="E201" s="80" t="s">
        <v>33</v>
      </c>
    </row>
    <row r="202">
      <c r="B202" s="87" t="s">
        <v>2512</v>
      </c>
      <c r="C202" s="88" t="s">
        <v>21</v>
      </c>
      <c r="D202" s="89" t="s">
        <v>2173</v>
      </c>
      <c r="E202" s="80" t="s">
        <v>37</v>
      </c>
    </row>
    <row r="203">
      <c r="B203" s="87" t="s">
        <v>3000</v>
      </c>
      <c r="C203" s="88" t="s">
        <v>472</v>
      </c>
      <c r="D203" s="89" t="s">
        <v>2330</v>
      </c>
      <c r="E203" s="80" t="s">
        <v>33</v>
      </c>
    </row>
    <row r="204">
      <c r="B204" s="87" t="s">
        <v>2512</v>
      </c>
      <c r="C204" s="88" t="s">
        <v>285</v>
      </c>
      <c r="D204" s="89" t="s">
        <v>1518</v>
      </c>
      <c r="E204" s="80" t="s">
        <v>37</v>
      </c>
    </row>
    <row r="205">
      <c r="B205" s="87" t="s">
        <v>3000</v>
      </c>
      <c r="C205" s="88" t="s">
        <v>28</v>
      </c>
      <c r="D205" s="89" t="s">
        <v>2173</v>
      </c>
      <c r="E205" s="80" t="s">
        <v>33</v>
      </c>
    </row>
    <row r="206">
      <c r="B206" s="87" t="s">
        <v>2512</v>
      </c>
      <c r="C206" s="88" t="s">
        <v>55</v>
      </c>
      <c r="D206" s="89" t="s">
        <v>2330</v>
      </c>
      <c r="E206" s="80" t="s">
        <v>37</v>
      </c>
    </row>
    <row r="207">
      <c r="B207" s="87" t="s">
        <v>3000</v>
      </c>
      <c r="C207" s="88" t="s">
        <v>62</v>
      </c>
      <c r="D207" s="89" t="s">
        <v>1518</v>
      </c>
      <c r="E207" s="80" t="s">
        <v>33</v>
      </c>
    </row>
    <row r="208">
      <c r="B208" s="87" t="s">
        <v>2173</v>
      </c>
      <c r="C208" s="88" t="s">
        <v>212</v>
      </c>
      <c r="D208" s="89" t="s">
        <v>2330</v>
      </c>
      <c r="E208" s="80" t="s">
        <v>37</v>
      </c>
    </row>
    <row r="209">
      <c r="B209" s="87" t="s">
        <v>3000</v>
      </c>
      <c r="C209" s="88" t="s">
        <v>412</v>
      </c>
      <c r="D209" s="89" t="s">
        <v>2512</v>
      </c>
      <c r="E209" s="80" t="s">
        <v>33</v>
      </c>
    </row>
    <row r="210">
      <c r="B210" s="87" t="s">
        <v>2173</v>
      </c>
      <c r="C210" s="88" t="s">
        <v>378</v>
      </c>
      <c r="D210" s="89" t="s">
        <v>1518</v>
      </c>
      <c r="E210" s="80" t="s">
        <v>37</v>
      </c>
    </row>
    <row r="211">
      <c r="B211" s="87" t="s">
        <v>1518</v>
      </c>
      <c r="C211" s="88" t="s">
        <v>68</v>
      </c>
      <c r="D211" s="89" t="s">
        <v>2330</v>
      </c>
      <c r="E211" s="80" t="s">
        <v>33</v>
      </c>
    </row>
    <row r="212">
      <c r="B212" s="87" t="s">
        <v>2173</v>
      </c>
      <c r="C212" s="88" t="s">
        <v>733</v>
      </c>
      <c r="D212" s="89" t="s">
        <v>2512</v>
      </c>
      <c r="E212" s="80" t="s">
        <v>37</v>
      </c>
    </row>
    <row r="213">
      <c r="B213" s="87" t="s">
        <v>2330</v>
      </c>
      <c r="C213" s="88" t="s">
        <v>797</v>
      </c>
      <c r="D213" s="87" t="s">
        <v>3000</v>
      </c>
      <c r="E213" s="80" t="s">
        <v>33</v>
      </c>
    </row>
    <row r="214">
      <c r="B214" s="87" t="s">
        <v>1518</v>
      </c>
      <c r="C214" s="88" t="s">
        <v>536</v>
      </c>
      <c r="D214" s="89" t="s">
        <v>2512</v>
      </c>
      <c r="E214" s="80" t="s">
        <v>37</v>
      </c>
    </row>
    <row r="215">
      <c r="B215" s="87" t="s">
        <v>2173</v>
      </c>
      <c r="C215" s="88" t="s">
        <v>2153</v>
      </c>
      <c r="D215" s="87" t="s">
        <v>3000</v>
      </c>
      <c r="E215" s="80" t="s">
        <v>33</v>
      </c>
    </row>
    <row r="216">
      <c r="B216" s="87" t="s">
        <v>2330</v>
      </c>
      <c r="C216" s="88" t="s">
        <v>947</v>
      </c>
      <c r="D216" s="89" t="s">
        <v>2512</v>
      </c>
      <c r="E216" s="80" t="s">
        <v>37</v>
      </c>
    </row>
    <row r="217">
      <c r="B217" s="87" t="s">
        <v>1518</v>
      </c>
      <c r="C217" s="88" t="s">
        <v>414</v>
      </c>
      <c r="D217" s="87" t="s">
        <v>3000</v>
      </c>
      <c r="E217" s="80" t="s">
        <v>33</v>
      </c>
    </row>
    <row r="218">
      <c r="B218" s="87" t="s">
        <v>2330</v>
      </c>
      <c r="C218" s="88" t="s">
        <v>440</v>
      </c>
      <c r="D218" s="89" t="s">
        <v>2173</v>
      </c>
      <c r="E218" s="80" t="s">
        <v>37</v>
      </c>
    </row>
    <row r="219">
      <c r="B219" s="87" t="s">
        <v>2512</v>
      </c>
      <c r="C219" s="88" t="s">
        <v>291</v>
      </c>
      <c r="D219" s="87" t="s">
        <v>3000</v>
      </c>
      <c r="E219" s="80" t="s">
        <v>33</v>
      </c>
    </row>
    <row r="220">
      <c r="B220" s="87" t="s">
        <v>1518</v>
      </c>
      <c r="C220" s="88" t="s">
        <v>89</v>
      </c>
      <c r="D220" s="89" t="s">
        <v>2173</v>
      </c>
      <c r="E220" s="80" t="s">
        <v>37</v>
      </c>
    </row>
    <row r="221">
      <c r="B221" s="72" t="s">
        <v>1441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34" t="s">
        <v>3001</v>
      </c>
      <c r="C223" s="35" t="s">
        <v>55</v>
      </c>
      <c r="D223" s="34" t="s">
        <v>2363</v>
      </c>
      <c r="E223" s="11" t="s">
        <v>9</v>
      </c>
    </row>
    <row r="224">
      <c r="B224" s="34" t="s">
        <v>2778</v>
      </c>
      <c r="C224" s="35" t="s">
        <v>17</v>
      </c>
      <c r="D224" s="32" t="s">
        <v>431</v>
      </c>
      <c r="E224" s="11" t="s">
        <v>13</v>
      </c>
    </row>
    <row r="225">
      <c r="B225" s="34" t="s">
        <v>1360</v>
      </c>
      <c r="C225" s="35" t="s">
        <v>460</v>
      </c>
      <c r="D225" s="34" t="s">
        <v>3001</v>
      </c>
      <c r="E225" s="11" t="s">
        <v>9</v>
      </c>
    </row>
    <row r="226">
      <c r="B226" s="34" t="s">
        <v>2778</v>
      </c>
      <c r="C226" s="35" t="s">
        <v>472</v>
      </c>
      <c r="D226" s="34" t="s">
        <v>2363</v>
      </c>
      <c r="E226" s="11" t="s">
        <v>13</v>
      </c>
    </row>
    <row r="227">
      <c r="B227" s="34" t="s">
        <v>1360</v>
      </c>
      <c r="C227" s="35" t="s">
        <v>285</v>
      </c>
      <c r="D227" s="32" t="s">
        <v>431</v>
      </c>
      <c r="E227" s="11" t="s">
        <v>9</v>
      </c>
    </row>
    <row r="228">
      <c r="B228" s="34" t="s">
        <v>2778</v>
      </c>
      <c r="C228" s="35" t="s">
        <v>20</v>
      </c>
      <c r="D228" s="34" t="s">
        <v>3001</v>
      </c>
      <c r="E228" s="11" t="s">
        <v>13</v>
      </c>
    </row>
    <row r="229">
      <c r="B229" s="34" t="s">
        <v>1360</v>
      </c>
      <c r="C229" s="35" t="s">
        <v>239</v>
      </c>
      <c r="D229" s="34" t="s">
        <v>2363</v>
      </c>
      <c r="E229" s="11" t="s">
        <v>9</v>
      </c>
    </row>
    <row r="230">
      <c r="B230" s="32" t="s">
        <v>431</v>
      </c>
      <c r="C230" s="35" t="s">
        <v>22</v>
      </c>
      <c r="D230" s="34" t="s">
        <v>3001</v>
      </c>
      <c r="E230" s="11" t="s">
        <v>13</v>
      </c>
    </row>
    <row r="231">
      <c r="B231" s="34" t="s">
        <v>1360</v>
      </c>
      <c r="C231" s="35" t="s">
        <v>11</v>
      </c>
      <c r="D231" s="34" t="s">
        <v>2778</v>
      </c>
      <c r="E231" s="11" t="s">
        <v>9</v>
      </c>
    </row>
    <row r="232">
      <c r="B232" s="32" t="s">
        <v>431</v>
      </c>
      <c r="C232" s="35" t="s">
        <v>43</v>
      </c>
      <c r="D232" s="34" t="s">
        <v>2363</v>
      </c>
      <c r="E232" s="11" t="s">
        <v>13</v>
      </c>
    </row>
    <row r="233">
      <c r="B233" s="34" t="s">
        <v>2363</v>
      </c>
      <c r="C233" s="35" t="s">
        <v>48</v>
      </c>
      <c r="D233" s="34" t="s">
        <v>3001</v>
      </c>
      <c r="E233" s="11" t="s">
        <v>9</v>
      </c>
    </row>
    <row r="234">
      <c r="B234" s="32" t="s">
        <v>431</v>
      </c>
      <c r="C234" s="35" t="s">
        <v>195</v>
      </c>
      <c r="D234" s="34" t="s">
        <v>2778</v>
      </c>
      <c r="E234" s="11" t="s">
        <v>13</v>
      </c>
    </row>
    <row r="235">
      <c r="B235" s="34" t="s">
        <v>3001</v>
      </c>
      <c r="C235" s="35" t="s">
        <v>886</v>
      </c>
      <c r="D235" s="34" t="s">
        <v>1360</v>
      </c>
      <c r="E235" s="11" t="s">
        <v>9</v>
      </c>
    </row>
    <row r="236">
      <c r="B236" s="34" t="s">
        <v>2363</v>
      </c>
      <c r="C236" s="35" t="s">
        <v>20</v>
      </c>
      <c r="D236" s="34" t="s">
        <v>2778</v>
      </c>
      <c r="E236" s="11" t="s">
        <v>13</v>
      </c>
    </row>
    <row r="237">
      <c r="B237" s="32" t="s">
        <v>431</v>
      </c>
      <c r="C237" s="35" t="s">
        <v>17</v>
      </c>
      <c r="D237" s="34" t="s">
        <v>1360</v>
      </c>
      <c r="E237" s="11" t="s">
        <v>9</v>
      </c>
    </row>
    <row r="238">
      <c r="B238" s="34" t="s">
        <v>3001</v>
      </c>
      <c r="C238" s="35" t="s">
        <v>1425</v>
      </c>
      <c r="D238" s="34" t="s">
        <v>2778</v>
      </c>
      <c r="E238" s="11" t="s">
        <v>13</v>
      </c>
    </row>
    <row r="239">
      <c r="B239" s="34" t="s">
        <v>2363</v>
      </c>
      <c r="C239" s="35" t="s">
        <v>797</v>
      </c>
      <c r="D239" s="34" t="s">
        <v>1360</v>
      </c>
      <c r="E239" s="11" t="s">
        <v>9</v>
      </c>
    </row>
    <row r="240">
      <c r="B240" s="34" t="s">
        <v>3001</v>
      </c>
      <c r="C240" s="35" t="s">
        <v>220</v>
      </c>
      <c r="D240" s="32" t="s">
        <v>431</v>
      </c>
      <c r="E240" s="11" t="s">
        <v>13</v>
      </c>
    </row>
    <row r="241">
      <c r="B241" s="34" t="s">
        <v>2778</v>
      </c>
      <c r="C241" s="35" t="s">
        <v>42</v>
      </c>
      <c r="D241" s="34" t="s">
        <v>1360</v>
      </c>
      <c r="E241" s="11" t="s">
        <v>9</v>
      </c>
    </row>
    <row r="242">
      <c r="B242" s="34" t="s">
        <v>2363</v>
      </c>
      <c r="C242" s="35" t="s">
        <v>11</v>
      </c>
      <c r="D242" s="32" t="s">
        <v>431</v>
      </c>
      <c r="E242" s="11" t="s">
        <v>13</v>
      </c>
    </row>
    <row r="243">
      <c r="B243" s="72" t="s">
        <v>1456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34" t="s">
        <v>3002</v>
      </c>
      <c r="C245" s="35" t="s">
        <v>578</v>
      </c>
      <c r="D245" s="34" t="s">
        <v>360</v>
      </c>
      <c r="E245" s="11" t="s">
        <v>9</v>
      </c>
    </row>
    <row r="246">
      <c r="B246" s="34" t="s">
        <v>2778</v>
      </c>
      <c r="C246" s="35" t="s">
        <v>64</v>
      </c>
      <c r="D246" s="32" t="s">
        <v>2763</v>
      </c>
      <c r="E246" s="11" t="s">
        <v>13</v>
      </c>
    </row>
    <row r="247">
      <c r="B247" s="34" t="s">
        <v>3003</v>
      </c>
      <c r="C247" s="35" t="s">
        <v>400</v>
      </c>
      <c r="D247" s="34" t="s">
        <v>3002</v>
      </c>
      <c r="E247" s="11" t="s">
        <v>9</v>
      </c>
    </row>
    <row r="248">
      <c r="B248" s="34" t="s">
        <v>2778</v>
      </c>
      <c r="C248" s="35" t="s">
        <v>400</v>
      </c>
      <c r="D248" s="34" t="s">
        <v>360</v>
      </c>
      <c r="E248" s="11" t="s">
        <v>13</v>
      </c>
    </row>
    <row r="249">
      <c r="B249" s="34" t="s">
        <v>3003</v>
      </c>
      <c r="C249" s="35" t="s">
        <v>55</v>
      </c>
      <c r="D249" s="32" t="s">
        <v>2763</v>
      </c>
      <c r="E249" s="11" t="s">
        <v>9</v>
      </c>
    </row>
    <row r="250">
      <c r="B250" s="34" t="s">
        <v>2778</v>
      </c>
      <c r="C250" s="35" t="s">
        <v>3004</v>
      </c>
      <c r="D250" s="34" t="s">
        <v>3002</v>
      </c>
      <c r="E250" s="11" t="s">
        <v>13</v>
      </c>
    </row>
    <row r="251">
      <c r="B251" s="34" t="s">
        <v>3003</v>
      </c>
      <c r="C251" s="35" t="s">
        <v>726</v>
      </c>
      <c r="D251" s="34" t="s">
        <v>360</v>
      </c>
      <c r="E251" s="11" t="s">
        <v>9</v>
      </c>
    </row>
    <row r="252">
      <c r="B252" s="32" t="s">
        <v>2763</v>
      </c>
      <c r="C252" s="35" t="s">
        <v>1310</v>
      </c>
      <c r="D252" s="34" t="s">
        <v>3002</v>
      </c>
      <c r="E252" s="11" t="s">
        <v>13</v>
      </c>
    </row>
    <row r="253">
      <c r="B253" s="34" t="s">
        <v>3003</v>
      </c>
      <c r="C253" s="35" t="s">
        <v>2315</v>
      </c>
      <c r="D253" s="34" t="s">
        <v>2778</v>
      </c>
      <c r="E253" s="11" t="s">
        <v>9</v>
      </c>
    </row>
    <row r="254">
      <c r="B254" s="32" t="s">
        <v>2763</v>
      </c>
      <c r="C254" s="35" t="s">
        <v>87</v>
      </c>
      <c r="D254" s="34" t="s">
        <v>360</v>
      </c>
      <c r="E254" s="11" t="s">
        <v>13</v>
      </c>
    </row>
    <row r="255">
      <c r="B255" s="34" t="s">
        <v>360</v>
      </c>
      <c r="C255" s="35" t="s">
        <v>201</v>
      </c>
      <c r="D255" s="34" t="s">
        <v>3002</v>
      </c>
      <c r="E255" s="11" t="s">
        <v>9</v>
      </c>
    </row>
    <row r="256">
      <c r="B256" s="32" t="s">
        <v>2763</v>
      </c>
      <c r="C256" s="35" t="s">
        <v>26</v>
      </c>
      <c r="D256" s="34" t="s">
        <v>2778</v>
      </c>
      <c r="E256" s="11" t="s">
        <v>13</v>
      </c>
    </row>
    <row r="257">
      <c r="B257" s="34" t="s">
        <v>3002</v>
      </c>
      <c r="C257" s="35" t="s">
        <v>3005</v>
      </c>
      <c r="D257" s="34" t="s">
        <v>3003</v>
      </c>
      <c r="E257" s="11" t="s">
        <v>9</v>
      </c>
    </row>
    <row r="258">
      <c r="B258" s="34" t="s">
        <v>360</v>
      </c>
      <c r="C258" s="35" t="s">
        <v>72</v>
      </c>
      <c r="D258" s="34" t="s">
        <v>2778</v>
      </c>
      <c r="E258" s="11" t="s">
        <v>13</v>
      </c>
    </row>
    <row r="259">
      <c r="B259" s="32" t="s">
        <v>2763</v>
      </c>
      <c r="C259" s="35" t="s">
        <v>88</v>
      </c>
      <c r="D259" s="34" t="s">
        <v>3003</v>
      </c>
      <c r="E259" s="11" t="s">
        <v>9</v>
      </c>
    </row>
    <row r="260">
      <c r="B260" s="34" t="s">
        <v>3002</v>
      </c>
      <c r="C260" s="35" t="s">
        <v>3006</v>
      </c>
      <c r="D260" s="34" t="s">
        <v>2778</v>
      </c>
      <c r="E260" s="11" t="s">
        <v>13</v>
      </c>
    </row>
    <row r="261">
      <c r="B261" s="34" t="s">
        <v>360</v>
      </c>
      <c r="C261" s="35" t="s">
        <v>2573</v>
      </c>
      <c r="D261" s="34" t="s">
        <v>3003</v>
      </c>
      <c r="E261" s="11" t="s">
        <v>9</v>
      </c>
    </row>
    <row r="262">
      <c r="B262" s="34" t="s">
        <v>3002</v>
      </c>
      <c r="C262" s="35" t="s">
        <v>194</v>
      </c>
      <c r="D262" s="32" t="s">
        <v>2763</v>
      </c>
      <c r="E262" s="11" t="s">
        <v>13</v>
      </c>
    </row>
    <row r="263">
      <c r="B263" s="34" t="s">
        <v>2778</v>
      </c>
      <c r="C263" s="35" t="s">
        <v>706</v>
      </c>
      <c r="D263" s="34" t="s">
        <v>3003</v>
      </c>
      <c r="E263" s="11" t="s">
        <v>9</v>
      </c>
    </row>
    <row r="264">
      <c r="B264" s="34" t="s">
        <v>360</v>
      </c>
      <c r="C264" s="35" t="s">
        <v>566</v>
      </c>
      <c r="D264" s="32" t="s">
        <v>2763</v>
      </c>
      <c r="E264" s="11" t="s">
        <v>13</v>
      </c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6"/>
    <hyperlink r:id="rId104" ref="E118"/>
    <hyperlink r:id="rId105" ref="E120"/>
    <hyperlink r:id="rId106" ref="E122"/>
    <hyperlink r:id="rId107" ref="E124"/>
    <hyperlink r:id="rId108" ref="E126"/>
    <hyperlink r:id="rId109" ref="E128"/>
    <hyperlink r:id="rId110" ref="E130"/>
    <hyperlink r:id="rId111" ref="E132"/>
    <hyperlink r:id="rId112" ref="E135"/>
    <hyperlink r:id="rId113" ref="E136"/>
    <hyperlink r:id="rId114" ref="E137"/>
    <hyperlink r:id="rId115" ref="E138"/>
    <hyperlink r:id="rId116" ref="E139"/>
    <hyperlink r:id="rId117" ref="E140"/>
    <hyperlink r:id="rId118" ref="E141"/>
    <hyperlink r:id="rId119" ref="E142"/>
    <hyperlink r:id="rId120" ref="E143"/>
    <hyperlink r:id="rId121" ref="E144"/>
    <hyperlink r:id="rId122" ref="E145"/>
    <hyperlink r:id="rId123" ref="E146"/>
    <hyperlink r:id="rId124" ref="E147"/>
    <hyperlink r:id="rId125" ref="E148"/>
    <hyperlink r:id="rId126" ref="E149"/>
    <hyperlink r:id="rId127" ref="E150"/>
    <hyperlink r:id="rId128" ref="E151"/>
    <hyperlink r:id="rId129" ref="E152"/>
    <hyperlink r:id="rId130" ref="E153"/>
    <hyperlink r:id="rId131" ref="E154"/>
    <hyperlink r:id="rId132" ref="E157"/>
    <hyperlink r:id="rId133" ref="E158"/>
    <hyperlink r:id="rId134" ref="E159"/>
    <hyperlink r:id="rId135" ref="E160"/>
    <hyperlink r:id="rId136" ref="E161"/>
    <hyperlink r:id="rId137" ref="E162"/>
    <hyperlink r:id="rId138" ref="E163"/>
    <hyperlink r:id="rId139" ref="E164"/>
    <hyperlink r:id="rId140" ref="E165"/>
    <hyperlink r:id="rId141" ref="E166"/>
    <hyperlink r:id="rId142" ref="E167"/>
    <hyperlink r:id="rId143" ref="E168"/>
    <hyperlink r:id="rId144" ref="E169"/>
    <hyperlink r:id="rId145" ref="E170"/>
    <hyperlink r:id="rId146" ref="E171"/>
    <hyperlink r:id="rId147" ref="E172"/>
    <hyperlink r:id="rId148" ref="E173"/>
    <hyperlink r:id="rId149" ref="E174"/>
    <hyperlink r:id="rId150" ref="E175"/>
    <hyperlink r:id="rId151" ref="E176"/>
    <hyperlink r:id="rId152" ref="E179"/>
    <hyperlink r:id="rId153" ref="E180"/>
    <hyperlink r:id="rId154" ref="E181"/>
    <hyperlink r:id="rId155" ref="E182"/>
    <hyperlink r:id="rId156" ref="E183"/>
    <hyperlink r:id="rId157" ref="E184"/>
    <hyperlink r:id="rId158" ref="E185"/>
    <hyperlink r:id="rId159" ref="E186"/>
    <hyperlink r:id="rId160" ref="E187"/>
    <hyperlink r:id="rId161" ref="E188"/>
    <hyperlink r:id="rId162" ref="E189"/>
    <hyperlink r:id="rId163" ref="E190"/>
    <hyperlink r:id="rId164" ref="E191"/>
    <hyperlink r:id="rId165" ref="E192"/>
    <hyperlink r:id="rId166" ref="E193"/>
    <hyperlink r:id="rId167" ref="E194"/>
    <hyperlink r:id="rId168" ref="E195"/>
    <hyperlink r:id="rId169" ref="E196"/>
    <hyperlink r:id="rId170" ref="E197"/>
    <hyperlink r:id="rId171" ref="E198"/>
    <hyperlink r:id="rId172" ref="E201"/>
    <hyperlink r:id="rId173" ref="E202"/>
    <hyperlink r:id="rId174" ref="E203"/>
    <hyperlink r:id="rId175" ref="E204"/>
    <hyperlink r:id="rId176" ref="E205"/>
    <hyperlink r:id="rId177" ref="E206"/>
    <hyperlink r:id="rId178" ref="E207"/>
    <hyperlink r:id="rId179" ref="E208"/>
    <hyperlink r:id="rId180" ref="E209"/>
    <hyperlink r:id="rId181" ref="E210"/>
    <hyperlink r:id="rId182" ref="E211"/>
    <hyperlink r:id="rId183" ref="E212"/>
    <hyperlink r:id="rId184" ref="E213"/>
    <hyperlink r:id="rId185" ref="E214"/>
    <hyperlink r:id="rId186" ref="E215"/>
    <hyperlink r:id="rId187" ref="E216"/>
    <hyperlink r:id="rId188" ref="E217"/>
    <hyperlink r:id="rId189" ref="E218"/>
    <hyperlink r:id="rId190" ref="E219"/>
    <hyperlink r:id="rId191" ref="E220"/>
    <hyperlink r:id="rId192" ref="E223"/>
    <hyperlink r:id="rId193" ref="E224"/>
    <hyperlink r:id="rId194" ref="E225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6"/>
    <hyperlink r:id="rId214" ref="E247"/>
    <hyperlink r:id="rId215" ref="E248"/>
    <hyperlink r:id="rId216" ref="E249"/>
    <hyperlink r:id="rId217" ref="E250"/>
    <hyperlink r:id="rId218" ref="E251"/>
    <hyperlink r:id="rId219" ref="E252"/>
    <hyperlink r:id="rId220" ref="E253"/>
    <hyperlink r:id="rId221" ref="E254"/>
    <hyperlink r:id="rId222" ref="E255"/>
    <hyperlink r:id="rId223" ref="E256"/>
    <hyperlink r:id="rId224" ref="E257"/>
    <hyperlink r:id="rId225" ref="E258"/>
    <hyperlink r:id="rId226" ref="E259"/>
    <hyperlink r:id="rId227" ref="E260"/>
    <hyperlink r:id="rId228" ref="E261"/>
    <hyperlink r:id="rId229" ref="E262"/>
    <hyperlink r:id="rId230" ref="E263"/>
    <hyperlink r:id="rId231" ref="E264"/>
  </hyperlinks>
  <drawing r:id="rId232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/>
      <c r="B1" s="72" t="s">
        <v>3007</v>
      </c>
      <c r="C1" s="2"/>
      <c r="D1" s="3"/>
      <c r="E1" s="84"/>
    </row>
    <row r="2">
      <c r="A2" s="66"/>
      <c r="B2" s="85" t="s">
        <v>2</v>
      </c>
      <c r="C2" s="86" t="s">
        <v>3</v>
      </c>
      <c r="D2" s="86" t="s">
        <v>4</v>
      </c>
      <c r="E2" s="86" t="s">
        <v>5</v>
      </c>
    </row>
    <row r="3">
      <c r="A3" s="66"/>
      <c r="B3" s="34" t="s">
        <v>3008</v>
      </c>
      <c r="C3" s="96" t="s">
        <v>449</v>
      </c>
      <c r="D3" s="34" t="s">
        <v>3009</v>
      </c>
      <c r="E3" s="97" t="str">
        <f>HYPERLINK("https://youtu.be/B0TuitE9fAc","channel 1")</f>
        <v>channel 1</v>
      </c>
    </row>
    <row r="4">
      <c r="A4" s="66"/>
      <c r="B4" s="34" t="s">
        <v>1898</v>
      </c>
      <c r="C4" s="96" t="s">
        <v>449</v>
      </c>
      <c r="D4" s="32" t="s">
        <v>2391</v>
      </c>
      <c r="E4" s="97" t="str">
        <f>HYPERLINK("https://youtu.be/rIVCOjUttMU","channel 2")</f>
        <v>channel 2</v>
      </c>
    </row>
    <row r="5">
      <c r="A5" s="66"/>
      <c r="B5" s="34" t="s">
        <v>2706</v>
      </c>
      <c r="C5" s="96" t="s">
        <v>449</v>
      </c>
      <c r="D5" s="34" t="s">
        <v>3008</v>
      </c>
      <c r="E5" s="98" t="s">
        <v>9</v>
      </c>
    </row>
    <row r="6">
      <c r="A6" s="66"/>
      <c r="B6" s="34" t="s">
        <v>1898</v>
      </c>
      <c r="C6" s="96" t="s">
        <v>449</v>
      </c>
      <c r="D6" s="34" t="s">
        <v>3009</v>
      </c>
      <c r="E6" s="98" t="s">
        <v>13</v>
      </c>
    </row>
    <row r="7">
      <c r="A7" s="66"/>
      <c r="B7" s="34" t="s">
        <v>2706</v>
      </c>
      <c r="C7" s="96" t="s">
        <v>449</v>
      </c>
      <c r="D7" s="32" t="s">
        <v>2391</v>
      </c>
      <c r="E7" s="98" t="s">
        <v>9</v>
      </c>
    </row>
    <row r="8">
      <c r="A8" s="66"/>
      <c r="B8" s="34" t="s">
        <v>1898</v>
      </c>
      <c r="C8" s="96" t="s">
        <v>449</v>
      </c>
      <c r="D8" s="34" t="s">
        <v>3008</v>
      </c>
      <c r="E8" s="98" t="s">
        <v>13</v>
      </c>
    </row>
    <row r="9">
      <c r="A9" s="66"/>
      <c r="B9" s="34" t="s">
        <v>2706</v>
      </c>
      <c r="C9" s="96" t="s">
        <v>449</v>
      </c>
      <c r="D9" s="34" t="s">
        <v>3009</v>
      </c>
      <c r="E9" s="98" t="s">
        <v>9</v>
      </c>
    </row>
    <row r="10">
      <c r="A10" s="66"/>
      <c r="B10" s="32" t="s">
        <v>2391</v>
      </c>
      <c r="C10" s="96" t="s">
        <v>449</v>
      </c>
      <c r="D10" s="34" t="s">
        <v>3008</v>
      </c>
      <c r="E10" s="98" t="s">
        <v>13</v>
      </c>
    </row>
    <row r="11">
      <c r="A11" s="66"/>
      <c r="B11" s="34" t="s">
        <v>2706</v>
      </c>
      <c r="C11" s="96" t="s">
        <v>449</v>
      </c>
      <c r="D11" s="34" t="s">
        <v>1898</v>
      </c>
      <c r="E11" s="98" t="s">
        <v>9</v>
      </c>
    </row>
    <row r="12">
      <c r="A12" s="66"/>
      <c r="B12" s="32" t="s">
        <v>2391</v>
      </c>
      <c r="C12" s="96" t="s">
        <v>449</v>
      </c>
      <c r="D12" s="34" t="s">
        <v>3009</v>
      </c>
      <c r="E12" s="98" t="s">
        <v>13</v>
      </c>
    </row>
    <row r="13">
      <c r="A13" s="66"/>
      <c r="B13" s="34" t="s">
        <v>3009</v>
      </c>
      <c r="C13" s="96" t="s">
        <v>449</v>
      </c>
      <c r="D13" s="34" t="s">
        <v>3008</v>
      </c>
      <c r="E13" s="98" t="s">
        <v>9</v>
      </c>
    </row>
    <row r="14">
      <c r="A14" s="66"/>
      <c r="B14" s="32" t="s">
        <v>2391</v>
      </c>
      <c r="C14" s="96" t="s">
        <v>449</v>
      </c>
      <c r="D14" s="34" t="s">
        <v>1898</v>
      </c>
      <c r="E14" s="98" t="s">
        <v>13</v>
      </c>
    </row>
    <row r="15">
      <c r="A15" s="66"/>
      <c r="B15" s="34" t="s">
        <v>3008</v>
      </c>
      <c r="C15" s="96" t="s">
        <v>449</v>
      </c>
      <c r="D15" s="34" t="s">
        <v>2706</v>
      </c>
      <c r="E15" s="98" t="s">
        <v>9</v>
      </c>
    </row>
    <row r="16">
      <c r="A16" s="66"/>
      <c r="B16" s="34" t="s">
        <v>3009</v>
      </c>
      <c r="C16" s="96" t="s">
        <v>449</v>
      </c>
      <c r="D16" s="34" t="s">
        <v>1898</v>
      </c>
      <c r="E16" s="98" t="s">
        <v>13</v>
      </c>
    </row>
    <row r="17">
      <c r="A17" s="66"/>
      <c r="B17" s="32" t="s">
        <v>2391</v>
      </c>
      <c r="C17" s="96" t="s">
        <v>449</v>
      </c>
      <c r="D17" s="34" t="s">
        <v>2706</v>
      </c>
      <c r="E17" s="98" t="s">
        <v>9</v>
      </c>
    </row>
    <row r="18">
      <c r="A18" s="66"/>
      <c r="B18" s="34" t="s">
        <v>3008</v>
      </c>
      <c r="C18" s="96" t="s">
        <v>449</v>
      </c>
      <c r="D18" s="34" t="s">
        <v>1898</v>
      </c>
      <c r="E18" s="98" t="s">
        <v>13</v>
      </c>
    </row>
    <row r="19">
      <c r="A19" s="66"/>
      <c r="B19" s="34" t="s">
        <v>3009</v>
      </c>
      <c r="C19" s="96" t="s">
        <v>449</v>
      </c>
      <c r="D19" s="34" t="s">
        <v>2706</v>
      </c>
      <c r="E19" s="98" t="s">
        <v>9</v>
      </c>
    </row>
    <row r="20">
      <c r="A20" s="66"/>
      <c r="B20" s="34" t="s">
        <v>3008</v>
      </c>
      <c r="C20" s="96" t="s">
        <v>449</v>
      </c>
      <c r="D20" s="32" t="s">
        <v>2391</v>
      </c>
      <c r="E20" s="98" t="s">
        <v>13</v>
      </c>
    </row>
    <row r="21">
      <c r="A21" s="66"/>
      <c r="B21" s="34" t="s">
        <v>1898</v>
      </c>
      <c r="C21" s="96" t="s">
        <v>449</v>
      </c>
      <c r="D21" s="34" t="s">
        <v>2706</v>
      </c>
      <c r="E21" s="98" t="s">
        <v>9</v>
      </c>
    </row>
    <row r="22">
      <c r="A22" s="66"/>
      <c r="B22" s="34" t="s">
        <v>3009</v>
      </c>
      <c r="C22" s="96" t="s">
        <v>449</v>
      </c>
      <c r="D22" s="32" t="s">
        <v>2391</v>
      </c>
      <c r="E22" s="98" t="s">
        <v>13</v>
      </c>
    </row>
    <row r="23">
      <c r="A23" s="66"/>
      <c r="B23" s="72" t="s">
        <v>2586</v>
      </c>
      <c r="C23" s="2"/>
      <c r="D23" s="3"/>
      <c r="E23" s="29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1690</v>
      </c>
      <c r="C25" s="96" t="s">
        <v>449</v>
      </c>
      <c r="D25" s="34" t="s">
        <v>1812</v>
      </c>
      <c r="E25" s="99" t="s">
        <v>9</v>
      </c>
    </row>
    <row r="26">
      <c r="A26" s="66"/>
      <c r="B26" s="34" t="s">
        <v>1925</v>
      </c>
      <c r="C26" s="96" t="s">
        <v>449</v>
      </c>
      <c r="D26" s="32" t="s">
        <v>3010</v>
      </c>
      <c r="E26" s="99" t="s">
        <v>13</v>
      </c>
    </row>
    <row r="27">
      <c r="A27" s="66"/>
      <c r="B27" s="34" t="s">
        <v>2841</v>
      </c>
      <c r="C27" s="96" t="s">
        <v>449</v>
      </c>
      <c r="D27" s="34" t="s">
        <v>1690</v>
      </c>
      <c r="E27" s="99" t="s">
        <v>9</v>
      </c>
    </row>
    <row r="28">
      <c r="A28" s="66"/>
      <c r="B28" s="34" t="s">
        <v>1925</v>
      </c>
      <c r="C28" s="96" t="s">
        <v>449</v>
      </c>
      <c r="D28" s="34" t="s">
        <v>1812</v>
      </c>
      <c r="E28" s="99" t="s">
        <v>13</v>
      </c>
    </row>
    <row r="29">
      <c r="A29" s="66"/>
      <c r="B29" s="34" t="s">
        <v>2841</v>
      </c>
      <c r="C29" s="96" t="s">
        <v>449</v>
      </c>
      <c r="D29" s="32" t="s">
        <v>3010</v>
      </c>
      <c r="E29" s="99" t="s">
        <v>9</v>
      </c>
    </row>
    <row r="30">
      <c r="A30" s="66"/>
      <c r="B30" s="34" t="s">
        <v>1925</v>
      </c>
      <c r="C30" s="96" t="s">
        <v>449</v>
      </c>
      <c r="D30" s="34" t="s">
        <v>1690</v>
      </c>
      <c r="E30" s="99" t="s">
        <v>13</v>
      </c>
    </row>
    <row r="31">
      <c r="A31" s="66"/>
      <c r="B31" s="34" t="s">
        <v>2841</v>
      </c>
      <c r="C31" s="96" t="s">
        <v>449</v>
      </c>
      <c r="D31" s="34" t="s">
        <v>1812</v>
      </c>
      <c r="E31" s="99" t="s">
        <v>9</v>
      </c>
    </row>
    <row r="32">
      <c r="A32" s="66"/>
      <c r="B32" s="32" t="s">
        <v>3010</v>
      </c>
      <c r="C32" s="96" t="s">
        <v>449</v>
      </c>
      <c r="D32" s="34" t="s">
        <v>1690</v>
      </c>
      <c r="E32" s="99" t="s">
        <v>13</v>
      </c>
    </row>
    <row r="33">
      <c r="A33" s="66"/>
      <c r="B33" s="34" t="s">
        <v>2841</v>
      </c>
      <c r="C33" s="96" t="s">
        <v>449</v>
      </c>
      <c r="D33" s="34" t="s">
        <v>1925</v>
      </c>
      <c r="E33" s="99" t="s">
        <v>9</v>
      </c>
    </row>
    <row r="34">
      <c r="A34" s="66"/>
      <c r="B34" s="32" t="s">
        <v>3010</v>
      </c>
      <c r="C34" s="96" t="s">
        <v>449</v>
      </c>
      <c r="D34" s="34" t="s">
        <v>1812</v>
      </c>
      <c r="E34" s="99" t="s">
        <v>13</v>
      </c>
    </row>
    <row r="35">
      <c r="A35" s="66"/>
      <c r="B35" s="34" t="s">
        <v>1812</v>
      </c>
      <c r="C35" s="96" t="s">
        <v>449</v>
      </c>
      <c r="D35" s="34" t="s">
        <v>1690</v>
      </c>
      <c r="E35" s="99" t="s">
        <v>9</v>
      </c>
    </row>
    <row r="36">
      <c r="A36" s="66"/>
      <c r="B36" s="32" t="s">
        <v>3010</v>
      </c>
      <c r="C36" s="96" t="s">
        <v>449</v>
      </c>
      <c r="D36" s="34" t="s">
        <v>1925</v>
      </c>
      <c r="E36" s="99" t="s">
        <v>13</v>
      </c>
    </row>
    <row r="37">
      <c r="A37" s="66"/>
      <c r="B37" s="34" t="s">
        <v>1690</v>
      </c>
      <c r="C37" s="96" t="s">
        <v>449</v>
      </c>
      <c r="D37" s="34" t="s">
        <v>2841</v>
      </c>
      <c r="E37" s="99" t="s">
        <v>9</v>
      </c>
    </row>
    <row r="38">
      <c r="A38" s="66"/>
      <c r="B38" s="34" t="s">
        <v>1812</v>
      </c>
      <c r="C38" s="96" t="s">
        <v>449</v>
      </c>
      <c r="D38" s="34" t="s">
        <v>1925</v>
      </c>
      <c r="E38" s="99" t="s">
        <v>13</v>
      </c>
    </row>
    <row r="39">
      <c r="A39" s="66"/>
      <c r="B39" s="32" t="s">
        <v>3010</v>
      </c>
      <c r="C39" s="96" t="s">
        <v>449</v>
      </c>
      <c r="D39" s="34" t="s">
        <v>2841</v>
      </c>
      <c r="E39" s="99" t="s">
        <v>9</v>
      </c>
    </row>
    <row r="40">
      <c r="A40" s="66"/>
      <c r="B40" s="34" t="s">
        <v>1690</v>
      </c>
      <c r="C40" s="96" t="s">
        <v>449</v>
      </c>
      <c r="D40" s="34" t="s">
        <v>1925</v>
      </c>
      <c r="E40" s="99" t="s">
        <v>13</v>
      </c>
    </row>
    <row r="41">
      <c r="A41" s="66"/>
      <c r="B41" s="34" t="s">
        <v>1812</v>
      </c>
      <c r="C41" s="96" t="s">
        <v>449</v>
      </c>
      <c r="D41" s="34" t="s">
        <v>2841</v>
      </c>
      <c r="E41" s="99" t="s">
        <v>9</v>
      </c>
    </row>
    <row r="42">
      <c r="A42" s="66"/>
      <c r="B42" s="34" t="s">
        <v>1690</v>
      </c>
      <c r="C42" s="96" t="s">
        <v>449</v>
      </c>
      <c r="D42" s="32" t="s">
        <v>3010</v>
      </c>
      <c r="E42" s="99" t="s">
        <v>13</v>
      </c>
    </row>
    <row r="43">
      <c r="A43" s="66"/>
      <c r="B43" s="34" t="s">
        <v>1925</v>
      </c>
      <c r="C43" s="96" t="s">
        <v>449</v>
      </c>
      <c r="D43" s="34" t="s">
        <v>2841</v>
      </c>
      <c r="E43" s="99" t="s">
        <v>9</v>
      </c>
    </row>
    <row r="44">
      <c r="A44" s="67"/>
      <c r="B44" s="34" t="s">
        <v>1812</v>
      </c>
      <c r="C44" s="96" t="s">
        <v>449</v>
      </c>
      <c r="D44" s="32" t="s">
        <v>3010</v>
      </c>
      <c r="E44" s="99" t="s">
        <v>13</v>
      </c>
    </row>
    <row r="45">
      <c r="B45" s="72" t="s">
        <v>3011</v>
      </c>
      <c r="C45" s="2"/>
      <c r="D45" s="3"/>
      <c r="E45" s="2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34" t="s">
        <v>94</v>
      </c>
      <c r="C47" s="96" t="s">
        <v>449</v>
      </c>
      <c r="D47" s="34" t="s">
        <v>93</v>
      </c>
      <c r="E47" s="99" t="s">
        <v>9</v>
      </c>
    </row>
    <row r="48">
      <c r="B48" s="34" t="s">
        <v>2869</v>
      </c>
      <c r="C48" s="96" t="s">
        <v>449</v>
      </c>
      <c r="D48" s="32" t="s">
        <v>3012</v>
      </c>
      <c r="E48" s="99" t="s">
        <v>13</v>
      </c>
    </row>
    <row r="49">
      <c r="B49" s="34" t="s">
        <v>95</v>
      </c>
      <c r="C49" s="96" t="s">
        <v>449</v>
      </c>
      <c r="D49" s="34" t="s">
        <v>94</v>
      </c>
      <c r="E49" s="99" t="s">
        <v>9</v>
      </c>
    </row>
    <row r="50">
      <c r="B50" s="34" t="s">
        <v>2869</v>
      </c>
      <c r="C50" s="96" t="s">
        <v>449</v>
      </c>
      <c r="D50" s="34" t="s">
        <v>93</v>
      </c>
      <c r="E50" s="99" t="s">
        <v>13</v>
      </c>
    </row>
    <row r="51">
      <c r="B51" s="34" t="s">
        <v>95</v>
      </c>
      <c r="C51" s="96" t="s">
        <v>449</v>
      </c>
      <c r="D51" s="32" t="s">
        <v>3012</v>
      </c>
      <c r="E51" s="99" t="s">
        <v>9</v>
      </c>
    </row>
    <row r="52">
      <c r="B52" s="34" t="s">
        <v>2869</v>
      </c>
      <c r="C52" s="96" t="s">
        <v>449</v>
      </c>
      <c r="D52" s="34" t="s">
        <v>94</v>
      </c>
      <c r="E52" s="99" t="s">
        <v>13</v>
      </c>
    </row>
    <row r="53">
      <c r="B53" s="34" t="s">
        <v>95</v>
      </c>
      <c r="C53" s="96" t="s">
        <v>449</v>
      </c>
      <c r="D53" s="34" t="s">
        <v>93</v>
      </c>
      <c r="E53" s="99" t="s">
        <v>9</v>
      </c>
    </row>
    <row r="54">
      <c r="B54" s="32" t="s">
        <v>3012</v>
      </c>
      <c r="C54" s="96" t="s">
        <v>449</v>
      </c>
      <c r="D54" s="34" t="s">
        <v>94</v>
      </c>
      <c r="E54" s="99" t="s">
        <v>13</v>
      </c>
    </row>
    <row r="55">
      <c r="B55" s="34" t="s">
        <v>95</v>
      </c>
      <c r="C55" s="96" t="s">
        <v>449</v>
      </c>
      <c r="D55" s="34" t="s">
        <v>2869</v>
      </c>
      <c r="E55" s="99" t="s">
        <v>9</v>
      </c>
    </row>
    <row r="56">
      <c r="B56" s="32" t="s">
        <v>3012</v>
      </c>
      <c r="C56" s="96" t="s">
        <v>449</v>
      </c>
      <c r="D56" s="34" t="s">
        <v>93</v>
      </c>
      <c r="E56" s="99" t="s">
        <v>13</v>
      </c>
    </row>
    <row r="57">
      <c r="B57" s="34" t="s">
        <v>93</v>
      </c>
      <c r="C57" s="96" t="s">
        <v>449</v>
      </c>
      <c r="D57" s="34" t="s">
        <v>94</v>
      </c>
      <c r="E57" s="99" t="s">
        <v>9</v>
      </c>
    </row>
    <row r="58">
      <c r="B58" s="32" t="s">
        <v>3012</v>
      </c>
      <c r="C58" s="96" t="s">
        <v>449</v>
      </c>
      <c r="D58" s="34" t="s">
        <v>2869</v>
      </c>
      <c r="E58" s="99" t="s">
        <v>13</v>
      </c>
    </row>
    <row r="59">
      <c r="B59" s="34" t="s">
        <v>94</v>
      </c>
      <c r="C59" s="96" t="s">
        <v>449</v>
      </c>
      <c r="D59" s="34" t="s">
        <v>95</v>
      </c>
      <c r="E59" s="99" t="s">
        <v>9</v>
      </c>
    </row>
    <row r="60">
      <c r="B60" s="34" t="s">
        <v>93</v>
      </c>
      <c r="C60" s="96" t="s">
        <v>449</v>
      </c>
      <c r="D60" s="34" t="s">
        <v>2869</v>
      </c>
      <c r="E60" s="99" t="s">
        <v>13</v>
      </c>
    </row>
    <row r="61">
      <c r="B61" s="32" t="s">
        <v>3012</v>
      </c>
      <c r="C61" s="96" t="s">
        <v>449</v>
      </c>
      <c r="D61" s="34" t="s">
        <v>95</v>
      </c>
      <c r="E61" s="99" t="s">
        <v>9</v>
      </c>
    </row>
    <row r="62">
      <c r="B62" s="34" t="s">
        <v>94</v>
      </c>
      <c r="C62" s="96" t="s">
        <v>449</v>
      </c>
      <c r="D62" s="34" t="s">
        <v>2869</v>
      </c>
      <c r="E62" s="99" t="s">
        <v>13</v>
      </c>
    </row>
    <row r="63">
      <c r="B63" s="34" t="s">
        <v>93</v>
      </c>
      <c r="C63" s="96" t="s">
        <v>449</v>
      </c>
      <c r="D63" s="34" t="s">
        <v>95</v>
      </c>
      <c r="E63" s="99" t="s">
        <v>9</v>
      </c>
    </row>
    <row r="64">
      <c r="B64" s="34" t="s">
        <v>94</v>
      </c>
      <c r="C64" s="96" t="s">
        <v>449</v>
      </c>
      <c r="D64" s="32" t="s">
        <v>3012</v>
      </c>
      <c r="E64" s="99" t="s">
        <v>13</v>
      </c>
    </row>
    <row r="65">
      <c r="B65" s="34" t="s">
        <v>2869</v>
      </c>
      <c r="C65" s="96" t="s">
        <v>449</v>
      </c>
      <c r="D65" s="34" t="s">
        <v>95</v>
      </c>
      <c r="E65" s="99" t="s">
        <v>9</v>
      </c>
    </row>
    <row r="66">
      <c r="B66" s="34" t="s">
        <v>93</v>
      </c>
      <c r="C66" s="96" t="s">
        <v>449</v>
      </c>
      <c r="D66" s="32" t="s">
        <v>3012</v>
      </c>
      <c r="E66" s="99" t="s">
        <v>13</v>
      </c>
    </row>
    <row r="67">
      <c r="B67" s="72" t="s">
        <v>2099</v>
      </c>
      <c r="C67" s="2"/>
      <c r="D67" s="3"/>
      <c r="E67" s="29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34" t="s">
        <v>298</v>
      </c>
      <c r="C69" s="96" t="s">
        <v>449</v>
      </c>
      <c r="D69" s="34" t="s">
        <v>2495</v>
      </c>
      <c r="E69" s="99" t="s">
        <v>9</v>
      </c>
    </row>
    <row r="70">
      <c r="B70" s="34" t="s">
        <v>3013</v>
      </c>
      <c r="C70" s="96" t="s">
        <v>449</v>
      </c>
      <c r="D70" s="32" t="s">
        <v>1366</v>
      </c>
      <c r="E70" s="99" t="s">
        <v>13</v>
      </c>
    </row>
    <row r="71">
      <c r="B71" s="34" t="s">
        <v>3014</v>
      </c>
      <c r="C71" s="96" t="s">
        <v>449</v>
      </c>
      <c r="D71" s="34" t="s">
        <v>298</v>
      </c>
      <c r="E71" s="99" t="s">
        <v>9</v>
      </c>
    </row>
    <row r="72">
      <c r="B72" s="34" t="s">
        <v>3013</v>
      </c>
      <c r="C72" s="96" t="s">
        <v>449</v>
      </c>
      <c r="D72" s="34" t="s">
        <v>2495</v>
      </c>
      <c r="E72" s="99" t="s">
        <v>13</v>
      </c>
    </row>
    <row r="73">
      <c r="B73" s="34" t="s">
        <v>3014</v>
      </c>
      <c r="C73" s="96" t="s">
        <v>449</v>
      </c>
      <c r="D73" s="32" t="s">
        <v>1366</v>
      </c>
      <c r="E73" s="99" t="s">
        <v>9</v>
      </c>
    </row>
    <row r="74">
      <c r="B74" s="34" t="s">
        <v>3013</v>
      </c>
      <c r="C74" s="96" t="s">
        <v>449</v>
      </c>
      <c r="D74" s="34" t="s">
        <v>298</v>
      </c>
      <c r="E74" s="99" t="s">
        <v>13</v>
      </c>
    </row>
    <row r="75">
      <c r="B75" s="34" t="s">
        <v>3014</v>
      </c>
      <c r="C75" s="96" t="s">
        <v>449</v>
      </c>
      <c r="D75" s="34" t="s">
        <v>2495</v>
      </c>
      <c r="E75" s="99" t="s">
        <v>9</v>
      </c>
    </row>
    <row r="76">
      <c r="B76" s="32" t="s">
        <v>1366</v>
      </c>
      <c r="C76" s="96" t="s">
        <v>449</v>
      </c>
      <c r="D76" s="34" t="s">
        <v>298</v>
      </c>
      <c r="E76" s="99" t="s">
        <v>13</v>
      </c>
    </row>
    <row r="77">
      <c r="B77" s="34" t="s">
        <v>3014</v>
      </c>
      <c r="C77" s="96" t="s">
        <v>449</v>
      </c>
      <c r="D77" s="34" t="s">
        <v>3013</v>
      </c>
      <c r="E77" s="99" t="s">
        <v>9</v>
      </c>
    </row>
    <row r="78">
      <c r="B78" s="32" t="s">
        <v>1366</v>
      </c>
      <c r="C78" s="96" t="s">
        <v>449</v>
      </c>
      <c r="D78" s="34" t="s">
        <v>2495</v>
      </c>
      <c r="E78" s="99" t="s">
        <v>13</v>
      </c>
    </row>
    <row r="79">
      <c r="B79" s="34" t="s">
        <v>2495</v>
      </c>
      <c r="C79" s="96" t="s">
        <v>449</v>
      </c>
      <c r="D79" s="34" t="s">
        <v>298</v>
      </c>
      <c r="E79" s="99" t="s">
        <v>9</v>
      </c>
    </row>
    <row r="80">
      <c r="B80" s="32" t="s">
        <v>1366</v>
      </c>
      <c r="C80" s="96" t="s">
        <v>449</v>
      </c>
      <c r="D80" s="34" t="s">
        <v>3013</v>
      </c>
      <c r="E80" s="99" t="s">
        <v>13</v>
      </c>
    </row>
    <row r="81">
      <c r="B81" s="34" t="s">
        <v>298</v>
      </c>
      <c r="C81" s="96" t="s">
        <v>449</v>
      </c>
      <c r="D81" s="34" t="s">
        <v>3014</v>
      </c>
      <c r="E81" s="99" t="s">
        <v>9</v>
      </c>
    </row>
    <row r="82">
      <c r="B82" s="34" t="s">
        <v>2495</v>
      </c>
      <c r="C82" s="96" t="s">
        <v>449</v>
      </c>
      <c r="D82" s="34" t="s">
        <v>3013</v>
      </c>
      <c r="E82" s="99" t="s">
        <v>13</v>
      </c>
    </row>
    <row r="83">
      <c r="B83" s="32" t="s">
        <v>1366</v>
      </c>
      <c r="C83" s="96" t="s">
        <v>449</v>
      </c>
      <c r="D83" s="34" t="s">
        <v>3014</v>
      </c>
      <c r="E83" s="99" t="s">
        <v>9</v>
      </c>
    </row>
    <row r="84">
      <c r="B84" s="34" t="s">
        <v>298</v>
      </c>
      <c r="C84" s="96" t="s">
        <v>449</v>
      </c>
      <c r="D84" s="34" t="s">
        <v>3013</v>
      </c>
      <c r="E84" s="99" t="s">
        <v>13</v>
      </c>
    </row>
    <row r="85">
      <c r="B85" s="34" t="s">
        <v>2495</v>
      </c>
      <c r="C85" s="96" t="s">
        <v>449</v>
      </c>
      <c r="D85" s="34" t="s">
        <v>3014</v>
      </c>
      <c r="E85" s="99" t="s">
        <v>9</v>
      </c>
    </row>
    <row r="86">
      <c r="B86" s="34" t="s">
        <v>298</v>
      </c>
      <c r="C86" s="96" t="s">
        <v>449</v>
      </c>
      <c r="D86" s="32" t="s">
        <v>1366</v>
      </c>
      <c r="E86" s="99" t="s">
        <v>13</v>
      </c>
    </row>
    <row r="87">
      <c r="B87" s="34" t="s">
        <v>3013</v>
      </c>
      <c r="C87" s="96" t="s">
        <v>449</v>
      </c>
      <c r="D87" s="34" t="s">
        <v>3014</v>
      </c>
      <c r="E87" s="99" t="s">
        <v>9</v>
      </c>
    </row>
    <row r="88">
      <c r="B88" s="34" t="s">
        <v>2495</v>
      </c>
      <c r="C88" s="96" t="s">
        <v>449</v>
      </c>
      <c r="D88" s="32" t="s">
        <v>1366</v>
      </c>
      <c r="E88" s="99" t="s">
        <v>13</v>
      </c>
    </row>
    <row r="89">
      <c r="B89" s="72" t="s">
        <v>2597</v>
      </c>
      <c r="C89" s="2"/>
      <c r="D89" s="3"/>
      <c r="E89" s="84"/>
    </row>
    <row r="90">
      <c r="B90" s="85" t="s">
        <v>2</v>
      </c>
      <c r="C90" s="86" t="s">
        <v>3</v>
      </c>
      <c r="D90" s="86" t="s">
        <v>4</v>
      </c>
      <c r="E90" s="86" t="s">
        <v>5</v>
      </c>
    </row>
    <row r="91">
      <c r="B91" s="87" t="s">
        <v>3015</v>
      </c>
      <c r="C91" s="96" t="s">
        <v>449</v>
      </c>
      <c r="D91" s="89" t="s">
        <v>966</v>
      </c>
      <c r="E91" s="95" t="s">
        <v>33</v>
      </c>
    </row>
    <row r="92">
      <c r="B92" s="87" t="s">
        <v>3016</v>
      </c>
      <c r="C92" s="96" t="s">
        <v>449</v>
      </c>
      <c r="D92" s="89" t="s">
        <v>988</v>
      </c>
      <c r="E92" s="95" t="s">
        <v>37</v>
      </c>
    </row>
    <row r="93">
      <c r="B93" s="87" t="s">
        <v>3017</v>
      </c>
      <c r="C93" s="96" t="s">
        <v>449</v>
      </c>
      <c r="D93" s="89" t="s">
        <v>3015</v>
      </c>
      <c r="E93" s="95" t="s">
        <v>33</v>
      </c>
    </row>
    <row r="94">
      <c r="B94" s="87" t="s">
        <v>3016</v>
      </c>
      <c r="C94" s="96" t="s">
        <v>449</v>
      </c>
      <c r="D94" s="89" t="s">
        <v>966</v>
      </c>
      <c r="E94" s="95" t="s">
        <v>37</v>
      </c>
    </row>
    <row r="95">
      <c r="B95" s="87" t="s">
        <v>3017</v>
      </c>
      <c r="C95" s="96" t="s">
        <v>449</v>
      </c>
      <c r="D95" s="89" t="s">
        <v>988</v>
      </c>
      <c r="E95" s="95" t="s">
        <v>33</v>
      </c>
    </row>
    <row r="96">
      <c r="B96" s="87" t="s">
        <v>3016</v>
      </c>
      <c r="C96" s="96" t="s">
        <v>449</v>
      </c>
      <c r="D96" s="89" t="s">
        <v>3015</v>
      </c>
      <c r="E96" s="95" t="s">
        <v>37</v>
      </c>
    </row>
    <row r="97">
      <c r="B97" s="87" t="s">
        <v>3017</v>
      </c>
      <c r="C97" s="96" t="s">
        <v>449</v>
      </c>
      <c r="D97" s="89" t="s">
        <v>966</v>
      </c>
      <c r="E97" s="95" t="s">
        <v>33</v>
      </c>
    </row>
    <row r="98">
      <c r="B98" s="87" t="s">
        <v>988</v>
      </c>
      <c r="C98" s="96" t="s">
        <v>449</v>
      </c>
      <c r="D98" s="89" t="s">
        <v>3015</v>
      </c>
      <c r="E98" s="95" t="s">
        <v>37</v>
      </c>
    </row>
    <row r="99">
      <c r="B99" s="87" t="s">
        <v>3017</v>
      </c>
      <c r="C99" s="96" t="s">
        <v>449</v>
      </c>
      <c r="D99" s="89" t="s">
        <v>3016</v>
      </c>
      <c r="E99" s="95" t="s">
        <v>33</v>
      </c>
    </row>
    <row r="100">
      <c r="B100" s="87" t="s">
        <v>988</v>
      </c>
      <c r="C100" s="96" t="s">
        <v>449</v>
      </c>
      <c r="D100" s="89" t="s">
        <v>966</v>
      </c>
      <c r="E100" s="95" t="s">
        <v>37</v>
      </c>
    </row>
    <row r="101">
      <c r="B101" s="87" t="s">
        <v>966</v>
      </c>
      <c r="C101" s="96" t="s">
        <v>449</v>
      </c>
      <c r="D101" s="89" t="s">
        <v>3015</v>
      </c>
      <c r="E101" s="95" t="s">
        <v>33</v>
      </c>
    </row>
    <row r="102">
      <c r="B102" s="87" t="s">
        <v>988</v>
      </c>
      <c r="C102" s="96" t="s">
        <v>449</v>
      </c>
      <c r="D102" s="89" t="s">
        <v>3016</v>
      </c>
      <c r="E102" s="95" t="s">
        <v>37</v>
      </c>
    </row>
    <row r="103">
      <c r="B103" s="87" t="s">
        <v>3015</v>
      </c>
      <c r="C103" s="96" t="s">
        <v>449</v>
      </c>
      <c r="D103" s="87" t="s">
        <v>3017</v>
      </c>
      <c r="E103" s="95" t="s">
        <v>33</v>
      </c>
    </row>
    <row r="104">
      <c r="B104" s="87" t="s">
        <v>966</v>
      </c>
      <c r="C104" s="96" t="s">
        <v>449</v>
      </c>
      <c r="D104" s="89" t="s">
        <v>3016</v>
      </c>
      <c r="E104" s="95" t="s">
        <v>37</v>
      </c>
    </row>
    <row r="105">
      <c r="B105" s="87" t="s">
        <v>988</v>
      </c>
      <c r="C105" s="96" t="s">
        <v>449</v>
      </c>
      <c r="D105" s="87" t="s">
        <v>3017</v>
      </c>
      <c r="E105" s="95" t="s">
        <v>33</v>
      </c>
    </row>
    <row r="106">
      <c r="B106" s="87" t="s">
        <v>3015</v>
      </c>
      <c r="C106" s="96" t="s">
        <v>449</v>
      </c>
      <c r="D106" s="89" t="s">
        <v>3016</v>
      </c>
      <c r="E106" s="95" t="s">
        <v>37</v>
      </c>
    </row>
    <row r="107">
      <c r="B107" s="87" t="s">
        <v>966</v>
      </c>
      <c r="C107" s="96" t="s">
        <v>449</v>
      </c>
      <c r="D107" s="87" t="s">
        <v>3017</v>
      </c>
      <c r="E107" s="95" t="s">
        <v>33</v>
      </c>
    </row>
    <row r="108">
      <c r="B108" s="87" t="s">
        <v>3015</v>
      </c>
      <c r="C108" s="96" t="s">
        <v>449</v>
      </c>
      <c r="D108" s="89" t="s">
        <v>988</v>
      </c>
      <c r="E108" s="95" t="s">
        <v>37</v>
      </c>
    </row>
    <row r="109">
      <c r="B109" s="87" t="s">
        <v>3016</v>
      </c>
      <c r="C109" s="96" t="s">
        <v>449</v>
      </c>
      <c r="D109" s="87" t="s">
        <v>3017</v>
      </c>
      <c r="E109" s="95" t="s">
        <v>33</v>
      </c>
    </row>
    <row r="110">
      <c r="B110" s="87" t="s">
        <v>966</v>
      </c>
      <c r="C110" s="96" t="s">
        <v>449</v>
      </c>
      <c r="D110" s="89" t="s">
        <v>988</v>
      </c>
      <c r="E110" s="95" t="s">
        <v>37</v>
      </c>
    </row>
    <row r="111">
      <c r="B111" s="72" t="s">
        <v>2646</v>
      </c>
      <c r="C111" s="2"/>
      <c r="D111" s="3"/>
      <c r="E111" s="84"/>
    </row>
    <row r="112">
      <c r="B112" s="85" t="s">
        <v>2</v>
      </c>
      <c r="C112" s="86" t="s">
        <v>3</v>
      </c>
      <c r="D112" s="86" t="s">
        <v>4</v>
      </c>
      <c r="E112" s="86" t="s">
        <v>5</v>
      </c>
    </row>
    <row r="113">
      <c r="B113" s="87" t="s">
        <v>3018</v>
      </c>
      <c r="C113" s="88" t="s">
        <v>2751</v>
      </c>
      <c r="D113" s="89" t="s">
        <v>2146</v>
      </c>
      <c r="E113" s="80" t="s">
        <v>33</v>
      </c>
    </row>
    <row r="114">
      <c r="B114" s="87" t="s">
        <v>1304</v>
      </c>
      <c r="C114" s="88" t="s">
        <v>18</v>
      </c>
      <c r="D114" s="89" t="s">
        <v>1303</v>
      </c>
      <c r="E114" s="80" t="s">
        <v>37</v>
      </c>
    </row>
    <row r="115">
      <c r="B115" s="87" t="s">
        <v>2493</v>
      </c>
      <c r="C115" s="88" t="s">
        <v>69</v>
      </c>
      <c r="D115" s="89" t="s">
        <v>3018</v>
      </c>
      <c r="E115" s="80" t="s">
        <v>33</v>
      </c>
    </row>
    <row r="116">
      <c r="B116" s="87" t="s">
        <v>1304</v>
      </c>
      <c r="C116" s="88" t="s">
        <v>194</v>
      </c>
      <c r="D116" s="89" t="s">
        <v>2146</v>
      </c>
      <c r="E116" s="80" t="s">
        <v>37</v>
      </c>
    </row>
    <row r="117">
      <c r="B117" s="87" t="s">
        <v>2493</v>
      </c>
      <c r="C117" s="88" t="s">
        <v>239</v>
      </c>
      <c r="D117" s="89" t="s">
        <v>1303</v>
      </c>
      <c r="E117" s="80" t="s">
        <v>33</v>
      </c>
    </row>
    <row r="118">
      <c r="B118" s="87" t="s">
        <v>1304</v>
      </c>
      <c r="C118" s="88" t="s">
        <v>19</v>
      </c>
      <c r="D118" s="89" t="s">
        <v>3018</v>
      </c>
      <c r="E118" s="80" t="s">
        <v>37</v>
      </c>
    </row>
    <row r="119">
      <c r="B119" s="87" t="s">
        <v>2493</v>
      </c>
      <c r="C119" s="88" t="s">
        <v>25</v>
      </c>
      <c r="D119" s="89" t="s">
        <v>2146</v>
      </c>
      <c r="E119" s="80" t="s">
        <v>33</v>
      </c>
    </row>
    <row r="120">
      <c r="B120" s="87" t="s">
        <v>1303</v>
      </c>
      <c r="C120" s="88" t="s">
        <v>331</v>
      </c>
      <c r="D120" s="89" t="s">
        <v>3018</v>
      </c>
      <c r="E120" s="80" t="s">
        <v>37</v>
      </c>
    </row>
    <row r="121">
      <c r="B121" s="87" t="s">
        <v>2493</v>
      </c>
      <c r="C121" s="88" t="s">
        <v>17</v>
      </c>
      <c r="D121" s="89" t="s">
        <v>1304</v>
      </c>
      <c r="E121" s="80" t="s">
        <v>33</v>
      </c>
    </row>
    <row r="122">
      <c r="B122" s="87" t="s">
        <v>1303</v>
      </c>
      <c r="C122" s="88" t="s">
        <v>544</v>
      </c>
      <c r="D122" s="89" t="s">
        <v>2146</v>
      </c>
      <c r="E122" s="80" t="s">
        <v>37</v>
      </c>
    </row>
    <row r="123">
      <c r="B123" s="87" t="s">
        <v>2146</v>
      </c>
      <c r="C123" s="88" t="s">
        <v>47</v>
      </c>
      <c r="D123" s="89" t="s">
        <v>3018</v>
      </c>
      <c r="E123" s="80" t="s">
        <v>33</v>
      </c>
    </row>
    <row r="124">
      <c r="B124" s="87" t="s">
        <v>1303</v>
      </c>
      <c r="C124" s="88" t="s">
        <v>240</v>
      </c>
      <c r="D124" s="89" t="s">
        <v>1304</v>
      </c>
      <c r="E124" s="80" t="s">
        <v>37</v>
      </c>
    </row>
    <row r="125">
      <c r="B125" s="87" t="s">
        <v>3018</v>
      </c>
      <c r="C125" s="88" t="s">
        <v>47</v>
      </c>
      <c r="D125" s="87" t="s">
        <v>2493</v>
      </c>
      <c r="E125" s="80" t="s">
        <v>33</v>
      </c>
    </row>
    <row r="126">
      <c r="B126" s="87" t="s">
        <v>2146</v>
      </c>
      <c r="C126" s="88" t="s">
        <v>81</v>
      </c>
      <c r="D126" s="89" t="s">
        <v>1304</v>
      </c>
      <c r="E126" s="80" t="s">
        <v>37</v>
      </c>
    </row>
    <row r="127">
      <c r="B127" s="87" t="s">
        <v>1303</v>
      </c>
      <c r="C127" s="88" t="s">
        <v>20</v>
      </c>
      <c r="D127" s="87" t="s">
        <v>2493</v>
      </c>
      <c r="E127" s="80" t="s">
        <v>33</v>
      </c>
    </row>
    <row r="128">
      <c r="B128" s="87" t="s">
        <v>3018</v>
      </c>
      <c r="C128" s="88" t="s">
        <v>258</v>
      </c>
      <c r="D128" s="89" t="s">
        <v>1304</v>
      </c>
      <c r="E128" s="80" t="s">
        <v>37</v>
      </c>
    </row>
    <row r="129">
      <c r="B129" s="87" t="s">
        <v>2146</v>
      </c>
      <c r="C129" s="88" t="s">
        <v>260</v>
      </c>
      <c r="D129" s="87" t="s">
        <v>2493</v>
      </c>
      <c r="E129" s="80" t="s">
        <v>33</v>
      </c>
    </row>
    <row r="130">
      <c r="B130" s="87" t="s">
        <v>3018</v>
      </c>
      <c r="C130" s="88" t="s">
        <v>416</v>
      </c>
      <c r="D130" s="89" t="s">
        <v>1303</v>
      </c>
      <c r="E130" s="80" t="s">
        <v>37</v>
      </c>
    </row>
    <row r="131">
      <c r="B131" s="87" t="s">
        <v>1304</v>
      </c>
      <c r="C131" s="88" t="s">
        <v>362</v>
      </c>
      <c r="D131" s="87" t="s">
        <v>2493</v>
      </c>
      <c r="E131" s="80" t="s">
        <v>33</v>
      </c>
    </row>
    <row r="132">
      <c r="B132" s="87" t="s">
        <v>2146</v>
      </c>
      <c r="C132" s="88" t="s">
        <v>64</v>
      </c>
      <c r="D132" s="89" t="s">
        <v>1303</v>
      </c>
      <c r="E132" s="80" t="s">
        <v>37</v>
      </c>
    </row>
    <row r="133">
      <c r="B133" s="72" t="s">
        <v>3019</v>
      </c>
      <c r="C133" s="2"/>
      <c r="D133" s="3"/>
      <c r="E133" s="2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34" t="s">
        <v>3020</v>
      </c>
      <c r="C135" s="88" t="s">
        <v>35</v>
      </c>
      <c r="D135" s="34" t="s">
        <v>1852</v>
      </c>
      <c r="E135" s="11" t="s">
        <v>9</v>
      </c>
    </row>
    <row r="136">
      <c r="B136" s="34" t="s">
        <v>2887</v>
      </c>
      <c r="C136" s="88" t="s">
        <v>195</v>
      </c>
      <c r="D136" s="32" t="s">
        <v>3021</v>
      </c>
      <c r="E136" s="11" t="s">
        <v>13</v>
      </c>
    </row>
    <row r="137">
      <c r="B137" s="34" t="s">
        <v>2889</v>
      </c>
      <c r="C137" s="88" t="s">
        <v>239</v>
      </c>
      <c r="D137" s="34" t="s">
        <v>3020</v>
      </c>
      <c r="E137" s="11" t="s">
        <v>9</v>
      </c>
    </row>
    <row r="138">
      <c r="B138" s="34" t="s">
        <v>2887</v>
      </c>
      <c r="C138" s="88" t="s">
        <v>239</v>
      </c>
      <c r="D138" s="34" t="s">
        <v>1852</v>
      </c>
      <c r="E138" s="11" t="s">
        <v>13</v>
      </c>
    </row>
    <row r="139">
      <c r="B139" s="34" t="s">
        <v>2889</v>
      </c>
      <c r="C139" s="88" t="s">
        <v>195</v>
      </c>
      <c r="D139" s="32" t="s">
        <v>3021</v>
      </c>
      <c r="E139" s="11" t="s">
        <v>9</v>
      </c>
    </row>
    <row r="140">
      <c r="B140" s="34" t="s">
        <v>2887</v>
      </c>
      <c r="C140" s="88" t="s">
        <v>80</v>
      </c>
      <c r="D140" s="34" t="s">
        <v>3020</v>
      </c>
      <c r="E140" s="11" t="s">
        <v>13</v>
      </c>
    </row>
    <row r="141">
      <c r="B141" s="34" t="s">
        <v>2889</v>
      </c>
      <c r="C141" s="88" t="s">
        <v>7</v>
      </c>
      <c r="D141" s="34" t="s">
        <v>1852</v>
      </c>
      <c r="E141" s="11" t="s">
        <v>9</v>
      </c>
    </row>
    <row r="142">
      <c r="B142" s="32" t="s">
        <v>3021</v>
      </c>
      <c r="C142" s="88" t="s">
        <v>43</v>
      </c>
      <c r="D142" s="34" t="s">
        <v>3020</v>
      </c>
      <c r="E142" s="11" t="s">
        <v>13</v>
      </c>
    </row>
    <row r="143">
      <c r="B143" s="34" t="s">
        <v>2889</v>
      </c>
      <c r="C143" s="88" t="s">
        <v>190</v>
      </c>
      <c r="D143" s="34" t="s">
        <v>2887</v>
      </c>
      <c r="E143" s="11" t="s">
        <v>9</v>
      </c>
    </row>
    <row r="144">
      <c r="B144" s="32" t="s">
        <v>3021</v>
      </c>
      <c r="C144" s="88" t="s">
        <v>45</v>
      </c>
      <c r="D144" s="34" t="s">
        <v>1852</v>
      </c>
      <c r="E144" s="11" t="s">
        <v>13</v>
      </c>
    </row>
    <row r="145">
      <c r="B145" s="34" t="s">
        <v>1852</v>
      </c>
      <c r="C145" s="88" t="s">
        <v>87</v>
      </c>
      <c r="D145" s="34" t="s">
        <v>3020</v>
      </c>
      <c r="E145" s="11" t="s">
        <v>9</v>
      </c>
    </row>
    <row r="146">
      <c r="B146" s="32" t="s">
        <v>3021</v>
      </c>
      <c r="C146" s="88" t="s">
        <v>69</v>
      </c>
      <c r="D146" s="34" t="s">
        <v>2887</v>
      </c>
      <c r="E146" s="11" t="s">
        <v>13</v>
      </c>
    </row>
    <row r="147">
      <c r="B147" s="34" t="s">
        <v>3020</v>
      </c>
      <c r="C147" s="88" t="s">
        <v>87</v>
      </c>
      <c r="D147" s="34" t="s">
        <v>2889</v>
      </c>
      <c r="E147" s="11" t="s">
        <v>9</v>
      </c>
    </row>
    <row r="148">
      <c r="B148" s="34" t="s">
        <v>1852</v>
      </c>
      <c r="C148" s="88" t="s">
        <v>195</v>
      </c>
      <c r="D148" s="34" t="s">
        <v>2887</v>
      </c>
      <c r="E148" s="11" t="s">
        <v>13</v>
      </c>
    </row>
    <row r="149">
      <c r="B149" s="32" t="s">
        <v>3021</v>
      </c>
      <c r="C149" s="88" t="s">
        <v>201</v>
      </c>
      <c r="D149" s="34" t="s">
        <v>2889</v>
      </c>
      <c r="E149" s="11" t="s">
        <v>9</v>
      </c>
    </row>
    <row r="150">
      <c r="B150" s="34" t="s">
        <v>3020</v>
      </c>
      <c r="C150" s="88" t="s">
        <v>201</v>
      </c>
      <c r="D150" s="34" t="s">
        <v>2887</v>
      </c>
      <c r="E150" s="11" t="s">
        <v>13</v>
      </c>
    </row>
    <row r="151">
      <c r="B151" s="34" t="s">
        <v>1852</v>
      </c>
      <c r="C151" s="88" t="s">
        <v>58</v>
      </c>
      <c r="D151" s="34" t="s">
        <v>2889</v>
      </c>
      <c r="E151" s="11" t="s">
        <v>9</v>
      </c>
    </row>
    <row r="152">
      <c r="B152" s="34" t="s">
        <v>3020</v>
      </c>
      <c r="C152" s="88" t="s">
        <v>195</v>
      </c>
      <c r="D152" s="32" t="s">
        <v>3021</v>
      </c>
      <c r="E152" s="11" t="s">
        <v>13</v>
      </c>
    </row>
    <row r="153">
      <c r="B153" s="34" t="s">
        <v>2887</v>
      </c>
      <c r="C153" s="88" t="s">
        <v>87</v>
      </c>
      <c r="D153" s="34" t="s">
        <v>2889</v>
      </c>
      <c r="E153" s="11" t="s">
        <v>9</v>
      </c>
    </row>
    <row r="154">
      <c r="B154" s="34" t="s">
        <v>1852</v>
      </c>
      <c r="C154" s="88" t="s">
        <v>11</v>
      </c>
      <c r="D154" s="32" t="s">
        <v>3021</v>
      </c>
      <c r="E154" s="11" t="s">
        <v>13</v>
      </c>
    </row>
    <row r="155">
      <c r="B155" s="72" t="s">
        <v>3022</v>
      </c>
      <c r="C155" s="2"/>
      <c r="D155" s="3"/>
      <c r="E155" s="2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34" t="s">
        <v>2369</v>
      </c>
      <c r="C157" s="88" t="s">
        <v>22</v>
      </c>
      <c r="D157" s="34" t="s">
        <v>1669</v>
      </c>
      <c r="E157" s="11" t="s">
        <v>9</v>
      </c>
    </row>
    <row r="158">
      <c r="B158" s="34" t="s">
        <v>3023</v>
      </c>
      <c r="C158" s="88" t="s">
        <v>355</v>
      </c>
      <c r="D158" s="32" t="s">
        <v>1182</v>
      </c>
      <c r="E158" s="11" t="s">
        <v>13</v>
      </c>
    </row>
    <row r="159">
      <c r="B159" s="34" t="s">
        <v>3024</v>
      </c>
      <c r="C159" s="88" t="s">
        <v>249</v>
      </c>
      <c r="D159" s="34" t="s">
        <v>2369</v>
      </c>
      <c r="E159" s="11" t="s">
        <v>9</v>
      </c>
    </row>
    <row r="160">
      <c r="B160" s="34" t="s">
        <v>3023</v>
      </c>
      <c r="C160" s="88" t="s">
        <v>238</v>
      </c>
      <c r="D160" s="34" t="s">
        <v>1669</v>
      </c>
      <c r="E160" s="11" t="s">
        <v>13</v>
      </c>
    </row>
    <row r="161">
      <c r="B161" s="34" t="s">
        <v>3024</v>
      </c>
      <c r="C161" s="88" t="s">
        <v>62</v>
      </c>
      <c r="D161" s="32" t="s">
        <v>1182</v>
      </c>
      <c r="E161" s="11" t="s">
        <v>9</v>
      </c>
    </row>
    <row r="162">
      <c r="B162" s="34" t="s">
        <v>3023</v>
      </c>
      <c r="C162" s="88" t="s">
        <v>28</v>
      </c>
      <c r="D162" s="34" t="s">
        <v>2369</v>
      </c>
      <c r="E162" s="11" t="s">
        <v>13</v>
      </c>
    </row>
    <row r="163">
      <c r="B163" s="34" t="s">
        <v>3024</v>
      </c>
      <c r="C163" s="88" t="s">
        <v>201</v>
      </c>
      <c r="D163" s="34" t="s">
        <v>1669</v>
      </c>
      <c r="E163" s="11" t="s">
        <v>9</v>
      </c>
    </row>
    <row r="164">
      <c r="B164" s="32" t="s">
        <v>1182</v>
      </c>
      <c r="C164" s="88" t="s">
        <v>11</v>
      </c>
      <c r="D164" s="34" t="s">
        <v>2369</v>
      </c>
      <c r="E164" s="11" t="s">
        <v>13</v>
      </c>
    </row>
    <row r="165">
      <c r="B165" s="34" t="s">
        <v>3024</v>
      </c>
      <c r="C165" s="88" t="s">
        <v>201</v>
      </c>
      <c r="D165" s="34" t="s">
        <v>3023</v>
      </c>
      <c r="E165" s="11" t="s">
        <v>9</v>
      </c>
    </row>
    <row r="166">
      <c r="B166" s="32" t="s">
        <v>1182</v>
      </c>
      <c r="C166" s="88" t="s">
        <v>232</v>
      </c>
      <c r="D166" s="34" t="s">
        <v>1669</v>
      </c>
      <c r="E166" s="11" t="s">
        <v>13</v>
      </c>
    </row>
    <row r="167">
      <c r="B167" s="34" t="s">
        <v>1669</v>
      </c>
      <c r="C167" s="88" t="s">
        <v>66</v>
      </c>
      <c r="D167" s="34" t="s">
        <v>2369</v>
      </c>
      <c r="E167" s="11" t="s">
        <v>9</v>
      </c>
    </row>
    <row r="168">
      <c r="B168" s="32" t="s">
        <v>1182</v>
      </c>
      <c r="C168" s="88" t="s">
        <v>67</v>
      </c>
      <c r="D168" s="34" t="s">
        <v>3023</v>
      </c>
      <c r="E168" s="11" t="s">
        <v>13</v>
      </c>
    </row>
    <row r="169">
      <c r="B169" s="34" t="s">
        <v>2369</v>
      </c>
      <c r="C169" s="88" t="s">
        <v>212</v>
      </c>
      <c r="D169" s="34" t="s">
        <v>3024</v>
      </c>
      <c r="E169" s="11" t="s">
        <v>9</v>
      </c>
    </row>
    <row r="170">
      <c r="B170" s="34" t="s">
        <v>1669</v>
      </c>
      <c r="C170" s="88" t="s">
        <v>201</v>
      </c>
      <c r="D170" s="34" t="s">
        <v>3023</v>
      </c>
      <c r="E170" s="11" t="s">
        <v>13</v>
      </c>
    </row>
    <row r="171">
      <c r="B171" s="32" t="s">
        <v>1182</v>
      </c>
      <c r="C171" s="88" t="s">
        <v>196</v>
      </c>
      <c r="D171" s="34" t="s">
        <v>3024</v>
      </c>
      <c r="E171" s="11" t="s">
        <v>9</v>
      </c>
    </row>
    <row r="172">
      <c r="B172" s="34" t="s">
        <v>2369</v>
      </c>
      <c r="C172" s="88" t="s">
        <v>319</v>
      </c>
      <c r="D172" s="34" t="s">
        <v>3023</v>
      </c>
      <c r="E172" s="11" t="s">
        <v>13</v>
      </c>
    </row>
    <row r="173">
      <c r="B173" s="34" t="s">
        <v>1669</v>
      </c>
      <c r="C173" s="88" t="s">
        <v>195</v>
      </c>
      <c r="D173" s="34" t="s">
        <v>3024</v>
      </c>
      <c r="E173" s="11" t="s">
        <v>9</v>
      </c>
    </row>
    <row r="174">
      <c r="B174" s="34" t="s">
        <v>2369</v>
      </c>
      <c r="C174" s="88" t="s">
        <v>18</v>
      </c>
      <c r="D174" s="32" t="s">
        <v>1182</v>
      </c>
      <c r="E174" s="11" t="s">
        <v>13</v>
      </c>
    </row>
    <row r="175">
      <c r="B175" s="34" t="s">
        <v>3023</v>
      </c>
      <c r="C175" s="88" t="s">
        <v>321</v>
      </c>
      <c r="D175" s="34" t="s">
        <v>3024</v>
      </c>
      <c r="E175" s="11" t="s">
        <v>9</v>
      </c>
    </row>
    <row r="176">
      <c r="B176" s="34" t="s">
        <v>1669</v>
      </c>
      <c r="C176" s="88" t="s">
        <v>20</v>
      </c>
      <c r="D176" s="32" t="s">
        <v>1182</v>
      </c>
      <c r="E176" s="11" t="s">
        <v>13</v>
      </c>
    </row>
    <row r="177">
      <c r="B177" s="72" t="s">
        <v>3025</v>
      </c>
      <c r="C177" s="2"/>
      <c r="D177" s="3"/>
      <c r="E177" s="84"/>
    </row>
    <row r="178">
      <c r="B178" s="85" t="s">
        <v>2</v>
      </c>
      <c r="C178" s="86" t="s">
        <v>3</v>
      </c>
      <c r="D178" s="86" t="s">
        <v>4</v>
      </c>
      <c r="E178" s="86" t="s">
        <v>5</v>
      </c>
    </row>
    <row r="179">
      <c r="B179" s="87" t="s">
        <v>3026</v>
      </c>
      <c r="C179" s="88" t="s">
        <v>22</v>
      </c>
      <c r="D179" s="89" t="s">
        <v>2517</v>
      </c>
      <c r="E179" s="80" t="s">
        <v>33</v>
      </c>
    </row>
    <row r="180">
      <c r="B180" s="87" t="s">
        <v>1228</v>
      </c>
      <c r="C180" s="88" t="s">
        <v>797</v>
      </c>
      <c r="D180" s="89" t="s">
        <v>1965</v>
      </c>
      <c r="E180" s="80" t="s">
        <v>37</v>
      </c>
    </row>
    <row r="181">
      <c r="B181" s="87" t="s">
        <v>1791</v>
      </c>
      <c r="C181" s="88" t="s">
        <v>239</v>
      </c>
      <c r="D181" s="89" t="s">
        <v>3026</v>
      </c>
      <c r="E181" s="80" t="s">
        <v>33</v>
      </c>
    </row>
    <row r="182">
      <c r="B182" s="87" t="s">
        <v>1228</v>
      </c>
      <c r="C182" s="88" t="s">
        <v>239</v>
      </c>
      <c r="D182" s="89" t="s">
        <v>2517</v>
      </c>
      <c r="E182" s="80" t="s">
        <v>37</v>
      </c>
    </row>
    <row r="183">
      <c r="B183" s="87" t="s">
        <v>1791</v>
      </c>
      <c r="C183" s="88" t="s">
        <v>62</v>
      </c>
      <c r="D183" s="89" t="s">
        <v>1965</v>
      </c>
      <c r="E183" s="80" t="s">
        <v>33</v>
      </c>
    </row>
    <row r="184">
      <c r="B184" s="87" t="s">
        <v>1228</v>
      </c>
      <c r="C184" s="88" t="s">
        <v>243</v>
      </c>
      <c r="D184" s="89" t="s">
        <v>3026</v>
      </c>
      <c r="E184" s="80" t="s">
        <v>37</v>
      </c>
    </row>
    <row r="185">
      <c r="B185" s="87" t="s">
        <v>1791</v>
      </c>
      <c r="C185" s="88" t="s">
        <v>17</v>
      </c>
      <c r="D185" s="89" t="s">
        <v>2517</v>
      </c>
      <c r="E185" s="80" t="s">
        <v>33</v>
      </c>
    </row>
    <row r="186">
      <c r="B186" s="87" t="s">
        <v>1965</v>
      </c>
      <c r="C186" s="88" t="s">
        <v>239</v>
      </c>
      <c r="D186" s="89" t="s">
        <v>3026</v>
      </c>
      <c r="E186" s="80" t="s">
        <v>37</v>
      </c>
    </row>
    <row r="187">
      <c r="B187" s="87" t="s">
        <v>1791</v>
      </c>
      <c r="C187" s="88" t="s">
        <v>488</v>
      </c>
      <c r="D187" s="89" t="s">
        <v>1228</v>
      </c>
      <c r="E187" s="80" t="s">
        <v>33</v>
      </c>
    </row>
    <row r="188">
      <c r="B188" s="87" t="s">
        <v>1965</v>
      </c>
      <c r="C188" s="88" t="s">
        <v>699</v>
      </c>
      <c r="D188" s="89" t="s">
        <v>2517</v>
      </c>
      <c r="E188" s="80" t="s">
        <v>37</v>
      </c>
      <c r="I188" s="36" t="s">
        <v>663</v>
      </c>
    </row>
    <row r="189">
      <c r="B189" s="87" t="s">
        <v>2517</v>
      </c>
      <c r="C189" s="88" t="s">
        <v>17</v>
      </c>
      <c r="D189" s="89" t="s">
        <v>3026</v>
      </c>
      <c r="E189" s="80" t="s">
        <v>33</v>
      </c>
    </row>
    <row r="190">
      <c r="B190" s="87" t="s">
        <v>1965</v>
      </c>
      <c r="C190" s="88" t="s">
        <v>357</v>
      </c>
      <c r="D190" s="89" t="s">
        <v>1228</v>
      </c>
      <c r="E190" s="80" t="s">
        <v>37</v>
      </c>
    </row>
    <row r="191">
      <c r="B191" s="87" t="s">
        <v>3026</v>
      </c>
      <c r="C191" s="88" t="s">
        <v>17</v>
      </c>
      <c r="D191" s="87" t="s">
        <v>1791</v>
      </c>
      <c r="E191" s="80" t="s">
        <v>33</v>
      </c>
    </row>
    <row r="192">
      <c r="B192" s="87" t="s">
        <v>2517</v>
      </c>
      <c r="C192" s="88" t="s">
        <v>3027</v>
      </c>
      <c r="D192" s="89" t="s">
        <v>1228</v>
      </c>
      <c r="E192" s="80" t="s">
        <v>37</v>
      </c>
    </row>
    <row r="193">
      <c r="B193" s="87" t="s">
        <v>1965</v>
      </c>
      <c r="C193" s="88" t="s">
        <v>67</v>
      </c>
      <c r="D193" s="87" t="s">
        <v>1791</v>
      </c>
      <c r="E193" s="80" t="s">
        <v>33</v>
      </c>
    </row>
    <row r="194">
      <c r="B194" s="87" t="s">
        <v>3026</v>
      </c>
      <c r="C194" s="88" t="s">
        <v>686</v>
      </c>
      <c r="D194" s="89" t="s">
        <v>1228</v>
      </c>
      <c r="E194" s="80" t="s">
        <v>37</v>
      </c>
    </row>
    <row r="195">
      <c r="B195" s="87" t="s">
        <v>2517</v>
      </c>
      <c r="C195" s="88" t="s">
        <v>232</v>
      </c>
      <c r="D195" s="87" t="s">
        <v>1791</v>
      </c>
      <c r="E195" s="80" t="s">
        <v>33</v>
      </c>
    </row>
    <row r="196">
      <c r="B196" s="87" t="s">
        <v>3026</v>
      </c>
      <c r="C196" s="88" t="s">
        <v>82</v>
      </c>
      <c r="D196" s="89" t="s">
        <v>1965</v>
      </c>
      <c r="E196" s="80" t="s">
        <v>37</v>
      </c>
    </row>
    <row r="197">
      <c r="B197" s="87" t="s">
        <v>1228</v>
      </c>
      <c r="C197" s="88" t="s">
        <v>35</v>
      </c>
      <c r="D197" s="87" t="s">
        <v>1791</v>
      </c>
      <c r="E197" s="80" t="s">
        <v>33</v>
      </c>
    </row>
    <row r="198">
      <c r="B198" s="87" t="s">
        <v>2517</v>
      </c>
      <c r="C198" s="88" t="s">
        <v>699</v>
      </c>
      <c r="D198" s="89" t="s">
        <v>1965</v>
      </c>
      <c r="E198" s="80" t="s">
        <v>37</v>
      </c>
    </row>
    <row r="199">
      <c r="B199" s="72" t="s">
        <v>2999</v>
      </c>
      <c r="C199" s="2"/>
      <c r="D199" s="3"/>
      <c r="E199" s="84"/>
    </row>
    <row r="200">
      <c r="B200" s="85" t="s">
        <v>2</v>
      </c>
      <c r="C200" s="86" t="s">
        <v>3</v>
      </c>
      <c r="D200" s="86" t="s">
        <v>4</v>
      </c>
      <c r="E200" s="86" t="s">
        <v>5</v>
      </c>
    </row>
    <row r="201">
      <c r="B201" s="87" t="s">
        <v>3028</v>
      </c>
      <c r="C201" s="88" t="s">
        <v>947</v>
      </c>
      <c r="D201" s="89" t="s">
        <v>2016</v>
      </c>
      <c r="E201" s="80" t="s">
        <v>33</v>
      </c>
    </row>
    <row r="202">
      <c r="B202" s="87" t="s">
        <v>3029</v>
      </c>
      <c r="C202" s="88" t="s">
        <v>488</v>
      </c>
      <c r="D202" s="89" t="s">
        <v>2017</v>
      </c>
      <c r="E202" s="80" t="s">
        <v>37</v>
      </c>
    </row>
    <row r="203">
      <c r="B203" s="87" t="s">
        <v>3030</v>
      </c>
      <c r="C203" s="88" t="s">
        <v>195</v>
      </c>
      <c r="D203" s="89" t="s">
        <v>3028</v>
      </c>
      <c r="E203" s="80" t="s">
        <v>33</v>
      </c>
    </row>
    <row r="204">
      <c r="B204" s="87" t="s">
        <v>3029</v>
      </c>
      <c r="C204" s="88" t="s">
        <v>62</v>
      </c>
      <c r="D204" s="89" t="s">
        <v>2016</v>
      </c>
      <c r="E204" s="80" t="s">
        <v>37</v>
      </c>
    </row>
    <row r="205">
      <c r="B205" s="87" t="s">
        <v>3030</v>
      </c>
      <c r="C205" s="88" t="s">
        <v>239</v>
      </c>
      <c r="D205" s="89" t="s">
        <v>2017</v>
      </c>
      <c r="E205" s="80" t="s">
        <v>33</v>
      </c>
    </row>
    <row r="206">
      <c r="B206" s="87" t="s">
        <v>3029</v>
      </c>
      <c r="C206" s="88" t="s">
        <v>201</v>
      </c>
      <c r="D206" s="89" t="s">
        <v>3028</v>
      </c>
      <c r="E206" s="80" t="s">
        <v>37</v>
      </c>
    </row>
    <row r="207">
      <c r="B207" s="87" t="s">
        <v>3030</v>
      </c>
      <c r="C207" s="88" t="s">
        <v>197</v>
      </c>
      <c r="D207" s="89" t="s">
        <v>2016</v>
      </c>
      <c r="E207" s="80" t="s">
        <v>33</v>
      </c>
    </row>
    <row r="208">
      <c r="B208" s="87" t="s">
        <v>2017</v>
      </c>
      <c r="C208" s="88" t="s">
        <v>18</v>
      </c>
      <c r="D208" s="89" t="s">
        <v>3028</v>
      </c>
      <c r="E208" s="80" t="s">
        <v>37</v>
      </c>
    </row>
    <row r="209">
      <c r="B209" s="87" t="s">
        <v>3030</v>
      </c>
      <c r="C209" s="88" t="s">
        <v>22</v>
      </c>
      <c r="D209" s="89" t="s">
        <v>3029</v>
      </c>
      <c r="E209" s="80" t="s">
        <v>33</v>
      </c>
    </row>
    <row r="210">
      <c r="B210" s="87" t="s">
        <v>2017</v>
      </c>
      <c r="C210" s="88" t="s">
        <v>544</v>
      </c>
      <c r="D210" s="89" t="s">
        <v>2016</v>
      </c>
      <c r="E210" s="80" t="s">
        <v>37</v>
      </c>
    </row>
    <row r="211">
      <c r="B211" s="87" t="s">
        <v>2016</v>
      </c>
      <c r="C211" s="88" t="s">
        <v>566</v>
      </c>
      <c r="D211" s="89" t="s">
        <v>3028</v>
      </c>
      <c r="E211" s="80" t="s">
        <v>33</v>
      </c>
    </row>
    <row r="212">
      <c r="B212" s="87" t="s">
        <v>2017</v>
      </c>
      <c r="C212" s="88" t="s">
        <v>684</v>
      </c>
      <c r="D212" s="89" t="s">
        <v>3029</v>
      </c>
      <c r="E212" s="80" t="s">
        <v>37</v>
      </c>
    </row>
    <row r="213">
      <c r="B213" s="87" t="s">
        <v>3028</v>
      </c>
      <c r="C213" s="88" t="s">
        <v>87</v>
      </c>
      <c r="D213" s="87" t="s">
        <v>3030</v>
      </c>
      <c r="E213" s="80" t="s">
        <v>33</v>
      </c>
    </row>
    <row r="214">
      <c r="B214" s="87" t="s">
        <v>2016</v>
      </c>
      <c r="C214" s="88" t="s">
        <v>1342</v>
      </c>
      <c r="D214" s="89" t="s">
        <v>3029</v>
      </c>
      <c r="E214" s="80" t="s">
        <v>37</v>
      </c>
    </row>
    <row r="215">
      <c r="B215" s="87" t="s">
        <v>2017</v>
      </c>
      <c r="C215" s="88" t="s">
        <v>42</v>
      </c>
      <c r="D215" s="87" t="s">
        <v>3030</v>
      </c>
      <c r="E215" s="80" t="s">
        <v>33</v>
      </c>
    </row>
    <row r="216">
      <c r="B216" s="87" t="s">
        <v>3028</v>
      </c>
      <c r="C216" s="88" t="s">
        <v>197</v>
      </c>
      <c r="D216" s="89" t="s">
        <v>3029</v>
      </c>
      <c r="E216" s="80" t="s">
        <v>37</v>
      </c>
    </row>
    <row r="217">
      <c r="B217" s="87" t="s">
        <v>2016</v>
      </c>
      <c r="C217" s="88" t="s">
        <v>695</v>
      </c>
      <c r="D217" s="87" t="s">
        <v>3030</v>
      </c>
      <c r="E217" s="80" t="s">
        <v>33</v>
      </c>
    </row>
    <row r="218">
      <c r="B218" s="87" t="s">
        <v>3028</v>
      </c>
      <c r="C218" s="88" t="s">
        <v>81</v>
      </c>
      <c r="D218" s="89" t="s">
        <v>2017</v>
      </c>
      <c r="E218" s="80" t="s">
        <v>37</v>
      </c>
    </row>
    <row r="219">
      <c r="B219" s="87" t="s">
        <v>3029</v>
      </c>
      <c r="C219" s="88" t="s">
        <v>378</v>
      </c>
      <c r="D219" s="87" t="s">
        <v>3030</v>
      </c>
      <c r="E219" s="80" t="s">
        <v>33</v>
      </c>
    </row>
    <row r="220">
      <c r="B220" s="87" t="s">
        <v>2016</v>
      </c>
      <c r="C220" s="88" t="s">
        <v>43</v>
      </c>
      <c r="D220" s="89" t="s">
        <v>2017</v>
      </c>
      <c r="E220" s="80" t="s">
        <v>37</v>
      </c>
    </row>
    <row r="221">
      <c r="B221" s="72" t="s">
        <v>2575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34" t="s">
        <v>3031</v>
      </c>
      <c r="C223" s="88" t="s">
        <v>190</v>
      </c>
      <c r="D223" s="34" t="s">
        <v>1569</v>
      </c>
      <c r="E223" s="11" t="s">
        <v>9</v>
      </c>
    </row>
    <row r="224">
      <c r="B224" s="34" t="s">
        <v>2672</v>
      </c>
      <c r="C224" s="88" t="s">
        <v>28</v>
      </c>
      <c r="D224" s="32" t="s">
        <v>3032</v>
      </c>
      <c r="E224" s="11" t="s">
        <v>13</v>
      </c>
    </row>
    <row r="225">
      <c r="B225" s="34" t="s">
        <v>2134</v>
      </c>
      <c r="C225" s="88" t="s">
        <v>218</v>
      </c>
      <c r="D225" s="34" t="s">
        <v>3031</v>
      </c>
      <c r="E225" s="11" t="s">
        <v>9</v>
      </c>
    </row>
    <row r="226">
      <c r="B226" s="34" t="s">
        <v>2672</v>
      </c>
      <c r="C226" s="88" t="s">
        <v>82</v>
      </c>
      <c r="D226" s="34" t="s">
        <v>1569</v>
      </c>
      <c r="E226" s="11" t="s">
        <v>13</v>
      </c>
    </row>
    <row r="227">
      <c r="B227" s="34" t="s">
        <v>2134</v>
      </c>
      <c r="C227" s="88" t="s">
        <v>378</v>
      </c>
      <c r="D227" s="32" t="s">
        <v>3032</v>
      </c>
      <c r="E227" s="11" t="s">
        <v>9</v>
      </c>
    </row>
    <row r="228">
      <c r="B228" s="34" t="s">
        <v>2672</v>
      </c>
      <c r="C228" s="88" t="s">
        <v>201</v>
      </c>
      <c r="D228" s="34" t="s">
        <v>3031</v>
      </c>
      <c r="E228" s="11" t="s">
        <v>13</v>
      </c>
    </row>
    <row r="229">
      <c r="B229" s="34" t="s">
        <v>2134</v>
      </c>
      <c r="C229" s="88" t="s">
        <v>544</v>
      </c>
      <c r="D229" s="34" t="s">
        <v>1569</v>
      </c>
      <c r="E229" s="11" t="s">
        <v>9</v>
      </c>
    </row>
    <row r="230">
      <c r="B230" s="32" t="s">
        <v>3032</v>
      </c>
      <c r="C230" s="88" t="s">
        <v>83</v>
      </c>
      <c r="D230" s="34" t="s">
        <v>3031</v>
      </c>
      <c r="E230" s="11" t="s">
        <v>13</v>
      </c>
    </row>
    <row r="231">
      <c r="B231" s="34" t="s">
        <v>2134</v>
      </c>
      <c r="C231" s="88" t="s">
        <v>416</v>
      </c>
      <c r="D231" s="34" t="s">
        <v>2672</v>
      </c>
      <c r="E231" s="11" t="s">
        <v>9</v>
      </c>
    </row>
    <row r="232">
      <c r="B232" s="32" t="s">
        <v>3032</v>
      </c>
      <c r="C232" s="88" t="s">
        <v>260</v>
      </c>
      <c r="D232" s="34" t="s">
        <v>1569</v>
      </c>
      <c r="E232" s="11" t="s">
        <v>13</v>
      </c>
    </row>
    <row r="233">
      <c r="B233" s="34" t="s">
        <v>1569</v>
      </c>
      <c r="C233" s="88" t="s">
        <v>22</v>
      </c>
      <c r="D233" s="34" t="s">
        <v>3031</v>
      </c>
      <c r="E233" s="11" t="s">
        <v>9</v>
      </c>
    </row>
    <row r="234">
      <c r="B234" s="32" t="s">
        <v>3032</v>
      </c>
      <c r="C234" s="88" t="s">
        <v>289</v>
      </c>
      <c r="D234" s="34" t="s">
        <v>2672</v>
      </c>
      <c r="E234" s="11" t="s">
        <v>13</v>
      </c>
    </row>
    <row r="235">
      <c r="B235" s="34" t="s">
        <v>3031</v>
      </c>
      <c r="C235" s="88" t="s">
        <v>81</v>
      </c>
      <c r="D235" s="34" t="s">
        <v>2134</v>
      </c>
      <c r="E235" s="11" t="s">
        <v>9</v>
      </c>
    </row>
    <row r="236">
      <c r="B236" s="34" t="s">
        <v>1569</v>
      </c>
      <c r="C236" s="88" t="s">
        <v>232</v>
      </c>
      <c r="D236" s="34" t="s">
        <v>2672</v>
      </c>
      <c r="E236" s="11" t="s">
        <v>13</v>
      </c>
    </row>
    <row r="237">
      <c r="B237" s="32" t="s">
        <v>3032</v>
      </c>
      <c r="C237" s="88" t="s">
        <v>2744</v>
      </c>
      <c r="D237" s="34" t="s">
        <v>2134</v>
      </c>
      <c r="E237" s="11" t="s">
        <v>9</v>
      </c>
    </row>
    <row r="238">
      <c r="B238" s="34" t="s">
        <v>3031</v>
      </c>
      <c r="C238" s="88" t="s">
        <v>31</v>
      </c>
      <c r="D238" s="34" t="s">
        <v>2672</v>
      </c>
      <c r="E238" s="11" t="s">
        <v>13</v>
      </c>
    </row>
    <row r="239">
      <c r="B239" s="34" t="s">
        <v>1569</v>
      </c>
      <c r="C239" s="88" t="s">
        <v>218</v>
      </c>
      <c r="D239" s="34" t="s">
        <v>2134</v>
      </c>
      <c r="E239" s="11" t="s">
        <v>9</v>
      </c>
    </row>
    <row r="240">
      <c r="B240" s="34" t="s">
        <v>3031</v>
      </c>
      <c r="C240" s="88" t="s">
        <v>72</v>
      </c>
      <c r="D240" s="32" t="s">
        <v>3032</v>
      </c>
      <c r="E240" s="11" t="s">
        <v>13</v>
      </c>
    </row>
    <row r="241">
      <c r="B241" s="34" t="s">
        <v>2672</v>
      </c>
      <c r="C241" s="88" t="s">
        <v>363</v>
      </c>
      <c r="D241" s="34" t="s">
        <v>2134</v>
      </c>
      <c r="E241" s="11" t="s">
        <v>9</v>
      </c>
    </row>
    <row r="242">
      <c r="B242" s="34" t="s">
        <v>1569</v>
      </c>
      <c r="C242" s="88" t="s">
        <v>71</v>
      </c>
      <c r="D242" s="32" t="s">
        <v>3032</v>
      </c>
      <c r="E242" s="11" t="s">
        <v>13</v>
      </c>
    </row>
    <row r="243">
      <c r="B243" s="72" t="s">
        <v>2133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34" t="s">
        <v>1845</v>
      </c>
      <c r="C245" s="88" t="s">
        <v>239</v>
      </c>
      <c r="D245" s="34" t="s">
        <v>3033</v>
      </c>
      <c r="E245" s="11" t="s">
        <v>9</v>
      </c>
    </row>
    <row r="246">
      <c r="B246" s="34" t="s">
        <v>2704</v>
      </c>
      <c r="C246" s="88" t="s">
        <v>238</v>
      </c>
      <c r="D246" s="32" t="s">
        <v>3034</v>
      </c>
      <c r="E246" s="11" t="s">
        <v>13</v>
      </c>
    </row>
    <row r="247">
      <c r="B247" s="34" t="s">
        <v>1974</v>
      </c>
      <c r="C247" s="88" t="s">
        <v>50</v>
      </c>
      <c r="D247" s="34" t="s">
        <v>1845</v>
      </c>
      <c r="E247" s="11" t="s">
        <v>9</v>
      </c>
    </row>
    <row r="248">
      <c r="B248" s="34" t="s">
        <v>2704</v>
      </c>
      <c r="C248" s="88" t="s">
        <v>212</v>
      </c>
      <c r="D248" s="34" t="s">
        <v>3033</v>
      </c>
      <c r="E248" s="11" t="s">
        <v>13</v>
      </c>
    </row>
    <row r="249">
      <c r="B249" s="34" t="s">
        <v>1974</v>
      </c>
      <c r="C249" s="88" t="s">
        <v>416</v>
      </c>
      <c r="D249" s="32" t="s">
        <v>3034</v>
      </c>
      <c r="E249" s="11" t="s">
        <v>9</v>
      </c>
    </row>
    <row r="250">
      <c r="B250" s="34" t="s">
        <v>2704</v>
      </c>
      <c r="C250" s="88" t="s">
        <v>193</v>
      </c>
      <c r="D250" s="34" t="s">
        <v>1845</v>
      </c>
      <c r="E250" s="11" t="s">
        <v>13</v>
      </c>
    </row>
    <row r="251">
      <c r="B251" s="34" t="s">
        <v>1974</v>
      </c>
      <c r="C251" s="88" t="s">
        <v>3035</v>
      </c>
      <c r="D251" s="34" t="s">
        <v>3033</v>
      </c>
      <c r="E251" s="11" t="s">
        <v>9</v>
      </c>
    </row>
    <row r="252">
      <c r="B252" s="32" t="s">
        <v>3034</v>
      </c>
      <c r="C252" s="88" t="s">
        <v>78</v>
      </c>
      <c r="D252" s="34" t="s">
        <v>1845</v>
      </c>
      <c r="E252" s="11" t="s">
        <v>13</v>
      </c>
    </row>
    <row r="253">
      <c r="B253" s="34" t="s">
        <v>1974</v>
      </c>
      <c r="C253" s="88" t="s">
        <v>28</v>
      </c>
      <c r="D253" s="34" t="s">
        <v>2704</v>
      </c>
      <c r="E253" s="11" t="s">
        <v>9</v>
      </c>
    </row>
    <row r="254">
      <c r="B254" s="32" t="s">
        <v>3034</v>
      </c>
      <c r="C254" s="88" t="s">
        <v>41</v>
      </c>
      <c r="D254" s="34" t="s">
        <v>3033</v>
      </c>
      <c r="E254" s="11" t="s">
        <v>13</v>
      </c>
    </row>
    <row r="255">
      <c r="B255" s="34" t="s">
        <v>3033</v>
      </c>
      <c r="C255" s="88" t="s">
        <v>260</v>
      </c>
      <c r="D255" s="34" t="s">
        <v>1845</v>
      </c>
      <c r="E255" s="11" t="s">
        <v>9</v>
      </c>
    </row>
    <row r="256">
      <c r="B256" s="32" t="s">
        <v>3034</v>
      </c>
      <c r="C256" s="88" t="s">
        <v>289</v>
      </c>
      <c r="D256" s="34" t="s">
        <v>2704</v>
      </c>
      <c r="E256" s="11" t="s">
        <v>13</v>
      </c>
    </row>
    <row r="257">
      <c r="B257" s="34" t="s">
        <v>1845</v>
      </c>
      <c r="C257" s="88" t="s">
        <v>268</v>
      </c>
      <c r="D257" s="34" t="s">
        <v>1974</v>
      </c>
      <c r="E257" s="11" t="s">
        <v>9</v>
      </c>
    </row>
    <row r="258">
      <c r="B258" s="34" t="s">
        <v>3033</v>
      </c>
      <c r="C258" s="88" t="s">
        <v>76</v>
      </c>
      <c r="D258" s="34" t="s">
        <v>2704</v>
      </c>
      <c r="E258" s="11" t="s">
        <v>13</v>
      </c>
    </row>
    <row r="259">
      <c r="B259" s="32" t="s">
        <v>3034</v>
      </c>
      <c r="C259" s="88" t="s">
        <v>1283</v>
      </c>
      <c r="D259" s="34" t="s">
        <v>1974</v>
      </c>
      <c r="E259" s="11" t="s">
        <v>9</v>
      </c>
    </row>
    <row r="260">
      <c r="B260" s="34" t="s">
        <v>1845</v>
      </c>
      <c r="C260" s="88" t="s">
        <v>31</v>
      </c>
      <c r="D260" s="34" t="s">
        <v>2704</v>
      </c>
      <c r="E260" s="11" t="s">
        <v>13</v>
      </c>
    </row>
    <row r="261">
      <c r="B261" s="34" t="s">
        <v>3033</v>
      </c>
      <c r="C261" s="88" t="s">
        <v>329</v>
      </c>
      <c r="D261" s="34" t="s">
        <v>1974</v>
      </c>
      <c r="E261" s="11" t="s">
        <v>9</v>
      </c>
    </row>
    <row r="262">
      <c r="B262" s="34" t="s">
        <v>1845</v>
      </c>
      <c r="C262" s="88" t="s">
        <v>43</v>
      </c>
      <c r="D262" s="32" t="s">
        <v>3034</v>
      </c>
      <c r="E262" s="11" t="s">
        <v>13</v>
      </c>
    </row>
    <row r="263">
      <c r="B263" s="34" t="s">
        <v>2704</v>
      </c>
      <c r="C263" s="88" t="s">
        <v>404</v>
      </c>
      <c r="D263" s="34" t="s">
        <v>1974</v>
      </c>
      <c r="E263" s="11" t="s">
        <v>9</v>
      </c>
    </row>
    <row r="264">
      <c r="B264" s="34" t="s">
        <v>3033</v>
      </c>
      <c r="C264" s="88" t="s">
        <v>21</v>
      </c>
      <c r="D264" s="32" t="s">
        <v>3034</v>
      </c>
      <c r="E264" s="11" t="s">
        <v>13</v>
      </c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113"/>
    <hyperlink r:id="rId2" ref="E114"/>
    <hyperlink r:id="rId3" ref="E115"/>
    <hyperlink r:id="rId4" ref="E116"/>
    <hyperlink r:id="rId5" ref="E117"/>
    <hyperlink r:id="rId6" ref="E118"/>
    <hyperlink r:id="rId7" ref="E119"/>
    <hyperlink r:id="rId8" ref="E120"/>
    <hyperlink r:id="rId9" ref="E121"/>
    <hyperlink r:id="rId10" ref="E122"/>
    <hyperlink r:id="rId11" ref="E123"/>
    <hyperlink r:id="rId12" ref="E124"/>
    <hyperlink r:id="rId13" ref="E125"/>
    <hyperlink r:id="rId14" ref="E126"/>
    <hyperlink r:id="rId15" ref="E127"/>
    <hyperlink r:id="rId16" ref="E128"/>
    <hyperlink r:id="rId17" ref="E129"/>
    <hyperlink r:id="rId18" ref="E130"/>
    <hyperlink r:id="rId19" ref="E131"/>
    <hyperlink r:id="rId20" ref="E132"/>
    <hyperlink r:id="rId21" ref="E135"/>
    <hyperlink r:id="rId22" ref="E136"/>
    <hyperlink r:id="rId23" ref="E137"/>
    <hyperlink r:id="rId24" ref="E138"/>
    <hyperlink r:id="rId25" ref="E139"/>
    <hyperlink r:id="rId26" ref="E140"/>
    <hyperlink r:id="rId27" ref="E141"/>
    <hyperlink r:id="rId28" ref="E142"/>
    <hyperlink r:id="rId29" ref="E143"/>
    <hyperlink r:id="rId30" ref="E144"/>
    <hyperlink r:id="rId31" ref="E145"/>
    <hyperlink r:id="rId32" ref="E146"/>
    <hyperlink r:id="rId33" ref="E147"/>
    <hyperlink r:id="rId34" ref="E148"/>
    <hyperlink r:id="rId35" ref="E149"/>
    <hyperlink r:id="rId36" ref="E150"/>
    <hyperlink r:id="rId37" ref="E151"/>
    <hyperlink r:id="rId38" ref="E152"/>
    <hyperlink r:id="rId39" ref="E153"/>
    <hyperlink r:id="rId40" ref="E154"/>
    <hyperlink r:id="rId41" ref="E157"/>
    <hyperlink r:id="rId42" ref="E158"/>
    <hyperlink r:id="rId43" ref="E159"/>
    <hyperlink r:id="rId44" ref="E160"/>
    <hyperlink r:id="rId45" ref="E161"/>
    <hyperlink r:id="rId46" ref="E162"/>
    <hyperlink r:id="rId47" ref="E163"/>
    <hyperlink r:id="rId48" ref="E164"/>
    <hyperlink r:id="rId49" ref="E165"/>
    <hyperlink r:id="rId50" ref="E166"/>
    <hyperlink r:id="rId51" ref="E167"/>
    <hyperlink r:id="rId52" ref="E168"/>
    <hyperlink r:id="rId53" ref="E169"/>
    <hyperlink r:id="rId54" ref="E170"/>
    <hyperlink r:id="rId55" ref="E171"/>
    <hyperlink r:id="rId56" ref="E172"/>
    <hyperlink r:id="rId57" ref="E173"/>
    <hyperlink r:id="rId58" ref="E174"/>
    <hyperlink r:id="rId59" ref="E175"/>
    <hyperlink r:id="rId60" ref="E176"/>
    <hyperlink r:id="rId61" ref="E179"/>
    <hyperlink r:id="rId62" ref="E180"/>
    <hyperlink r:id="rId63" ref="E181"/>
    <hyperlink r:id="rId64" ref="E182"/>
    <hyperlink r:id="rId65" ref="E183"/>
    <hyperlink r:id="rId66" ref="E184"/>
    <hyperlink r:id="rId67" ref="E185"/>
    <hyperlink r:id="rId68" ref="E186"/>
    <hyperlink r:id="rId69" ref="E187"/>
    <hyperlink r:id="rId70" ref="E188"/>
    <hyperlink r:id="rId71" ref="E189"/>
    <hyperlink r:id="rId72" ref="E190"/>
    <hyperlink r:id="rId73" ref="E191"/>
    <hyperlink r:id="rId74" ref="E192"/>
    <hyperlink r:id="rId75" ref="E193"/>
    <hyperlink r:id="rId76" ref="E194"/>
    <hyperlink r:id="rId77" ref="E195"/>
    <hyperlink r:id="rId78" ref="E196"/>
    <hyperlink r:id="rId79" ref="E197"/>
    <hyperlink r:id="rId80" ref="E198"/>
    <hyperlink r:id="rId81" ref="E201"/>
    <hyperlink r:id="rId82" ref="E202"/>
    <hyperlink r:id="rId83" ref="E203"/>
    <hyperlink r:id="rId84" ref="E204"/>
    <hyperlink r:id="rId85" ref="E205"/>
    <hyperlink r:id="rId86" ref="E206"/>
    <hyperlink r:id="rId87" ref="E207"/>
    <hyperlink r:id="rId88" ref="E208"/>
    <hyperlink r:id="rId89" ref="E209"/>
    <hyperlink r:id="rId90" ref="E210"/>
    <hyperlink r:id="rId91" ref="E211"/>
    <hyperlink r:id="rId92" ref="E212"/>
    <hyperlink r:id="rId93" ref="E213"/>
    <hyperlink r:id="rId94" ref="E214"/>
    <hyperlink r:id="rId95" ref="E215"/>
    <hyperlink r:id="rId96" ref="E216"/>
    <hyperlink r:id="rId97" ref="E217"/>
    <hyperlink r:id="rId98" ref="E218"/>
    <hyperlink r:id="rId99" ref="E219"/>
    <hyperlink r:id="rId100" ref="E220"/>
    <hyperlink r:id="rId101" ref="E223"/>
    <hyperlink r:id="rId102" ref="E224"/>
    <hyperlink r:id="rId103" ref="E225"/>
    <hyperlink r:id="rId104" ref="E226"/>
    <hyperlink r:id="rId105" ref="E227"/>
    <hyperlink r:id="rId106" ref="E228"/>
    <hyperlink r:id="rId107" ref="E229"/>
    <hyperlink r:id="rId108" ref="E230"/>
    <hyperlink r:id="rId109" ref="E231"/>
    <hyperlink r:id="rId110" ref="E232"/>
    <hyperlink r:id="rId111" ref="E233"/>
    <hyperlink r:id="rId112" ref="E234"/>
    <hyperlink r:id="rId113" ref="E235"/>
    <hyperlink r:id="rId114" ref="E236"/>
    <hyperlink r:id="rId115" ref="E237"/>
    <hyperlink r:id="rId116" ref="E238"/>
    <hyperlink r:id="rId117" ref="E239"/>
    <hyperlink r:id="rId118" ref="E240"/>
    <hyperlink r:id="rId119" ref="E241"/>
    <hyperlink r:id="rId120" ref="E242"/>
    <hyperlink r:id="rId121" ref="E245"/>
    <hyperlink r:id="rId122" ref="E246"/>
    <hyperlink r:id="rId123" ref="E247"/>
    <hyperlink r:id="rId124" ref="E248"/>
    <hyperlink r:id="rId125" ref="E249"/>
    <hyperlink r:id="rId126" ref="E250"/>
    <hyperlink r:id="rId127" ref="E251"/>
    <hyperlink r:id="rId128" ref="E252"/>
    <hyperlink r:id="rId129" ref="E253"/>
    <hyperlink r:id="rId130" ref="E254"/>
    <hyperlink r:id="rId131" ref="E255"/>
    <hyperlink r:id="rId132" ref="E256"/>
    <hyperlink r:id="rId133" ref="E257"/>
    <hyperlink r:id="rId134" ref="E258"/>
    <hyperlink r:id="rId135" ref="E259"/>
    <hyperlink r:id="rId136" ref="E260"/>
    <hyperlink r:id="rId137" ref="E261"/>
    <hyperlink r:id="rId138" ref="E262"/>
    <hyperlink r:id="rId139" ref="E263"/>
    <hyperlink r:id="rId140" ref="E264"/>
  </hyperlinks>
  <drawing r:id="rId14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/>
      <c r="B1" s="72" t="s">
        <v>2527</v>
      </c>
      <c r="C1" s="2"/>
      <c r="D1" s="3"/>
      <c r="E1" s="84"/>
    </row>
    <row r="2">
      <c r="A2" s="66"/>
      <c r="B2" s="85" t="s">
        <v>2</v>
      </c>
      <c r="C2" s="86" t="s">
        <v>3</v>
      </c>
      <c r="D2" s="86" t="s">
        <v>4</v>
      </c>
      <c r="E2" s="86" t="s">
        <v>5</v>
      </c>
    </row>
    <row r="3">
      <c r="A3" s="66"/>
      <c r="B3" s="34" t="s">
        <v>3036</v>
      </c>
      <c r="C3" s="35" t="s">
        <v>195</v>
      </c>
      <c r="D3" s="34" t="s">
        <v>3037</v>
      </c>
      <c r="E3" s="97" t="str">
        <f>HYPERLINK("https://youtu.be/GkshdGCBrTs","channel 1")</f>
        <v>channel 1</v>
      </c>
    </row>
    <row r="4">
      <c r="A4" s="66"/>
      <c r="B4" s="34" t="s">
        <v>3038</v>
      </c>
      <c r="C4" s="35" t="s">
        <v>273</v>
      </c>
      <c r="D4" s="32" t="s">
        <v>3039</v>
      </c>
      <c r="E4" s="97" t="str">
        <f>HYPERLINK("https://youtu.be/JL-ednr_qR8","channel 2")</f>
        <v>channel 2</v>
      </c>
    </row>
    <row r="5">
      <c r="A5" s="66"/>
      <c r="B5" s="34" t="s">
        <v>3040</v>
      </c>
      <c r="C5" s="35" t="s">
        <v>260</v>
      </c>
      <c r="D5" s="34" t="s">
        <v>3036</v>
      </c>
      <c r="E5" s="97" t="str">
        <f>HYPERLINK("https://youtu.be/GkshdGCBrTs?t=1006","channel 1")</f>
        <v>channel 1</v>
      </c>
    </row>
    <row r="6">
      <c r="A6" s="66"/>
      <c r="B6" s="34" t="s">
        <v>3038</v>
      </c>
      <c r="C6" s="35" t="s">
        <v>83</v>
      </c>
      <c r="D6" s="34" t="s">
        <v>3037</v>
      </c>
      <c r="E6" s="97" t="str">
        <f>HYPERLINK("https://youtu.be/JL-ednr_qR8?t=1099","channel 2")</f>
        <v>channel 2</v>
      </c>
    </row>
    <row r="7">
      <c r="A7" s="66"/>
      <c r="B7" s="34" t="s">
        <v>3040</v>
      </c>
      <c r="C7" s="35" t="s">
        <v>215</v>
      </c>
      <c r="D7" s="32" t="s">
        <v>3039</v>
      </c>
      <c r="E7" s="97" t="str">
        <f>HYPERLINK("https://youtu.be/GkshdGCBrTs?t=1923","channel 1")</f>
        <v>channel 1</v>
      </c>
    </row>
    <row r="8">
      <c r="A8" s="66"/>
      <c r="B8" s="34" t="s">
        <v>3038</v>
      </c>
      <c r="C8" s="35" t="s">
        <v>218</v>
      </c>
      <c r="D8" s="34" t="s">
        <v>3036</v>
      </c>
      <c r="E8" s="97" t="str">
        <f>HYPERLINK("https://youtu.be/JL-ednr_qR8?t=2015","channel 2")</f>
        <v>channel 2</v>
      </c>
    </row>
    <row r="9">
      <c r="A9" s="66"/>
      <c r="B9" s="34" t="s">
        <v>3040</v>
      </c>
      <c r="C9" s="35" t="s">
        <v>48</v>
      </c>
      <c r="D9" s="34" t="s">
        <v>3037</v>
      </c>
      <c r="E9" s="97" t="str">
        <f>HYPERLINK("https://youtu.be/GkshdGCBrTs?t=2852","channel 1")</f>
        <v>channel 1</v>
      </c>
    </row>
    <row r="10">
      <c r="A10" s="66"/>
      <c r="B10" s="32" t="s">
        <v>3039</v>
      </c>
      <c r="C10" s="35" t="s">
        <v>190</v>
      </c>
      <c r="D10" s="34" t="s">
        <v>3036</v>
      </c>
      <c r="E10" s="97" t="str">
        <f>HYPERLINK("https://youtu.be/JL-ednr_qR8?t=2940","channel 2")</f>
        <v>channel 2</v>
      </c>
    </row>
    <row r="11">
      <c r="A11" s="66"/>
      <c r="B11" s="34" t="s">
        <v>3040</v>
      </c>
      <c r="C11" s="35" t="s">
        <v>203</v>
      </c>
      <c r="D11" s="34" t="s">
        <v>3038</v>
      </c>
      <c r="E11" s="97" t="str">
        <f>HYPERLINK("https://youtu.be/GkshdGCBrTs?t=3779","channel 1")</f>
        <v>channel 1</v>
      </c>
    </row>
    <row r="12">
      <c r="A12" s="66"/>
      <c r="B12" s="32" t="s">
        <v>3039</v>
      </c>
      <c r="C12" s="35" t="s">
        <v>17</v>
      </c>
      <c r="D12" s="34" t="s">
        <v>3037</v>
      </c>
      <c r="E12" s="97" t="str">
        <f>HYPERLINK("https://youtu.be/JL-ednr_qR8?t=3873","channel 2")</f>
        <v>channel 2</v>
      </c>
    </row>
    <row r="13">
      <c r="A13" s="66"/>
      <c r="B13" s="34" t="s">
        <v>3037</v>
      </c>
      <c r="C13" s="35" t="s">
        <v>64</v>
      </c>
      <c r="D13" s="34" t="s">
        <v>3036</v>
      </c>
      <c r="E13" s="97" t="str">
        <f>HYPERLINK("https://youtu.be/GkshdGCBrTs?t=4730","channel 1")</f>
        <v>channel 1</v>
      </c>
    </row>
    <row r="14">
      <c r="A14" s="66"/>
      <c r="B14" s="32" t="s">
        <v>3039</v>
      </c>
      <c r="C14" s="35" t="s">
        <v>55</v>
      </c>
      <c r="D14" s="34" t="s">
        <v>3038</v>
      </c>
      <c r="E14" s="97" t="str">
        <f>HYPERLINK("https://youtu.be/JL-ednr_qR8?t=4804","channel 2")</f>
        <v>channel 2</v>
      </c>
    </row>
    <row r="15">
      <c r="A15" s="66"/>
      <c r="B15" s="34" t="s">
        <v>3036</v>
      </c>
      <c r="C15" s="35" t="s">
        <v>22</v>
      </c>
      <c r="D15" s="34" t="s">
        <v>3040</v>
      </c>
      <c r="E15" s="97" t="str">
        <f>HYPERLINK("https://youtu.be/GkshdGCBrTs?t=5636","channel 1")</f>
        <v>channel 1</v>
      </c>
    </row>
    <row r="16">
      <c r="A16" s="66"/>
      <c r="B16" s="34" t="s">
        <v>3037</v>
      </c>
      <c r="C16" s="35" t="s">
        <v>14</v>
      </c>
      <c r="D16" s="34" t="s">
        <v>3038</v>
      </c>
      <c r="E16" s="97" t="str">
        <f>HYPERLINK("https://youtu.be/JL-ednr_qR8?t=5724","channel 2")</f>
        <v>channel 2</v>
      </c>
    </row>
    <row r="17">
      <c r="A17" s="66"/>
      <c r="B17" s="32" t="s">
        <v>3039</v>
      </c>
      <c r="C17" s="35" t="s">
        <v>201</v>
      </c>
      <c r="D17" s="34" t="s">
        <v>3040</v>
      </c>
      <c r="E17" s="97" t="str">
        <f>HYPERLINK("https://youtu.be/GkshdGCBrTs?t=6547","channel 1")</f>
        <v>channel 1</v>
      </c>
    </row>
    <row r="18">
      <c r="A18" s="66"/>
      <c r="B18" s="34" t="s">
        <v>3036</v>
      </c>
      <c r="C18" s="35" t="s">
        <v>49</v>
      </c>
      <c r="D18" s="34" t="s">
        <v>3038</v>
      </c>
      <c r="E18" s="97" t="str">
        <f>HYPERLINK("https://youtu.be/JL-ednr_qR8?t=6648","channel 2")</f>
        <v>channel 2</v>
      </c>
    </row>
    <row r="19">
      <c r="A19" s="66"/>
      <c r="B19" s="34" t="s">
        <v>3037</v>
      </c>
      <c r="C19" s="35" t="s">
        <v>2121</v>
      </c>
      <c r="D19" s="34" t="s">
        <v>3040</v>
      </c>
      <c r="E19" s="97" t="str">
        <f>HYPERLINK("https://youtu.be/GkshdGCBrTs?t=7470","channel 1")</f>
        <v>channel 1</v>
      </c>
    </row>
    <row r="20">
      <c r="A20" s="66"/>
      <c r="B20" s="34" t="s">
        <v>3036</v>
      </c>
      <c r="C20" s="35" t="s">
        <v>218</v>
      </c>
      <c r="D20" s="32" t="s">
        <v>3039</v>
      </c>
      <c r="E20" s="97" t="str">
        <f>HYPERLINK("https://youtu.be/JL-ednr_qR8?t=7561","channel 2")</f>
        <v>channel 2</v>
      </c>
    </row>
    <row r="21">
      <c r="A21" s="66"/>
      <c r="B21" s="34" t="s">
        <v>3038</v>
      </c>
      <c r="C21" s="35" t="s">
        <v>250</v>
      </c>
      <c r="D21" s="34" t="s">
        <v>3040</v>
      </c>
      <c r="E21" s="97" t="str">
        <f>HYPERLINK("https://youtu.be/GkshdGCBrTs?t=8448","channel 1")</f>
        <v>channel 1</v>
      </c>
    </row>
    <row r="22">
      <c r="A22" s="66"/>
      <c r="B22" s="34" t="s">
        <v>3037</v>
      </c>
      <c r="C22" s="35" t="s">
        <v>17</v>
      </c>
      <c r="D22" s="32" t="s">
        <v>3039</v>
      </c>
      <c r="E22" s="97" t="str">
        <f>HYPERLINK("https://youtu.be/JL-ednr_qR8?t=8507","channel 2")</f>
        <v>channel 2</v>
      </c>
    </row>
    <row r="23">
      <c r="A23" s="66"/>
      <c r="B23" s="72" t="s">
        <v>3041</v>
      </c>
      <c r="C23" s="2"/>
      <c r="D23" s="3"/>
      <c r="E23" s="29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3042</v>
      </c>
      <c r="C25" s="35" t="s">
        <v>187</v>
      </c>
      <c r="D25" s="34" t="s">
        <v>1468</v>
      </c>
      <c r="E25" s="11" t="str">
        <f>HYPERLINK("https://youtu.be/50kqhLaDMbM","channel 1")</f>
        <v>channel 1</v>
      </c>
    </row>
    <row r="26">
      <c r="A26" s="66"/>
      <c r="B26" s="34" t="s">
        <v>2747</v>
      </c>
      <c r="C26" s="35" t="s">
        <v>65</v>
      </c>
      <c r="D26" s="32" t="s">
        <v>3043</v>
      </c>
      <c r="E26" s="11" t="str">
        <f>HYPERLINK("https://youtu.be/Du_7xvwpd5M","channel 2")</f>
        <v>channel 2</v>
      </c>
    </row>
    <row r="27">
      <c r="A27" s="66"/>
      <c r="B27" s="34" t="s">
        <v>3044</v>
      </c>
      <c r="C27" s="35" t="s">
        <v>72</v>
      </c>
      <c r="D27" s="34" t="s">
        <v>3042</v>
      </c>
      <c r="E27" s="11" t="str">
        <f>HYPERLINK("https://youtu.be/50kqhLaDMbM?t=977","channel 1")</f>
        <v>channel 1</v>
      </c>
    </row>
    <row r="28">
      <c r="A28" s="66"/>
      <c r="B28" s="34" t="s">
        <v>2747</v>
      </c>
      <c r="C28" s="35" t="s">
        <v>286</v>
      </c>
      <c r="D28" s="34" t="s">
        <v>1468</v>
      </c>
      <c r="E28" s="11" t="str">
        <f>HYPERLINK("https://youtu.be/Du_7xvwpd5M?t=1075","channel 2")</f>
        <v>channel 2</v>
      </c>
    </row>
    <row r="29">
      <c r="A29" s="66"/>
      <c r="B29" s="34" t="s">
        <v>3044</v>
      </c>
      <c r="C29" s="35" t="s">
        <v>81</v>
      </c>
      <c r="D29" s="32" t="s">
        <v>3043</v>
      </c>
      <c r="E29" s="11" t="str">
        <f>HYPERLINK("https://youtu.be/50kqhLaDMbM?t=1913","channel 1")</f>
        <v>channel 1</v>
      </c>
    </row>
    <row r="30">
      <c r="A30" s="66"/>
      <c r="B30" s="34" t="s">
        <v>2747</v>
      </c>
      <c r="C30" s="35" t="s">
        <v>48</v>
      </c>
      <c r="D30" s="34" t="s">
        <v>3042</v>
      </c>
      <c r="E30" s="11" t="str">
        <f>HYPERLINK("https://youtu.be/Du_7xvwpd5M?t=2005","channel 2")</f>
        <v>channel 2</v>
      </c>
    </row>
    <row r="31">
      <c r="A31" s="66"/>
      <c r="B31" s="34" t="s">
        <v>3044</v>
      </c>
      <c r="C31" s="35" t="s">
        <v>1021</v>
      </c>
      <c r="D31" s="34" t="s">
        <v>1468</v>
      </c>
      <c r="E31" s="11" t="str">
        <f>HYPERLINK("https://youtu.be/50kqhLaDMbM?t=2874","channel 1")</f>
        <v>channel 1</v>
      </c>
    </row>
    <row r="32">
      <c r="A32" s="66"/>
      <c r="B32" s="32" t="s">
        <v>3043</v>
      </c>
      <c r="C32" s="35" t="s">
        <v>69</v>
      </c>
      <c r="D32" s="34" t="s">
        <v>3042</v>
      </c>
      <c r="E32" s="11" t="str">
        <f>HYPERLINK("https://youtu.be/Du_7xvwpd5M?t=2926","channel 2")</f>
        <v>channel 2</v>
      </c>
    </row>
    <row r="33">
      <c r="A33" s="66"/>
      <c r="B33" s="34" t="s">
        <v>3044</v>
      </c>
      <c r="C33" s="35" t="s">
        <v>2276</v>
      </c>
      <c r="D33" s="34" t="s">
        <v>2747</v>
      </c>
      <c r="E33" s="11" t="str">
        <f>HYPERLINK("https://youtu.be/50kqhLaDMbM?t=3816","channel 1")</f>
        <v>channel 1</v>
      </c>
    </row>
    <row r="34">
      <c r="A34" s="66"/>
      <c r="B34" s="32" t="s">
        <v>3043</v>
      </c>
      <c r="C34" s="35" t="s">
        <v>25</v>
      </c>
      <c r="D34" s="34" t="s">
        <v>1468</v>
      </c>
      <c r="E34" s="11" t="str">
        <f>HYPERLINK("https://youtu.be/Du_7xvwpd5M?t=3854","channel 2")</f>
        <v>channel 2</v>
      </c>
    </row>
    <row r="35">
      <c r="A35" s="66"/>
      <c r="B35" s="34" t="s">
        <v>1468</v>
      </c>
      <c r="C35" s="35" t="s">
        <v>258</v>
      </c>
      <c r="D35" s="34" t="s">
        <v>3042</v>
      </c>
      <c r="E35" s="11" t="str">
        <f>HYPERLINK("https://youtu.be/50kqhLaDMbM?t=4743","channel 1")</f>
        <v>channel 1</v>
      </c>
    </row>
    <row r="36">
      <c r="A36" s="66"/>
      <c r="B36" s="32" t="s">
        <v>3043</v>
      </c>
      <c r="C36" s="35" t="s">
        <v>2189</v>
      </c>
      <c r="D36" s="34" t="s">
        <v>2747</v>
      </c>
      <c r="E36" s="11" t="str">
        <f>HYPERLINK("https://youtu.be/Du_7xvwpd5M?t=4785","channel 2")</f>
        <v>channel 2</v>
      </c>
    </row>
    <row r="37">
      <c r="A37" s="66"/>
      <c r="B37" s="34" t="s">
        <v>3042</v>
      </c>
      <c r="C37" s="35" t="s">
        <v>190</v>
      </c>
      <c r="D37" s="34" t="s">
        <v>3044</v>
      </c>
      <c r="E37" s="11" t="str">
        <f>HYPERLINK("https://youtu.be/50kqhLaDMbM?t=5666","channel 1")</f>
        <v>channel 1</v>
      </c>
    </row>
    <row r="38">
      <c r="A38" s="66"/>
      <c r="B38" s="34" t="s">
        <v>1468</v>
      </c>
      <c r="C38" s="35" t="s">
        <v>243</v>
      </c>
      <c r="D38" s="34" t="s">
        <v>2747</v>
      </c>
      <c r="E38" s="11" t="str">
        <f>HYPERLINK("https://youtu.be/Du_7xvwpd5M?t=5700","channel 2")</f>
        <v>channel 2</v>
      </c>
    </row>
    <row r="39">
      <c r="A39" s="66"/>
      <c r="B39" s="32" t="s">
        <v>3043</v>
      </c>
      <c r="C39" s="35" t="s">
        <v>41</v>
      </c>
      <c r="D39" s="34" t="s">
        <v>3044</v>
      </c>
      <c r="E39" s="11" t="str">
        <f>HYPERLINK("https://youtu.be/50kqhLaDMbM?t=6572","channel 1")</f>
        <v>channel 1</v>
      </c>
    </row>
    <row r="40">
      <c r="A40" s="66"/>
      <c r="B40" s="34" t="s">
        <v>3042</v>
      </c>
      <c r="C40" s="35" t="s">
        <v>43</v>
      </c>
      <c r="D40" s="34" t="s">
        <v>2747</v>
      </c>
      <c r="E40" s="11" t="str">
        <f>HYPERLINK("https://youtu.be/Du_7xvwpd5M?t=6625","channel 2")</f>
        <v>channel 2</v>
      </c>
    </row>
    <row r="41">
      <c r="A41" s="66"/>
      <c r="B41" s="34" t="s">
        <v>1468</v>
      </c>
      <c r="C41" s="35" t="s">
        <v>47</v>
      </c>
      <c r="D41" s="34" t="s">
        <v>3044</v>
      </c>
      <c r="E41" s="11" t="str">
        <f>HYPERLINK("https://youtu.be/50kqhLaDMbM?t=7519","channel 1")</f>
        <v>channel 1</v>
      </c>
    </row>
    <row r="42">
      <c r="A42" s="66"/>
      <c r="B42" s="34" t="s">
        <v>3042</v>
      </c>
      <c r="C42" s="35" t="s">
        <v>19</v>
      </c>
      <c r="D42" s="32" t="s">
        <v>3043</v>
      </c>
      <c r="E42" s="11" t="str">
        <f>HYPERLINK("https://youtu.be/Du_7xvwpd5M?t=7536","channel 2")</f>
        <v>channel 2</v>
      </c>
    </row>
    <row r="43">
      <c r="A43" s="66"/>
      <c r="B43" s="34" t="s">
        <v>2747</v>
      </c>
      <c r="C43" s="35" t="s">
        <v>466</v>
      </c>
      <c r="D43" s="34" t="s">
        <v>3044</v>
      </c>
      <c r="E43" s="11" t="str">
        <f>HYPERLINK("https://youtu.be/50kqhLaDMbM?t=8424","channel 1")</f>
        <v>channel 1</v>
      </c>
    </row>
    <row r="44">
      <c r="A44" s="67"/>
      <c r="B44" s="34" t="s">
        <v>1468</v>
      </c>
      <c r="C44" s="35" t="s">
        <v>41</v>
      </c>
      <c r="D44" s="32" t="s">
        <v>3043</v>
      </c>
      <c r="E44" s="11" t="str">
        <f>HYPERLINK("https://youtu.be/Du_7xvwpd5M?t=8459","channel 2")</f>
        <v>channel 2</v>
      </c>
    </row>
    <row r="45">
      <c r="B45" s="72" t="s">
        <v>3045</v>
      </c>
      <c r="C45" s="2"/>
      <c r="D45" s="3"/>
      <c r="E45" s="2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34" t="s">
        <v>2792</v>
      </c>
      <c r="C47" s="35" t="s">
        <v>23</v>
      </c>
      <c r="D47" s="34" t="s">
        <v>3046</v>
      </c>
      <c r="E47" s="11" t="str">
        <f>HYPERLINK("https://youtu.be/o0t2HJaBSCM","channel 1")</f>
        <v>channel 1</v>
      </c>
    </row>
    <row r="48">
      <c r="B48" s="34" t="s">
        <v>3047</v>
      </c>
      <c r="C48" s="35" t="s">
        <v>43</v>
      </c>
      <c r="D48" s="32" t="s">
        <v>1921</v>
      </c>
      <c r="E48" s="11" t="str">
        <f>HYPERLINK("https://youtu.be/L5UBFtkqZFs","channel 2")</f>
        <v>channel 2</v>
      </c>
    </row>
    <row r="49">
      <c r="B49" s="34" t="s">
        <v>1795</v>
      </c>
      <c r="C49" s="35" t="s">
        <v>81</v>
      </c>
      <c r="D49" s="34" t="s">
        <v>2792</v>
      </c>
      <c r="E49" s="11" t="s">
        <v>9</v>
      </c>
    </row>
    <row r="50">
      <c r="B50" s="34" t="s">
        <v>3047</v>
      </c>
      <c r="C50" s="35" t="s">
        <v>195</v>
      </c>
      <c r="D50" s="34" t="s">
        <v>3046</v>
      </c>
      <c r="E50" s="11" t="str">
        <f>HYPERLINK("https://youtu.be/L5UBFtkqZFs?t=1632","channel 2")</f>
        <v>channel 2</v>
      </c>
    </row>
    <row r="51">
      <c r="B51" s="34" t="s">
        <v>1795</v>
      </c>
      <c r="C51" s="35" t="s">
        <v>25</v>
      </c>
      <c r="D51" s="32" t="s">
        <v>1921</v>
      </c>
      <c r="E51" s="11" t="s">
        <v>9</v>
      </c>
    </row>
    <row r="52">
      <c r="B52" s="34" t="s">
        <v>3047</v>
      </c>
      <c r="C52" s="35" t="s">
        <v>55</v>
      </c>
      <c r="D52" s="34" t="s">
        <v>2792</v>
      </c>
      <c r="E52" s="11" t="str">
        <f>HYPERLINK("https://youtu.be/L5UBFtkqZFs?t=2522","channel 2")</f>
        <v>channel 2</v>
      </c>
    </row>
    <row r="53">
      <c r="B53" s="34" t="s">
        <v>1795</v>
      </c>
      <c r="C53" s="35" t="s">
        <v>81</v>
      </c>
      <c r="D53" s="34" t="s">
        <v>3046</v>
      </c>
      <c r="E53" s="11" t="s">
        <v>9</v>
      </c>
    </row>
    <row r="54">
      <c r="B54" s="32" t="s">
        <v>1921</v>
      </c>
      <c r="C54" s="35" t="s">
        <v>195</v>
      </c>
      <c r="D54" s="34" t="s">
        <v>2792</v>
      </c>
      <c r="E54" s="11" t="str">
        <f>HYPERLINK("https://youtu.be/L5UBFtkqZFs?t=3395","channel 2")</f>
        <v>channel 2</v>
      </c>
    </row>
    <row r="55">
      <c r="B55" s="34" t="s">
        <v>1795</v>
      </c>
      <c r="C55" s="35" t="s">
        <v>38</v>
      </c>
      <c r="D55" s="34" t="s">
        <v>3047</v>
      </c>
      <c r="E55" s="11" t="s">
        <v>9</v>
      </c>
    </row>
    <row r="56">
      <c r="B56" s="32" t="s">
        <v>1921</v>
      </c>
      <c r="C56" s="35" t="s">
        <v>196</v>
      </c>
      <c r="D56" s="34" t="s">
        <v>3046</v>
      </c>
      <c r="E56" s="11" t="str">
        <f>HYPERLINK("https://youtu.be/L5UBFtkqZFs?t=4316","channel 2")</f>
        <v>channel 2</v>
      </c>
    </row>
    <row r="57">
      <c r="B57" s="34" t="s">
        <v>3046</v>
      </c>
      <c r="C57" s="35" t="s">
        <v>88</v>
      </c>
      <c r="D57" s="34" t="s">
        <v>2792</v>
      </c>
      <c r="E57" s="11" t="s">
        <v>9</v>
      </c>
    </row>
    <row r="58">
      <c r="B58" s="32" t="s">
        <v>1921</v>
      </c>
      <c r="C58" s="35" t="s">
        <v>218</v>
      </c>
      <c r="D58" s="34" t="s">
        <v>3047</v>
      </c>
      <c r="E58" s="11" t="str">
        <f>HYPERLINK("https://youtu.be/L5UBFtkqZFs?t=5246","channel 2")</f>
        <v>channel 2</v>
      </c>
    </row>
    <row r="59">
      <c r="B59" s="34" t="s">
        <v>2792</v>
      </c>
      <c r="C59" s="35" t="s">
        <v>218</v>
      </c>
      <c r="D59" s="34" t="s">
        <v>1795</v>
      </c>
      <c r="E59" s="11" t="s">
        <v>9</v>
      </c>
    </row>
    <row r="60">
      <c r="B60" s="34" t="s">
        <v>3046</v>
      </c>
      <c r="C60" s="35" t="s">
        <v>215</v>
      </c>
      <c r="D60" s="34" t="s">
        <v>3047</v>
      </c>
      <c r="E60" s="11" t="str">
        <f>HYPERLINK("https://youtu.be/L5UBFtkqZFs?t=6137","channel 2")</f>
        <v>channel 2</v>
      </c>
    </row>
    <row r="61">
      <c r="B61" s="32" t="s">
        <v>1921</v>
      </c>
      <c r="C61" s="35" t="s">
        <v>31</v>
      </c>
      <c r="D61" s="34" t="s">
        <v>1795</v>
      </c>
      <c r="E61" s="11" t="s">
        <v>9</v>
      </c>
    </row>
    <row r="62">
      <c r="B62" s="34" t="s">
        <v>2792</v>
      </c>
      <c r="C62" s="35" t="s">
        <v>25</v>
      </c>
      <c r="D62" s="34" t="s">
        <v>3047</v>
      </c>
      <c r="E62" s="11" t="str">
        <f>HYPERLINK("https://youtu.be/L5UBFtkqZFs?t=7016","channel 2")</f>
        <v>channel 2</v>
      </c>
    </row>
    <row r="63">
      <c r="B63" s="34" t="s">
        <v>3046</v>
      </c>
      <c r="C63" s="35" t="s">
        <v>190</v>
      </c>
      <c r="D63" s="34" t="s">
        <v>1795</v>
      </c>
      <c r="E63" s="11" t="s">
        <v>9</v>
      </c>
    </row>
    <row r="64">
      <c r="B64" s="34" t="s">
        <v>2792</v>
      </c>
      <c r="C64" s="35" t="s">
        <v>31</v>
      </c>
      <c r="D64" s="32" t="s">
        <v>1921</v>
      </c>
      <c r="E64" s="11" t="str">
        <f>HYPERLINK("https://youtu.be/L5UBFtkqZFs?t=7914","channel 2")</f>
        <v>channel 2</v>
      </c>
    </row>
    <row r="65">
      <c r="B65" s="34" t="s">
        <v>3047</v>
      </c>
      <c r="C65" s="35" t="s">
        <v>250</v>
      </c>
      <c r="D65" s="34" t="s">
        <v>1795</v>
      </c>
      <c r="E65" s="11" t="s">
        <v>9</v>
      </c>
    </row>
    <row r="66">
      <c r="B66" s="34" t="s">
        <v>3046</v>
      </c>
      <c r="C66" s="35" t="s">
        <v>260</v>
      </c>
      <c r="D66" s="32" t="s">
        <v>1921</v>
      </c>
      <c r="E66" s="11" t="str">
        <f>HYPERLINK("https://youtu.be/L5UBFtkqZFs?t=8778","channel 2")</f>
        <v>channel 2</v>
      </c>
    </row>
    <row r="67">
      <c r="B67" s="72" t="s">
        <v>2231</v>
      </c>
      <c r="C67" s="2"/>
      <c r="D67" s="3"/>
      <c r="E67" s="29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34" t="s">
        <v>105</v>
      </c>
      <c r="C69" s="35" t="s">
        <v>193</v>
      </c>
      <c r="D69" s="34" t="s">
        <v>2232</v>
      </c>
      <c r="E69" s="11" t="s">
        <v>9</v>
      </c>
    </row>
    <row r="70">
      <c r="B70" s="34" t="s">
        <v>2913</v>
      </c>
      <c r="C70" s="35" t="s">
        <v>218</v>
      </c>
      <c r="D70" s="32" t="s">
        <v>3048</v>
      </c>
      <c r="E70" s="11" t="str">
        <f>HYPERLINK("https://youtu.be/uulzwEz7SWY","channel 2")</f>
        <v>channel 2</v>
      </c>
    </row>
    <row r="71">
      <c r="B71" s="34" t="s">
        <v>3049</v>
      </c>
      <c r="C71" s="35" t="s">
        <v>66</v>
      </c>
      <c r="D71" s="34" t="s">
        <v>105</v>
      </c>
      <c r="E71" s="11" t="s">
        <v>9</v>
      </c>
    </row>
    <row r="72">
      <c r="B72" s="34" t="s">
        <v>2913</v>
      </c>
      <c r="C72" s="35" t="s">
        <v>218</v>
      </c>
      <c r="D72" s="34" t="s">
        <v>2232</v>
      </c>
      <c r="E72" s="11" t="str">
        <f>HYPERLINK("https://youtu.be/uulzwEz7SWY?t=871","channel 2")</f>
        <v>channel 2</v>
      </c>
    </row>
    <row r="73">
      <c r="B73" s="34" t="s">
        <v>3049</v>
      </c>
      <c r="C73" s="35" t="s">
        <v>488</v>
      </c>
      <c r="D73" s="32" t="s">
        <v>3048</v>
      </c>
      <c r="E73" s="11" t="s">
        <v>9</v>
      </c>
    </row>
    <row r="74">
      <c r="B74" s="34" t="s">
        <v>2913</v>
      </c>
      <c r="C74" s="35" t="s">
        <v>19</v>
      </c>
      <c r="D74" s="34" t="s">
        <v>105</v>
      </c>
      <c r="E74" s="11" t="str">
        <f>HYPERLINK("https://youtu.be/uulzwEz7SWY?t=1973","channel 2")</f>
        <v>channel 2</v>
      </c>
    </row>
    <row r="75">
      <c r="B75" s="34" t="s">
        <v>3049</v>
      </c>
      <c r="C75" s="35" t="s">
        <v>20</v>
      </c>
      <c r="D75" s="34" t="s">
        <v>2232</v>
      </c>
      <c r="E75" s="11" t="s">
        <v>9</v>
      </c>
    </row>
    <row r="76">
      <c r="B76" s="32" t="s">
        <v>3048</v>
      </c>
      <c r="C76" s="35" t="s">
        <v>566</v>
      </c>
      <c r="D76" s="34" t="s">
        <v>105</v>
      </c>
      <c r="E76" s="11" t="str">
        <f>HYPERLINK("https://youtu.be/uulzwEz7SWY?t=3011","channel 2")</f>
        <v>channel 2</v>
      </c>
    </row>
    <row r="77">
      <c r="B77" s="34" t="s">
        <v>3049</v>
      </c>
      <c r="C77" s="35" t="s">
        <v>1067</v>
      </c>
      <c r="D77" s="34" t="s">
        <v>2913</v>
      </c>
      <c r="E77" s="11" t="s">
        <v>9</v>
      </c>
    </row>
    <row r="78">
      <c r="B78" s="32" t="s">
        <v>3048</v>
      </c>
      <c r="C78" s="35" t="s">
        <v>52</v>
      </c>
      <c r="D78" s="34" t="s">
        <v>2232</v>
      </c>
      <c r="E78" s="11" t="str">
        <f>HYPERLINK("https://youtu.be/uulzwEz7SWY?t=3994","channel 2")</f>
        <v>channel 2</v>
      </c>
    </row>
    <row r="79">
      <c r="B79" s="34" t="s">
        <v>2232</v>
      </c>
      <c r="C79" s="35" t="s">
        <v>25</v>
      </c>
      <c r="D79" s="34" t="s">
        <v>105</v>
      </c>
      <c r="E79" s="11" t="s">
        <v>9</v>
      </c>
    </row>
    <row r="80">
      <c r="B80" s="32" t="s">
        <v>3048</v>
      </c>
      <c r="C80" s="35" t="s">
        <v>88</v>
      </c>
      <c r="D80" s="34" t="s">
        <v>2913</v>
      </c>
      <c r="E80" s="11" t="str">
        <f>HYPERLINK("https://youtu.be/uulzwEz7SWY?t=4882","channel 2")</f>
        <v>channel 2</v>
      </c>
    </row>
    <row r="81">
      <c r="B81" s="34" t="s">
        <v>105</v>
      </c>
      <c r="C81" s="35" t="s">
        <v>67</v>
      </c>
      <c r="D81" s="34" t="s">
        <v>3049</v>
      </c>
      <c r="E81" s="11" t="s">
        <v>9</v>
      </c>
    </row>
    <row r="82">
      <c r="B82" s="34" t="s">
        <v>2232</v>
      </c>
      <c r="C82" s="35" t="s">
        <v>218</v>
      </c>
      <c r="D82" s="34" t="s">
        <v>2913</v>
      </c>
      <c r="E82" s="11" t="str">
        <f>HYPERLINK("https://youtu.be/uulzwEz7SWY?t=5770","channel 2")</f>
        <v>channel 2</v>
      </c>
    </row>
    <row r="83">
      <c r="B83" s="32" t="s">
        <v>3048</v>
      </c>
      <c r="C83" s="35" t="s">
        <v>66</v>
      </c>
      <c r="D83" s="34" t="s">
        <v>3049</v>
      </c>
      <c r="E83" s="11" t="s">
        <v>9</v>
      </c>
    </row>
    <row r="84">
      <c r="B84" s="34" t="s">
        <v>105</v>
      </c>
      <c r="C84" s="35" t="s">
        <v>48</v>
      </c>
      <c r="D84" s="34" t="s">
        <v>2913</v>
      </c>
      <c r="E84" s="11" t="str">
        <f>HYPERLINK("https://youtu.be/uulzwEz7SWY?t=6705","channel 2")</f>
        <v>channel 2</v>
      </c>
    </row>
    <row r="85">
      <c r="B85" s="34" t="s">
        <v>2232</v>
      </c>
      <c r="C85" s="35" t="s">
        <v>25</v>
      </c>
      <c r="D85" s="34" t="s">
        <v>3049</v>
      </c>
      <c r="E85" s="11" t="s">
        <v>9</v>
      </c>
    </row>
    <row r="86">
      <c r="B86" s="34" t="s">
        <v>105</v>
      </c>
      <c r="C86" s="35" t="s">
        <v>201</v>
      </c>
      <c r="D86" s="32" t="s">
        <v>3048</v>
      </c>
      <c r="E86" s="11" t="str">
        <f>HYPERLINK("https://youtu.be/uulzwEz7SWY?t=7640","channel 2")</f>
        <v>channel 2</v>
      </c>
    </row>
    <row r="87">
      <c r="B87" s="34" t="s">
        <v>2913</v>
      </c>
      <c r="C87" s="35" t="s">
        <v>286</v>
      </c>
      <c r="D87" s="34" t="s">
        <v>3049</v>
      </c>
      <c r="E87" s="11" t="s">
        <v>9</v>
      </c>
    </row>
    <row r="88">
      <c r="B88" s="34" t="s">
        <v>2232</v>
      </c>
      <c r="C88" s="35" t="s">
        <v>58</v>
      </c>
      <c r="D88" s="32" t="s">
        <v>3048</v>
      </c>
      <c r="E88" s="11" t="str">
        <f>HYPERLINK("https://youtu.be/uulzwEz7SWY?t=8599","channel 2")</f>
        <v>channel 2</v>
      </c>
    </row>
    <row r="89">
      <c r="B89" s="72" t="s">
        <v>3050</v>
      </c>
      <c r="C89" s="2"/>
      <c r="D89" s="3"/>
      <c r="E89" s="84"/>
    </row>
    <row r="90">
      <c r="B90" s="85" t="s">
        <v>2</v>
      </c>
      <c r="C90" s="86" t="s">
        <v>3</v>
      </c>
      <c r="D90" s="86" t="s">
        <v>4</v>
      </c>
      <c r="E90" s="86" t="s">
        <v>5</v>
      </c>
    </row>
    <row r="91">
      <c r="B91" s="87" t="s">
        <v>739</v>
      </c>
      <c r="C91" s="88" t="s">
        <v>240</v>
      </c>
      <c r="D91" s="89" t="s">
        <v>1966</v>
      </c>
      <c r="E91" s="80" t="str">
        <f>HYPERLINK("https://youtu.be/i7lh5DUQnIk","channel 3")</f>
        <v>channel 3</v>
      </c>
    </row>
    <row r="92">
      <c r="B92" s="87" t="s">
        <v>3051</v>
      </c>
      <c r="C92" s="88" t="s">
        <v>293</v>
      </c>
      <c r="D92" s="89" t="s">
        <v>1499</v>
      </c>
      <c r="E92" s="80" t="str">
        <f>HYPERLINK("https://youtu.be/3limlZppBxM","channel 4")</f>
        <v>channel 4</v>
      </c>
    </row>
    <row r="93">
      <c r="B93" s="87" t="s">
        <v>1629</v>
      </c>
      <c r="C93" s="88" t="s">
        <v>190</v>
      </c>
      <c r="D93" s="89" t="s">
        <v>739</v>
      </c>
      <c r="E93" s="80" t="s">
        <v>33</v>
      </c>
    </row>
    <row r="94">
      <c r="B94" s="87" t="s">
        <v>3051</v>
      </c>
      <c r="C94" s="88" t="s">
        <v>239</v>
      </c>
      <c r="D94" s="89" t="s">
        <v>1966</v>
      </c>
      <c r="E94" s="80" t="str">
        <f>HYPERLINK("https://youtu.be/3limlZppBxM?t=838","channel 4")</f>
        <v>channel 4</v>
      </c>
    </row>
    <row r="95">
      <c r="B95" s="87" t="s">
        <v>1629</v>
      </c>
      <c r="C95" s="88" t="s">
        <v>22</v>
      </c>
      <c r="D95" s="89" t="s">
        <v>1499</v>
      </c>
      <c r="E95" s="80" t="s">
        <v>33</v>
      </c>
    </row>
    <row r="96">
      <c r="B96" s="87" t="s">
        <v>3051</v>
      </c>
      <c r="C96" s="88" t="s">
        <v>83</v>
      </c>
      <c r="D96" s="89" t="s">
        <v>739</v>
      </c>
      <c r="E96" s="80" t="str">
        <f>HYPERLINK("https://youtu.be/3limlZppBxM?t=1834","channel 4")</f>
        <v>channel 4</v>
      </c>
      <c r="G96" s="95"/>
    </row>
    <row r="97">
      <c r="B97" s="87" t="s">
        <v>1629</v>
      </c>
      <c r="C97" s="88" t="s">
        <v>16</v>
      </c>
      <c r="D97" s="89" t="s">
        <v>1966</v>
      </c>
      <c r="E97" s="80" t="s">
        <v>33</v>
      </c>
    </row>
    <row r="98">
      <c r="B98" s="87" t="s">
        <v>1499</v>
      </c>
      <c r="C98" s="88" t="s">
        <v>3052</v>
      </c>
      <c r="D98" s="89" t="s">
        <v>739</v>
      </c>
      <c r="E98" s="80" t="str">
        <f>HYPERLINK("https://youtu.be/3limlZppBxM?t=2710","channel 4")</f>
        <v>channel 4</v>
      </c>
    </row>
    <row r="99">
      <c r="B99" s="87" t="s">
        <v>1629</v>
      </c>
      <c r="C99" s="88" t="s">
        <v>250</v>
      </c>
      <c r="D99" s="89" t="s">
        <v>3051</v>
      </c>
      <c r="E99" s="80" t="s">
        <v>33</v>
      </c>
    </row>
    <row r="100">
      <c r="B100" s="87" t="s">
        <v>1499</v>
      </c>
      <c r="C100" s="88" t="s">
        <v>81</v>
      </c>
      <c r="D100" s="89" t="s">
        <v>1966</v>
      </c>
      <c r="E100" s="80" t="str">
        <f>HYPERLINK("https://youtu.be/3limlZppBxM?t=3538","channel 4")</f>
        <v>channel 4</v>
      </c>
    </row>
    <row r="101">
      <c r="B101" s="87" t="s">
        <v>1966</v>
      </c>
      <c r="C101" s="88" t="s">
        <v>78</v>
      </c>
      <c r="D101" s="89" t="s">
        <v>739</v>
      </c>
      <c r="E101" s="80" t="s">
        <v>33</v>
      </c>
    </row>
    <row r="102">
      <c r="B102" s="87" t="s">
        <v>1499</v>
      </c>
      <c r="C102" s="88" t="s">
        <v>194</v>
      </c>
      <c r="D102" s="89" t="s">
        <v>3051</v>
      </c>
      <c r="E102" s="80" t="str">
        <f>HYPERLINK("https://youtu.be/3limlZppBxM?t=4525","channel 4")</f>
        <v>channel 4</v>
      </c>
    </row>
    <row r="103">
      <c r="B103" s="87" t="s">
        <v>739</v>
      </c>
      <c r="C103" s="88" t="s">
        <v>472</v>
      </c>
      <c r="D103" s="87" t="s">
        <v>1629</v>
      </c>
      <c r="E103" s="80" t="s">
        <v>33</v>
      </c>
    </row>
    <row r="104">
      <c r="B104" s="87" t="s">
        <v>1966</v>
      </c>
      <c r="C104" s="88" t="s">
        <v>3053</v>
      </c>
      <c r="D104" s="89" t="s">
        <v>3051</v>
      </c>
      <c r="E104" s="80" t="str">
        <f>HYPERLINK("https://youtu.be/3limlZppBxM?t=5440","channel 4")</f>
        <v>channel 4</v>
      </c>
    </row>
    <row r="105">
      <c r="B105" s="87" t="s">
        <v>1499</v>
      </c>
      <c r="C105" s="88" t="s">
        <v>88</v>
      </c>
      <c r="D105" s="87" t="s">
        <v>1629</v>
      </c>
      <c r="E105" s="80" t="s">
        <v>33</v>
      </c>
    </row>
    <row r="106">
      <c r="B106" s="87" t="s">
        <v>739</v>
      </c>
      <c r="C106" s="88" t="s">
        <v>3054</v>
      </c>
      <c r="D106" s="89" t="s">
        <v>3051</v>
      </c>
      <c r="E106" s="80" t="str">
        <f>HYPERLINK("https://youtu.be/3limlZppBxM?t=6277","channel 4")</f>
        <v>channel 4</v>
      </c>
    </row>
    <row r="107">
      <c r="B107" s="87" t="s">
        <v>1966</v>
      </c>
      <c r="C107" s="88" t="s">
        <v>20</v>
      </c>
      <c r="D107" s="87" t="s">
        <v>1629</v>
      </c>
      <c r="E107" s="80" t="s">
        <v>33</v>
      </c>
    </row>
    <row r="108">
      <c r="B108" s="87" t="s">
        <v>739</v>
      </c>
      <c r="C108" s="88" t="s">
        <v>294</v>
      </c>
      <c r="D108" s="89" t="s">
        <v>1499</v>
      </c>
      <c r="E108" s="80" t="str">
        <f>HYPERLINK("https://youtu.be/3limlZppBxM?t=7156","channel 4")</f>
        <v>channel 4</v>
      </c>
    </row>
    <row r="109">
      <c r="B109" s="87" t="s">
        <v>3051</v>
      </c>
      <c r="C109" s="88" t="s">
        <v>88</v>
      </c>
      <c r="D109" s="87" t="s">
        <v>1629</v>
      </c>
      <c r="E109" s="80" t="s">
        <v>33</v>
      </c>
    </row>
    <row r="110">
      <c r="B110" s="87" t="s">
        <v>1966</v>
      </c>
      <c r="C110" s="88" t="s">
        <v>41</v>
      </c>
      <c r="D110" s="89" t="s">
        <v>1499</v>
      </c>
      <c r="E110" s="80" t="str">
        <f>HYPERLINK("https://youtu.be/3limlZppBxM?t=8044","channel 4")</f>
        <v>channel 4</v>
      </c>
    </row>
    <row r="111">
      <c r="B111" s="72" t="s">
        <v>3055</v>
      </c>
      <c r="C111" s="2"/>
      <c r="D111" s="3"/>
      <c r="E111" s="84"/>
    </row>
    <row r="112">
      <c r="B112" s="16" t="s">
        <v>2</v>
      </c>
      <c r="C112" s="16" t="s">
        <v>3</v>
      </c>
      <c r="D112" s="16" t="s">
        <v>4</v>
      </c>
      <c r="E112" s="86" t="s">
        <v>5</v>
      </c>
    </row>
    <row r="113">
      <c r="B113" s="32" t="s">
        <v>2892</v>
      </c>
      <c r="C113" s="35" t="s">
        <v>25</v>
      </c>
      <c r="D113" s="32" t="s">
        <v>2016</v>
      </c>
      <c r="E113" s="80" t="str">
        <f>HYPERLINK("https://youtu.be/td_vH4MnoQU","channel 3")</f>
        <v>channel 3</v>
      </c>
    </row>
    <row r="114">
      <c r="B114" s="32" t="s">
        <v>3056</v>
      </c>
      <c r="C114" s="35" t="s">
        <v>886</v>
      </c>
      <c r="D114" s="32" t="s">
        <v>2017</v>
      </c>
      <c r="E114" s="80" t="str">
        <f>HYPERLINK("https://youtu.be/8fuOh_H63so","channel 4")</f>
        <v>channel 4</v>
      </c>
    </row>
    <row r="115">
      <c r="B115" s="32" t="s">
        <v>3030</v>
      </c>
      <c r="C115" s="35" t="s">
        <v>328</v>
      </c>
      <c r="D115" s="32" t="s">
        <v>2892</v>
      </c>
      <c r="E115" s="80" t="s">
        <v>33</v>
      </c>
    </row>
    <row r="116">
      <c r="B116" s="32" t="s">
        <v>3056</v>
      </c>
      <c r="C116" s="35" t="s">
        <v>404</v>
      </c>
      <c r="D116" s="32" t="s">
        <v>2016</v>
      </c>
      <c r="E116" s="80" t="str">
        <f>HYPERLINK("https://youtu.be/8fuOh_H63so?t=987","channel 4")</f>
        <v>channel 4</v>
      </c>
      <c r="K116" s="36" t="s">
        <v>242</v>
      </c>
    </row>
    <row r="117">
      <c r="B117" s="32" t="s">
        <v>3030</v>
      </c>
      <c r="C117" s="35" t="s">
        <v>260</v>
      </c>
      <c r="D117" s="32" t="s">
        <v>2017</v>
      </c>
      <c r="E117" s="80" t="s">
        <v>33</v>
      </c>
    </row>
    <row r="118">
      <c r="B118" s="32" t="s">
        <v>3056</v>
      </c>
      <c r="C118" s="35" t="s">
        <v>194</v>
      </c>
      <c r="D118" s="32" t="s">
        <v>2892</v>
      </c>
      <c r="E118" s="80" t="str">
        <f>HYPERLINK("https://youtu.be/8fuOh_H63so?t=1981","channel 4")</f>
        <v>channel 4</v>
      </c>
    </row>
    <row r="119">
      <c r="B119" s="32" t="s">
        <v>3030</v>
      </c>
      <c r="C119" s="35" t="s">
        <v>239</v>
      </c>
      <c r="D119" s="32" t="s">
        <v>2016</v>
      </c>
      <c r="E119" s="80" t="s">
        <v>33</v>
      </c>
    </row>
    <row r="120">
      <c r="B120" s="32" t="s">
        <v>2017</v>
      </c>
      <c r="C120" s="35" t="s">
        <v>78</v>
      </c>
      <c r="D120" s="32" t="s">
        <v>2892</v>
      </c>
      <c r="E120" s="80" t="str">
        <f>HYPERLINK("https://youtu.be/8fuOh_H63so?t=2974","channel 4")</f>
        <v>channel 4</v>
      </c>
    </row>
    <row r="121">
      <c r="B121" s="32" t="s">
        <v>3030</v>
      </c>
      <c r="C121" s="35" t="s">
        <v>1728</v>
      </c>
      <c r="D121" s="32" t="s">
        <v>3056</v>
      </c>
      <c r="E121" s="80" t="s">
        <v>33</v>
      </c>
    </row>
    <row r="122">
      <c r="B122" s="32" t="s">
        <v>2017</v>
      </c>
      <c r="C122" s="35" t="s">
        <v>16</v>
      </c>
      <c r="D122" s="32" t="s">
        <v>2016</v>
      </c>
      <c r="E122" s="80" t="str">
        <f>HYPERLINK("https://youtu.be/8fuOh_H63so?t=3957","channel 4")</f>
        <v>channel 4</v>
      </c>
    </row>
    <row r="123">
      <c r="B123" s="32" t="s">
        <v>2016</v>
      </c>
      <c r="C123" s="35" t="s">
        <v>19</v>
      </c>
      <c r="D123" s="32" t="s">
        <v>2892</v>
      </c>
      <c r="E123" s="80" t="s">
        <v>33</v>
      </c>
    </row>
    <row r="124">
      <c r="B124" s="32" t="s">
        <v>2017</v>
      </c>
      <c r="C124" s="35" t="s">
        <v>363</v>
      </c>
      <c r="D124" s="32" t="s">
        <v>3056</v>
      </c>
      <c r="E124" s="80" t="str">
        <f>HYPERLINK("https://youtu.be/8fuOh_H63so?t=4960","channel 4")</f>
        <v>channel 4</v>
      </c>
    </row>
    <row r="125">
      <c r="B125" s="32" t="s">
        <v>2892</v>
      </c>
      <c r="C125" s="35" t="s">
        <v>1129</v>
      </c>
      <c r="D125" s="32" t="s">
        <v>3030</v>
      </c>
      <c r="E125" s="80" t="s">
        <v>33</v>
      </c>
    </row>
    <row r="126">
      <c r="B126" s="32" t="s">
        <v>2016</v>
      </c>
      <c r="C126" s="35" t="s">
        <v>20</v>
      </c>
      <c r="D126" s="32" t="s">
        <v>3056</v>
      </c>
      <c r="E126" s="80" t="str">
        <f>HYPERLINK("https://youtu.be/8fuOh_H63so?t=5902","channel 4")</f>
        <v>channel 4</v>
      </c>
    </row>
    <row r="127">
      <c r="B127" s="32" t="s">
        <v>2017</v>
      </c>
      <c r="C127" s="35" t="s">
        <v>684</v>
      </c>
      <c r="D127" s="32" t="s">
        <v>3030</v>
      </c>
      <c r="E127" s="80" t="s">
        <v>33</v>
      </c>
    </row>
    <row r="128">
      <c r="B128" s="32" t="s">
        <v>2892</v>
      </c>
      <c r="C128" s="35" t="s">
        <v>285</v>
      </c>
      <c r="D128" s="32" t="s">
        <v>3056</v>
      </c>
      <c r="E128" s="80" t="str">
        <f>HYPERLINK("https://youtu.be/8fuOh_H63so?t=6829","channel 4")</f>
        <v>channel 4</v>
      </c>
    </row>
    <row r="129">
      <c r="B129" s="32" t="s">
        <v>2016</v>
      </c>
      <c r="C129" s="35" t="s">
        <v>62</v>
      </c>
      <c r="D129" s="32" t="s">
        <v>3030</v>
      </c>
      <c r="E129" s="80" t="s">
        <v>33</v>
      </c>
    </row>
    <row r="130">
      <c r="B130" s="32" t="s">
        <v>2892</v>
      </c>
      <c r="C130" s="35" t="s">
        <v>195</v>
      </c>
      <c r="D130" s="32" t="s">
        <v>2017</v>
      </c>
      <c r="E130" s="80" t="str">
        <f>HYPERLINK("https://youtu.be/8fuOh_H63so?t=7797","channel 4")</f>
        <v>channel 4</v>
      </c>
      <c r="G130" s="36" t="s">
        <v>242</v>
      </c>
    </row>
    <row r="131">
      <c r="B131" s="32" t="s">
        <v>3056</v>
      </c>
      <c r="C131" s="35" t="s">
        <v>251</v>
      </c>
      <c r="D131" s="32" t="s">
        <v>3030</v>
      </c>
      <c r="E131" s="80" t="s">
        <v>33</v>
      </c>
    </row>
    <row r="132">
      <c r="B132" s="32" t="s">
        <v>2016</v>
      </c>
      <c r="C132" s="35" t="s">
        <v>950</v>
      </c>
      <c r="D132" s="32" t="s">
        <v>2017</v>
      </c>
      <c r="E132" s="80" t="str">
        <f>HYPERLINK("https://youtu.be/8fuOh_H63so?t=8729","channel 4")</f>
        <v>channel 4</v>
      </c>
    </row>
    <row r="133">
      <c r="B133" s="72" t="s">
        <v>2041</v>
      </c>
      <c r="C133" s="2"/>
      <c r="D133" s="3"/>
      <c r="E133" s="2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34" t="s">
        <v>2763</v>
      </c>
      <c r="C135" s="35" t="s">
        <v>64</v>
      </c>
      <c r="D135" s="34" t="s">
        <v>3057</v>
      </c>
      <c r="E135" s="11" t="s">
        <v>9</v>
      </c>
    </row>
    <row r="136">
      <c r="B136" s="34" t="s">
        <v>2915</v>
      </c>
      <c r="C136" s="35" t="s">
        <v>16</v>
      </c>
      <c r="D136" s="32" t="s">
        <v>1386</v>
      </c>
      <c r="E136" s="11" t="str">
        <f>HYPERLINK("https://youtu.be/4HY0bODMdhc","channel 2")</f>
        <v>channel 2</v>
      </c>
    </row>
    <row r="137">
      <c r="B137" s="34" t="s">
        <v>818</v>
      </c>
      <c r="C137" s="35" t="s">
        <v>22</v>
      </c>
      <c r="D137" s="34" t="s">
        <v>2763</v>
      </c>
      <c r="E137" s="11" t="s">
        <v>9</v>
      </c>
    </row>
    <row r="138">
      <c r="B138" s="34" t="s">
        <v>2915</v>
      </c>
      <c r="C138" s="35" t="s">
        <v>72</v>
      </c>
      <c r="D138" s="34" t="s">
        <v>3057</v>
      </c>
      <c r="E138" s="11" t="str">
        <f>HYPERLINK("https://youtu.be/4HY0bODMdhc?t=793","channel 2")</f>
        <v>channel 2</v>
      </c>
    </row>
    <row r="139">
      <c r="B139" s="34" t="s">
        <v>818</v>
      </c>
      <c r="C139" s="35" t="s">
        <v>197</v>
      </c>
      <c r="D139" s="32" t="s">
        <v>1386</v>
      </c>
      <c r="E139" s="11" t="s">
        <v>9</v>
      </c>
    </row>
    <row r="140">
      <c r="B140" s="34" t="s">
        <v>2915</v>
      </c>
      <c r="C140" s="35" t="s">
        <v>251</v>
      </c>
      <c r="D140" s="34" t="s">
        <v>2763</v>
      </c>
      <c r="E140" s="11" t="str">
        <f>HYPERLINK("https://youtu.be/4HY0bODMdhc?t=1797","channel 2")</f>
        <v>channel 2</v>
      </c>
    </row>
    <row r="141">
      <c r="B141" s="34" t="s">
        <v>818</v>
      </c>
      <c r="C141" s="35" t="s">
        <v>684</v>
      </c>
      <c r="D141" s="34" t="s">
        <v>3057</v>
      </c>
      <c r="E141" s="11" t="s">
        <v>9</v>
      </c>
    </row>
    <row r="142">
      <c r="B142" s="32" t="s">
        <v>1386</v>
      </c>
      <c r="C142" s="35" t="s">
        <v>17</v>
      </c>
      <c r="D142" s="34" t="s">
        <v>2763</v>
      </c>
      <c r="E142" s="11" t="str">
        <f>HYPERLINK("https://youtu.be/4HY0bODMdhc?t=2669","channel 2")</f>
        <v>channel 2</v>
      </c>
    </row>
    <row r="143">
      <c r="B143" s="34" t="s">
        <v>818</v>
      </c>
      <c r="C143" s="35" t="s">
        <v>35</v>
      </c>
      <c r="D143" s="34" t="s">
        <v>2915</v>
      </c>
      <c r="E143" s="11" t="s">
        <v>9</v>
      </c>
    </row>
    <row r="144">
      <c r="B144" s="32" t="s">
        <v>1386</v>
      </c>
      <c r="C144" s="35" t="s">
        <v>21</v>
      </c>
      <c r="D144" s="34" t="s">
        <v>3057</v>
      </c>
      <c r="E144" s="11" t="str">
        <f>HYPERLINK("https://youtu.be/4HY0bODMdhc?t=3548","channel 2")</f>
        <v>channel 2</v>
      </c>
    </row>
    <row r="145">
      <c r="B145" s="34" t="s">
        <v>3057</v>
      </c>
      <c r="C145" s="35" t="s">
        <v>195</v>
      </c>
      <c r="D145" s="34" t="s">
        <v>2763</v>
      </c>
      <c r="E145" s="11" t="s">
        <v>9</v>
      </c>
    </row>
    <row r="146">
      <c r="B146" s="32" t="s">
        <v>1386</v>
      </c>
      <c r="C146" s="35" t="s">
        <v>11</v>
      </c>
      <c r="D146" s="34" t="s">
        <v>2915</v>
      </c>
      <c r="E146" s="11" t="str">
        <f>HYPERLINK("https://youtu.be/4HY0bODMdhc?t=4560","channel 2")</f>
        <v>channel 2</v>
      </c>
    </row>
    <row r="147">
      <c r="B147" s="34" t="s">
        <v>2763</v>
      </c>
      <c r="C147" s="35" t="s">
        <v>282</v>
      </c>
      <c r="D147" s="34" t="s">
        <v>818</v>
      </c>
      <c r="E147" s="11" t="s">
        <v>9</v>
      </c>
    </row>
    <row r="148">
      <c r="B148" s="34" t="s">
        <v>3057</v>
      </c>
      <c r="C148" s="35" t="s">
        <v>297</v>
      </c>
      <c r="D148" s="34" t="s">
        <v>2915</v>
      </c>
      <c r="E148" s="11" t="str">
        <f>HYPERLINK("https://youtu.be/4HY0bODMdhc?t=5587","channel 2")</f>
        <v>channel 2</v>
      </c>
    </row>
    <row r="149">
      <c r="B149" s="32" t="s">
        <v>1386</v>
      </c>
      <c r="C149" s="35" t="s">
        <v>380</v>
      </c>
      <c r="D149" s="34" t="s">
        <v>818</v>
      </c>
      <c r="E149" s="11" t="s">
        <v>9</v>
      </c>
    </row>
    <row r="150">
      <c r="B150" s="34" t="s">
        <v>2763</v>
      </c>
      <c r="C150" s="35" t="s">
        <v>18</v>
      </c>
      <c r="D150" s="34" t="s">
        <v>2915</v>
      </c>
      <c r="E150" s="11" t="str">
        <f>HYPERLINK("https://youtu.be/4HY0bODMdhc?t=6498","channel 2")</f>
        <v>channel 2</v>
      </c>
    </row>
    <row r="151">
      <c r="B151" s="34" t="s">
        <v>3057</v>
      </c>
      <c r="C151" s="35" t="s">
        <v>328</v>
      </c>
      <c r="D151" s="34" t="s">
        <v>818</v>
      </c>
      <c r="E151" s="11" t="s">
        <v>9</v>
      </c>
    </row>
    <row r="152">
      <c r="B152" s="34" t="s">
        <v>2763</v>
      </c>
      <c r="C152" s="35" t="s">
        <v>78</v>
      </c>
      <c r="D152" s="32" t="s">
        <v>1386</v>
      </c>
      <c r="E152" s="11" t="str">
        <f>HYPERLINK("https://youtu.be/4HY0bODMdhc?t=7501","channel 2")</f>
        <v>channel 2</v>
      </c>
    </row>
    <row r="153">
      <c r="B153" s="34" t="s">
        <v>2915</v>
      </c>
      <c r="C153" s="35" t="s">
        <v>49</v>
      </c>
      <c r="D153" s="34" t="s">
        <v>818</v>
      </c>
      <c r="E153" s="11" t="s">
        <v>9</v>
      </c>
    </row>
    <row r="154">
      <c r="B154" s="34" t="s">
        <v>3057</v>
      </c>
      <c r="C154" s="35" t="s">
        <v>378</v>
      </c>
      <c r="D154" s="32" t="s">
        <v>1386</v>
      </c>
      <c r="E154" s="11" t="str">
        <f>HYPERLINK("https://youtu.be/4HY0bODMdhc?t=8412","channel 2")</f>
        <v>channel 2</v>
      </c>
    </row>
    <row r="155">
      <c r="B155" s="72" t="s">
        <v>2923</v>
      </c>
      <c r="C155" s="2"/>
      <c r="D155" s="3"/>
      <c r="E155" s="2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34" t="s">
        <v>451</v>
      </c>
      <c r="C157" s="35" t="s">
        <v>201</v>
      </c>
      <c r="D157" s="34" t="s">
        <v>3058</v>
      </c>
      <c r="E157" s="11" t="s">
        <v>9</v>
      </c>
    </row>
    <row r="158">
      <c r="B158" s="34" t="s">
        <v>3059</v>
      </c>
      <c r="C158" s="35" t="s">
        <v>376</v>
      </c>
      <c r="D158" s="32" t="s">
        <v>685</v>
      </c>
      <c r="E158" s="11" t="str">
        <f>HYPERLINK("https://youtu.be/yh8HCCBjVfA","channel 2")</f>
        <v>channel 2</v>
      </c>
    </row>
    <row r="159">
      <c r="B159" s="34" t="s">
        <v>1673</v>
      </c>
      <c r="C159" s="35" t="s">
        <v>286</v>
      </c>
      <c r="D159" s="34" t="s">
        <v>451</v>
      </c>
      <c r="E159" s="11" t="s">
        <v>9</v>
      </c>
    </row>
    <row r="160">
      <c r="B160" s="34" t="s">
        <v>3059</v>
      </c>
      <c r="C160" s="35" t="s">
        <v>270</v>
      </c>
      <c r="D160" s="34" t="s">
        <v>3058</v>
      </c>
      <c r="E160" s="11" t="str">
        <f>HYPERLINK("https://youtu.be/yh8HCCBjVfA?t=864","channel 2")</f>
        <v>channel 2</v>
      </c>
    </row>
    <row r="161">
      <c r="B161" s="34" t="s">
        <v>1673</v>
      </c>
      <c r="C161" s="35" t="s">
        <v>55</v>
      </c>
      <c r="D161" s="32" t="s">
        <v>685</v>
      </c>
      <c r="E161" s="11" t="s">
        <v>9</v>
      </c>
    </row>
    <row r="162">
      <c r="B162" s="34" t="s">
        <v>3059</v>
      </c>
      <c r="C162" s="35" t="s">
        <v>193</v>
      </c>
      <c r="D162" s="34" t="s">
        <v>451</v>
      </c>
      <c r="E162" s="11" t="str">
        <f>HYPERLINK("https://youtu.be/yh8HCCBjVfA?t=1854","channel 2")</f>
        <v>channel 2</v>
      </c>
    </row>
    <row r="163">
      <c r="B163" s="34" t="s">
        <v>1673</v>
      </c>
      <c r="C163" s="35" t="s">
        <v>27</v>
      </c>
      <c r="D163" s="34" t="s">
        <v>3058</v>
      </c>
      <c r="E163" s="11" t="s">
        <v>9</v>
      </c>
    </row>
    <row r="164">
      <c r="B164" s="32" t="s">
        <v>685</v>
      </c>
      <c r="C164" s="35" t="s">
        <v>35</v>
      </c>
      <c r="D164" s="34" t="s">
        <v>451</v>
      </c>
      <c r="E164" s="11" t="str">
        <f>HYPERLINK("https://youtu.be/yh8HCCBjVfA?t=2824","channel 2")</f>
        <v>channel 2</v>
      </c>
    </row>
    <row r="165">
      <c r="B165" s="34" t="s">
        <v>1673</v>
      </c>
      <c r="C165" s="35" t="s">
        <v>1129</v>
      </c>
      <c r="D165" s="34" t="s">
        <v>3059</v>
      </c>
      <c r="E165" s="11" t="s">
        <v>9</v>
      </c>
    </row>
    <row r="166">
      <c r="B166" s="32" t="s">
        <v>685</v>
      </c>
      <c r="C166" s="35" t="s">
        <v>196</v>
      </c>
      <c r="D166" s="34" t="s">
        <v>3058</v>
      </c>
      <c r="E166" s="11" t="str">
        <f>HYPERLINK("https://youtu.be/yh8HCCBjVfA?t=3644","channel 2")</f>
        <v>channel 2</v>
      </c>
    </row>
    <row r="167">
      <c r="B167" s="34" t="s">
        <v>3058</v>
      </c>
      <c r="C167" s="35" t="s">
        <v>201</v>
      </c>
      <c r="D167" s="34" t="s">
        <v>451</v>
      </c>
      <c r="E167" s="11" t="s">
        <v>9</v>
      </c>
    </row>
    <row r="168">
      <c r="B168" s="32" t="s">
        <v>685</v>
      </c>
      <c r="C168" s="35" t="s">
        <v>428</v>
      </c>
      <c r="D168" s="34" t="s">
        <v>3059</v>
      </c>
      <c r="E168" s="11" t="str">
        <f>HYPERLINK("https://youtu.be/yh8HCCBjVfA?t=4578","channel 2")</f>
        <v>channel 2</v>
      </c>
    </row>
    <row r="169">
      <c r="B169" s="34" t="s">
        <v>451</v>
      </c>
      <c r="C169" s="35" t="s">
        <v>87</v>
      </c>
      <c r="D169" s="34" t="s">
        <v>1673</v>
      </c>
      <c r="E169" s="11" t="s">
        <v>9</v>
      </c>
    </row>
    <row r="170">
      <c r="B170" s="34" t="s">
        <v>3058</v>
      </c>
      <c r="C170" s="35" t="s">
        <v>194</v>
      </c>
      <c r="D170" s="34" t="s">
        <v>3059</v>
      </c>
      <c r="E170" s="11" t="str">
        <f>HYPERLINK("https://youtu.be/yh8HCCBjVfA?t=5467","channel 2")</f>
        <v>channel 2</v>
      </c>
    </row>
    <row r="171">
      <c r="B171" s="32" t="s">
        <v>685</v>
      </c>
      <c r="C171" s="35" t="s">
        <v>62</v>
      </c>
      <c r="D171" s="34" t="s">
        <v>1673</v>
      </c>
      <c r="E171" s="11" t="s">
        <v>9</v>
      </c>
    </row>
    <row r="172">
      <c r="B172" s="34" t="s">
        <v>451</v>
      </c>
      <c r="C172" s="35" t="s">
        <v>293</v>
      </c>
      <c r="D172" s="34" t="s">
        <v>3059</v>
      </c>
      <c r="E172" s="11" t="str">
        <f>HYPERLINK("https://youtu.be/yh8HCCBjVfA?t=6428","channel 2")</f>
        <v>channel 2</v>
      </c>
    </row>
    <row r="173">
      <c r="B173" s="34" t="s">
        <v>3058</v>
      </c>
      <c r="C173" s="35" t="s">
        <v>22</v>
      </c>
      <c r="D173" s="34" t="s">
        <v>1673</v>
      </c>
      <c r="E173" s="11" t="s">
        <v>9</v>
      </c>
    </row>
    <row r="174">
      <c r="B174" s="34" t="s">
        <v>451</v>
      </c>
      <c r="C174" s="35" t="s">
        <v>488</v>
      </c>
      <c r="D174" s="32" t="s">
        <v>685</v>
      </c>
      <c r="E174" s="11" t="str">
        <f>HYPERLINK("https://youtu.be/yh8HCCBjVfA?t=7450","channel 2")</f>
        <v>channel 2</v>
      </c>
    </row>
    <row r="175">
      <c r="B175" s="34" t="s">
        <v>3059</v>
      </c>
      <c r="C175" s="35" t="s">
        <v>400</v>
      </c>
      <c r="D175" s="34" t="s">
        <v>1673</v>
      </c>
      <c r="E175" s="11" t="s">
        <v>9</v>
      </c>
    </row>
    <row r="176">
      <c r="B176" s="34" t="s">
        <v>3058</v>
      </c>
      <c r="C176" s="35" t="s">
        <v>20</v>
      </c>
      <c r="D176" s="32" t="s">
        <v>685</v>
      </c>
      <c r="E176" s="11" t="str">
        <f>HYPERLINK("https://youtu.be/yh8HCCBjVfA?t=8380","channel 2")</f>
        <v>channel 2</v>
      </c>
    </row>
    <row r="177">
      <c r="B177" s="72" t="s">
        <v>3025</v>
      </c>
      <c r="C177" s="2"/>
      <c r="D177" s="3"/>
      <c r="E177" s="84"/>
    </row>
    <row r="178">
      <c r="B178" s="85" t="s">
        <v>2</v>
      </c>
      <c r="C178" s="86" t="s">
        <v>3</v>
      </c>
      <c r="D178" s="86" t="s">
        <v>4</v>
      </c>
      <c r="E178" s="86" t="s">
        <v>5</v>
      </c>
    </row>
    <row r="179">
      <c r="B179" s="87" t="s">
        <v>3060</v>
      </c>
      <c r="C179" s="88" t="s">
        <v>400</v>
      </c>
      <c r="D179" s="89" t="s">
        <v>881</v>
      </c>
      <c r="E179" s="80" t="s">
        <v>33</v>
      </c>
    </row>
    <row r="180">
      <c r="B180" s="87" t="s">
        <v>3061</v>
      </c>
      <c r="C180" s="88" t="s">
        <v>44</v>
      </c>
      <c r="D180" s="89" t="s">
        <v>1309</v>
      </c>
      <c r="E180" s="80" t="str">
        <f>HYPERLINK("https://youtu.be/ts2GsOX5fYI","channel 4")</f>
        <v>channel 4</v>
      </c>
    </row>
    <row r="181">
      <c r="B181" s="87" t="s">
        <v>635</v>
      </c>
      <c r="C181" s="88" t="s">
        <v>64</v>
      </c>
      <c r="D181" s="89" t="s">
        <v>3060</v>
      </c>
      <c r="E181" s="80" t="s">
        <v>33</v>
      </c>
    </row>
    <row r="182">
      <c r="B182" s="87" t="s">
        <v>3061</v>
      </c>
      <c r="C182" s="88" t="s">
        <v>18</v>
      </c>
      <c r="D182" s="89" t="s">
        <v>881</v>
      </c>
      <c r="E182" s="80" t="str">
        <f>HYPERLINK("https://youtu.be/ts2GsOX5fYI?t=996","channel 4")</f>
        <v>channel 4</v>
      </c>
    </row>
    <row r="183">
      <c r="B183" s="87" t="s">
        <v>635</v>
      </c>
      <c r="C183" s="88" t="s">
        <v>17</v>
      </c>
      <c r="D183" s="89" t="s">
        <v>1309</v>
      </c>
      <c r="E183" s="80" t="s">
        <v>33</v>
      </c>
    </row>
    <row r="184">
      <c r="B184" s="87" t="s">
        <v>3061</v>
      </c>
      <c r="C184" s="88" t="s">
        <v>1025</v>
      </c>
      <c r="D184" s="89" t="s">
        <v>3060</v>
      </c>
      <c r="E184" s="80" t="str">
        <f>HYPERLINK("https://youtu.be/ts2GsOX5fYI?t=1920","channel 4")</f>
        <v>channel 4</v>
      </c>
    </row>
    <row r="185">
      <c r="B185" s="87" t="s">
        <v>635</v>
      </c>
      <c r="C185" s="88" t="s">
        <v>65</v>
      </c>
      <c r="D185" s="89" t="s">
        <v>881</v>
      </c>
      <c r="E185" s="80" t="s">
        <v>33</v>
      </c>
    </row>
    <row r="186">
      <c r="B186" s="87" t="s">
        <v>1309</v>
      </c>
      <c r="C186" s="88" t="s">
        <v>72</v>
      </c>
      <c r="D186" s="89" t="s">
        <v>3060</v>
      </c>
      <c r="E186" s="80" t="str">
        <f>HYPERLINK("https://youtu.be/ts2GsOX5fYI?t=2886","channel 4")</f>
        <v>channel 4</v>
      </c>
    </row>
    <row r="187">
      <c r="B187" s="87" t="s">
        <v>635</v>
      </c>
      <c r="C187" s="88" t="s">
        <v>244</v>
      </c>
      <c r="D187" s="89" t="s">
        <v>3061</v>
      </c>
      <c r="E187" s="80" t="s">
        <v>33</v>
      </c>
    </row>
    <row r="188">
      <c r="B188" s="87" t="s">
        <v>1309</v>
      </c>
      <c r="C188" s="88" t="s">
        <v>218</v>
      </c>
      <c r="D188" s="89" t="s">
        <v>881</v>
      </c>
      <c r="E188" s="80" t="str">
        <f>HYPERLINK("https://youtu.be/ts2GsOX5fYI?t=3908","channel 4")</f>
        <v>channel 4</v>
      </c>
    </row>
    <row r="189">
      <c r="B189" s="87" t="s">
        <v>881</v>
      </c>
      <c r="C189" s="88" t="s">
        <v>81</v>
      </c>
      <c r="D189" s="89" t="s">
        <v>3060</v>
      </c>
      <c r="E189" s="80" t="s">
        <v>33</v>
      </c>
    </row>
    <row r="190">
      <c r="B190" s="87" t="s">
        <v>1309</v>
      </c>
      <c r="C190" s="88" t="s">
        <v>212</v>
      </c>
      <c r="D190" s="89" t="s">
        <v>3061</v>
      </c>
      <c r="E190" s="80" t="str">
        <f>HYPERLINK("https://youtu.be/ts2GsOX5fYI?t=4932","channel 4")</f>
        <v>channel 4</v>
      </c>
    </row>
    <row r="191">
      <c r="B191" s="87" t="s">
        <v>3060</v>
      </c>
      <c r="C191" s="88" t="s">
        <v>3062</v>
      </c>
      <c r="D191" s="87" t="s">
        <v>635</v>
      </c>
      <c r="E191" s="80" t="s">
        <v>33</v>
      </c>
    </row>
    <row r="192">
      <c r="B192" s="87" t="s">
        <v>881</v>
      </c>
      <c r="C192" s="88" t="s">
        <v>302</v>
      </c>
      <c r="D192" s="89" t="s">
        <v>3061</v>
      </c>
      <c r="E192" s="80" t="str">
        <f>HYPERLINK("https://youtu.be/ts2GsOX5fYI?t=5980","channel 4")</f>
        <v>channel 4</v>
      </c>
    </row>
    <row r="193">
      <c r="B193" s="87" t="s">
        <v>1309</v>
      </c>
      <c r="C193" s="88" t="s">
        <v>390</v>
      </c>
      <c r="D193" s="87" t="s">
        <v>635</v>
      </c>
      <c r="E193" s="80" t="s">
        <v>33</v>
      </c>
    </row>
    <row r="194">
      <c r="B194" s="87" t="s">
        <v>3060</v>
      </c>
      <c r="C194" s="88" t="s">
        <v>17</v>
      </c>
      <c r="D194" s="89" t="s">
        <v>3061</v>
      </c>
      <c r="E194" s="80" t="str">
        <f>HYPERLINK("https://youtu.be/ts2GsOX5fYI?t=6925","channel 4")</f>
        <v>channel 4</v>
      </c>
    </row>
    <row r="195">
      <c r="B195" s="87" t="s">
        <v>881</v>
      </c>
      <c r="C195" s="88" t="s">
        <v>3063</v>
      </c>
      <c r="D195" s="87" t="s">
        <v>635</v>
      </c>
      <c r="E195" s="80" t="s">
        <v>33</v>
      </c>
    </row>
    <row r="196">
      <c r="B196" s="87" t="s">
        <v>3060</v>
      </c>
      <c r="C196" s="88" t="s">
        <v>297</v>
      </c>
      <c r="D196" s="89" t="s">
        <v>1309</v>
      </c>
      <c r="E196" s="80" t="str">
        <f>HYPERLINK("https://youtu.be/ts2GsOX5fYI?t=7937","channel 4")</f>
        <v>channel 4</v>
      </c>
    </row>
    <row r="197">
      <c r="B197" s="87" t="s">
        <v>3061</v>
      </c>
      <c r="C197" s="88" t="s">
        <v>1832</v>
      </c>
      <c r="D197" s="87" t="s">
        <v>635</v>
      </c>
      <c r="E197" s="80" t="s">
        <v>33</v>
      </c>
    </row>
    <row r="198">
      <c r="B198" s="87" t="s">
        <v>881</v>
      </c>
      <c r="C198" s="88" t="s">
        <v>17</v>
      </c>
      <c r="D198" s="89" t="s">
        <v>1309</v>
      </c>
      <c r="E198" s="80" t="str">
        <f>HYPERLINK("https://youtu.be/ts2GsOX5fYI?t=8919","channel 4")</f>
        <v>channel 4</v>
      </c>
    </row>
    <row r="199">
      <c r="B199" s="72" t="s">
        <v>2617</v>
      </c>
      <c r="C199" s="2"/>
      <c r="D199" s="3"/>
      <c r="E199" s="84"/>
    </row>
    <row r="200">
      <c r="B200" s="85" t="s">
        <v>2</v>
      </c>
      <c r="C200" s="86" t="s">
        <v>3</v>
      </c>
      <c r="D200" s="86" t="s">
        <v>4</v>
      </c>
      <c r="E200" s="86" t="s">
        <v>5</v>
      </c>
    </row>
    <row r="201">
      <c r="B201" s="87" t="s">
        <v>3064</v>
      </c>
      <c r="C201" s="88" t="s">
        <v>3065</v>
      </c>
      <c r="D201" s="89" t="s">
        <v>1840</v>
      </c>
      <c r="E201" s="80" t="s">
        <v>33</v>
      </c>
    </row>
    <row r="202">
      <c r="B202" s="87" t="s">
        <v>3066</v>
      </c>
      <c r="C202" s="88" t="s">
        <v>71</v>
      </c>
      <c r="D202" s="89" t="s">
        <v>1948</v>
      </c>
      <c r="E202" s="80" t="str">
        <f>HYPERLINK("https://youtu.be/HiVzfw0JJOo","channel 4")</f>
        <v>channel 4</v>
      </c>
    </row>
    <row r="203">
      <c r="B203" s="87" t="s">
        <v>3067</v>
      </c>
      <c r="C203" s="88" t="s">
        <v>857</v>
      </c>
      <c r="D203" s="89" t="s">
        <v>3064</v>
      </c>
      <c r="E203" s="80" t="s">
        <v>33</v>
      </c>
    </row>
    <row r="204">
      <c r="B204" s="87" t="s">
        <v>3066</v>
      </c>
      <c r="C204" s="88" t="s">
        <v>551</v>
      </c>
      <c r="D204" s="89" t="s">
        <v>1840</v>
      </c>
      <c r="E204" s="80" t="str">
        <f>HYPERLINK("https://youtu.be/HiVzfw0JJOo?t=945","channel 4")</f>
        <v>channel 4</v>
      </c>
    </row>
    <row r="205">
      <c r="B205" s="87" t="s">
        <v>3067</v>
      </c>
      <c r="C205" s="88" t="s">
        <v>239</v>
      </c>
      <c r="D205" s="89" t="s">
        <v>1948</v>
      </c>
      <c r="E205" s="80" t="s">
        <v>33</v>
      </c>
    </row>
    <row r="206">
      <c r="B206" s="87" t="s">
        <v>3066</v>
      </c>
      <c r="C206" s="88" t="s">
        <v>912</v>
      </c>
      <c r="D206" s="89" t="s">
        <v>3064</v>
      </c>
      <c r="E206" s="80" t="str">
        <f>HYPERLINK("https://youtu.be/HiVzfw0JJOo?t=1936","channel 4")</f>
        <v>channel 4</v>
      </c>
    </row>
    <row r="207">
      <c r="B207" s="87" t="s">
        <v>3067</v>
      </c>
      <c r="C207" s="88" t="s">
        <v>23</v>
      </c>
      <c r="D207" s="89" t="s">
        <v>1840</v>
      </c>
      <c r="E207" s="80" t="s">
        <v>33</v>
      </c>
    </row>
    <row r="208">
      <c r="B208" s="87" t="s">
        <v>1948</v>
      </c>
      <c r="C208" s="88" t="s">
        <v>239</v>
      </c>
      <c r="D208" s="89" t="s">
        <v>3064</v>
      </c>
      <c r="E208" s="80" t="str">
        <f>HYPERLINK("https://youtu.be/HiVzfw0JJOo?t=3058","channel 4")</f>
        <v>channel 4</v>
      </c>
    </row>
    <row r="209">
      <c r="B209" s="87" t="s">
        <v>3067</v>
      </c>
      <c r="C209" s="88" t="s">
        <v>243</v>
      </c>
      <c r="D209" s="89" t="s">
        <v>3066</v>
      </c>
      <c r="E209" s="80" t="s">
        <v>33</v>
      </c>
    </row>
    <row r="210">
      <c r="B210" s="87" t="s">
        <v>1948</v>
      </c>
      <c r="C210" s="88" t="s">
        <v>21</v>
      </c>
      <c r="D210" s="89" t="s">
        <v>1840</v>
      </c>
      <c r="E210" s="80" t="str">
        <f>HYPERLINK("https://youtu.be/HiVzfw0JJOo?t=4019","channel 4")</f>
        <v>channel 4</v>
      </c>
    </row>
    <row r="211">
      <c r="B211" s="87" t="s">
        <v>1840</v>
      </c>
      <c r="C211" s="88" t="s">
        <v>842</v>
      </c>
      <c r="D211" s="89" t="s">
        <v>3064</v>
      </c>
      <c r="E211" s="80" t="s">
        <v>33</v>
      </c>
    </row>
    <row r="212">
      <c r="B212" s="87" t="s">
        <v>1948</v>
      </c>
      <c r="C212" s="88" t="s">
        <v>68</v>
      </c>
      <c r="D212" s="89" t="s">
        <v>3066</v>
      </c>
      <c r="E212" s="80" t="str">
        <f>HYPERLINK("https://youtu.be/HiVzfw0JJOo?t=4899","channel 4")</f>
        <v>channel 4</v>
      </c>
    </row>
    <row r="213">
      <c r="B213" s="87" t="s">
        <v>3064</v>
      </c>
      <c r="C213" s="88" t="s">
        <v>243</v>
      </c>
      <c r="D213" s="87" t="s">
        <v>3067</v>
      </c>
      <c r="E213" s="80" t="s">
        <v>33</v>
      </c>
    </row>
    <row r="214">
      <c r="B214" s="87" t="s">
        <v>1840</v>
      </c>
      <c r="C214" s="88" t="s">
        <v>190</v>
      </c>
      <c r="D214" s="89" t="s">
        <v>3066</v>
      </c>
      <c r="E214" s="80" t="str">
        <f>HYPERLINK("https://youtu.be/HiVzfw0JJOo?t=5874","channel 4")</f>
        <v>channel 4</v>
      </c>
    </row>
    <row r="215">
      <c r="B215" s="87" t="s">
        <v>1948</v>
      </c>
      <c r="C215" s="88" t="s">
        <v>42</v>
      </c>
      <c r="D215" s="87" t="s">
        <v>3067</v>
      </c>
      <c r="E215" s="80" t="s">
        <v>33</v>
      </c>
    </row>
    <row r="216">
      <c r="B216" s="87" t="s">
        <v>3064</v>
      </c>
      <c r="C216" s="88" t="s">
        <v>233</v>
      </c>
      <c r="D216" s="89" t="s">
        <v>3066</v>
      </c>
      <c r="E216" s="80" t="str">
        <f>HYPERLINK("https://youtu.be/HiVzfw0JJOo?t=6764","channel 4")</f>
        <v>channel 4</v>
      </c>
    </row>
    <row r="217">
      <c r="B217" s="87" t="s">
        <v>1840</v>
      </c>
      <c r="C217" s="88" t="s">
        <v>195</v>
      </c>
      <c r="D217" s="87" t="s">
        <v>3067</v>
      </c>
      <c r="E217" s="80" t="s">
        <v>33</v>
      </c>
    </row>
    <row r="218">
      <c r="B218" s="87" t="s">
        <v>3064</v>
      </c>
      <c r="C218" s="88" t="s">
        <v>35</v>
      </c>
      <c r="D218" s="89" t="s">
        <v>1948</v>
      </c>
      <c r="E218" s="80" t="str">
        <f>HYPERLINK("https://youtu.be/HiVzfw0JJOo?t=7735","channel 4")</f>
        <v>channel 4</v>
      </c>
    </row>
    <row r="219">
      <c r="B219" s="87" t="s">
        <v>3066</v>
      </c>
      <c r="C219" s="88" t="s">
        <v>3068</v>
      </c>
      <c r="D219" s="87" t="s">
        <v>3067</v>
      </c>
      <c r="E219" s="80" t="s">
        <v>33</v>
      </c>
    </row>
    <row r="220">
      <c r="B220" s="87" t="s">
        <v>1840</v>
      </c>
      <c r="C220" s="88" t="s">
        <v>404</v>
      </c>
      <c r="D220" s="89" t="s">
        <v>1948</v>
      </c>
      <c r="E220" s="80" t="str">
        <f>HYPERLINK("https://youtu.be/HiVzfw0JJOo?t=8710","channel 4")</f>
        <v>channel 4</v>
      </c>
    </row>
    <row r="221">
      <c r="B221" s="72" t="s">
        <v>2394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34" t="s">
        <v>1316</v>
      </c>
      <c r="C223" s="35" t="s">
        <v>533</v>
      </c>
      <c r="D223" s="34" t="s">
        <v>3003</v>
      </c>
      <c r="E223" s="11" t="s">
        <v>9</v>
      </c>
    </row>
    <row r="224">
      <c r="B224" s="34" t="s">
        <v>2329</v>
      </c>
      <c r="C224" s="35" t="s">
        <v>71</v>
      </c>
      <c r="D224" s="32" t="s">
        <v>2346</v>
      </c>
      <c r="E224" s="11" t="str">
        <f>HYPERLINK("https://youtu.be/gvPwWF9-d34","channel 2")</f>
        <v>channel 2</v>
      </c>
    </row>
    <row r="225">
      <c r="B225" s="34" t="s">
        <v>3069</v>
      </c>
      <c r="C225" s="35" t="s">
        <v>68</v>
      </c>
      <c r="D225" s="34" t="s">
        <v>1316</v>
      </c>
      <c r="E225" s="11" t="str">
        <f>HYPERLINK("https://youtu.be/GUN0hKV_sok?t=1078","channel 1")</f>
        <v>channel 1</v>
      </c>
    </row>
    <row r="226">
      <c r="B226" s="34" t="s">
        <v>2329</v>
      </c>
      <c r="C226" s="35" t="s">
        <v>88</v>
      </c>
      <c r="D226" s="34" t="s">
        <v>3003</v>
      </c>
      <c r="E226" s="11" t="str">
        <f>HYPERLINK("https://youtu.be/gvPwWF9-d34?t=1033","channel 2")</f>
        <v>channel 2</v>
      </c>
    </row>
    <row r="227">
      <c r="B227" s="34" t="s">
        <v>3069</v>
      </c>
      <c r="C227" s="35" t="s">
        <v>11</v>
      </c>
      <c r="D227" s="32" t="s">
        <v>2346</v>
      </c>
      <c r="E227" s="11" t="str">
        <f>HYPERLINK("https://youtu.be/GUN0hKV_sok?t=1999","channel 1")</f>
        <v>channel 1</v>
      </c>
    </row>
    <row r="228">
      <c r="B228" s="34" t="s">
        <v>2329</v>
      </c>
      <c r="C228" s="35" t="s">
        <v>534</v>
      </c>
      <c r="D228" s="34" t="s">
        <v>1316</v>
      </c>
      <c r="E228" s="11" t="str">
        <f>HYPERLINK("https://youtu.be/gvPwWF9-d34?t=2005","channel 2")</f>
        <v>channel 2</v>
      </c>
    </row>
    <row r="229">
      <c r="B229" s="34" t="s">
        <v>3069</v>
      </c>
      <c r="C229" s="35" t="s">
        <v>295</v>
      </c>
      <c r="D229" s="34" t="s">
        <v>3003</v>
      </c>
      <c r="E229" s="11" t="str">
        <f>HYPERLINK("https://youtu.be/GUN0hKV_sok?t=2952","channel 1")</f>
        <v>channel 1</v>
      </c>
    </row>
    <row r="230">
      <c r="B230" s="32" t="s">
        <v>2346</v>
      </c>
      <c r="C230" s="35" t="s">
        <v>718</v>
      </c>
      <c r="D230" s="34" t="s">
        <v>1316</v>
      </c>
      <c r="E230" s="11" t="str">
        <f>HYPERLINK("https://youtu.be/gvPwWF9-d34?t=2946","channel 2")</f>
        <v>channel 2</v>
      </c>
    </row>
    <row r="231">
      <c r="B231" s="34" t="s">
        <v>3069</v>
      </c>
      <c r="C231" s="35" t="s">
        <v>201</v>
      </c>
      <c r="D231" s="34" t="s">
        <v>2329</v>
      </c>
      <c r="E231" s="11" t="str">
        <f>HYPERLINK("https://youtu.be/GUN0hKV_sok?t=3885","channel 1")</f>
        <v>channel 1</v>
      </c>
    </row>
    <row r="232">
      <c r="B232" s="32" t="s">
        <v>2346</v>
      </c>
      <c r="C232" s="35" t="s">
        <v>81</v>
      </c>
      <c r="D232" s="34" t="s">
        <v>3003</v>
      </c>
      <c r="E232" s="11" t="str">
        <f>HYPERLINK("https://youtu.be/gvPwWF9-d34?t=3890","channel 2")</f>
        <v>channel 2</v>
      </c>
    </row>
    <row r="233">
      <c r="B233" s="34" t="s">
        <v>3003</v>
      </c>
      <c r="C233" s="35" t="s">
        <v>68</v>
      </c>
      <c r="D233" s="34" t="s">
        <v>1316</v>
      </c>
      <c r="E233" s="11" t="str">
        <f>HYPERLINK("https://youtu.be/GUN0hKV_sok?t=4772","channel 1")</f>
        <v>channel 1</v>
      </c>
    </row>
    <row r="234">
      <c r="B234" s="32" t="s">
        <v>2346</v>
      </c>
      <c r="C234" s="35" t="s">
        <v>249</v>
      </c>
      <c r="D234" s="34" t="s">
        <v>2329</v>
      </c>
      <c r="E234" s="11" t="str">
        <f>HYPERLINK("https://youtu.be/gvPwWF9-d34?t=4290","channel 2")</f>
        <v>channel 2</v>
      </c>
    </row>
    <row r="235">
      <c r="B235" s="34" t="s">
        <v>1316</v>
      </c>
      <c r="C235" s="35" t="s">
        <v>197</v>
      </c>
      <c r="D235" s="34" t="s">
        <v>3069</v>
      </c>
      <c r="E235" s="11" t="str">
        <f>HYPERLINK("https://youtu.be/GUN0hKV_sok?t=5801","channel 1")</f>
        <v>channel 1</v>
      </c>
    </row>
    <row r="236">
      <c r="B236" s="34" t="s">
        <v>3003</v>
      </c>
      <c r="C236" s="35" t="s">
        <v>481</v>
      </c>
      <c r="D236" s="34" t="s">
        <v>2329</v>
      </c>
      <c r="E236" s="11" t="str">
        <f>HYPERLINK("https://youtu.be/gvPwWF9-d34?t=5241","channel 2")</f>
        <v>channel 2</v>
      </c>
    </row>
    <row r="237">
      <c r="B237" s="32" t="s">
        <v>2346</v>
      </c>
      <c r="C237" s="35" t="s">
        <v>283</v>
      </c>
      <c r="D237" s="34" t="s">
        <v>3069</v>
      </c>
      <c r="E237" s="11" t="str">
        <f>HYPERLINK("https://youtu.be/GUN0hKV_sok?t=6742","channel 1")</f>
        <v>channel 1</v>
      </c>
    </row>
    <row r="238">
      <c r="B238" s="34" t="s">
        <v>1316</v>
      </c>
      <c r="C238" s="35" t="s">
        <v>337</v>
      </c>
      <c r="D238" s="34" t="s">
        <v>2329</v>
      </c>
      <c r="E238" s="11" t="str">
        <f>HYPERLINK("https://youtu.be/gvPwWF9-d34?t=6207","channel 2")</f>
        <v>channel 2</v>
      </c>
    </row>
    <row r="239">
      <c r="B239" s="34" t="s">
        <v>3003</v>
      </c>
      <c r="C239" s="35" t="s">
        <v>3070</v>
      </c>
      <c r="D239" s="34" t="s">
        <v>3069</v>
      </c>
      <c r="E239" s="11" t="str">
        <f>HYPERLINK("https://youtu.be/GUN0hKV_sok?t=7746","channel 1")</f>
        <v>channel 1</v>
      </c>
    </row>
    <row r="240">
      <c r="B240" s="34" t="s">
        <v>1316</v>
      </c>
      <c r="C240" s="35" t="s">
        <v>87</v>
      </c>
      <c r="D240" s="32" t="s">
        <v>2346</v>
      </c>
      <c r="E240" s="11" t="str">
        <f>HYPERLINK("https://youtu.be/gvPwWF9-d34?t=7159","channel 2")</f>
        <v>channel 2</v>
      </c>
    </row>
    <row r="241">
      <c r="B241" s="34" t="s">
        <v>2329</v>
      </c>
      <c r="C241" s="35" t="s">
        <v>72</v>
      </c>
      <c r="D241" s="34" t="s">
        <v>3069</v>
      </c>
      <c r="E241" s="11" t="str">
        <f>HYPERLINK("https://youtu.be/GUN0hKV_sok?t=8707","channel 1")</f>
        <v>channel 1</v>
      </c>
    </row>
    <row r="242">
      <c r="B242" s="34" t="s">
        <v>3003</v>
      </c>
      <c r="C242" s="35" t="s">
        <v>416</v>
      </c>
      <c r="D242" s="32" t="s">
        <v>2346</v>
      </c>
      <c r="E242" s="11" t="str">
        <f>HYPERLINK("https://youtu.be/gvPwWF9-d34?t=8049","channel 2")</f>
        <v>channel 2</v>
      </c>
    </row>
    <row r="243">
      <c r="B243" s="72" t="s">
        <v>1456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34" t="s">
        <v>2737</v>
      </c>
      <c r="C245" s="35" t="s">
        <v>751</v>
      </c>
      <c r="D245" s="34" t="s">
        <v>2333</v>
      </c>
      <c r="E245" s="11" t="str">
        <f>HYPERLINK("https://youtu.be/mG_bbXHTHfA","channel 1")</f>
        <v>channel 1</v>
      </c>
    </row>
    <row r="246">
      <c r="B246" s="34" t="s">
        <v>2786</v>
      </c>
      <c r="C246" s="35" t="s">
        <v>233</v>
      </c>
      <c r="D246" s="32" t="s">
        <v>2977</v>
      </c>
      <c r="E246" s="11" t="str">
        <f>HYPERLINK("https://youtu.be/UR-_DaeUg2I","channel 2")</f>
        <v>channel 2</v>
      </c>
    </row>
    <row r="247">
      <c r="B247" s="34" t="s">
        <v>2745</v>
      </c>
      <c r="C247" s="35" t="s">
        <v>232</v>
      </c>
      <c r="D247" s="34" t="s">
        <v>2737</v>
      </c>
      <c r="E247" s="99" t="s">
        <v>9</v>
      </c>
    </row>
    <row r="248">
      <c r="B248" s="34" t="s">
        <v>2786</v>
      </c>
      <c r="C248" s="35" t="s">
        <v>226</v>
      </c>
      <c r="D248" s="34" t="s">
        <v>2333</v>
      </c>
      <c r="E248" s="99" t="s">
        <v>13</v>
      </c>
    </row>
    <row r="249">
      <c r="B249" s="34" t="s">
        <v>2745</v>
      </c>
      <c r="C249" s="35" t="s">
        <v>196</v>
      </c>
      <c r="D249" s="32" t="s">
        <v>2977</v>
      </c>
      <c r="E249" s="99" t="s">
        <v>9</v>
      </c>
    </row>
    <row r="250">
      <c r="B250" s="34" t="s">
        <v>2786</v>
      </c>
      <c r="C250" s="35" t="s">
        <v>21</v>
      </c>
      <c r="D250" s="34" t="s">
        <v>2737</v>
      </c>
      <c r="E250" s="99" t="s">
        <v>13</v>
      </c>
    </row>
    <row r="251">
      <c r="B251" s="34" t="s">
        <v>2745</v>
      </c>
      <c r="C251" s="35" t="s">
        <v>578</v>
      </c>
      <c r="D251" s="34" t="s">
        <v>2333</v>
      </c>
      <c r="E251" s="99" t="s">
        <v>9</v>
      </c>
    </row>
    <row r="252">
      <c r="B252" s="32" t="s">
        <v>2977</v>
      </c>
      <c r="C252" s="35" t="s">
        <v>238</v>
      </c>
      <c r="D252" s="34" t="s">
        <v>2737</v>
      </c>
      <c r="E252" s="99" t="s">
        <v>13</v>
      </c>
    </row>
    <row r="253">
      <c r="B253" s="34" t="s">
        <v>2745</v>
      </c>
      <c r="C253" s="35" t="s">
        <v>215</v>
      </c>
      <c r="D253" s="34" t="s">
        <v>2786</v>
      </c>
      <c r="E253" s="99" t="s">
        <v>9</v>
      </c>
    </row>
    <row r="254">
      <c r="B254" s="32" t="s">
        <v>2977</v>
      </c>
      <c r="C254" s="35" t="s">
        <v>251</v>
      </c>
      <c r="D254" s="34" t="s">
        <v>2333</v>
      </c>
      <c r="E254" s="99" t="s">
        <v>13</v>
      </c>
    </row>
    <row r="255">
      <c r="B255" s="34" t="s">
        <v>2333</v>
      </c>
      <c r="C255" s="35" t="s">
        <v>545</v>
      </c>
      <c r="D255" s="34" t="s">
        <v>2737</v>
      </c>
      <c r="E255" s="99" t="s">
        <v>9</v>
      </c>
    </row>
    <row r="256">
      <c r="B256" s="32" t="s">
        <v>2977</v>
      </c>
      <c r="C256" s="35" t="s">
        <v>28</v>
      </c>
      <c r="D256" s="34" t="s">
        <v>2786</v>
      </c>
      <c r="E256" s="99" t="s">
        <v>13</v>
      </c>
    </row>
    <row r="257">
      <c r="B257" s="34" t="s">
        <v>2737</v>
      </c>
      <c r="C257" s="35" t="s">
        <v>43</v>
      </c>
      <c r="D257" s="34" t="s">
        <v>2745</v>
      </c>
      <c r="E257" s="99" t="s">
        <v>9</v>
      </c>
    </row>
    <row r="258">
      <c r="B258" s="34" t="s">
        <v>2333</v>
      </c>
      <c r="C258" s="35" t="s">
        <v>269</v>
      </c>
      <c r="D258" s="34" t="s">
        <v>2786</v>
      </c>
      <c r="E258" s="99" t="s">
        <v>13</v>
      </c>
    </row>
    <row r="259">
      <c r="B259" s="32" t="s">
        <v>2977</v>
      </c>
      <c r="C259" s="35" t="s">
        <v>579</v>
      </c>
      <c r="D259" s="34" t="s">
        <v>2745</v>
      </c>
      <c r="E259" s="99" t="s">
        <v>9</v>
      </c>
    </row>
    <row r="260">
      <c r="B260" s="34" t="s">
        <v>2737</v>
      </c>
      <c r="C260" s="35" t="s">
        <v>267</v>
      </c>
      <c r="D260" s="34" t="s">
        <v>2786</v>
      </c>
      <c r="E260" s="99" t="s">
        <v>13</v>
      </c>
    </row>
    <row r="261">
      <c r="B261" s="34" t="s">
        <v>2333</v>
      </c>
      <c r="C261" s="35" t="s">
        <v>243</v>
      </c>
      <c r="D261" s="34" t="s">
        <v>2745</v>
      </c>
      <c r="E261" s="99" t="s">
        <v>9</v>
      </c>
    </row>
    <row r="262">
      <c r="B262" s="34" t="s">
        <v>2737</v>
      </c>
      <c r="C262" s="35" t="s">
        <v>55</v>
      </c>
      <c r="D262" s="32" t="s">
        <v>2977</v>
      </c>
      <c r="E262" s="99" t="s">
        <v>13</v>
      </c>
    </row>
    <row r="263">
      <c r="B263" s="34" t="s">
        <v>2786</v>
      </c>
      <c r="C263" s="96" t="s">
        <v>449</v>
      </c>
      <c r="D263" s="34" t="s">
        <v>2745</v>
      </c>
      <c r="E263" s="99" t="s">
        <v>9</v>
      </c>
    </row>
    <row r="264">
      <c r="B264" s="34" t="s">
        <v>2333</v>
      </c>
      <c r="C264" s="96" t="s">
        <v>449</v>
      </c>
      <c r="D264" s="32" t="s">
        <v>2977</v>
      </c>
      <c r="E264" s="99" t="s">
        <v>13</v>
      </c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49"/>
    <hyperlink r:id="rId2" ref="E51"/>
    <hyperlink r:id="rId3" ref="E53"/>
    <hyperlink r:id="rId4" ref="E55"/>
    <hyperlink r:id="rId5" ref="E57"/>
    <hyperlink r:id="rId6" ref="E59"/>
    <hyperlink r:id="rId7" ref="E61"/>
    <hyperlink r:id="rId8" ref="E63"/>
    <hyperlink r:id="rId9" ref="E65"/>
    <hyperlink r:id="rId10" ref="E69"/>
    <hyperlink r:id="rId11" ref="E71"/>
    <hyperlink r:id="rId12" ref="E73"/>
    <hyperlink r:id="rId13" ref="E75"/>
    <hyperlink r:id="rId14" ref="E77"/>
    <hyperlink r:id="rId15" ref="E79"/>
    <hyperlink r:id="rId16" ref="E81"/>
    <hyperlink r:id="rId17" ref="E83"/>
    <hyperlink r:id="rId18" ref="E85"/>
    <hyperlink r:id="rId19" ref="E87"/>
    <hyperlink r:id="rId20" ref="E93"/>
    <hyperlink r:id="rId21" ref="E95"/>
    <hyperlink r:id="rId22" ref="E97"/>
    <hyperlink r:id="rId23" ref="E99"/>
    <hyperlink r:id="rId24" ref="E101"/>
    <hyperlink r:id="rId25" ref="E103"/>
    <hyperlink r:id="rId26" ref="E105"/>
    <hyperlink r:id="rId27" ref="E107"/>
    <hyperlink r:id="rId28" ref="E109"/>
    <hyperlink r:id="rId29" ref="E115"/>
    <hyperlink r:id="rId30" ref="E117"/>
    <hyperlink r:id="rId31" ref="E119"/>
    <hyperlink r:id="rId32" ref="E121"/>
    <hyperlink r:id="rId33" ref="E123"/>
    <hyperlink r:id="rId34" ref="E125"/>
    <hyperlink r:id="rId35" ref="E127"/>
    <hyperlink r:id="rId36" ref="E129"/>
    <hyperlink r:id="rId37" ref="E131"/>
    <hyperlink r:id="rId38" ref="E135"/>
    <hyperlink r:id="rId39" ref="E137"/>
    <hyperlink r:id="rId40" ref="E139"/>
    <hyperlink r:id="rId41" ref="E141"/>
    <hyperlink r:id="rId42" ref="E143"/>
    <hyperlink r:id="rId43" ref="E145"/>
    <hyperlink r:id="rId44" ref="E147"/>
    <hyperlink r:id="rId45" ref="E149"/>
    <hyperlink r:id="rId46" ref="E151"/>
    <hyperlink r:id="rId47" ref="E153"/>
    <hyperlink r:id="rId48" ref="E157"/>
    <hyperlink r:id="rId49" ref="E159"/>
    <hyperlink r:id="rId50" ref="E161"/>
    <hyperlink r:id="rId51" ref="E163"/>
    <hyperlink r:id="rId52" ref="E165"/>
    <hyperlink r:id="rId53" ref="E167"/>
    <hyperlink r:id="rId54" ref="E169"/>
    <hyperlink r:id="rId55" ref="E171"/>
    <hyperlink r:id="rId56" ref="E173"/>
    <hyperlink r:id="rId57" ref="E175"/>
    <hyperlink r:id="rId58" ref="E179"/>
    <hyperlink r:id="rId59" ref="E181"/>
    <hyperlink r:id="rId60" ref="E183"/>
    <hyperlink r:id="rId61" ref="E185"/>
    <hyperlink r:id="rId62" ref="E187"/>
    <hyperlink r:id="rId63" ref="E189"/>
    <hyperlink r:id="rId64" ref="E191"/>
    <hyperlink r:id="rId65" ref="E193"/>
    <hyperlink r:id="rId66" ref="E195"/>
    <hyperlink r:id="rId67" ref="E197"/>
    <hyperlink r:id="rId68" ref="E201"/>
    <hyperlink r:id="rId69" ref="E203"/>
    <hyperlink r:id="rId70" ref="E205"/>
    <hyperlink r:id="rId71" ref="E207"/>
    <hyperlink r:id="rId72" ref="E209"/>
    <hyperlink r:id="rId73" ref="E211"/>
    <hyperlink r:id="rId74" ref="E213"/>
    <hyperlink r:id="rId75" ref="E215"/>
    <hyperlink r:id="rId76" ref="E217"/>
    <hyperlink r:id="rId77" ref="E219"/>
    <hyperlink r:id="rId78" ref="E223"/>
  </hyperlinks>
  <drawing r:id="rId79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/>
      <c r="B1" s="72" t="s">
        <v>2022</v>
      </c>
      <c r="C1" s="2"/>
      <c r="D1" s="3"/>
      <c r="E1" s="84"/>
    </row>
    <row r="2">
      <c r="A2" s="66"/>
      <c r="B2" s="85" t="s">
        <v>2</v>
      </c>
      <c r="C2" s="86" t="s">
        <v>3</v>
      </c>
      <c r="D2" s="86" t="s">
        <v>4</v>
      </c>
      <c r="E2" s="86" t="s">
        <v>5</v>
      </c>
    </row>
    <row r="3">
      <c r="A3" s="66"/>
      <c r="B3" s="34" t="s">
        <v>3071</v>
      </c>
      <c r="C3" s="35" t="s">
        <v>578</v>
      </c>
      <c r="D3" s="34" t="s">
        <v>1334</v>
      </c>
      <c r="E3" s="97" t="str">
        <f>HYPERLINK("https://youtu.be/MQWvrGZ50xg","channel 1")</f>
        <v>channel 1</v>
      </c>
    </row>
    <row r="4">
      <c r="A4" s="66"/>
      <c r="B4" s="34" t="s">
        <v>3072</v>
      </c>
      <c r="C4" s="35" t="s">
        <v>64</v>
      </c>
      <c r="D4" s="32" t="s">
        <v>3073</v>
      </c>
      <c r="E4" s="97" t="str">
        <f>HYPERLINK("https://youtu.be/9FJp1ZiMZnA","channel 2")</f>
        <v>channel 2</v>
      </c>
    </row>
    <row r="5">
      <c r="A5" s="66"/>
      <c r="B5" s="34" t="s">
        <v>3074</v>
      </c>
      <c r="C5" s="35" t="s">
        <v>17</v>
      </c>
      <c r="D5" s="34" t="s">
        <v>3071</v>
      </c>
      <c r="E5" s="97" t="str">
        <f>HYPERLINK("https://youtu.be/MQWvrGZ50xg?t=1008","channel 1")</f>
        <v>channel 1</v>
      </c>
    </row>
    <row r="6">
      <c r="A6" s="66"/>
      <c r="B6" s="34" t="s">
        <v>3072</v>
      </c>
      <c r="C6" s="35" t="s">
        <v>950</v>
      </c>
      <c r="D6" s="34" t="s">
        <v>1334</v>
      </c>
      <c r="E6" s="97" t="str">
        <f>HYPERLINK("https://youtu.be/9FJp1ZiMZnA?t=1080","channel 2")</f>
        <v>channel 2</v>
      </c>
    </row>
    <row r="7">
      <c r="A7" s="66"/>
      <c r="B7" s="34" t="s">
        <v>3074</v>
      </c>
      <c r="C7" s="35" t="s">
        <v>22</v>
      </c>
      <c r="D7" s="32" t="s">
        <v>3073</v>
      </c>
      <c r="E7" s="97" t="str">
        <f>HYPERLINK("https://youtu.be/MQWvrGZ50xg?t=1986","channel 1")</f>
        <v>channel 1</v>
      </c>
    </row>
    <row r="8">
      <c r="A8" s="66"/>
      <c r="B8" s="34" t="s">
        <v>3072</v>
      </c>
      <c r="C8" s="35" t="s">
        <v>197</v>
      </c>
      <c r="D8" s="34" t="s">
        <v>3071</v>
      </c>
      <c r="E8" s="97" t="str">
        <f>HYPERLINK("https://youtu.be/9FJp1ZiMZnA?t=2000","channel 2")</f>
        <v>channel 2</v>
      </c>
      <c r="H8" s="36" t="s">
        <v>3075</v>
      </c>
    </row>
    <row r="9">
      <c r="A9" s="66"/>
      <c r="B9" s="34" t="s">
        <v>3074</v>
      </c>
      <c r="C9" s="35" t="s">
        <v>259</v>
      </c>
      <c r="D9" s="34" t="s">
        <v>1334</v>
      </c>
      <c r="E9" s="97" t="str">
        <f>HYPERLINK("https://youtu.be/MQWvrGZ50xg?t=2907","channel 1")</f>
        <v>channel 1</v>
      </c>
    </row>
    <row r="10">
      <c r="A10" s="66"/>
      <c r="B10" s="32" t="s">
        <v>3073</v>
      </c>
      <c r="C10" s="35" t="s">
        <v>81</v>
      </c>
      <c r="D10" s="34" t="s">
        <v>3071</v>
      </c>
      <c r="E10" s="97" t="str">
        <f>HYPERLINK("https://youtu.be/9FJp1ZiMZnA?t=2925","channel 2")</f>
        <v>channel 2</v>
      </c>
    </row>
    <row r="11">
      <c r="A11" s="66"/>
      <c r="B11" s="34" t="s">
        <v>3074</v>
      </c>
      <c r="C11" s="35" t="s">
        <v>400</v>
      </c>
      <c r="D11" s="34" t="s">
        <v>3072</v>
      </c>
      <c r="E11" s="97" t="str">
        <f>HYPERLINK("https://youtu.be/MQWvrGZ50xg?t=3819","channel 1")</f>
        <v>channel 1</v>
      </c>
    </row>
    <row r="12">
      <c r="A12" s="66"/>
      <c r="B12" s="32" t="s">
        <v>3073</v>
      </c>
      <c r="C12" s="35" t="s">
        <v>71</v>
      </c>
      <c r="D12" s="34" t="s">
        <v>1334</v>
      </c>
      <c r="E12" s="97" t="str">
        <f>HYPERLINK("https://youtu.be/9FJp1ZiMZnA?t=3935","channel 2")</f>
        <v>channel 2</v>
      </c>
    </row>
    <row r="13">
      <c r="A13" s="66"/>
      <c r="B13" s="34" t="s">
        <v>1334</v>
      </c>
      <c r="C13" s="35" t="s">
        <v>416</v>
      </c>
      <c r="D13" s="34" t="s">
        <v>3071</v>
      </c>
      <c r="E13" s="97" t="str">
        <f>HYPERLINK("https://youtu.be/MQWvrGZ50xg?t=4783","channel 1")</f>
        <v>channel 1</v>
      </c>
    </row>
    <row r="14">
      <c r="A14" s="66"/>
      <c r="B14" s="32" t="s">
        <v>3073</v>
      </c>
      <c r="C14" s="35" t="s">
        <v>26</v>
      </c>
      <c r="D14" s="34" t="s">
        <v>3072</v>
      </c>
      <c r="E14" s="97" t="str">
        <f>HYPERLINK("https://youtu.be/9FJp1ZiMZnA?t=4879","channel 2")</f>
        <v>channel 2</v>
      </c>
    </row>
    <row r="15">
      <c r="A15" s="66"/>
      <c r="B15" s="34" t="s">
        <v>3071</v>
      </c>
      <c r="C15" s="35" t="s">
        <v>286</v>
      </c>
      <c r="D15" s="34" t="s">
        <v>3074</v>
      </c>
      <c r="E15" s="97" t="str">
        <f>HYPERLINK("https://youtu.be/MQWvrGZ50xg?t=5732","channel 1")</f>
        <v>channel 1</v>
      </c>
    </row>
    <row r="16">
      <c r="A16" s="66"/>
      <c r="B16" s="34" t="s">
        <v>1334</v>
      </c>
      <c r="C16" s="35" t="s">
        <v>65</v>
      </c>
      <c r="D16" s="34" t="s">
        <v>3072</v>
      </c>
      <c r="E16" s="97" t="str">
        <f>HYPERLINK("https://youtu.be/9FJp1ZiMZnA?t=5800","channel 2")</f>
        <v>channel 2</v>
      </c>
    </row>
    <row r="17">
      <c r="A17" s="66"/>
      <c r="B17" s="32" t="s">
        <v>3073</v>
      </c>
      <c r="C17" s="35" t="s">
        <v>251</v>
      </c>
      <c r="D17" s="34" t="s">
        <v>3074</v>
      </c>
      <c r="E17" s="97" t="str">
        <f>HYPERLINK("https://youtu.be/MQWvrGZ50xg?t=6662","channel 1")</f>
        <v>channel 1</v>
      </c>
    </row>
    <row r="18">
      <c r="A18" s="66"/>
      <c r="B18" s="34" t="s">
        <v>3071</v>
      </c>
      <c r="C18" s="35" t="s">
        <v>7</v>
      </c>
      <c r="D18" s="34" t="s">
        <v>3072</v>
      </c>
      <c r="E18" s="97" t="str">
        <f>HYPERLINK("https://youtu.be/9FJp1ZiMZnA?t=6735","channel 2")</f>
        <v>channel 2</v>
      </c>
    </row>
    <row r="19">
      <c r="A19" s="66"/>
      <c r="B19" s="34" t="s">
        <v>1334</v>
      </c>
      <c r="C19" s="35" t="s">
        <v>195</v>
      </c>
      <c r="D19" s="34" t="s">
        <v>3074</v>
      </c>
      <c r="E19" s="97" t="str">
        <f>HYPERLINK("https://youtu.be/MQWvrGZ50xg?t=7656","channel 1")</f>
        <v>channel 1</v>
      </c>
    </row>
    <row r="20">
      <c r="A20" s="66"/>
      <c r="B20" s="34" t="s">
        <v>3071</v>
      </c>
      <c r="C20" s="35" t="s">
        <v>351</v>
      </c>
      <c r="D20" s="32" t="s">
        <v>3073</v>
      </c>
      <c r="E20" s="97" t="str">
        <f>HYPERLINK("https://youtu.be/9FJp1ZiMZnA?t=7661","channel 2")</f>
        <v>channel 2</v>
      </c>
    </row>
    <row r="21">
      <c r="A21" s="66"/>
      <c r="B21" s="34" t="s">
        <v>3072</v>
      </c>
      <c r="C21" s="35" t="s">
        <v>363</v>
      </c>
      <c r="D21" s="34" t="s">
        <v>3074</v>
      </c>
      <c r="E21" s="97" t="str">
        <f>HYPERLINK("https://youtu.be/MQWvrGZ50xg?t=8604","channel 1")</f>
        <v>channel 1</v>
      </c>
    </row>
    <row r="22">
      <c r="A22" s="66"/>
      <c r="B22" s="34" t="s">
        <v>1334</v>
      </c>
      <c r="C22" s="35" t="s">
        <v>28</v>
      </c>
      <c r="D22" s="32" t="s">
        <v>3073</v>
      </c>
      <c r="E22" s="97" t="str">
        <f>HYPERLINK("https://youtu.be/9FJp1ZiMZnA?t=8591","channel 2")</f>
        <v>channel 2</v>
      </c>
    </row>
    <row r="23">
      <c r="A23" s="66"/>
      <c r="B23" s="72" t="s">
        <v>3076</v>
      </c>
      <c r="C23" s="2"/>
      <c r="D23" s="3"/>
      <c r="E23" s="29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2073</v>
      </c>
      <c r="C25" s="35" t="s">
        <v>17</v>
      </c>
      <c r="D25" s="34" t="s">
        <v>1324</v>
      </c>
      <c r="E25" s="11" t="str">
        <f>HYPERLINK("https://youtu.be/CdL3e2WXR3o","channel 1")</f>
        <v>channel 1</v>
      </c>
    </row>
    <row r="26">
      <c r="A26" s="66"/>
      <c r="B26" s="34" t="s">
        <v>2747</v>
      </c>
      <c r="C26" s="35" t="s">
        <v>496</v>
      </c>
      <c r="D26" s="32" t="s">
        <v>1903</v>
      </c>
      <c r="E26" s="11" t="str">
        <f>HYPERLINK("https://youtu.be/FrdcGWJlLO4","channel 2")</f>
        <v>channel 2</v>
      </c>
    </row>
    <row r="27">
      <c r="A27" s="66"/>
      <c r="B27" s="34" t="s">
        <v>3077</v>
      </c>
      <c r="C27" s="35" t="s">
        <v>11</v>
      </c>
      <c r="D27" s="34" t="s">
        <v>2073</v>
      </c>
      <c r="E27" s="11" t="str">
        <f>HYPERLINK("https://youtu.be/CdL3e2WXR3o?t=1059","channel 1")</f>
        <v>channel 1</v>
      </c>
    </row>
    <row r="28">
      <c r="A28" s="66"/>
      <c r="B28" s="34" t="s">
        <v>2747</v>
      </c>
      <c r="C28" s="35" t="s">
        <v>716</v>
      </c>
      <c r="D28" s="34" t="s">
        <v>1324</v>
      </c>
      <c r="E28" s="11" t="str">
        <f>HYPERLINK("https://youtu.be/FrdcGWJlLO4?t=1088","channel 2")</f>
        <v>channel 2</v>
      </c>
    </row>
    <row r="29">
      <c r="A29" s="66"/>
      <c r="B29" s="34" t="s">
        <v>3077</v>
      </c>
      <c r="C29" s="35" t="s">
        <v>1311</v>
      </c>
      <c r="D29" s="32" t="s">
        <v>1903</v>
      </c>
      <c r="E29" s="11" t="str">
        <f>HYPERLINK("https://youtu.be/CdL3e2WXR3o?t=1951","channel 1")</f>
        <v>channel 1</v>
      </c>
    </row>
    <row r="30">
      <c r="A30" s="66"/>
      <c r="B30" s="34" t="s">
        <v>2747</v>
      </c>
      <c r="C30" s="35" t="s">
        <v>261</v>
      </c>
      <c r="D30" s="34" t="s">
        <v>2073</v>
      </c>
      <c r="E30" s="11" t="str">
        <f>HYPERLINK("https://youtu.be/FrdcGWJlLO4?t=2022","channel 2")</f>
        <v>channel 2</v>
      </c>
    </row>
    <row r="31">
      <c r="A31" s="66"/>
      <c r="B31" s="34" t="s">
        <v>3077</v>
      </c>
      <c r="C31" s="35" t="s">
        <v>239</v>
      </c>
      <c r="D31" s="34" t="s">
        <v>1324</v>
      </c>
      <c r="E31" s="11" t="str">
        <f>HYPERLINK("https://youtu.be/CdL3e2WXR3o?t=2898","channel 1")</f>
        <v>channel 1</v>
      </c>
    </row>
    <row r="32">
      <c r="A32" s="66"/>
      <c r="B32" s="32" t="s">
        <v>1903</v>
      </c>
      <c r="C32" s="35" t="s">
        <v>329</v>
      </c>
      <c r="D32" s="34" t="s">
        <v>2073</v>
      </c>
      <c r="E32" s="11" t="str">
        <f>HYPERLINK("https://youtu.be/FrdcGWJlLO4?t=2955","channel 2")</f>
        <v>channel 2</v>
      </c>
    </row>
    <row r="33">
      <c r="A33" s="66"/>
      <c r="B33" s="34" t="s">
        <v>3077</v>
      </c>
      <c r="C33" s="35" t="s">
        <v>520</v>
      </c>
      <c r="D33" s="34" t="s">
        <v>2747</v>
      </c>
      <c r="E33" s="11" t="str">
        <f>HYPERLINK("https://youtu.be/CdL3e2WXR3o?t=3826","channel 1")</f>
        <v>channel 1</v>
      </c>
    </row>
    <row r="34">
      <c r="A34" s="66"/>
      <c r="B34" s="32" t="s">
        <v>1903</v>
      </c>
      <c r="C34" s="35" t="s">
        <v>465</v>
      </c>
      <c r="D34" s="34" t="s">
        <v>1324</v>
      </c>
      <c r="E34" s="11" t="str">
        <f>HYPERLINK("https://youtu.be/FrdcGWJlLO4?t=3911","channel 2")</f>
        <v>channel 2</v>
      </c>
    </row>
    <row r="35">
      <c r="A35" s="66"/>
      <c r="B35" s="34" t="s">
        <v>1324</v>
      </c>
      <c r="C35" s="35" t="s">
        <v>197</v>
      </c>
      <c r="D35" s="34" t="s">
        <v>2073</v>
      </c>
      <c r="E35" s="11" t="str">
        <f>HYPERLINK("https://youtu.be/CdL3e2WXR3o?t=3826","channel 1")</f>
        <v>channel 1</v>
      </c>
    </row>
    <row r="36">
      <c r="A36" s="66"/>
      <c r="B36" s="32" t="s">
        <v>1903</v>
      </c>
      <c r="C36" s="35" t="s">
        <v>31</v>
      </c>
      <c r="D36" s="34" t="s">
        <v>2747</v>
      </c>
      <c r="E36" s="11" t="str">
        <f>HYPERLINK("https://youtu.be/FrdcGWJlLO4?t=4892","channel 2")</f>
        <v>channel 2</v>
      </c>
    </row>
    <row r="37">
      <c r="A37" s="66"/>
      <c r="B37" s="34" t="s">
        <v>2073</v>
      </c>
      <c r="C37" s="35" t="s">
        <v>195</v>
      </c>
      <c r="D37" s="34" t="s">
        <v>3077</v>
      </c>
      <c r="E37" s="11" t="str">
        <f>HYPERLINK("https://youtu.be/CdL3e2WXR3o?t=5713","channel 1")</f>
        <v>channel 1</v>
      </c>
    </row>
    <row r="38">
      <c r="A38" s="66"/>
      <c r="B38" s="34" t="s">
        <v>1324</v>
      </c>
      <c r="C38" s="35" t="s">
        <v>369</v>
      </c>
      <c r="D38" s="34" t="s">
        <v>2747</v>
      </c>
      <c r="E38" s="11" t="str">
        <f>HYPERLINK("https://youtu.be/FrdcGWJlLO4?t=5827","channel 2")</f>
        <v>channel 2</v>
      </c>
    </row>
    <row r="39">
      <c r="A39" s="66"/>
      <c r="B39" s="32" t="s">
        <v>1903</v>
      </c>
      <c r="C39" s="35" t="s">
        <v>196</v>
      </c>
      <c r="D39" s="34" t="s">
        <v>3077</v>
      </c>
      <c r="E39" s="11" t="str">
        <f>HYPERLINK("https://youtu.be/CdL3e2WXR3o?t=6673","channel 1")</f>
        <v>channel 1</v>
      </c>
    </row>
    <row r="40">
      <c r="A40" s="66"/>
      <c r="B40" s="34" t="s">
        <v>2073</v>
      </c>
      <c r="C40" s="35" t="s">
        <v>239</v>
      </c>
      <c r="D40" s="34" t="s">
        <v>2747</v>
      </c>
      <c r="E40" s="11" t="str">
        <f>HYPERLINK("https://youtu.be/FrdcGWJlLO4?t=6754","channel 2")</f>
        <v>channel 2</v>
      </c>
    </row>
    <row r="41">
      <c r="A41" s="66"/>
      <c r="B41" s="34" t="s">
        <v>1324</v>
      </c>
      <c r="C41" s="35" t="s">
        <v>1478</v>
      </c>
      <c r="D41" s="34" t="s">
        <v>3077</v>
      </c>
      <c r="E41" s="11" t="str">
        <f>HYPERLINK("https://youtu.be/CdL3e2WXR3o?t=7671","channel 1")</f>
        <v>channel 1</v>
      </c>
    </row>
    <row r="42">
      <c r="A42" s="66"/>
      <c r="B42" s="34" t="s">
        <v>2073</v>
      </c>
      <c r="C42" s="35" t="s">
        <v>545</v>
      </c>
      <c r="D42" s="32" t="s">
        <v>1903</v>
      </c>
      <c r="E42" s="11" t="str">
        <f>HYPERLINK("https://youtu.be/FrdcGWJlLO4?t=7689","channel 2")</f>
        <v>channel 2</v>
      </c>
    </row>
    <row r="43">
      <c r="A43" s="66"/>
      <c r="B43" s="34" t="s">
        <v>2747</v>
      </c>
      <c r="C43" s="35" t="s">
        <v>88</v>
      </c>
      <c r="D43" s="34" t="s">
        <v>3077</v>
      </c>
      <c r="E43" s="11" t="str">
        <f>HYPERLINK("https://youtu.be/CdL3e2WXR3o?t=8585","channel 1")</f>
        <v>channel 1</v>
      </c>
    </row>
    <row r="44">
      <c r="A44" s="67"/>
      <c r="B44" s="34" t="s">
        <v>1324</v>
      </c>
      <c r="C44" s="35" t="s">
        <v>62</v>
      </c>
      <c r="D44" s="32" t="s">
        <v>1903</v>
      </c>
      <c r="E44" s="11" t="str">
        <f>HYPERLINK("https://youtu.be/FrdcGWJlLO4?t=8624","channel 2")</f>
        <v>channel 2</v>
      </c>
    </row>
    <row r="45">
      <c r="B45" s="72" t="s">
        <v>2953</v>
      </c>
      <c r="C45" s="2"/>
      <c r="D45" s="3"/>
      <c r="E45" s="2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34" t="s">
        <v>3078</v>
      </c>
      <c r="C47" s="35" t="s">
        <v>201</v>
      </c>
      <c r="D47" s="34" t="s">
        <v>3079</v>
      </c>
      <c r="E47" s="11" t="str">
        <f>HYPERLINK("https://youtu.be/LoqGIUnatQ4","channel 1")</f>
        <v>channel 1</v>
      </c>
    </row>
    <row r="48">
      <c r="B48" s="34" t="s">
        <v>3080</v>
      </c>
      <c r="C48" s="35" t="s">
        <v>23</v>
      </c>
      <c r="D48" s="32" t="s">
        <v>3081</v>
      </c>
      <c r="E48" s="11" t="str">
        <f>HYPERLINK("https://youtu.be/pzFMZQkFUfw","channel 2")</f>
        <v>channel 2</v>
      </c>
    </row>
    <row r="49">
      <c r="B49" s="34" t="s">
        <v>3082</v>
      </c>
      <c r="C49" s="35" t="s">
        <v>195</v>
      </c>
      <c r="D49" s="34" t="s">
        <v>3078</v>
      </c>
      <c r="E49" s="11" t="str">
        <f>HYPERLINK("https://youtu.be/LoqGIUnatQ4?t=933","channel 1")</f>
        <v>channel 1</v>
      </c>
    </row>
    <row r="50">
      <c r="B50" s="34" t="s">
        <v>3080</v>
      </c>
      <c r="C50" s="35" t="s">
        <v>87</v>
      </c>
      <c r="D50" s="34" t="s">
        <v>3079</v>
      </c>
      <c r="E50" s="11" t="str">
        <f>HYPERLINK("https://youtu.be/pzFMZQkFUfw?t=1033","channel 2")</f>
        <v>channel 2</v>
      </c>
    </row>
    <row r="51">
      <c r="B51" s="34" t="s">
        <v>3082</v>
      </c>
      <c r="C51" s="35" t="s">
        <v>912</v>
      </c>
      <c r="D51" s="32" t="s">
        <v>3081</v>
      </c>
      <c r="E51" s="11" t="str">
        <f>HYPERLINK("https://youtu.be/LoqGIUnatQ4?t=1954","channel 1")</f>
        <v>channel 1</v>
      </c>
    </row>
    <row r="52">
      <c r="B52" s="34" t="s">
        <v>3080</v>
      </c>
      <c r="C52" s="35" t="s">
        <v>329</v>
      </c>
      <c r="D52" s="34" t="s">
        <v>3078</v>
      </c>
      <c r="E52" s="11" t="str">
        <f>HYPERLINK("https://youtu.be/pzFMZQkFUfw?t=2071","channel 2")</f>
        <v>channel 2</v>
      </c>
    </row>
    <row r="53">
      <c r="B53" s="34" t="s">
        <v>3082</v>
      </c>
      <c r="C53" s="35" t="s">
        <v>17</v>
      </c>
      <c r="D53" s="34" t="s">
        <v>3079</v>
      </c>
      <c r="E53" s="11" t="str">
        <f>HYPERLINK("https://youtu.be/LoqGIUnatQ4?t=2850","channel 1")</f>
        <v>channel 1</v>
      </c>
    </row>
    <row r="54">
      <c r="B54" s="32" t="s">
        <v>3081</v>
      </c>
      <c r="C54" s="35" t="s">
        <v>68</v>
      </c>
      <c r="D54" s="34" t="s">
        <v>3078</v>
      </c>
      <c r="E54" s="11" t="str">
        <f>HYPERLINK("https://youtu.be/pzFMZQkFUfw?t=2923","channel 2")</f>
        <v>channel 2</v>
      </c>
    </row>
    <row r="55">
      <c r="B55" s="34" t="s">
        <v>3082</v>
      </c>
      <c r="C55" s="35" t="s">
        <v>17</v>
      </c>
      <c r="D55" s="34" t="s">
        <v>3080</v>
      </c>
      <c r="E55" s="11" t="str">
        <f>HYPERLINK("https://youtu.be/LoqGIUnatQ4?t=3761","channel 1")</f>
        <v>channel 1</v>
      </c>
    </row>
    <row r="56">
      <c r="B56" s="32" t="s">
        <v>3081</v>
      </c>
      <c r="C56" s="35" t="s">
        <v>41</v>
      </c>
      <c r="D56" s="34" t="s">
        <v>3079</v>
      </c>
      <c r="E56" s="11" t="str">
        <f>HYPERLINK("https://youtu.be/pzFMZQkFUfw?t=3846","channel 2")</f>
        <v>channel 2</v>
      </c>
    </row>
    <row r="57">
      <c r="B57" s="34" t="s">
        <v>3079</v>
      </c>
      <c r="C57" s="35" t="s">
        <v>87</v>
      </c>
      <c r="D57" s="34" t="s">
        <v>3078</v>
      </c>
      <c r="E57" s="11" t="str">
        <f>HYPERLINK("https://youtu.be/LoqGIUnatQ4?t=4647","channel 1")</f>
        <v>channel 1</v>
      </c>
    </row>
    <row r="58">
      <c r="B58" s="32" t="s">
        <v>3081</v>
      </c>
      <c r="C58" s="35" t="s">
        <v>87</v>
      </c>
      <c r="D58" s="34" t="s">
        <v>3080</v>
      </c>
      <c r="E58" s="11" t="str">
        <f>HYPERLINK("https://youtu.be/pzFMZQkFUfw?t=4716","channel 2")</f>
        <v>channel 2</v>
      </c>
    </row>
    <row r="59">
      <c r="B59" s="34" t="s">
        <v>3078</v>
      </c>
      <c r="C59" s="35" t="s">
        <v>58</v>
      </c>
      <c r="D59" s="34" t="s">
        <v>3082</v>
      </c>
      <c r="E59" s="11" t="str">
        <f>HYPERLINK("https://youtu.be/LoqGIUnatQ4?t=5534","channel 1")</f>
        <v>channel 1</v>
      </c>
    </row>
    <row r="60">
      <c r="B60" s="34" t="s">
        <v>3079</v>
      </c>
      <c r="C60" s="35" t="s">
        <v>196</v>
      </c>
      <c r="D60" s="34" t="s">
        <v>3080</v>
      </c>
      <c r="E60" s="11" t="str">
        <f>HYPERLINK("https://youtu.be/pzFMZQkFUfw?t=5625","channel 2")</f>
        <v>channel 2</v>
      </c>
    </row>
    <row r="61">
      <c r="B61" s="32" t="s">
        <v>3081</v>
      </c>
      <c r="C61" s="35" t="s">
        <v>68</v>
      </c>
      <c r="D61" s="34" t="s">
        <v>3082</v>
      </c>
      <c r="E61" s="11" t="str">
        <f>HYPERLINK("https://youtu.be/LoqGIUnatQ4?t=6511","channel 1")</f>
        <v>channel 1</v>
      </c>
    </row>
    <row r="62">
      <c r="B62" s="34" t="s">
        <v>3078</v>
      </c>
      <c r="C62" s="35" t="s">
        <v>716</v>
      </c>
      <c r="D62" s="34" t="s">
        <v>3080</v>
      </c>
      <c r="E62" s="11" t="str">
        <f>HYPERLINK("https://youtu.be/pzFMZQkFUfw?t=6622","channel 2")</f>
        <v>channel 2</v>
      </c>
    </row>
    <row r="63">
      <c r="B63" s="34" t="s">
        <v>3079</v>
      </c>
      <c r="C63" s="35" t="s">
        <v>286</v>
      </c>
      <c r="D63" s="34" t="s">
        <v>3082</v>
      </c>
      <c r="E63" s="11" t="str">
        <f>HYPERLINK("https://youtu.be/LoqGIUnatQ4?t=7323","channel 1")</f>
        <v>channel 1</v>
      </c>
    </row>
    <row r="64">
      <c r="B64" s="34" t="s">
        <v>3078</v>
      </c>
      <c r="C64" s="35" t="s">
        <v>17</v>
      </c>
      <c r="D64" s="32" t="s">
        <v>3081</v>
      </c>
      <c r="E64" s="11" t="str">
        <f>HYPERLINK("https://youtu.be/pzFMZQkFUfw?t=7505","channel 2")</f>
        <v>channel 2</v>
      </c>
    </row>
    <row r="65">
      <c r="B65" s="34" t="s">
        <v>3080</v>
      </c>
      <c r="C65" s="35" t="s">
        <v>779</v>
      </c>
      <c r="D65" s="34" t="s">
        <v>3082</v>
      </c>
      <c r="E65" s="11" t="str">
        <f>HYPERLINK("https://youtu.be/LoqGIUnatQ4?t=8201","channel 1")</f>
        <v>channel 1</v>
      </c>
    </row>
    <row r="66">
      <c r="B66" s="34" t="s">
        <v>3079</v>
      </c>
      <c r="C66" s="35" t="s">
        <v>11</v>
      </c>
      <c r="D66" s="32" t="s">
        <v>3081</v>
      </c>
      <c r="E66" s="11" t="str">
        <f>HYPERLINK("https://youtu.be/pzFMZQkFUfw?t=8349","channel 2")</f>
        <v>channel 2</v>
      </c>
    </row>
    <row r="67">
      <c r="B67" s="72" t="s">
        <v>2099</v>
      </c>
      <c r="C67" s="2"/>
      <c r="D67" s="3"/>
      <c r="E67" s="29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34" t="s">
        <v>1798</v>
      </c>
      <c r="C69" s="35" t="s">
        <v>297</v>
      </c>
      <c r="D69" s="34" t="s">
        <v>2898</v>
      </c>
      <c r="E69" s="11" t="str">
        <f>HYPERLINK("https://youtu.be/_CqtkmqNnZQ","channel 1")</f>
        <v>channel 1</v>
      </c>
    </row>
    <row r="70">
      <c r="B70" s="34" t="s">
        <v>3083</v>
      </c>
      <c r="C70" s="35" t="s">
        <v>18</v>
      </c>
      <c r="D70" s="32" t="s">
        <v>2594</v>
      </c>
      <c r="E70" s="11" t="str">
        <f>HYPERLINK("https://youtu.be/PiwcF1AKh5k","channel 2")</f>
        <v>channel 2</v>
      </c>
    </row>
    <row r="71">
      <c r="B71" s="34" t="s">
        <v>2897</v>
      </c>
      <c r="C71" s="35" t="s">
        <v>363</v>
      </c>
      <c r="D71" s="34" t="s">
        <v>1798</v>
      </c>
      <c r="E71" s="11" t="str">
        <f>HYPERLINK("https://youtu.be/_CqtkmqNnZQ?t=889","channel 1")</f>
        <v>channel 1</v>
      </c>
    </row>
    <row r="72">
      <c r="B72" s="34" t="s">
        <v>3083</v>
      </c>
      <c r="C72" s="35" t="s">
        <v>239</v>
      </c>
      <c r="D72" s="34" t="s">
        <v>2898</v>
      </c>
      <c r="E72" s="11" t="str">
        <f>HYPERLINK("https://youtu.be/PiwcF1AKh5k?t=987","channel 2")</f>
        <v>channel 2</v>
      </c>
    </row>
    <row r="73">
      <c r="B73" s="34" t="s">
        <v>2897</v>
      </c>
      <c r="C73" s="35" t="s">
        <v>197</v>
      </c>
      <c r="D73" s="32" t="s">
        <v>2594</v>
      </c>
      <c r="E73" s="11" t="str">
        <f>HYPERLINK("https://youtu.be/_CqtkmqNnZQ?t=1882","channel 1")</f>
        <v>channel 1</v>
      </c>
    </row>
    <row r="74">
      <c r="B74" s="34" t="s">
        <v>3083</v>
      </c>
      <c r="C74" s="35" t="s">
        <v>363</v>
      </c>
      <c r="D74" s="34" t="s">
        <v>1798</v>
      </c>
      <c r="E74" s="11" t="str">
        <f>HYPERLINK("https://youtu.be/PiwcF1AKh5k?t=1956","channel 2")</f>
        <v>channel 2</v>
      </c>
    </row>
    <row r="75">
      <c r="B75" s="34" t="s">
        <v>2897</v>
      </c>
      <c r="C75" s="35" t="s">
        <v>270</v>
      </c>
      <c r="D75" s="34" t="s">
        <v>2898</v>
      </c>
      <c r="E75" s="11" t="str">
        <f>HYPERLINK("https://youtu.be/_CqtkmqNnZQ?t=2820","channel 1")</f>
        <v>channel 1</v>
      </c>
    </row>
    <row r="76">
      <c r="B76" s="32" t="s">
        <v>2594</v>
      </c>
      <c r="C76" s="35" t="s">
        <v>16</v>
      </c>
      <c r="D76" s="34" t="s">
        <v>1798</v>
      </c>
      <c r="E76" s="11" t="str">
        <f>HYPERLINK("https://youtu.be/PiwcF1AKh5k?t=2869","channel 2")</f>
        <v>channel 2</v>
      </c>
    </row>
    <row r="77">
      <c r="B77" s="34" t="s">
        <v>2897</v>
      </c>
      <c r="C77" s="35" t="s">
        <v>62</v>
      </c>
      <c r="D77" s="34" t="s">
        <v>3083</v>
      </c>
      <c r="E77" s="11" t="str">
        <f>HYPERLINK("https://youtu.be/_CqtkmqNnZQ?t=3733","channel 1")</f>
        <v>channel 1</v>
      </c>
    </row>
    <row r="78">
      <c r="B78" s="32" t="s">
        <v>2594</v>
      </c>
      <c r="C78" s="35" t="s">
        <v>43</v>
      </c>
      <c r="D78" s="34" t="s">
        <v>2898</v>
      </c>
      <c r="E78" s="11" t="str">
        <f>HYPERLINK("https://youtu.be/PiwcF1AKh5k?t=3779","channel 2")</f>
        <v>channel 2</v>
      </c>
    </row>
    <row r="79">
      <c r="B79" s="34" t="s">
        <v>2898</v>
      </c>
      <c r="C79" s="35" t="s">
        <v>195</v>
      </c>
      <c r="D79" s="34" t="s">
        <v>1798</v>
      </c>
      <c r="E79" s="11" t="str">
        <f>HYPERLINK("https://youtu.be/_CqtkmqNnZQ?t=4653","channel 1")</f>
        <v>channel 1</v>
      </c>
    </row>
    <row r="80">
      <c r="B80" s="32" t="s">
        <v>2594</v>
      </c>
      <c r="C80" s="35" t="s">
        <v>193</v>
      </c>
      <c r="D80" s="34" t="s">
        <v>3083</v>
      </c>
      <c r="E80" s="11" t="str">
        <f>HYPERLINK("https://youtu.be/PiwcF1AKh5k?t=4705","channel 2")</f>
        <v>channel 2</v>
      </c>
    </row>
    <row r="81">
      <c r="B81" s="34" t="s">
        <v>1798</v>
      </c>
      <c r="C81" s="35" t="s">
        <v>743</v>
      </c>
      <c r="D81" s="34" t="s">
        <v>2897</v>
      </c>
      <c r="E81" s="11" t="str">
        <f>HYPERLINK("https://youtu.be/_CqtkmqNnZQ?t=5517","channel 1")</f>
        <v>channel 1</v>
      </c>
    </row>
    <row r="82">
      <c r="B82" s="34" t="s">
        <v>2898</v>
      </c>
      <c r="C82" s="35" t="s">
        <v>19</v>
      </c>
      <c r="D82" s="34" t="s">
        <v>3083</v>
      </c>
      <c r="E82" s="11" t="str">
        <f>HYPERLINK("https://youtu.be/PiwcF1AKh5k?t=5598","channel 2")</f>
        <v>channel 2</v>
      </c>
    </row>
    <row r="83">
      <c r="B83" s="32" t="s">
        <v>2594</v>
      </c>
      <c r="C83" s="35" t="s">
        <v>195</v>
      </c>
      <c r="D83" s="34" t="s">
        <v>2897</v>
      </c>
      <c r="E83" s="11" t="str">
        <f>HYPERLINK("https://youtu.be/_CqtkmqNnZQ?t=6479","channel 1")</f>
        <v>channel 1</v>
      </c>
    </row>
    <row r="84">
      <c r="B84" s="34" t="s">
        <v>1798</v>
      </c>
      <c r="C84" s="35" t="s">
        <v>455</v>
      </c>
      <c r="D84" s="34" t="s">
        <v>3083</v>
      </c>
      <c r="E84" s="11" t="str">
        <f>HYPERLINK("https://youtu.be/PiwcF1AKh5k?t=6585","channel 2")</f>
        <v>channel 2</v>
      </c>
    </row>
    <row r="85">
      <c r="B85" s="34" t="s">
        <v>2898</v>
      </c>
      <c r="C85" s="35" t="s">
        <v>284</v>
      </c>
      <c r="D85" s="34" t="s">
        <v>2897</v>
      </c>
      <c r="E85" s="11" t="str">
        <f>HYPERLINK("https://youtu.be/_CqtkmqNnZQ?t=7396","channel 1")</f>
        <v>channel 1</v>
      </c>
    </row>
    <row r="86">
      <c r="B86" s="34" t="s">
        <v>1798</v>
      </c>
      <c r="C86" s="35" t="s">
        <v>203</v>
      </c>
      <c r="D86" s="32" t="s">
        <v>2594</v>
      </c>
      <c r="E86" s="11" t="str">
        <f>HYPERLINK("https://youtu.be/PiwcF1AKh5k?t=7569","channel 2")</f>
        <v>channel 2</v>
      </c>
    </row>
    <row r="87">
      <c r="B87" s="34" t="s">
        <v>3083</v>
      </c>
      <c r="C87" s="35" t="s">
        <v>993</v>
      </c>
      <c r="D87" s="34" t="s">
        <v>2897</v>
      </c>
      <c r="E87" s="11" t="str">
        <f>HYPERLINK("https://youtu.be/_CqtkmqNnZQ?t=8344","channel 1")</f>
        <v>channel 1</v>
      </c>
    </row>
    <row r="88">
      <c r="B88" s="34" t="s">
        <v>2898</v>
      </c>
      <c r="C88" s="35" t="s">
        <v>260</v>
      </c>
      <c r="D88" s="32" t="s">
        <v>2594</v>
      </c>
      <c r="E88" s="11" t="str">
        <f>HYPERLINK("https://youtu.be/PiwcF1AKh5k?t=8422","channel 2")</f>
        <v>channel 2</v>
      </c>
    </row>
    <row r="89">
      <c r="B89" s="72" t="s">
        <v>3084</v>
      </c>
      <c r="C89" s="2"/>
      <c r="D89" s="3"/>
      <c r="E89" s="84"/>
    </row>
    <row r="90">
      <c r="B90" s="85" t="s">
        <v>2</v>
      </c>
      <c r="C90" s="86" t="s">
        <v>3</v>
      </c>
      <c r="D90" s="86" t="s">
        <v>4</v>
      </c>
      <c r="E90" s="86" t="s">
        <v>5</v>
      </c>
    </row>
    <row r="91">
      <c r="B91" s="87" t="s">
        <v>3085</v>
      </c>
      <c r="C91" s="88" t="s">
        <v>195</v>
      </c>
      <c r="D91" s="89" t="s">
        <v>3086</v>
      </c>
      <c r="E91" s="97" t="str">
        <f>HYPERLINK("https://youtu.be/2M9ugG2xu9g","channel 3")</f>
        <v>channel 3</v>
      </c>
    </row>
    <row r="92">
      <c r="B92" s="87" t="s">
        <v>2108</v>
      </c>
      <c r="C92" s="88" t="s">
        <v>17</v>
      </c>
      <c r="D92" s="89" t="s">
        <v>3087</v>
      </c>
      <c r="E92" s="97" t="str">
        <f>HYPERLINK("https://youtu.be/3EvwxFygU58","channel 4")</f>
        <v>channel 4</v>
      </c>
    </row>
    <row r="93">
      <c r="B93" s="100" t="s">
        <v>3088</v>
      </c>
      <c r="C93" s="88" t="s">
        <v>22</v>
      </c>
      <c r="D93" s="89" t="s">
        <v>3085</v>
      </c>
      <c r="E93" s="97" t="str">
        <f>HYPERLINK("https://youtu.be/2M9ugG2xu9g?t=1055","channel 3")</f>
        <v>channel 3</v>
      </c>
    </row>
    <row r="94">
      <c r="B94" s="87" t="s">
        <v>2108</v>
      </c>
      <c r="C94" s="88" t="s">
        <v>285</v>
      </c>
      <c r="D94" s="89" t="s">
        <v>3086</v>
      </c>
      <c r="E94" s="97" t="str">
        <f>HYPERLINK("https://youtu.be/3EvwxFygU58?t=957","channel 4")</f>
        <v>channel 4</v>
      </c>
    </row>
    <row r="95">
      <c r="B95" s="100" t="s">
        <v>3088</v>
      </c>
      <c r="C95" s="88" t="s">
        <v>35</v>
      </c>
      <c r="D95" s="89" t="s">
        <v>3087</v>
      </c>
      <c r="E95" s="97" t="str">
        <f>HYPERLINK("https://youtu.be/2M9ugG2xu9g?t=1929","channel 3")</f>
        <v>channel 3</v>
      </c>
    </row>
    <row r="96">
      <c r="B96" s="87" t="s">
        <v>2108</v>
      </c>
      <c r="C96" s="88" t="s">
        <v>78</v>
      </c>
      <c r="D96" s="89" t="s">
        <v>3085</v>
      </c>
      <c r="E96" s="97" t="str">
        <f>HYPERLINK("https://youtu.be/3EvwxFygU58?t=1848","channel 4")</f>
        <v>channel 4</v>
      </c>
    </row>
    <row r="97">
      <c r="B97" s="100" t="s">
        <v>3088</v>
      </c>
      <c r="C97" s="88" t="s">
        <v>41</v>
      </c>
      <c r="D97" s="89" t="s">
        <v>3086</v>
      </c>
      <c r="E97" s="97" t="str">
        <f>HYPERLINK("https://youtu.be/2M9ugG2xu9g?t=2851","channel 3")</f>
        <v>channel 3</v>
      </c>
    </row>
    <row r="98">
      <c r="B98" s="87" t="s">
        <v>3087</v>
      </c>
      <c r="C98" s="88" t="s">
        <v>7</v>
      </c>
      <c r="D98" s="89" t="s">
        <v>3085</v>
      </c>
      <c r="E98" s="97" t="str">
        <f>HYPERLINK("https://youtu.be/3EvwxFygU58?t=2747","channel 4")</f>
        <v>channel 4</v>
      </c>
    </row>
    <row r="99">
      <c r="B99" s="100" t="s">
        <v>3088</v>
      </c>
      <c r="C99" s="88" t="s">
        <v>18</v>
      </c>
      <c r="D99" s="89" t="s">
        <v>2108</v>
      </c>
      <c r="E99" s="97" t="str">
        <f>HYPERLINK("https://youtu.be/2M9ugG2xu9g?t=3669","channel 3")</f>
        <v>channel 3</v>
      </c>
    </row>
    <row r="100">
      <c r="B100" s="87" t="s">
        <v>3087</v>
      </c>
      <c r="C100" s="88" t="s">
        <v>578</v>
      </c>
      <c r="D100" s="89" t="s">
        <v>3086</v>
      </c>
      <c r="E100" s="97" t="str">
        <f>HYPERLINK("https://youtu.be/3EvwxFygU58?t=3638","channel 4")</f>
        <v>channel 4</v>
      </c>
    </row>
    <row r="101">
      <c r="B101" s="87" t="s">
        <v>3086</v>
      </c>
      <c r="C101" s="88" t="s">
        <v>578</v>
      </c>
      <c r="D101" s="89" t="s">
        <v>3085</v>
      </c>
      <c r="E101" s="97" t="str">
        <f>HYPERLINK("https://youtu.be/2M9ugG2xu9g?t=4528","channel 3")</f>
        <v>channel 3</v>
      </c>
    </row>
    <row r="102">
      <c r="B102" s="87" t="s">
        <v>3087</v>
      </c>
      <c r="C102" s="88" t="s">
        <v>297</v>
      </c>
      <c r="D102" s="89" t="s">
        <v>2108</v>
      </c>
      <c r="E102" s="97" t="str">
        <f>HYPERLINK("https://youtu.be/3EvwxFygU58?t=4506","channel 4")</f>
        <v>channel 4</v>
      </c>
    </row>
    <row r="103">
      <c r="B103" s="87" t="s">
        <v>3085</v>
      </c>
      <c r="C103" s="88" t="s">
        <v>7</v>
      </c>
      <c r="D103" s="100" t="s">
        <v>3088</v>
      </c>
      <c r="E103" s="97" t="str">
        <f>HYPERLINK("https://youtu.be/2M9ugG2xu9g?t=5352","channel 3")</f>
        <v>channel 3</v>
      </c>
    </row>
    <row r="104">
      <c r="B104" s="87" t="s">
        <v>3086</v>
      </c>
      <c r="C104" s="88" t="s">
        <v>66</v>
      </c>
      <c r="D104" s="89" t="s">
        <v>2108</v>
      </c>
      <c r="E104" s="97" t="str">
        <f>HYPERLINK("https://youtu.be/3EvwxFygU58?t=5341","channel 4")</f>
        <v>channel 4</v>
      </c>
    </row>
    <row r="105">
      <c r="B105" s="87" t="s">
        <v>3087</v>
      </c>
      <c r="C105" s="88" t="s">
        <v>267</v>
      </c>
      <c r="D105" s="100" t="s">
        <v>3088</v>
      </c>
      <c r="E105" s="97" t="str">
        <f>HYPERLINK("https://youtu.be/2M9ugG2xu9g?t=6978","channel 3")</f>
        <v>channel 3</v>
      </c>
    </row>
    <row r="106">
      <c r="B106" s="87" t="s">
        <v>3085</v>
      </c>
      <c r="C106" s="88" t="s">
        <v>535</v>
      </c>
      <c r="D106" s="89" t="s">
        <v>2108</v>
      </c>
      <c r="E106" s="97" t="str">
        <f>HYPERLINK("https://youtu.be/3EvwxFygU58?t=6885","channel 4")</f>
        <v>channel 4</v>
      </c>
    </row>
    <row r="107">
      <c r="B107" s="87" t="s">
        <v>3086</v>
      </c>
      <c r="C107" s="88" t="s">
        <v>1633</v>
      </c>
      <c r="D107" s="100" t="s">
        <v>3088</v>
      </c>
      <c r="E107" s="97" t="str">
        <f>HYPERLINK("https://youtu.be/2M9ugG2xu9g?t=7914","channel 3")</f>
        <v>channel 3</v>
      </c>
      <c r="H107" s="36" t="s">
        <v>242</v>
      </c>
    </row>
    <row r="108">
      <c r="B108" s="87" t="s">
        <v>3085</v>
      </c>
      <c r="C108" s="88" t="s">
        <v>18</v>
      </c>
      <c r="D108" s="89" t="s">
        <v>3087</v>
      </c>
      <c r="E108" s="97" t="str">
        <f>HYPERLINK("https://youtu.be/3EvwxFygU58?t=7870","channel 4")</f>
        <v>channel 4</v>
      </c>
    </row>
    <row r="109">
      <c r="B109" s="87" t="s">
        <v>2108</v>
      </c>
      <c r="C109" s="88" t="s">
        <v>43</v>
      </c>
      <c r="D109" s="100" t="s">
        <v>3088</v>
      </c>
      <c r="E109" s="97" t="str">
        <f>HYPERLINK("https://youtu.be/2M9ugG2xu9g?t=8820","channel 3")</f>
        <v>channel 3</v>
      </c>
    </row>
    <row r="110">
      <c r="B110" s="87" t="s">
        <v>3086</v>
      </c>
      <c r="C110" s="88" t="s">
        <v>194</v>
      </c>
      <c r="D110" s="89" t="s">
        <v>3087</v>
      </c>
      <c r="E110" s="97" t="str">
        <f>HYPERLINK("https://youtu.be/3EvwxFygU58?t=8769","channel 4")</f>
        <v>channel 4</v>
      </c>
    </row>
    <row r="111">
      <c r="B111" s="72" t="s">
        <v>2894</v>
      </c>
      <c r="C111" s="2"/>
      <c r="D111" s="3"/>
      <c r="E111" s="84"/>
    </row>
    <row r="112">
      <c r="B112" s="85" t="s">
        <v>2</v>
      </c>
      <c r="C112" s="86" t="s">
        <v>3</v>
      </c>
      <c r="D112" s="86" t="s">
        <v>4</v>
      </c>
      <c r="E112" s="86" t="s">
        <v>5</v>
      </c>
    </row>
    <row r="113">
      <c r="B113" s="87" t="s">
        <v>3089</v>
      </c>
      <c r="C113" s="88" t="s">
        <v>260</v>
      </c>
      <c r="D113" s="89" t="s">
        <v>3061</v>
      </c>
      <c r="E113" s="97" t="str">
        <f>HYPERLINK("https://youtu.be/vxbUESI3If8","channel 3")</f>
        <v>channel 3</v>
      </c>
    </row>
    <row r="114">
      <c r="B114" s="87" t="s">
        <v>3090</v>
      </c>
      <c r="C114" s="88" t="s">
        <v>81</v>
      </c>
      <c r="D114" s="89" t="s">
        <v>2113</v>
      </c>
      <c r="E114" s="97" t="str">
        <f>HYPERLINK("https://youtu.be/fYk8I4MsMh0","channel 4")</f>
        <v>channel 4</v>
      </c>
    </row>
    <row r="115">
      <c r="B115" s="100" t="s">
        <v>3091</v>
      </c>
      <c r="C115" s="88" t="s">
        <v>446</v>
      </c>
      <c r="D115" s="89" t="s">
        <v>3089</v>
      </c>
      <c r="E115" s="97" t="str">
        <f>HYPERLINK("https://youtu.be/vxbUESI3If8?t=953","channel 3")</f>
        <v>channel 3</v>
      </c>
    </row>
    <row r="116">
      <c r="B116" s="87" t="s">
        <v>3090</v>
      </c>
      <c r="C116" s="88" t="s">
        <v>78</v>
      </c>
      <c r="D116" s="89" t="s">
        <v>3061</v>
      </c>
      <c r="E116" s="97" t="str">
        <f>HYPERLINK("https://youtu.be/fYk8I4MsMh0?t=972","channel 4")</f>
        <v>channel 4</v>
      </c>
    </row>
    <row r="117">
      <c r="B117" s="100" t="s">
        <v>3091</v>
      </c>
      <c r="C117" s="88" t="s">
        <v>81</v>
      </c>
      <c r="D117" s="89" t="s">
        <v>2113</v>
      </c>
      <c r="E117" s="97" t="str">
        <f>HYPERLINK("https://youtu.be/vxbUESI3If8?t=1877","channel 3")</f>
        <v>channel 3</v>
      </c>
    </row>
    <row r="118">
      <c r="B118" s="87" t="s">
        <v>3090</v>
      </c>
      <c r="C118" s="88" t="s">
        <v>22</v>
      </c>
      <c r="D118" s="89" t="s">
        <v>3089</v>
      </c>
      <c r="E118" s="97" t="str">
        <f>HYPERLINK("https://youtu.be/fYk8I4MsMh0?t=1908","channel 4")</f>
        <v>channel 4</v>
      </c>
    </row>
    <row r="119">
      <c r="B119" s="100" t="s">
        <v>3091</v>
      </c>
      <c r="C119" s="88" t="s">
        <v>389</v>
      </c>
      <c r="D119" s="89" t="s">
        <v>3061</v>
      </c>
      <c r="E119" s="97" t="str">
        <f>HYPERLINK("https://youtu.be/vxbUESI3If8?t=2769","channel 3")</f>
        <v>channel 3</v>
      </c>
    </row>
    <row r="120">
      <c r="B120" s="87" t="s">
        <v>2113</v>
      </c>
      <c r="C120" s="88" t="s">
        <v>50</v>
      </c>
      <c r="D120" s="89" t="s">
        <v>3089</v>
      </c>
      <c r="E120" s="97" t="str">
        <f>HYPERLINK("https://youtu.be/fYk8I4MsMh0?t=2871","channel 4")</f>
        <v>channel 4</v>
      </c>
    </row>
    <row r="121">
      <c r="B121" s="100" t="s">
        <v>3091</v>
      </c>
      <c r="C121" s="88" t="s">
        <v>443</v>
      </c>
      <c r="D121" s="89" t="s">
        <v>3090</v>
      </c>
      <c r="E121" s="97" t="str">
        <f>HYPERLINK("https://youtu.be/vxbUESI3If8?t=3706","channel 3")</f>
        <v>channel 3</v>
      </c>
      <c r="I121" s="36" t="s">
        <v>242</v>
      </c>
    </row>
    <row r="122">
      <c r="B122" s="87" t="s">
        <v>2113</v>
      </c>
      <c r="C122" s="88" t="s">
        <v>412</v>
      </c>
      <c r="D122" s="89" t="s">
        <v>3061</v>
      </c>
      <c r="E122" s="97" t="str">
        <f>HYPERLINK("https://youtu.be/fYk8I4MsMh0?t=3792","channel 4")</f>
        <v>channel 4</v>
      </c>
    </row>
    <row r="123">
      <c r="B123" s="87" t="s">
        <v>3061</v>
      </c>
      <c r="C123" s="88" t="s">
        <v>283</v>
      </c>
      <c r="D123" s="89" t="s">
        <v>3089</v>
      </c>
      <c r="E123" s="97" t="str">
        <f>HYPERLINK("https://youtu.be/vxbUESI3If8?t=4846","channel 3")</f>
        <v>channel 3</v>
      </c>
      <c r="J123" s="36" t="s">
        <v>242</v>
      </c>
    </row>
    <row r="124">
      <c r="B124" s="87" t="s">
        <v>2113</v>
      </c>
      <c r="C124" s="88" t="s">
        <v>23</v>
      </c>
      <c r="D124" s="89" t="s">
        <v>3090</v>
      </c>
      <c r="E124" s="97" t="str">
        <f>HYPERLINK("https://youtu.be/fYk8I4MsMh0?t=4716","channel 4")</f>
        <v>channel 4</v>
      </c>
      <c r="H124" s="36" t="s">
        <v>242</v>
      </c>
    </row>
    <row r="125">
      <c r="B125" s="87" t="s">
        <v>3089</v>
      </c>
      <c r="C125" s="88" t="s">
        <v>587</v>
      </c>
      <c r="D125" s="101" t="s">
        <v>3091</v>
      </c>
      <c r="E125" s="97" t="str">
        <f>HYPERLINK("https://youtu.be/vxbUESI3If8?t=5698","channel 3")</f>
        <v>channel 3</v>
      </c>
    </row>
    <row r="126">
      <c r="B126" s="87" t="s">
        <v>3061</v>
      </c>
      <c r="C126" s="88" t="s">
        <v>218</v>
      </c>
      <c r="D126" s="89" t="s">
        <v>3090</v>
      </c>
      <c r="E126" s="97" t="str">
        <f>HYPERLINK("https://youtu.be/fYk8I4MsMh0?t=5694","channel 4")</f>
        <v>channel 4</v>
      </c>
    </row>
    <row r="127">
      <c r="B127" s="87" t="s">
        <v>2113</v>
      </c>
      <c r="C127" s="88" t="s">
        <v>238</v>
      </c>
      <c r="D127" s="101" t="s">
        <v>3091</v>
      </c>
      <c r="E127" s="97" t="str">
        <f>HYPERLINK("https://youtu.be/vxbUESI3If8?t=6605","channel 3")</f>
        <v>channel 3</v>
      </c>
    </row>
    <row r="128">
      <c r="B128" s="87" t="s">
        <v>3089</v>
      </c>
      <c r="C128" s="88" t="s">
        <v>62</v>
      </c>
      <c r="D128" s="89" t="s">
        <v>3090</v>
      </c>
      <c r="E128" s="97" t="str">
        <f>HYPERLINK("https://youtu.be/fYk8I4MsMh0?t=6620","channel 4")</f>
        <v>channel 4</v>
      </c>
    </row>
    <row r="129">
      <c r="B129" s="87" t="s">
        <v>3061</v>
      </c>
      <c r="C129" s="88" t="s">
        <v>19</v>
      </c>
      <c r="D129" s="101" t="s">
        <v>3091</v>
      </c>
      <c r="E129" s="97" t="str">
        <f>HYPERLINK("https://youtu.be/vxbUESI3If8?t=7576","channel 3")</f>
        <v>channel 3</v>
      </c>
    </row>
    <row r="130">
      <c r="B130" s="87" t="s">
        <v>3089</v>
      </c>
      <c r="C130" s="88" t="s">
        <v>83</v>
      </c>
      <c r="D130" s="89" t="s">
        <v>2113</v>
      </c>
      <c r="E130" s="97" t="str">
        <f>HYPERLINK("https://youtu.be/fYk8I4MsMh0?t=7644","channel 4")</f>
        <v>channel 4</v>
      </c>
    </row>
    <row r="131">
      <c r="B131" s="87" t="s">
        <v>3090</v>
      </c>
      <c r="C131" s="88" t="s">
        <v>197</v>
      </c>
      <c r="D131" s="101" t="s">
        <v>3091</v>
      </c>
      <c r="E131" s="97" t="str">
        <f>HYPERLINK("https://youtu.be/vxbUESI3If8?t=8592","channel 3")</f>
        <v>channel 3</v>
      </c>
    </row>
    <row r="132">
      <c r="B132" s="87" t="s">
        <v>3061</v>
      </c>
      <c r="C132" s="88" t="s">
        <v>190</v>
      </c>
      <c r="D132" s="89" t="s">
        <v>2113</v>
      </c>
      <c r="E132" s="97" t="str">
        <f>HYPERLINK("https://youtu.be/fYk8I4MsMh0?t=8665","channel 4")</f>
        <v>channel 4</v>
      </c>
    </row>
    <row r="133">
      <c r="B133" s="72" t="s">
        <v>2920</v>
      </c>
      <c r="C133" s="2"/>
      <c r="D133" s="3"/>
      <c r="E133" s="2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34" t="s">
        <v>2217</v>
      </c>
      <c r="C135" s="35" t="s">
        <v>289</v>
      </c>
      <c r="D135" s="34" t="s">
        <v>3092</v>
      </c>
      <c r="E135" s="11" t="str">
        <f>HYPERLINK("https://youtu.be/sJYjFEIHVVc","channel 1")</f>
        <v>channel 1</v>
      </c>
    </row>
    <row r="136">
      <c r="B136" s="34" t="s">
        <v>3093</v>
      </c>
      <c r="C136" s="35" t="s">
        <v>48</v>
      </c>
      <c r="D136" s="32" t="s">
        <v>1083</v>
      </c>
      <c r="E136" s="11" t="str">
        <f>HYPERLINK("https://youtu.be/ALEhcsUFXqo","channel 2")</f>
        <v>channel 2</v>
      </c>
    </row>
    <row r="137">
      <c r="B137" s="34" t="s">
        <v>3094</v>
      </c>
      <c r="C137" s="35" t="s">
        <v>578</v>
      </c>
      <c r="D137" s="34" t="s">
        <v>2217</v>
      </c>
      <c r="E137" s="11" t="str">
        <f>HYPERLINK("https://youtu.be/sJYjFEIHVVc?t=889","channel 1")</f>
        <v>channel 1</v>
      </c>
    </row>
    <row r="138">
      <c r="B138" s="34" t="s">
        <v>3093</v>
      </c>
      <c r="C138" s="35" t="s">
        <v>260</v>
      </c>
      <c r="D138" s="34" t="s">
        <v>3092</v>
      </c>
      <c r="E138" s="11" t="str">
        <f>HYPERLINK("https://youtu.be/ALEhcsUFXqo?t=806","channel 2")</f>
        <v>channel 2</v>
      </c>
    </row>
    <row r="139">
      <c r="B139" s="34" t="s">
        <v>3094</v>
      </c>
      <c r="C139" s="35" t="s">
        <v>534</v>
      </c>
      <c r="D139" s="32" t="s">
        <v>1083</v>
      </c>
      <c r="E139" s="11" t="str">
        <f>HYPERLINK("https://youtu.be/sJYjFEIHVVc?t=1844","channel 1")</f>
        <v>channel 1</v>
      </c>
    </row>
    <row r="140">
      <c r="B140" s="34" t="s">
        <v>3093</v>
      </c>
      <c r="C140" s="35" t="s">
        <v>67</v>
      </c>
      <c r="D140" s="34" t="s">
        <v>2217</v>
      </c>
      <c r="E140" s="11" t="str">
        <f>HYPERLINK("https://youtu.be/ALEhcsUFXqo?t=1740","channel 2")</f>
        <v>channel 2</v>
      </c>
    </row>
    <row r="141">
      <c r="B141" s="34" t="s">
        <v>3094</v>
      </c>
      <c r="C141" s="35" t="s">
        <v>190</v>
      </c>
      <c r="D141" s="34" t="s">
        <v>3092</v>
      </c>
      <c r="E141" s="11" t="str">
        <f>HYPERLINK("https://youtu.be/sJYjFEIHVVc?t=2703","channel 1")</f>
        <v>channel 1</v>
      </c>
    </row>
    <row r="142">
      <c r="B142" s="32" t="s">
        <v>1083</v>
      </c>
      <c r="C142" s="35" t="s">
        <v>21</v>
      </c>
      <c r="D142" s="34" t="s">
        <v>2217</v>
      </c>
      <c r="E142" s="11" t="str">
        <f>HYPERLINK("https://youtu.be/ALEhcsUFXqo?t=2554","channel 2")</f>
        <v>channel 2</v>
      </c>
    </row>
    <row r="143">
      <c r="B143" s="34" t="s">
        <v>3094</v>
      </c>
      <c r="C143" s="35" t="s">
        <v>231</v>
      </c>
      <c r="D143" s="34" t="s">
        <v>3093</v>
      </c>
      <c r="E143" s="11" t="str">
        <f>HYPERLINK("https://youtu.be/sJYjFEIHVVc","channel 1")</f>
        <v>channel 1</v>
      </c>
    </row>
    <row r="144">
      <c r="B144" s="32" t="s">
        <v>1083</v>
      </c>
      <c r="C144" s="35" t="s">
        <v>71</v>
      </c>
      <c r="D144" s="34" t="s">
        <v>3092</v>
      </c>
      <c r="E144" s="11" t="str">
        <f>HYPERLINK("https://youtu.be/ALEhcsUFXqo?t=3476","channel 2")</f>
        <v>channel 2</v>
      </c>
    </row>
    <row r="145">
      <c r="B145" s="34" t="s">
        <v>3092</v>
      </c>
      <c r="C145" s="35" t="s">
        <v>16</v>
      </c>
      <c r="D145" s="34" t="s">
        <v>2217</v>
      </c>
      <c r="E145" s="11" t="str">
        <f>HYPERLINK("https://youtu.be/sJYjFEIHVVc?t=4514","channel 1")</f>
        <v>channel 1</v>
      </c>
    </row>
    <row r="146">
      <c r="B146" s="32" t="s">
        <v>1083</v>
      </c>
      <c r="C146" s="35" t="s">
        <v>20</v>
      </c>
      <c r="D146" s="34" t="s">
        <v>3093</v>
      </c>
      <c r="E146" s="11" t="str">
        <f>HYPERLINK("https://youtu.be/ALEhcsUFXqo?t=4260","channel 2")</f>
        <v>channel 2</v>
      </c>
    </row>
    <row r="147">
      <c r="B147" s="34" t="s">
        <v>2217</v>
      </c>
      <c r="C147" s="35" t="s">
        <v>494</v>
      </c>
      <c r="D147" s="34" t="s">
        <v>3094</v>
      </c>
      <c r="E147" s="11" t="str">
        <f>HYPERLINK("https://youtu.be/sJYjFEIHVVc?t=5382","channel 1")</f>
        <v>channel 1</v>
      </c>
    </row>
    <row r="148">
      <c r="B148" s="34" t="s">
        <v>3092</v>
      </c>
      <c r="C148" s="35" t="s">
        <v>260</v>
      </c>
      <c r="D148" s="34" t="s">
        <v>3093</v>
      </c>
      <c r="E148" s="11" t="str">
        <f>HYPERLINK("https://youtu.be/ALEhcsUFXqo?t=5159","channel 2")</f>
        <v>channel 2</v>
      </c>
    </row>
    <row r="149">
      <c r="B149" s="32" t="s">
        <v>1083</v>
      </c>
      <c r="C149" s="35" t="s">
        <v>22</v>
      </c>
      <c r="D149" s="34" t="s">
        <v>3094</v>
      </c>
      <c r="E149" s="11" t="str">
        <f>HYPERLINK("https://youtu.be/sJYjFEIHVVc?t=6300","channel 1")</f>
        <v>channel 1</v>
      </c>
    </row>
    <row r="150">
      <c r="B150" s="34" t="s">
        <v>2217</v>
      </c>
      <c r="C150" s="35" t="s">
        <v>55</v>
      </c>
      <c r="D150" s="34" t="s">
        <v>3093</v>
      </c>
      <c r="E150" s="11" t="str">
        <f>HYPERLINK("https://youtu.be/ALEhcsUFXqo?t=6089","channel 2")</f>
        <v>channel 2</v>
      </c>
    </row>
    <row r="151">
      <c r="B151" s="34" t="s">
        <v>3092</v>
      </c>
      <c r="C151" s="35" t="s">
        <v>218</v>
      </c>
      <c r="D151" s="34" t="s">
        <v>3094</v>
      </c>
      <c r="E151" s="11" t="str">
        <f>HYPERLINK("https://youtu.be/sJYjFEIHVVc?t=7211","channel 1")</f>
        <v>channel 1</v>
      </c>
    </row>
    <row r="152">
      <c r="B152" s="34" t="s">
        <v>2217</v>
      </c>
      <c r="C152" s="35" t="s">
        <v>260</v>
      </c>
      <c r="D152" s="32" t="s">
        <v>1083</v>
      </c>
      <c r="E152" s="11" t="str">
        <f>HYPERLINK("https://youtu.be/ALEhcsUFXqo?t=6999","channel 2")</f>
        <v>channel 2</v>
      </c>
    </row>
    <row r="153">
      <c r="B153" s="34" t="s">
        <v>3093</v>
      </c>
      <c r="C153" s="35" t="s">
        <v>22</v>
      </c>
      <c r="D153" s="34" t="s">
        <v>3094</v>
      </c>
      <c r="E153" s="11" t="str">
        <f>HYPERLINK("https://youtu.be/sJYjFEIHVVc?t=8166","channel 1")</f>
        <v>channel 1</v>
      </c>
    </row>
    <row r="154">
      <c r="B154" s="34" t="s">
        <v>3092</v>
      </c>
      <c r="C154" s="35" t="s">
        <v>578</v>
      </c>
      <c r="D154" s="32" t="s">
        <v>1083</v>
      </c>
      <c r="E154" s="11" t="str">
        <f>HYPERLINK("https://youtu.be/ALEhcsUFXqo?t=7871","channel 2")</f>
        <v>channel 2</v>
      </c>
    </row>
    <row r="155">
      <c r="B155" s="72" t="s">
        <v>2923</v>
      </c>
      <c r="C155" s="2"/>
      <c r="D155" s="3"/>
      <c r="E155" s="2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34" t="s">
        <v>1230</v>
      </c>
      <c r="C157" s="35" t="s">
        <v>25</v>
      </c>
      <c r="D157" s="34" t="s">
        <v>3014</v>
      </c>
      <c r="E157" s="11" t="str">
        <f>HYPERLINK("https://youtu.be/1cmBcILDLrE","channel 1")</f>
        <v>channel 1</v>
      </c>
    </row>
    <row r="158">
      <c r="B158" s="34" t="s">
        <v>3095</v>
      </c>
      <c r="C158" s="35" t="s">
        <v>481</v>
      </c>
      <c r="D158" s="32" t="s">
        <v>135</v>
      </c>
      <c r="E158" s="11" t="str">
        <f>HYPERLINK("https://youtu.be/spglRTmq4XA","channel 2")</f>
        <v>channel 2</v>
      </c>
    </row>
    <row r="159">
      <c r="B159" s="34" t="s">
        <v>3013</v>
      </c>
      <c r="C159" s="35" t="s">
        <v>72</v>
      </c>
      <c r="D159" s="34" t="s">
        <v>1230</v>
      </c>
      <c r="E159" s="11" t="str">
        <f>HYPERLINK("https://youtu.be/1cmBcILDLrE?t=936","channel 1")</f>
        <v>channel 1</v>
      </c>
    </row>
    <row r="160">
      <c r="B160" s="34" t="s">
        <v>3095</v>
      </c>
      <c r="C160" s="35" t="s">
        <v>71</v>
      </c>
      <c r="D160" s="34" t="s">
        <v>3014</v>
      </c>
      <c r="E160" s="11" t="str">
        <f>HYPERLINK("https://youtu.be/spglRTmq4XA?t=510","channel 2")</f>
        <v>channel 2</v>
      </c>
    </row>
    <row r="161">
      <c r="B161" s="34" t="s">
        <v>3013</v>
      </c>
      <c r="C161" s="35" t="s">
        <v>62</v>
      </c>
      <c r="D161" s="32" t="s">
        <v>135</v>
      </c>
      <c r="E161" s="11" t="str">
        <f>HYPERLINK("https://youtu.be/1cmBcILDLrE?t=1924","channel 1")</f>
        <v>channel 1</v>
      </c>
    </row>
    <row r="162">
      <c r="B162" s="34" t="s">
        <v>3095</v>
      </c>
      <c r="C162" s="35" t="s">
        <v>542</v>
      </c>
      <c r="D162" s="34" t="s">
        <v>1230</v>
      </c>
      <c r="E162" s="11" t="str">
        <f>HYPERLINK("https://youtu.be/spglRTmq4XA?t=1372","channel 2")</f>
        <v>channel 2</v>
      </c>
    </row>
    <row r="163">
      <c r="B163" s="34" t="s">
        <v>3013</v>
      </c>
      <c r="C163" s="35" t="s">
        <v>274</v>
      </c>
      <c r="D163" s="34" t="s">
        <v>3014</v>
      </c>
      <c r="E163" s="11" t="str">
        <f>HYPERLINK("https://youtu.be/1cmBcILDLrE?t=2870","channel 1")</f>
        <v>channel 1</v>
      </c>
    </row>
    <row r="164">
      <c r="B164" s="32" t="s">
        <v>135</v>
      </c>
      <c r="C164" s="35" t="s">
        <v>58</v>
      </c>
      <c r="D164" s="34" t="s">
        <v>1230</v>
      </c>
      <c r="E164" s="11" t="str">
        <f>HYPERLINK("https://youtu.be/spglRTmq4XA?t=2220","channel 2")</f>
        <v>channel 2</v>
      </c>
    </row>
    <row r="165">
      <c r="B165" s="34" t="s">
        <v>3013</v>
      </c>
      <c r="C165" s="35" t="s">
        <v>21</v>
      </c>
      <c r="D165" s="34" t="s">
        <v>3095</v>
      </c>
      <c r="E165" s="11" t="str">
        <f>HYPERLINK("https://youtu.be/1cmBcILDLrE?t=3775","channel 1")</f>
        <v>channel 1</v>
      </c>
    </row>
    <row r="166">
      <c r="B166" s="32" t="s">
        <v>135</v>
      </c>
      <c r="C166" s="35" t="s">
        <v>197</v>
      </c>
      <c r="D166" s="34" t="s">
        <v>3014</v>
      </c>
      <c r="E166" s="11" t="str">
        <f>HYPERLINK("https://youtu.be/spglRTmq4XA?t=3248","channel 2")</f>
        <v>channel 2</v>
      </c>
    </row>
    <row r="167">
      <c r="B167" s="34" t="s">
        <v>3014</v>
      </c>
      <c r="C167" s="35" t="s">
        <v>238</v>
      </c>
      <c r="D167" s="34" t="s">
        <v>1230</v>
      </c>
      <c r="E167" s="11" t="str">
        <f>HYPERLINK("https://youtu.be/1cmBcILDLrE?t=4686","channel 1")</f>
        <v>channel 1</v>
      </c>
    </row>
    <row r="168">
      <c r="B168" s="32" t="s">
        <v>135</v>
      </c>
      <c r="C168" s="35" t="s">
        <v>187</v>
      </c>
      <c r="D168" s="34" t="s">
        <v>3095</v>
      </c>
      <c r="E168" s="11" t="str">
        <f>HYPERLINK("https://youtu.be/spglRTmq4XA?t=4168","channel 2")</f>
        <v>channel 2</v>
      </c>
    </row>
    <row r="169">
      <c r="B169" s="34" t="s">
        <v>1230</v>
      </c>
      <c r="C169" s="35" t="s">
        <v>304</v>
      </c>
      <c r="D169" s="34" t="s">
        <v>3013</v>
      </c>
      <c r="E169" s="11" t="str">
        <f>HYPERLINK("https://youtu.be/1cmBcILDLrE?t=5595","channel 1")</f>
        <v>channel 1</v>
      </c>
    </row>
    <row r="170">
      <c r="B170" s="34" t="s">
        <v>3014</v>
      </c>
      <c r="C170" s="35" t="s">
        <v>64</v>
      </c>
      <c r="D170" s="34" t="s">
        <v>3095</v>
      </c>
      <c r="E170" s="11" t="str">
        <f>HYPERLINK("https://youtu.be/spglRTmq4XA?t=5062","channel 2")</f>
        <v>channel 2</v>
      </c>
    </row>
    <row r="171">
      <c r="B171" s="32" t="s">
        <v>135</v>
      </c>
      <c r="C171" s="35" t="s">
        <v>212</v>
      </c>
      <c r="D171" s="34" t="s">
        <v>3013</v>
      </c>
      <c r="E171" s="11" t="str">
        <f>HYPERLINK("https://youtu.be/1cmBcILDLrE?t=6511","channel 1")</f>
        <v>channel 1</v>
      </c>
    </row>
    <row r="172">
      <c r="B172" s="34" t="s">
        <v>1230</v>
      </c>
      <c r="C172" s="35" t="s">
        <v>7</v>
      </c>
      <c r="D172" s="34" t="s">
        <v>3095</v>
      </c>
      <c r="E172" s="11" t="str">
        <f>HYPERLINK("https://youtu.be/spglRTmq4XA?t=6170","channel 2")</f>
        <v>channel 2</v>
      </c>
    </row>
    <row r="173">
      <c r="B173" s="34" t="s">
        <v>3014</v>
      </c>
      <c r="C173" s="35" t="s">
        <v>81</v>
      </c>
      <c r="D173" s="34" t="s">
        <v>3013</v>
      </c>
      <c r="E173" s="11" t="str">
        <f>HYPERLINK("https://youtu.be/1cmBcILDLrE?t=7451","channel 1")</f>
        <v>channel 1</v>
      </c>
    </row>
    <row r="174">
      <c r="B174" s="34" t="s">
        <v>1230</v>
      </c>
      <c r="C174" s="35" t="s">
        <v>21</v>
      </c>
      <c r="D174" s="32" t="s">
        <v>135</v>
      </c>
      <c r="E174" s="11" t="str">
        <f>HYPERLINK("https://youtu.be/spglRTmq4XA?t=6976","channel 2")</f>
        <v>channel 2</v>
      </c>
    </row>
    <row r="175">
      <c r="B175" s="34" t="s">
        <v>3095</v>
      </c>
      <c r="C175" s="35" t="s">
        <v>260</v>
      </c>
      <c r="D175" s="34" t="s">
        <v>3013</v>
      </c>
      <c r="E175" s="11" t="str">
        <f>HYPERLINK("https://youtu.be/1cmBcILDLrE?t=8384","channel 1")</f>
        <v>channel 1</v>
      </c>
    </row>
    <row r="176">
      <c r="B176" s="34" t="s">
        <v>3014</v>
      </c>
      <c r="C176" s="35" t="s">
        <v>78</v>
      </c>
      <c r="D176" s="32" t="s">
        <v>135</v>
      </c>
      <c r="E176" s="11" t="str">
        <f>HYPERLINK("https://youtu.be/spglRTmq4XA?t=7976","channel 2")</f>
        <v>channel 2</v>
      </c>
    </row>
    <row r="177">
      <c r="B177" s="72" t="s">
        <v>2653</v>
      </c>
      <c r="C177" s="2"/>
      <c r="D177" s="3"/>
      <c r="E177" s="84"/>
    </row>
    <row r="178">
      <c r="B178" s="85" t="s">
        <v>2</v>
      </c>
      <c r="C178" s="86" t="s">
        <v>3</v>
      </c>
      <c r="D178" s="86" t="s">
        <v>4</v>
      </c>
      <c r="E178" s="86" t="s">
        <v>5</v>
      </c>
    </row>
    <row r="179">
      <c r="B179" s="87" t="s">
        <v>2936</v>
      </c>
      <c r="C179" s="88" t="s">
        <v>195</v>
      </c>
      <c r="D179" s="89" t="s">
        <v>2248</v>
      </c>
      <c r="E179" s="97" t="str">
        <f>HYPERLINK("https://youtu.be/oGItuPwSy60","channel 3")</f>
        <v>channel 3</v>
      </c>
    </row>
    <row r="180">
      <c r="B180" s="87" t="s">
        <v>3096</v>
      </c>
      <c r="C180" s="88" t="s">
        <v>27</v>
      </c>
      <c r="D180" s="89" t="s">
        <v>2174</v>
      </c>
      <c r="E180" s="97" t="str">
        <f>HYPERLINK("https://youtu.be/iditUJfA-1k","channel 4")</f>
        <v>channel 4</v>
      </c>
    </row>
    <row r="181">
      <c r="B181" s="100" t="s">
        <v>2598</v>
      </c>
      <c r="C181" s="88" t="s">
        <v>187</v>
      </c>
      <c r="D181" s="89" t="s">
        <v>2936</v>
      </c>
      <c r="E181" s="97" t="str">
        <f>HYPERLINK("https://youtu.be/oGItuPwSy60?t=1034","channel 3")</f>
        <v>channel 3</v>
      </c>
    </row>
    <row r="182">
      <c r="B182" s="87" t="s">
        <v>3096</v>
      </c>
      <c r="C182" s="88" t="s">
        <v>1252</v>
      </c>
      <c r="D182" s="89" t="s">
        <v>2248</v>
      </c>
      <c r="E182" s="97" t="str">
        <f>HYPERLINK("https://youtu.be/iditUJfA-1k?t=992","channel 4")</f>
        <v>channel 4</v>
      </c>
    </row>
    <row r="183">
      <c r="B183" s="100" t="s">
        <v>2598</v>
      </c>
      <c r="C183" s="88" t="s">
        <v>23</v>
      </c>
      <c r="D183" s="89" t="s">
        <v>2174</v>
      </c>
      <c r="E183" s="97" t="str">
        <f>HYPERLINK("https://youtu.be/oGItuPwSy60?t=1943","channel 3")</f>
        <v>channel 3</v>
      </c>
    </row>
    <row r="184">
      <c r="B184" s="87" t="s">
        <v>3096</v>
      </c>
      <c r="C184" s="88" t="s">
        <v>190</v>
      </c>
      <c r="D184" s="89" t="s">
        <v>2936</v>
      </c>
      <c r="E184" s="97" t="str">
        <f>HYPERLINK("https://youtu.be/iditUJfA-1k?t=1925","channel 4")</f>
        <v>channel 4</v>
      </c>
    </row>
    <row r="185">
      <c r="B185" s="100" t="s">
        <v>2598</v>
      </c>
      <c r="C185" s="88" t="s">
        <v>413</v>
      </c>
      <c r="D185" s="89" t="s">
        <v>2248</v>
      </c>
      <c r="E185" s="97" t="str">
        <f>HYPERLINK("https://youtu.be/oGItuPwSy60?t=2957","channel 3")</f>
        <v>channel 3</v>
      </c>
    </row>
    <row r="186">
      <c r="B186" s="87" t="s">
        <v>2174</v>
      </c>
      <c r="C186" s="88" t="s">
        <v>251</v>
      </c>
      <c r="D186" s="89" t="s">
        <v>2936</v>
      </c>
      <c r="E186" s="80" t="str">
        <f>HYPERLINK("https://youtu.be/iditUJfA-1k?t=2864","channel 4")</f>
        <v>channel 4</v>
      </c>
    </row>
    <row r="187">
      <c r="B187" s="100" t="s">
        <v>2598</v>
      </c>
      <c r="C187" s="88" t="s">
        <v>47</v>
      </c>
      <c r="D187" s="89" t="s">
        <v>3096</v>
      </c>
      <c r="E187" s="97" t="str">
        <f>HYPERLINK("https://youtu.be/oGItuPwSy60?t=3866","channel 3")</f>
        <v>channel 3</v>
      </c>
    </row>
    <row r="188">
      <c r="B188" s="87" t="s">
        <v>2174</v>
      </c>
      <c r="C188" s="88" t="s">
        <v>460</v>
      </c>
      <c r="D188" s="89" t="s">
        <v>2248</v>
      </c>
      <c r="E188" s="97" t="str">
        <f>HYPERLINK("https://youtu.be/iditUJfA-1k?t=3817","channel 4")</f>
        <v>channel 4</v>
      </c>
    </row>
    <row r="189">
      <c r="B189" s="87" t="s">
        <v>2248</v>
      </c>
      <c r="C189" s="88" t="s">
        <v>400</v>
      </c>
      <c r="D189" s="89" t="s">
        <v>2936</v>
      </c>
      <c r="E189" s="97" t="str">
        <f>HYPERLINK("https://youtu.be/oGItuPwSy60?t=4825","channel 3")</f>
        <v>channel 3</v>
      </c>
    </row>
    <row r="190">
      <c r="B190" s="87" t="s">
        <v>2174</v>
      </c>
      <c r="C190" s="88" t="s">
        <v>195</v>
      </c>
      <c r="D190" s="89" t="s">
        <v>3096</v>
      </c>
      <c r="E190" s="97" t="str">
        <f>HYPERLINK("https://youtu.be/iditUJfA-1k?t=4776","channel 4")</f>
        <v>channel 4</v>
      </c>
    </row>
    <row r="191">
      <c r="B191" s="87" t="s">
        <v>2936</v>
      </c>
      <c r="C191" s="88" t="s">
        <v>193</v>
      </c>
      <c r="D191" s="100" t="s">
        <v>2598</v>
      </c>
      <c r="E191" s="97" t="str">
        <f>HYPERLINK("https://youtu.be/oGItuPwSy60?t=5744","channel 3")</f>
        <v>channel 3</v>
      </c>
    </row>
    <row r="192">
      <c r="B192" s="87" t="s">
        <v>2248</v>
      </c>
      <c r="C192" s="88" t="s">
        <v>66</v>
      </c>
      <c r="D192" s="89" t="s">
        <v>3096</v>
      </c>
      <c r="E192" s="97" t="str">
        <f>HYPERLINK("https://youtu.be/iditUJfA-1k?t=5777","channel 4")</f>
        <v>channel 4</v>
      </c>
    </row>
    <row r="193">
      <c r="B193" s="87" t="s">
        <v>2174</v>
      </c>
      <c r="C193" s="88" t="s">
        <v>19</v>
      </c>
      <c r="D193" s="100" t="s">
        <v>2598</v>
      </c>
      <c r="E193" s="97" t="str">
        <f>HYPERLINK("https://youtu.be/oGItuPwSy60?t=6844","channel 3")</f>
        <v>channel 3</v>
      </c>
    </row>
    <row r="194">
      <c r="B194" s="87" t="s">
        <v>2936</v>
      </c>
      <c r="C194" s="88" t="s">
        <v>258</v>
      </c>
      <c r="D194" s="89" t="s">
        <v>3096</v>
      </c>
      <c r="E194" s="97" t="str">
        <f>HYPERLINK("https://youtu.be/iditUJfA-1k?t=6730","channel 4")</f>
        <v>channel 4</v>
      </c>
    </row>
    <row r="195">
      <c r="B195" s="87" t="s">
        <v>2248</v>
      </c>
      <c r="C195" s="88" t="s">
        <v>566</v>
      </c>
      <c r="D195" s="100" t="s">
        <v>2598</v>
      </c>
      <c r="E195" s="97" t="str">
        <f>HYPERLINK("https://youtu.be/oGItuPwSy60?t=7717","channel 3")</f>
        <v>channel 3</v>
      </c>
    </row>
    <row r="196">
      <c r="B196" s="87" t="s">
        <v>2936</v>
      </c>
      <c r="C196" s="88" t="s">
        <v>369</v>
      </c>
      <c r="D196" s="89" t="s">
        <v>2174</v>
      </c>
      <c r="E196" s="97" t="str">
        <f>HYPERLINK("https://youtu.be/iditUJfA-1k?t=7766","channel 4")</f>
        <v>channel 4</v>
      </c>
    </row>
    <row r="197">
      <c r="B197" s="87" t="s">
        <v>3096</v>
      </c>
      <c r="C197" s="88" t="s">
        <v>19</v>
      </c>
      <c r="D197" s="100" t="s">
        <v>2598</v>
      </c>
      <c r="E197" s="97" t="str">
        <f>HYPERLINK("https://youtu.be/oGItuPwSy60?t=8636","channel 3")</f>
        <v>channel 3</v>
      </c>
    </row>
    <row r="198">
      <c r="B198" s="87" t="s">
        <v>2248</v>
      </c>
      <c r="C198" s="88" t="s">
        <v>3097</v>
      </c>
      <c r="D198" s="89" t="s">
        <v>2174</v>
      </c>
      <c r="E198" s="97" t="str">
        <f>HYPERLINK("https://youtu.be/iditUJfA-1k?t=8637","channel 4")</f>
        <v>channel 4</v>
      </c>
    </row>
    <row r="199">
      <c r="B199" s="72" t="s">
        <v>2928</v>
      </c>
      <c r="C199" s="2"/>
      <c r="D199" s="3"/>
      <c r="E199" s="84"/>
    </row>
    <row r="200">
      <c r="B200" s="85" t="s">
        <v>2</v>
      </c>
      <c r="C200" s="86" t="s">
        <v>3</v>
      </c>
      <c r="D200" s="86" t="s">
        <v>4</v>
      </c>
      <c r="E200" s="86" t="s">
        <v>5</v>
      </c>
    </row>
    <row r="201">
      <c r="B201" s="32" t="s">
        <v>2552</v>
      </c>
      <c r="C201" s="35" t="s">
        <v>44</v>
      </c>
      <c r="D201" s="32" t="s">
        <v>1017</v>
      </c>
      <c r="E201" s="97" t="str">
        <f>HYPERLINK("https://youtu.be/Vn8TU08F600","channel 3")</f>
        <v>channel 3</v>
      </c>
    </row>
    <row r="202">
      <c r="B202" s="32" t="s">
        <v>1439</v>
      </c>
      <c r="C202" s="88" t="s">
        <v>239</v>
      </c>
      <c r="D202" s="32" t="s">
        <v>3098</v>
      </c>
      <c r="E202" s="97" t="str">
        <f>HYPERLINK("https://youtu.be/Fpv8Z8Nkrsc","channel 4")</f>
        <v>channel 4</v>
      </c>
    </row>
    <row r="203">
      <c r="B203" s="8" t="s">
        <v>1867</v>
      </c>
      <c r="C203" s="35" t="s">
        <v>196</v>
      </c>
      <c r="D203" s="32" t="s">
        <v>2552</v>
      </c>
      <c r="E203" s="97" t="str">
        <f>HYPERLINK("https://youtu.be/Vn8TU08F600?t=1125","channel 3")</f>
        <v>channel 3</v>
      </c>
    </row>
    <row r="204">
      <c r="B204" s="32" t="s">
        <v>1439</v>
      </c>
      <c r="C204" s="88" t="s">
        <v>286</v>
      </c>
      <c r="D204" s="32" t="s">
        <v>1017</v>
      </c>
      <c r="E204" s="97" t="str">
        <f>HYPERLINK("https://youtu.be/Fpv8Z8Nkrsc?t=1004","channel 4")</f>
        <v>channel 4</v>
      </c>
    </row>
    <row r="205">
      <c r="B205" s="8" t="s">
        <v>1867</v>
      </c>
      <c r="C205" s="35" t="s">
        <v>43</v>
      </c>
      <c r="D205" s="32" t="s">
        <v>3098</v>
      </c>
      <c r="E205" s="97" t="str">
        <f>HYPERLINK("https://youtu.be/Vn8TU08F600?t=2023","channel 3")</f>
        <v>channel 3</v>
      </c>
    </row>
    <row r="206">
      <c r="B206" s="32" t="s">
        <v>1439</v>
      </c>
      <c r="C206" s="35" t="s">
        <v>260</v>
      </c>
      <c r="D206" s="32" t="s">
        <v>2552</v>
      </c>
      <c r="E206" s="97" t="str">
        <f>HYPERLINK("https://youtu.be/Fpv8Z8Nkrsc?t=1922","channel 4")</f>
        <v>channel 4</v>
      </c>
      <c r="G206" s="36" t="s">
        <v>242</v>
      </c>
    </row>
    <row r="207">
      <c r="B207" s="8" t="s">
        <v>1867</v>
      </c>
      <c r="C207" s="35" t="s">
        <v>570</v>
      </c>
      <c r="D207" s="32" t="s">
        <v>1017</v>
      </c>
      <c r="E207" s="97" t="str">
        <f>HYPERLINK("https://youtu.be/Vn8TU08F600?t=2939","channel 3")</f>
        <v>channel 3</v>
      </c>
    </row>
    <row r="208">
      <c r="B208" s="32" t="s">
        <v>3098</v>
      </c>
      <c r="C208" s="35" t="s">
        <v>261</v>
      </c>
      <c r="D208" s="32" t="s">
        <v>2552</v>
      </c>
      <c r="E208" s="97" t="str">
        <f>HYPERLINK("https://youtu.be/Fpv8Z8Nkrsc?t=2867","channel 4")</f>
        <v>channel 4</v>
      </c>
    </row>
    <row r="209">
      <c r="B209" s="8" t="s">
        <v>1867</v>
      </c>
      <c r="C209" s="35" t="s">
        <v>18</v>
      </c>
      <c r="D209" s="32" t="s">
        <v>1439</v>
      </c>
      <c r="E209" s="97" t="str">
        <f>HYPERLINK("https://youtu.be/Vn8TU08F600?t=3902","channel 3")</f>
        <v>channel 3</v>
      </c>
    </row>
    <row r="210">
      <c r="B210" s="32" t="s">
        <v>3098</v>
      </c>
      <c r="C210" s="35" t="s">
        <v>64</v>
      </c>
      <c r="D210" s="32" t="s">
        <v>1017</v>
      </c>
      <c r="E210" s="97" t="str">
        <f>HYPERLINK("https://youtu.be/Fpv8Z8Nkrsc?t=3849","channel 4")</f>
        <v>channel 4</v>
      </c>
    </row>
    <row r="211">
      <c r="B211" s="32" t="s">
        <v>1017</v>
      </c>
      <c r="C211" s="35" t="s">
        <v>363</v>
      </c>
      <c r="D211" s="32" t="s">
        <v>2552</v>
      </c>
      <c r="E211" s="97" t="str">
        <f>HYPERLINK("https://youtu.be/Vn8TU08F600?t=4854","channel 3")</f>
        <v>channel 3</v>
      </c>
    </row>
    <row r="212">
      <c r="B212" s="32" t="s">
        <v>3098</v>
      </c>
      <c r="C212" s="35" t="s">
        <v>250</v>
      </c>
      <c r="D212" s="32" t="s">
        <v>1439</v>
      </c>
      <c r="E212" s="97" t="str">
        <f>HYPERLINK("https://youtu.be/Fpv8Z8Nkrsc?t=4847","channel 4")</f>
        <v>channel 4</v>
      </c>
    </row>
    <row r="213">
      <c r="B213" s="32" t="s">
        <v>2552</v>
      </c>
      <c r="C213" s="35" t="s">
        <v>41</v>
      </c>
      <c r="D213" s="8" t="s">
        <v>1867</v>
      </c>
      <c r="E213" s="97" t="str">
        <f>HYPERLINK("https://youtu.be/Vn8TU08F600?t=5831","channel 3")</f>
        <v>channel 3</v>
      </c>
    </row>
    <row r="214">
      <c r="B214" s="32" t="s">
        <v>1017</v>
      </c>
      <c r="C214" s="35" t="s">
        <v>193</v>
      </c>
      <c r="D214" s="32" t="s">
        <v>1439</v>
      </c>
      <c r="E214" s="97" t="str">
        <f>HYPERLINK("https://youtu.be/Fpv8Z8Nkrsc?t=5780","channel 4")</f>
        <v>channel 4</v>
      </c>
    </row>
    <row r="215">
      <c r="B215" s="32" t="s">
        <v>3098</v>
      </c>
      <c r="C215" s="35" t="s">
        <v>194</v>
      </c>
      <c r="D215" s="8" t="s">
        <v>1867</v>
      </c>
      <c r="E215" s="97" t="str">
        <f>HYPERLINK("https://youtu.be/Vn8TU08F600?t=6846","channel 3")</f>
        <v>channel 3</v>
      </c>
    </row>
    <row r="216">
      <c r="B216" s="32" t="s">
        <v>2552</v>
      </c>
      <c r="C216" s="35" t="s">
        <v>27</v>
      </c>
      <c r="D216" s="32" t="s">
        <v>1439</v>
      </c>
      <c r="E216" s="97" t="str">
        <f>HYPERLINK("https://youtu.be/Fpv8Z8Nkrsc?t=6750","channel 4")</f>
        <v>channel 4</v>
      </c>
    </row>
    <row r="217">
      <c r="B217" s="32" t="s">
        <v>1017</v>
      </c>
      <c r="C217" s="35" t="s">
        <v>472</v>
      </c>
      <c r="D217" s="8" t="s">
        <v>1867</v>
      </c>
      <c r="E217" s="97" t="str">
        <f>HYPERLINK("https://youtu.be/Vn8TU08F600?t=7819","channel 3")</f>
        <v>channel 3</v>
      </c>
    </row>
    <row r="218">
      <c r="B218" s="32" t="s">
        <v>2552</v>
      </c>
      <c r="C218" s="35" t="s">
        <v>1018</v>
      </c>
      <c r="D218" s="32" t="s">
        <v>3098</v>
      </c>
      <c r="E218" s="97" t="str">
        <f>HYPERLINK("https://youtu.be/Fpv8Z8Nkrsc?t=7702","channel 4")</f>
        <v>channel 4</v>
      </c>
    </row>
    <row r="219">
      <c r="B219" s="32" t="s">
        <v>1439</v>
      </c>
      <c r="C219" s="35" t="s">
        <v>81</v>
      </c>
      <c r="D219" s="8" t="s">
        <v>1867</v>
      </c>
      <c r="E219" s="97" t="str">
        <f>HYPERLINK("https://youtu.be/Vn8TU08F600?t=8771","channel 3")</f>
        <v>channel 3</v>
      </c>
    </row>
    <row r="220">
      <c r="B220" s="32" t="s">
        <v>1017</v>
      </c>
      <c r="C220" s="35" t="s">
        <v>89</v>
      </c>
      <c r="D220" s="32" t="s">
        <v>3098</v>
      </c>
      <c r="E220" s="97" t="str">
        <f>HYPERLINK("https://youtu.be/Fpv8Z8Nkrsc?t=8712","channel 4")</f>
        <v>channel 4</v>
      </c>
    </row>
    <row r="221">
      <c r="B221" s="72" t="s">
        <v>2394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34" t="s">
        <v>613</v>
      </c>
      <c r="C223" s="35" t="s">
        <v>23</v>
      </c>
      <c r="D223" s="34" t="s">
        <v>2622</v>
      </c>
      <c r="E223" s="11" t="str">
        <f>HYPERLINK("https://youtu.be/PwXP35w53j8","channel 1")</f>
        <v>channel 1</v>
      </c>
    </row>
    <row r="224">
      <c r="B224" s="34" t="s">
        <v>165</v>
      </c>
      <c r="C224" s="35" t="s">
        <v>319</v>
      </c>
      <c r="D224" s="32" t="s">
        <v>604</v>
      </c>
      <c r="E224" s="11" t="str">
        <f>HYPERLINK("https://youtu.be/AT1W2AgFvaI","channel 2")</f>
        <v>channel 2</v>
      </c>
    </row>
    <row r="225">
      <c r="B225" s="34" t="s">
        <v>3099</v>
      </c>
      <c r="C225" s="35" t="s">
        <v>20</v>
      </c>
      <c r="D225" s="34" t="s">
        <v>613</v>
      </c>
      <c r="E225" s="11" t="str">
        <f>HYPERLINK("https://youtu.be/PwXP35w53j8?t=1010","channel 1")</f>
        <v>channel 1</v>
      </c>
    </row>
    <row r="226">
      <c r="B226" s="34" t="s">
        <v>165</v>
      </c>
      <c r="C226" s="35" t="s">
        <v>283</v>
      </c>
      <c r="D226" s="34" t="s">
        <v>2622</v>
      </c>
      <c r="E226" s="11" t="str">
        <f>HYPERLINK("https://youtu.be/AT1W2AgFvaI?t=1013","channel 2")</f>
        <v>channel 2</v>
      </c>
    </row>
    <row r="227">
      <c r="B227" s="34" t="s">
        <v>3099</v>
      </c>
      <c r="C227" s="35" t="s">
        <v>19</v>
      </c>
      <c r="D227" s="32" t="s">
        <v>604</v>
      </c>
      <c r="E227" s="11" t="str">
        <f>HYPERLINK("https://youtu.be/PwXP35w53j8?t=1915","channel 1")</f>
        <v>channel 1</v>
      </c>
    </row>
    <row r="228">
      <c r="B228" s="34" t="s">
        <v>165</v>
      </c>
      <c r="C228" s="35" t="s">
        <v>190</v>
      </c>
      <c r="D228" s="34" t="s">
        <v>613</v>
      </c>
      <c r="E228" s="11" t="str">
        <f>HYPERLINK("https://youtu.be/AT1W2AgFvaI?t=1907","channel 2")</f>
        <v>channel 2</v>
      </c>
    </row>
    <row r="229">
      <c r="B229" s="34" t="s">
        <v>3099</v>
      </c>
      <c r="C229" s="35" t="s">
        <v>47</v>
      </c>
      <c r="D229" s="34" t="s">
        <v>2622</v>
      </c>
      <c r="E229" s="11" t="str">
        <f>HYPERLINK("https://youtu.be/PwXP35w53j8?t=2844","channel 1")</f>
        <v>channel 1</v>
      </c>
    </row>
    <row r="230">
      <c r="B230" s="32" t="s">
        <v>604</v>
      </c>
      <c r="C230" s="35" t="s">
        <v>17</v>
      </c>
      <c r="D230" s="34" t="s">
        <v>613</v>
      </c>
      <c r="E230" s="11" t="str">
        <f>HYPERLINK("https://youtu.be/AT1W2AgFvaI?t=2828","channel 2")</f>
        <v>channel 2</v>
      </c>
    </row>
    <row r="231">
      <c r="B231" s="34" t="s">
        <v>3099</v>
      </c>
      <c r="C231" s="35" t="s">
        <v>62</v>
      </c>
      <c r="D231" s="34" t="s">
        <v>165</v>
      </c>
      <c r="E231" s="11" t="str">
        <f>HYPERLINK("https://youtu.be/PwXP35w53j8?t=3753","channel 1")</f>
        <v>channel 1</v>
      </c>
    </row>
    <row r="232">
      <c r="B232" s="32" t="s">
        <v>604</v>
      </c>
      <c r="C232" s="35" t="s">
        <v>16</v>
      </c>
      <c r="D232" s="34" t="s">
        <v>2622</v>
      </c>
      <c r="E232" s="11" t="str">
        <f>HYPERLINK("https://youtu.be/AT1W2AgFvaI?t=3735","channel 2")</f>
        <v>channel 2</v>
      </c>
    </row>
    <row r="233">
      <c r="B233" s="34" t="s">
        <v>2622</v>
      </c>
      <c r="C233" s="35" t="s">
        <v>22</v>
      </c>
      <c r="D233" s="34" t="s">
        <v>613</v>
      </c>
      <c r="E233" s="11" t="str">
        <f>HYPERLINK("https://youtu.be/PwXP35w53j8?t=4657","channel 1")</f>
        <v>channel 1</v>
      </c>
    </row>
    <row r="234">
      <c r="B234" s="32" t="s">
        <v>604</v>
      </c>
      <c r="C234" s="35" t="s">
        <v>80</v>
      </c>
      <c r="D234" s="34" t="s">
        <v>165</v>
      </c>
      <c r="E234" s="11" t="str">
        <f>HYPERLINK("https://youtu.be/AT1W2AgFvaI?t=4624","channel 2")</f>
        <v>channel 2</v>
      </c>
    </row>
    <row r="235">
      <c r="B235" s="34" t="s">
        <v>613</v>
      </c>
      <c r="C235" s="35" t="s">
        <v>363</v>
      </c>
      <c r="D235" s="34" t="s">
        <v>3099</v>
      </c>
      <c r="E235" s="11" t="str">
        <f>HYPERLINK("https://youtu.be/PwXP35w53j8?t=5576","channel 1")</f>
        <v>channel 1</v>
      </c>
    </row>
    <row r="236">
      <c r="B236" s="34" t="s">
        <v>2622</v>
      </c>
      <c r="C236" s="35" t="s">
        <v>362</v>
      </c>
      <c r="D236" s="34" t="s">
        <v>165</v>
      </c>
      <c r="E236" s="11" t="str">
        <f>HYPERLINK("https://youtu.be/AT1W2AgFvaI?t=5543","channel 2")</f>
        <v>channel 2</v>
      </c>
    </row>
    <row r="237">
      <c r="B237" s="32" t="s">
        <v>604</v>
      </c>
      <c r="C237" s="35" t="s">
        <v>38</v>
      </c>
      <c r="D237" s="34" t="s">
        <v>3099</v>
      </c>
      <c r="E237" s="11" t="str">
        <f>HYPERLINK("https://youtu.be/PwXP35w53j8?t=6489","channel 1")</f>
        <v>channel 1</v>
      </c>
    </row>
    <row r="238">
      <c r="B238" s="34" t="s">
        <v>613</v>
      </c>
      <c r="C238" s="35" t="s">
        <v>76</v>
      </c>
      <c r="D238" s="34" t="s">
        <v>165</v>
      </c>
      <c r="E238" s="11" t="str">
        <f>HYPERLINK("https://youtu.be/AT1W2AgFvaI?t=6502","channel 2")</f>
        <v>channel 2</v>
      </c>
    </row>
    <row r="239">
      <c r="B239" s="34" t="s">
        <v>2622</v>
      </c>
      <c r="C239" s="35" t="s">
        <v>16</v>
      </c>
      <c r="D239" s="34" t="s">
        <v>3099</v>
      </c>
      <c r="E239" s="11" t="str">
        <f>HYPERLINK("https://youtu.be/PwXP35w53j8?t=7408","channel 1")</f>
        <v>channel 1</v>
      </c>
    </row>
    <row r="240">
      <c r="B240" s="34" t="s">
        <v>613</v>
      </c>
      <c r="C240" s="35" t="s">
        <v>81</v>
      </c>
      <c r="D240" s="32" t="s">
        <v>604</v>
      </c>
      <c r="E240" s="11" t="str">
        <f>HYPERLINK("https://youtu.be/AT1W2AgFvaI?t=7447","channel 2")</f>
        <v>channel 2</v>
      </c>
    </row>
    <row r="241">
      <c r="B241" s="34" t="s">
        <v>165</v>
      </c>
      <c r="C241" s="35" t="s">
        <v>362</v>
      </c>
      <c r="D241" s="34" t="s">
        <v>3099</v>
      </c>
      <c r="E241" s="11" t="str">
        <f>HYPERLINK("https://youtu.be/PwXP35w53j8?t=8312","channel 1")</f>
        <v>channel 1</v>
      </c>
    </row>
    <row r="242">
      <c r="B242" s="34" t="s">
        <v>2622</v>
      </c>
      <c r="C242" s="35" t="s">
        <v>319</v>
      </c>
      <c r="D242" s="32" t="s">
        <v>604</v>
      </c>
      <c r="E242" s="11" t="str">
        <f>HYPERLINK("https://youtu.be/AT1W2AgFvaI?t=8256","channel 2")</f>
        <v>channel 2</v>
      </c>
    </row>
    <row r="243">
      <c r="B243" s="72" t="s">
        <v>2939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34" t="s">
        <v>2843</v>
      </c>
      <c r="C245" s="35" t="s">
        <v>19</v>
      </c>
      <c r="D245" s="34" t="s">
        <v>3100</v>
      </c>
      <c r="E245" s="11" t="str">
        <f>HYPERLINK("https://youtu.be/B2dGNBt7dZk","channel 1")</f>
        <v>channel 1</v>
      </c>
    </row>
    <row r="246">
      <c r="B246" s="34" t="s">
        <v>1765</v>
      </c>
      <c r="C246" s="35" t="s">
        <v>69</v>
      </c>
      <c r="D246" s="32" t="s">
        <v>1576</v>
      </c>
      <c r="E246" s="11" t="str">
        <f>HYPERLINK("https://youtu.be/GiUT4PkXnzQ","channel 2")</f>
        <v>channel 2</v>
      </c>
    </row>
    <row r="247">
      <c r="B247" s="34" t="s">
        <v>2941</v>
      </c>
      <c r="C247" s="35" t="s">
        <v>566</v>
      </c>
      <c r="D247" s="34" t="s">
        <v>2843</v>
      </c>
      <c r="E247" s="11" t="str">
        <f>HYPERLINK("https://youtu.be/B2dGNBt7dZk?t=1025","channel 1")</f>
        <v>channel 1</v>
      </c>
    </row>
    <row r="248">
      <c r="B248" s="34" t="s">
        <v>1765</v>
      </c>
      <c r="C248" s="35" t="s">
        <v>658</v>
      </c>
      <c r="D248" s="34" t="s">
        <v>3100</v>
      </c>
      <c r="E248" s="11" t="str">
        <f>HYPERLINK("https://youtu.be/GiUT4PkXnzQ?t=1082","channel 2")</f>
        <v>channel 2</v>
      </c>
    </row>
    <row r="249">
      <c r="B249" s="34" t="s">
        <v>2941</v>
      </c>
      <c r="C249" s="35" t="s">
        <v>893</v>
      </c>
      <c r="D249" s="32" t="s">
        <v>1576</v>
      </c>
      <c r="E249" s="11" t="str">
        <f>HYPERLINK("https://youtu.be/B2dGNBt7dZk?t=1941","channel 1")</f>
        <v>channel 1</v>
      </c>
    </row>
    <row r="250">
      <c r="B250" s="34" t="s">
        <v>1765</v>
      </c>
      <c r="C250" s="35" t="s">
        <v>218</v>
      </c>
      <c r="D250" s="34" t="s">
        <v>2843</v>
      </c>
      <c r="E250" s="11" t="str">
        <f>HYPERLINK("https://youtu.be/GiUT4PkXnzQ?t=2000","channel 2")</f>
        <v>channel 2</v>
      </c>
    </row>
    <row r="251">
      <c r="B251" s="34" t="s">
        <v>2941</v>
      </c>
      <c r="C251" s="35" t="s">
        <v>187</v>
      </c>
      <c r="D251" s="34" t="s">
        <v>3100</v>
      </c>
      <c r="E251" s="11" t="str">
        <f>HYPERLINK("https://youtu.be/B2dGNBt7dZk?t=2872","channel 1")</f>
        <v>channel 1</v>
      </c>
    </row>
    <row r="252">
      <c r="B252" s="32" t="s">
        <v>1576</v>
      </c>
      <c r="C252" s="35" t="s">
        <v>78</v>
      </c>
      <c r="D252" s="34" t="s">
        <v>2843</v>
      </c>
      <c r="E252" s="11" t="str">
        <f>HYPERLINK("https://youtu.be/GiUT4PkXnzQ?t=2969","channel 2")</f>
        <v>channel 2</v>
      </c>
    </row>
    <row r="253">
      <c r="B253" s="34" t="s">
        <v>2941</v>
      </c>
      <c r="C253" s="35" t="s">
        <v>205</v>
      </c>
      <c r="D253" s="34" t="s">
        <v>1765</v>
      </c>
      <c r="E253" s="11" t="str">
        <f>HYPERLINK("https://youtu.be/B2dGNBt7dZk?t=3788","channel 1")</f>
        <v>channel 1</v>
      </c>
    </row>
    <row r="254">
      <c r="B254" s="32" t="s">
        <v>1576</v>
      </c>
      <c r="C254" s="35" t="s">
        <v>68</v>
      </c>
      <c r="D254" s="34" t="s">
        <v>3100</v>
      </c>
      <c r="E254" s="11" t="str">
        <f>HYPERLINK("https://youtu.be/GiUT4PkXnzQ?t=3900","channel 2")</f>
        <v>channel 2</v>
      </c>
    </row>
    <row r="255">
      <c r="B255" s="34" t="s">
        <v>3100</v>
      </c>
      <c r="C255" s="35" t="s">
        <v>67</v>
      </c>
      <c r="D255" s="34" t="s">
        <v>2843</v>
      </c>
      <c r="E255" s="11" t="str">
        <f>HYPERLINK("https://youtu.be/B2dGNBt7dZk?t=4743","channel 1")</f>
        <v>channel 1</v>
      </c>
    </row>
    <row r="256">
      <c r="B256" s="32" t="s">
        <v>1576</v>
      </c>
      <c r="C256" s="35" t="s">
        <v>268</v>
      </c>
      <c r="D256" s="34" t="s">
        <v>1765</v>
      </c>
      <c r="E256" s="11" t="str">
        <f>HYPERLINK("https://youtu.be/GiUT4PkXnzQ?t=4812","channel 2")</f>
        <v>channel 2</v>
      </c>
    </row>
    <row r="257">
      <c r="B257" s="34" t="s">
        <v>2843</v>
      </c>
      <c r="C257" s="35" t="s">
        <v>64</v>
      </c>
      <c r="D257" s="34" t="s">
        <v>2941</v>
      </c>
      <c r="E257" s="11" t="str">
        <f>HYPERLINK("https://youtu.be/B2dGNBt7dZk?t=5695","channel 1")</f>
        <v>channel 1</v>
      </c>
    </row>
    <row r="258">
      <c r="B258" s="34" t="s">
        <v>3100</v>
      </c>
      <c r="C258" s="35" t="s">
        <v>3101</v>
      </c>
      <c r="D258" s="34" t="s">
        <v>1765</v>
      </c>
      <c r="E258" s="11" t="str">
        <f>HYPERLINK("https://youtu.be/GiUT4PkXnzQ?t=5787","channel 2")</f>
        <v>channel 2</v>
      </c>
    </row>
    <row r="259">
      <c r="B259" s="32" t="s">
        <v>1576</v>
      </c>
      <c r="C259" s="35" t="s">
        <v>1496</v>
      </c>
      <c r="D259" s="34" t="s">
        <v>2941</v>
      </c>
      <c r="E259" s="11" t="str">
        <f>HYPERLINK("https://youtu.be/B2dGNBt7dZk?t=6634","channel 1")</f>
        <v>channel 1</v>
      </c>
    </row>
    <row r="260">
      <c r="B260" s="34" t="s">
        <v>2843</v>
      </c>
      <c r="C260" s="35" t="s">
        <v>45</v>
      </c>
      <c r="D260" s="34" t="s">
        <v>1765</v>
      </c>
      <c r="E260" s="11" t="str">
        <f>HYPERLINK("https://youtu.be/GiUT4PkXnzQ?t=6751","channel 2")</f>
        <v>channel 2</v>
      </c>
    </row>
    <row r="261">
      <c r="B261" s="34" t="s">
        <v>3100</v>
      </c>
      <c r="C261" s="35" t="s">
        <v>249</v>
      </c>
      <c r="D261" s="34" t="s">
        <v>2941</v>
      </c>
      <c r="E261" s="11" t="str">
        <f>HYPERLINK("https://youtu.be/B2dGNBt7dZk?t=7602","channel 1")</f>
        <v>channel 1</v>
      </c>
    </row>
    <row r="262">
      <c r="B262" s="34" t="s">
        <v>2843</v>
      </c>
      <c r="C262" s="35" t="s">
        <v>22</v>
      </c>
      <c r="D262" s="32" t="s">
        <v>1576</v>
      </c>
      <c r="E262" s="11" t="str">
        <f>HYPERLINK("https://youtu.be/GiUT4PkXnzQ?t=7716","channel 2")</f>
        <v>channel 2</v>
      </c>
    </row>
    <row r="263">
      <c r="B263" s="34" t="s">
        <v>1765</v>
      </c>
      <c r="C263" s="35" t="s">
        <v>1005</v>
      </c>
      <c r="D263" s="34" t="s">
        <v>2941</v>
      </c>
      <c r="E263" s="11" t="str">
        <f>HYPERLINK("https://youtu.be/B2dGNBt7dZk?t=8519","channel 1")</f>
        <v>channel 1</v>
      </c>
    </row>
    <row r="264">
      <c r="B264" s="34" t="s">
        <v>3100</v>
      </c>
      <c r="C264" s="35" t="s">
        <v>11</v>
      </c>
      <c r="D264" s="32" t="s">
        <v>1576</v>
      </c>
      <c r="E264" s="11" t="str">
        <f>HYPERLINK("https://youtu.be/GiUT4PkXnzQ?t=8664","channel 2")</f>
        <v>channel 2</v>
      </c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/>
      <c r="B1" s="72" t="s">
        <v>2085</v>
      </c>
      <c r="C1" s="2"/>
      <c r="D1" s="3"/>
      <c r="E1" s="84"/>
    </row>
    <row r="2">
      <c r="A2" s="66"/>
      <c r="B2" s="85" t="s">
        <v>2</v>
      </c>
      <c r="C2" s="86" t="s">
        <v>3</v>
      </c>
      <c r="D2" s="86" t="s">
        <v>4</v>
      </c>
      <c r="E2" s="86" t="s">
        <v>5</v>
      </c>
    </row>
    <row r="3">
      <c r="A3" s="66"/>
      <c r="B3" s="34" t="s">
        <v>2391</v>
      </c>
      <c r="C3" s="35" t="s">
        <v>285</v>
      </c>
      <c r="D3" s="34" t="s">
        <v>3009</v>
      </c>
      <c r="E3" s="97" t="str">
        <f>HYPERLINK("https://youtu.be/e2LU78RoSWE","channel 1")</f>
        <v>channel 1</v>
      </c>
    </row>
    <row r="4">
      <c r="A4" s="66"/>
      <c r="B4" s="34" t="s">
        <v>3102</v>
      </c>
      <c r="C4" s="35" t="s">
        <v>42</v>
      </c>
      <c r="D4" s="32" t="s">
        <v>2535</v>
      </c>
      <c r="E4" s="97" t="str">
        <f>HYPERLINK("https://youtu.be/2yabTlmKLro","channel 2")</f>
        <v>channel 2</v>
      </c>
    </row>
    <row r="5">
      <c r="A5" s="66"/>
      <c r="B5" s="34" t="s">
        <v>1788</v>
      </c>
      <c r="C5" s="35" t="s">
        <v>477</v>
      </c>
      <c r="D5" s="34" t="s">
        <v>2391</v>
      </c>
      <c r="E5" s="97" t="str">
        <f>HYPERLINK("https://youtu.be/e2LU78RoSWE?t=1032","channel 1")</f>
        <v>channel 1</v>
      </c>
    </row>
    <row r="6">
      <c r="A6" s="66"/>
      <c r="B6" s="34" t="s">
        <v>3102</v>
      </c>
      <c r="C6" s="35" t="s">
        <v>31</v>
      </c>
      <c r="D6" s="34" t="s">
        <v>3009</v>
      </c>
      <c r="E6" s="97" t="str">
        <f>HYPERLINK("https://youtu.be/2yabTlmKLro?t=1110","channel 2")</f>
        <v>channel 2</v>
      </c>
    </row>
    <row r="7">
      <c r="A7" s="66"/>
      <c r="B7" s="34" t="s">
        <v>1788</v>
      </c>
      <c r="C7" s="35" t="s">
        <v>31</v>
      </c>
      <c r="D7" s="32" t="s">
        <v>2535</v>
      </c>
      <c r="E7" s="97" t="str">
        <f>HYPERLINK("https://youtu.be/e2LU78RoSWE?t=2005","channel 1")</f>
        <v>channel 1</v>
      </c>
    </row>
    <row r="8">
      <c r="A8" s="66"/>
      <c r="B8" s="34" t="s">
        <v>3102</v>
      </c>
      <c r="C8" s="35" t="s">
        <v>289</v>
      </c>
      <c r="D8" s="34" t="s">
        <v>2391</v>
      </c>
      <c r="E8" s="97" t="str">
        <f>HYPERLINK("https://youtu.be/2yabTlmKLro?t=2053","channel 2")</f>
        <v>channel 2</v>
      </c>
    </row>
    <row r="9">
      <c r="A9" s="66"/>
      <c r="B9" s="34" t="s">
        <v>1788</v>
      </c>
      <c r="C9" s="35" t="s">
        <v>286</v>
      </c>
      <c r="D9" s="34" t="s">
        <v>3009</v>
      </c>
      <c r="E9" s="97" t="str">
        <f>HYPERLINK("https://youtu.be/e2LU78RoSWE?t=2886","channel 1")</f>
        <v>channel 1</v>
      </c>
    </row>
    <row r="10">
      <c r="A10" s="66"/>
      <c r="B10" s="32" t="s">
        <v>2535</v>
      </c>
      <c r="C10" s="35" t="s">
        <v>87</v>
      </c>
      <c r="D10" s="34" t="s">
        <v>2391</v>
      </c>
      <c r="E10" s="97" t="str">
        <f>HYPERLINK("https://youtu.be/2yabTlmKLro?t=2981","channel 2")</f>
        <v>channel 2</v>
      </c>
    </row>
    <row r="11">
      <c r="A11" s="66"/>
      <c r="B11" s="34" t="s">
        <v>1788</v>
      </c>
      <c r="C11" s="35" t="s">
        <v>355</v>
      </c>
      <c r="D11" s="34" t="s">
        <v>3102</v>
      </c>
      <c r="E11" s="97" t="str">
        <f>HYPERLINK("https://youtu.be/e2LU78RoSWE?t=3840","channel 1")</f>
        <v>channel 1</v>
      </c>
    </row>
    <row r="12">
      <c r="A12" s="66"/>
      <c r="B12" s="32" t="s">
        <v>2535</v>
      </c>
      <c r="C12" s="35" t="s">
        <v>201</v>
      </c>
      <c r="D12" s="34" t="s">
        <v>3009</v>
      </c>
      <c r="E12" s="97" t="str">
        <f>HYPERLINK("https://youtu.be/2yabTlmKLro?t=3935","channel 2")</f>
        <v>channel 2</v>
      </c>
    </row>
    <row r="13">
      <c r="A13" s="66"/>
      <c r="B13" s="34" t="s">
        <v>3009</v>
      </c>
      <c r="C13" s="35" t="s">
        <v>196</v>
      </c>
      <c r="D13" s="34" t="s">
        <v>2391</v>
      </c>
      <c r="E13" s="97" t="str">
        <f>HYPERLINK("https://youtu.be/e2LU78RoSWE?t=4805","channel 1")</f>
        <v>channel 1</v>
      </c>
    </row>
    <row r="14">
      <c r="A14" s="66"/>
      <c r="B14" s="32" t="s">
        <v>2535</v>
      </c>
      <c r="C14" s="35" t="s">
        <v>212</v>
      </c>
      <c r="D14" s="34" t="s">
        <v>3102</v>
      </c>
      <c r="E14" s="97" t="str">
        <f>HYPERLINK("https://youtu.be/2yabTlmKLro?t=4866","channel 2")</f>
        <v>channel 2</v>
      </c>
    </row>
    <row r="15">
      <c r="A15" s="66"/>
      <c r="B15" s="34" t="s">
        <v>2391</v>
      </c>
      <c r="C15" s="35" t="s">
        <v>201</v>
      </c>
      <c r="D15" s="34" t="s">
        <v>1788</v>
      </c>
      <c r="E15" s="97" t="str">
        <f>HYPERLINK("https://youtu.be/e2LU78RoSWE?t=5737","channel 1")</f>
        <v>channel 1</v>
      </c>
    </row>
    <row r="16">
      <c r="A16" s="66"/>
      <c r="B16" s="34" t="s">
        <v>3009</v>
      </c>
      <c r="C16" s="35" t="s">
        <v>194</v>
      </c>
      <c r="D16" s="34" t="s">
        <v>3102</v>
      </c>
      <c r="E16" s="97" t="str">
        <f>HYPERLINK("https://youtu.be/2yabTlmKLro?t=5783","channel 2")</f>
        <v>channel 2</v>
      </c>
    </row>
    <row r="17">
      <c r="A17" s="66"/>
      <c r="B17" s="32" t="s">
        <v>2535</v>
      </c>
      <c r="C17" s="35" t="s">
        <v>231</v>
      </c>
      <c r="D17" s="34" t="s">
        <v>1788</v>
      </c>
      <c r="E17" s="97" t="str">
        <f>HYPERLINK("https://youtu.be/e2LU78RoSWE?t=6667","channel 1")</f>
        <v>channel 1</v>
      </c>
    </row>
    <row r="18">
      <c r="A18" s="66"/>
      <c r="B18" s="34" t="s">
        <v>2391</v>
      </c>
      <c r="C18" s="35" t="s">
        <v>243</v>
      </c>
      <c r="D18" s="34" t="s">
        <v>3102</v>
      </c>
      <c r="E18" s="97" t="str">
        <f>HYPERLINK("https://youtu.be/2yabTlmKLro?t=6710","channel 2")</f>
        <v>channel 2</v>
      </c>
    </row>
    <row r="19">
      <c r="A19" s="66"/>
      <c r="B19" s="34" t="s">
        <v>3009</v>
      </c>
      <c r="C19" s="35" t="s">
        <v>321</v>
      </c>
      <c r="D19" s="34" t="s">
        <v>1788</v>
      </c>
      <c r="E19" s="97" t="str">
        <f>HYPERLINK("https://youtu.be/e2LU78RoSWE?t=7582","channel 1")</f>
        <v>channel 1</v>
      </c>
    </row>
    <row r="20">
      <c r="A20" s="66"/>
      <c r="B20" s="34" t="s">
        <v>2391</v>
      </c>
      <c r="C20" s="35" t="s">
        <v>17</v>
      </c>
      <c r="D20" s="32" t="s">
        <v>2535</v>
      </c>
      <c r="E20" s="97" t="str">
        <f>HYPERLINK("https://youtu.be/2yabTlmKLro?t=7679","channel 2")</f>
        <v>channel 2</v>
      </c>
    </row>
    <row r="21">
      <c r="A21" s="66"/>
      <c r="B21" s="34" t="s">
        <v>3102</v>
      </c>
      <c r="C21" s="35" t="s">
        <v>207</v>
      </c>
      <c r="D21" s="34" t="s">
        <v>1788</v>
      </c>
      <c r="E21" s="97" t="str">
        <f>HYPERLINK("https://youtu.be/e2LU78RoSWE?t=8532","channel 1")</f>
        <v>channel 1</v>
      </c>
    </row>
    <row r="22">
      <c r="A22" s="66"/>
      <c r="B22" s="34" t="s">
        <v>3009</v>
      </c>
      <c r="C22" s="35" t="s">
        <v>291</v>
      </c>
      <c r="D22" s="32" t="s">
        <v>2535</v>
      </c>
      <c r="E22" s="97" t="str">
        <f>HYPERLINK("https://youtu.be/2yabTlmKLro?t=8619","channel 2")</f>
        <v>channel 2</v>
      </c>
    </row>
    <row r="23">
      <c r="A23" s="66"/>
      <c r="B23" s="72" t="s">
        <v>3103</v>
      </c>
      <c r="C23" s="2"/>
      <c r="D23" s="3"/>
      <c r="E23" s="29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1947</v>
      </c>
      <c r="C25" s="35" t="s">
        <v>81</v>
      </c>
      <c r="D25" s="34" t="s">
        <v>3104</v>
      </c>
      <c r="E25" s="11" t="str">
        <f>HYPERLINK("https://youtu.be/ioWnzSmhmUQ","channel 1")</f>
        <v>channel 1</v>
      </c>
    </row>
    <row r="26">
      <c r="A26" s="66"/>
      <c r="B26" s="34" t="s">
        <v>3105</v>
      </c>
      <c r="C26" s="35" t="s">
        <v>215</v>
      </c>
      <c r="D26" s="32" t="s">
        <v>3106</v>
      </c>
      <c r="E26" s="11" t="str">
        <f>HYPERLINK("https://youtu.be/s17drWLvF90","channel 2")</f>
        <v>channel 2</v>
      </c>
    </row>
    <row r="27">
      <c r="A27" s="66"/>
      <c r="B27" s="34" t="s">
        <v>3067</v>
      </c>
      <c r="C27" s="35" t="s">
        <v>286</v>
      </c>
      <c r="D27" s="34" t="s">
        <v>1947</v>
      </c>
      <c r="E27" s="11" t="str">
        <f>HYPERLINK("https://youtu.be/ioWnzSmhmUQ?t=1023","channel 1")</f>
        <v>channel 1</v>
      </c>
    </row>
    <row r="28">
      <c r="A28" s="66"/>
      <c r="B28" s="34" t="s">
        <v>3105</v>
      </c>
      <c r="C28" s="35" t="s">
        <v>47</v>
      </c>
      <c r="D28" s="34" t="s">
        <v>3104</v>
      </c>
      <c r="E28" s="11" t="str">
        <f>HYPERLINK("https://youtu.be/s17drWLvF90?t=1098","channel 2")</f>
        <v>channel 2</v>
      </c>
    </row>
    <row r="29">
      <c r="A29" s="66"/>
      <c r="B29" s="34" t="s">
        <v>3067</v>
      </c>
      <c r="C29" s="35" t="s">
        <v>81</v>
      </c>
      <c r="D29" s="32" t="s">
        <v>3106</v>
      </c>
      <c r="E29" s="11" t="str">
        <f>HYPERLINK("https://youtu.be/ioWnzSmhmUQ?t=1966","channel 1")</f>
        <v>channel 1</v>
      </c>
    </row>
    <row r="30">
      <c r="A30" s="66"/>
      <c r="B30" s="34" t="s">
        <v>3105</v>
      </c>
      <c r="C30" s="35" t="s">
        <v>14</v>
      </c>
      <c r="D30" s="34" t="s">
        <v>1947</v>
      </c>
      <c r="E30" s="11" t="str">
        <f>HYPERLINK("https://youtu.be/s17drWLvF90?t=2042","channel 2")</f>
        <v>channel 2</v>
      </c>
    </row>
    <row r="31">
      <c r="A31" s="66"/>
      <c r="B31" s="34" t="s">
        <v>3067</v>
      </c>
      <c r="C31" s="35" t="s">
        <v>62</v>
      </c>
      <c r="D31" s="34" t="s">
        <v>3104</v>
      </c>
      <c r="E31" s="11" t="str">
        <f>HYPERLINK("https://youtu.be/ioWnzSmhmUQ?t=2897","channel 1")</f>
        <v>channel 1</v>
      </c>
    </row>
    <row r="32">
      <c r="A32" s="66"/>
      <c r="B32" s="32" t="s">
        <v>3106</v>
      </c>
      <c r="C32" s="35" t="s">
        <v>195</v>
      </c>
      <c r="D32" s="34" t="s">
        <v>1947</v>
      </c>
      <c r="E32" s="11" t="str">
        <f>HYPERLINK("https://youtu.be/s17drWLvF90?t=2986","channel 2")</f>
        <v>channel 2</v>
      </c>
    </row>
    <row r="33">
      <c r="A33" s="66"/>
      <c r="B33" s="34" t="s">
        <v>3067</v>
      </c>
      <c r="C33" s="35" t="s">
        <v>42</v>
      </c>
      <c r="D33" s="34" t="s">
        <v>3105</v>
      </c>
      <c r="E33" s="11" t="str">
        <f>HYPERLINK("https://youtu.be/ioWnzSmhmUQ?t=3865","channel 1")</f>
        <v>channel 1</v>
      </c>
    </row>
    <row r="34">
      <c r="A34" s="66"/>
      <c r="B34" s="32" t="s">
        <v>3106</v>
      </c>
      <c r="C34" s="35" t="s">
        <v>43</v>
      </c>
      <c r="D34" s="34" t="s">
        <v>3104</v>
      </c>
      <c r="E34" s="11" t="str">
        <f>HYPERLINK("https://youtu.be/s17drWLvF90?t=3922","channel 2")</f>
        <v>channel 2</v>
      </c>
    </row>
    <row r="35">
      <c r="A35" s="66"/>
      <c r="B35" s="34" t="s">
        <v>3104</v>
      </c>
      <c r="C35" s="35" t="s">
        <v>218</v>
      </c>
      <c r="D35" s="34" t="s">
        <v>1947</v>
      </c>
      <c r="E35" s="11" t="str">
        <f>HYPERLINK("https://youtu.be/ioWnzSmhmUQ?t=4783","channel 1")</f>
        <v>channel 1</v>
      </c>
    </row>
    <row r="36">
      <c r="A36" s="66"/>
      <c r="B36" s="32" t="s">
        <v>3106</v>
      </c>
      <c r="C36" s="35" t="s">
        <v>1428</v>
      </c>
      <c r="D36" s="34" t="s">
        <v>3105</v>
      </c>
      <c r="E36" s="11" t="str">
        <f>HYPERLINK("https://youtu.be/s17drWLvF90?t=4847","channel 2")</f>
        <v>channel 2</v>
      </c>
    </row>
    <row r="37">
      <c r="A37" s="66"/>
      <c r="B37" s="34" t="s">
        <v>1947</v>
      </c>
      <c r="C37" s="35" t="s">
        <v>87</v>
      </c>
      <c r="D37" s="34" t="s">
        <v>3067</v>
      </c>
      <c r="E37" s="11" t="str">
        <f>HYPERLINK("https://youtu.be/ioWnzSmhmUQ?t=5706","channel 1")</f>
        <v>channel 1</v>
      </c>
    </row>
    <row r="38">
      <c r="A38" s="66"/>
      <c r="B38" s="34" t="s">
        <v>3104</v>
      </c>
      <c r="C38" s="35" t="s">
        <v>722</v>
      </c>
      <c r="D38" s="34" t="s">
        <v>3105</v>
      </c>
      <c r="E38" s="11" t="str">
        <f>HYPERLINK("https://youtu.be/s17drWLvF90?t=5769","channel 2")</f>
        <v>channel 2</v>
      </c>
    </row>
    <row r="39">
      <c r="A39" s="66"/>
      <c r="B39" s="32" t="s">
        <v>3106</v>
      </c>
      <c r="C39" s="35" t="s">
        <v>84</v>
      </c>
      <c r="D39" s="34" t="s">
        <v>3067</v>
      </c>
      <c r="E39" s="11" t="str">
        <f>HYPERLINK("https://youtu.be/ioWnzSmhmUQ?t=6620","channel 1")</f>
        <v>channel 1</v>
      </c>
    </row>
    <row r="40">
      <c r="A40" s="66"/>
      <c r="B40" s="34" t="s">
        <v>1947</v>
      </c>
      <c r="C40" s="35" t="s">
        <v>17</v>
      </c>
      <c r="D40" s="34" t="s">
        <v>3105</v>
      </c>
      <c r="E40" s="11" t="str">
        <f>HYPERLINK("https://youtu.be/s17drWLvF90?t=6674","channel 2")</f>
        <v>channel 2</v>
      </c>
    </row>
    <row r="41">
      <c r="A41" s="66"/>
      <c r="B41" s="34" t="s">
        <v>3104</v>
      </c>
      <c r="C41" s="35" t="s">
        <v>82</v>
      </c>
      <c r="D41" s="34" t="s">
        <v>3067</v>
      </c>
      <c r="E41" s="11" t="str">
        <f>HYPERLINK("https://youtu.be/ioWnzSmhmUQ?t=7575","channel 1")</f>
        <v>channel 1</v>
      </c>
    </row>
    <row r="42">
      <c r="A42" s="66"/>
      <c r="B42" s="34" t="s">
        <v>1947</v>
      </c>
      <c r="C42" s="35" t="s">
        <v>67</v>
      </c>
      <c r="D42" s="32" t="s">
        <v>3106</v>
      </c>
      <c r="E42" s="11" t="str">
        <f>HYPERLINK("https://youtu.be/s17drWLvF90?t=7588","channel 2")</f>
        <v>channel 2</v>
      </c>
    </row>
    <row r="43">
      <c r="A43" s="66"/>
      <c r="B43" s="34" t="s">
        <v>3105</v>
      </c>
      <c r="C43" s="35" t="s">
        <v>3107</v>
      </c>
      <c r="D43" s="34" t="s">
        <v>3067</v>
      </c>
      <c r="E43" s="11" t="str">
        <f>HYPERLINK("https://youtu.be/ioWnzSmhmUQ?t=8458","channel 1")</f>
        <v>channel 1</v>
      </c>
    </row>
    <row r="44">
      <c r="A44" s="67"/>
      <c r="B44" s="34" t="s">
        <v>3104</v>
      </c>
      <c r="C44" s="35" t="s">
        <v>82</v>
      </c>
      <c r="D44" s="32" t="s">
        <v>3106</v>
      </c>
      <c r="E44" s="11" t="str">
        <f>HYPERLINK("https://youtu.be/s17drWLvF90?t=8597","channel 2")</f>
        <v>channel 2</v>
      </c>
    </row>
    <row r="45">
      <c r="B45" s="72" t="s">
        <v>2910</v>
      </c>
      <c r="C45" s="2"/>
      <c r="D45" s="3"/>
      <c r="E45" s="2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34" t="s">
        <v>983</v>
      </c>
      <c r="C47" s="35" t="s">
        <v>22</v>
      </c>
      <c r="D47" s="34" t="s">
        <v>3108</v>
      </c>
      <c r="E47" s="11" t="str">
        <f>HYPERLINK("https://youtu.be/WeBgqusHjEg","channel 1")</f>
        <v>channel 1</v>
      </c>
    </row>
    <row r="48">
      <c r="B48" s="34" t="s">
        <v>3109</v>
      </c>
      <c r="C48" s="35" t="s">
        <v>83</v>
      </c>
      <c r="D48" s="32" t="s">
        <v>1182</v>
      </c>
      <c r="E48" s="11" t="str">
        <f>HYPERLINK("https://youtu.be/p5fcIXT4FHs","channel 2")</f>
        <v>channel 2</v>
      </c>
    </row>
    <row r="49">
      <c r="B49" s="34" t="s">
        <v>399</v>
      </c>
      <c r="C49" s="35" t="s">
        <v>17</v>
      </c>
      <c r="D49" s="34" t="s">
        <v>983</v>
      </c>
      <c r="E49" s="11" t="str">
        <f>HYPERLINK("https://youtu.be/WeBgqusHjEg?t=1008","channel 1")</f>
        <v>channel 1</v>
      </c>
    </row>
    <row r="50">
      <c r="B50" s="34" t="s">
        <v>3109</v>
      </c>
      <c r="C50" s="35" t="s">
        <v>302</v>
      </c>
      <c r="D50" s="34" t="s">
        <v>3108</v>
      </c>
      <c r="E50" s="11" t="str">
        <f>HYPERLINK("https://youtu.be/p5fcIXT4FHs?t=1089","channel 2")</f>
        <v>channel 2</v>
      </c>
    </row>
    <row r="51">
      <c r="B51" s="34" t="s">
        <v>399</v>
      </c>
      <c r="C51" s="35" t="s">
        <v>87</v>
      </c>
      <c r="D51" s="32" t="s">
        <v>1182</v>
      </c>
      <c r="E51" s="11" t="str">
        <f>HYPERLINK("https://youtu.be/WeBgqusHjEg?t=1989","channel 1")</f>
        <v>channel 1</v>
      </c>
    </row>
    <row r="52">
      <c r="B52" s="34" t="s">
        <v>3109</v>
      </c>
      <c r="C52" s="35" t="s">
        <v>330</v>
      </c>
      <c r="D52" s="34" t="s">
        <v>983</v>
      </c>
      <c r="E52" s="11" t="str">
        <f>HYPERLINK("https://youtu.be/p5fcIXT4FHs?t=2037","channel 2")</f>
        <v>channel 2</v>
      </c>
    </row>
    <row r="53">
      <c r="B53" s="34" t="s">
        <v>399</v>
      </c>
      <c r="C53" s="35" t="s">
        <v>11</v>
      </c>
      <c r="D53" s="34" t="s">
        <v>3108</v>
      </c>
      <c r="E53" s="11" t="str">
        <f>HYPERLINK("https://youtu.be/WeBgqusHjEg?t=2886","channel 1")</f>
        <v>channel 1</v>
      </c>
    </row>
    <row r="54">
      <c r="B54" s="32" t="s">
        <v>1182</v>
      </c>
      <c r="C54" s="35" t="s">
        <v>196</v>
      </c>
      <c r="D54" s="34" t="s">
        <v>983</v>
      </c>
      <c r="E54" s="11" t="str">
        <f>HYPERLINK("https://youtu.be/p5fcIXT4FHs?t=2984","channel 2")</f>
        <v>channel 2</v>
      </c>
    </row>
    <row r="55">
      <c r="B55" s="34" t="s">
        <v>399</v>
      </c>
      <c r="C55" s="35" t="s">
        <v>434</v>
      </c>
      <c r="D55" s="34" t="s">
        <v>3109</v>
      </c>
      <c r="E55" s="11" t="str">
        <f>HYPERLINK("https://youtu.be/WeBgqusHjEg?t=3799","channel 1")</f>
        <v>channel 1</v>
      </c>
    </row>
    <row r="56">
      <c r="B56" s="32" t="s">
        <v>1182</v>
      </c>
      <c r="C56" s="35" t="s">
        <v>68</v>
      </c>
      <c r="D56" s="34" t="s">
        <v>3108</v>
      </c>
      <c r="E56" s="11" t="str">
        <f>HYPERLINK("https://youtu.be/p5fcIXT4FHs?t=4013","channel 2")</f>
        <v>channel 2</v>
      </c>
    </row>
    <row r="57">
      <c r="B57" s="34" t="s">
        <v>3108</v>
      </c>
      <c r="C57" s="35" t="s">
        <v>55</v>
      </c>
      <c r="D57" s="34" t="s">
        <v>983</v>
      </c>
      <c r="E57" s="11" t="str">
        <f>HYPERLINK("https://youtu.be/WeBgqusHjEg?t=4898","channel 1")</f>
        <v>channel 1</v>
      </c>
    </row>
    <row r="58">
      <c r="B58" s="32" t="s">
        <v>1182</v>
      </c>
      <c r="C58" s="35" t="s">
        <v>88</v>
      </c>
      <c r="D58" s="34" t="s">
        <v>3109</v>
      </c>
      <c r="E58" s="11" t="str">
        <f>HYPERLINK("https://youtu.be/p5fcIXT4FHs?t=4966","channel 2")</f>
        <v>channel 2</v>
      </c>
    </row>
    <row r="59">
      <c r="B59" s="34" t="s">
        <v>983</v>
      </c>
      <c r="C59" s="35" t="s">
        <v>286</v>
      </c>
      <c r="D59" s="34" t="s">
        <v>399</v>
      </c>
      <c r="E59" s="11" t="str">
        <f>HYPERLINK("https://youtu.be/WeBgqusHjEg?t=5800","channel 1")</f>
        <v>channel 1</v>
      </c>
    </row>
    <row r="60">
      <c r="B60" s="34" t="s">
        <v>3108</v>
      </c>
      <c r="C60" s="35" t="s">
        <v>3006</v>
      </c>
      <c r="D60" s="34" t="s">
        <v>3109</v>
      </c>
      <c r="E60" s="11" t="str">
        <f>HYPERLINK("https://youtu.be/p5fcIXT4FHs?t=5894","channel 2")</f>
        <v>channel 2</v>
      </c>
    </row>
    <row r="61">
      <c r="B61" s="32" t="s">
        <v>1182</v>
      </c>
      <c r="C61" s="35" t="s">
        <v>19</v>
      </c>
      <c r="D61" s="34" t="s">
        <v>399</v>
      </c>
      <c r="E61" s="11" t="str">
        <f>HYPERLINK("https://youtu.be/WeBgqusHjEg?t=6703","channel 1")</f>
        <v>channel 1</v>
      </c>
    </row>
    <row r="62">
      <c r="B62" s="34" t="s">
        <v>983</v>
      </c>
      <c r="C62" s="35" t="s">
        <v>64</v>
      </c>
      <c r="D62" s="34" t="s">
        <v>3109</v>
      </c>
      <c r="E62" s="11" t="str">
        <f>HYPERLINK("https://youtu.be/p5fcIXT4FHs?t=6827","channel 2")</f>
        <v>channel 2</v>
      </c>
    </row>
    <row r="63">
      <c r="B63" s="34" t="s">
        <v>3108</v>
      </c>
      <c r="C63" s="35" t="s">
        <v>17</v>
      </c>
      <c r="D63" s="34" t="s">
        <v>399</v>
      </c>
      <c r="E63" s="11" t="str">
        <f>HYPERLINK("https://youtu.be/WeBgqusHjEg?t=7661","channel 1")</f>
        <v>channel 1</v>
      </c>
    </row>
    <row r="64">
      <c r="B64" s="34" t="s">
        <v>983</v>
      </c>
      <c r="C64" s="35" t="s">
        <v>17</v>
      </c>
      <c r="D64" s="32" t="s">
        <v>1182</v>
      </c>
      <c r="E64" s="11" t="str">
        <f>HYPERLINK("https://youtu.be/p5fcIXT4FHs?t=7734","channel 2")</f>
        <v>channel 2</v>
      </c>
    </row>
    <row r="65">
      <c r="B65" s="34" t="s">
        <v>3109</v>
      </c>
      <c r="C65" s="35" t="s">
        <v>28</v>
      </c>
      <c r="D65" s="34" t="s">
        <v>399</v>
      </c>
      <c r="E65" s="11" t="str">
        <f>HYPERLINK("https://youtu.be/WeBgqusHjEg?t=8541","channel 1")</f>
        <v>channel 1</v>
      </c>
    </row>
    <row r="66">
      <c r="B66" s="34" t="s">
        <v>3108</v>
      </c>
      <c r="C66" s="35" t="s">
        <v>306</v>
      </c>
      <c r="D66" s="32" t="s">
        <v>1182</v>
      </c>
      <c r="E66" s="11" t="str">
        <f>HYPERLINK("https://youtu.be/p5fcIXT4FHs?t=8702","channel 2")</f>
        <v>channel 2</v>
      </c>
    </row>
    <row r="67">
      <c r="B67" s="72" t="s">
        <v>2308</v>
      </c>
      <c r="C67" s="2"/>
      <c r="D67" s="3"/>
      <c r="E67" s="29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34" t="s">
        <v>230</v>
      </c>
      <c r="C69" s="35" t="s">
        <v>71</v>
      </c>
      <c r="D69" s="34" t="s">
        <v>3110</v>
      </c>
      <c r="E69" s="11" t="str">
        <f>HYPERLINK("https://youtu.be/b9YjSBXKdyA","channel 1")</f>
        <v>channel 1</v>
      </c>
    </row>
    <row r="70">
      <c r="B70" s="34" t="s">
        <v>3111</v>
      </c>
      <c r="C70" s="35" t="s">
        <v>233</v>
      </c>
      <c r="D70" s="32" t="s">
        <v>1613</v>
      </c>
      <c r="E70" s="11" t="str">
        <f>HYPERLINK("https://youtu.be/YY-RI5x9Pcc","channel 2")</f>
        <v>channel 2</v>
      </c>
    </row>
    <row r="71">
      <c r="B71" s="34" t="s">
        <v>2590</v>
      </c>
      <c r="C71" s="35" t="s">
        <v>31</v>
      </c>
      <c r="D71" s="34" t="s">
        <v>230</v>
      </c>
      <c r="E71" s="11" t="str">
        <f>HYPERLINK("https://youtu.be/b9YjSBXKdyA?t=925","channel 1")</f>
        <v>channel 1</v>
      </c>
    </row>
    <row r="72">
      <c r="B72" s="34" t="s">
        <v>3111</v>
      </c>
      <c r="C72" s="35" t="s">
        <v>872</v>
      </c>
      <c r="D72" s="34" t="s">
        <v>3110</v>
      </c>
      <c r="E72" s="11" t="str">
        <f>HYPERLINK("https://youtu.be/YY-RI5x9Pcc?t=1105","channel 2")</f>
        <v>channel 2</v>
      </c>
    </row>
    <row r="73">
      <c r="B73" s="34" t="s">
        <v>2590</v>
      </c>
      <c r="C73" s="35" t="s">
        <v>194</v>
      </c>
      <c r="D73" s="32" t="s">
        <v>1613</v>
      </c>
      <c r="E73" s="11" t="str">
        <f>HYPERLINK("https://youtu.be/b9YjSBXKdyA?t=1850","channel 1")</f>
        <v>channel 1</v>
      </c>
    </row>
    <row r="74">
      <c r="B74" s="34" t="s">
        <v>3111</v>
      </c>
      <c r="C74" s="35" t="s">
        <v>217</v>
      </c>
      <c r="D74" s="34" t="s">
        <v>230</v>
      </c>
      <c r="E74" s="11" t="str">
        <f>HYPERLINK("https://youtu.be/YY-RI5x9Pcc?t=2037","channel 2")</f>
        <v>channel 2</v>
      </c>
    </row>
    <row r="75">
      <c r="B75" s="34" t="s">
        <v>2590</v>
      </c>
      <c r="C75" s="35" t="s">
        <v>286</v>
      </c>
      <c r="D75" s="34" t="s">
        <v>3110</v>
      </c>
      <c r="E75" s="11" t="str">
        <f>HYPERLINK("https://youtu.be/b9YjSBXKdyA?t=2792","channel 1")</f>
        <v>channel 1</v>
      </c>
    </row>
    <row r="76">
      <c r="B76" s="32" t="s">
        <v>1613</v>
      </c>
      <c r="C76" s="35" t="s">
        <v>217</v>
      </c>
      <c r="D76" s="34" t="s">
        <v>230</v>
      </c>
      <c r="E76" s="11" t="str">
        <f>HYPERLINK("https://youtu.be/YY-RI5x9Pcc?t=2950","channel 2")</f>
        <v>channel 2</v>
      </c>
    </row>
    <row r="77">
      <c r="B77" s="34" t="s">
        <v>2590</v>
      </c>
      <c r="C77" s="35" t="s">
        <v>16</v>
      </c>
      <c r="D77" s="34" t="s">
        <v>3111</v>
      </c>
      <c r="E77" s="11" t="str">
        <f>HYPERLINK("https://youtu.be/b9YjSBXKdyA?t=3745","channel 1")</f>
        <v>channel 1</v>
      </c>
    </row>
    <row r="78">
      <c r="B78" s="32" t="s">
        <v>1613</v>
      </c>
      <c r="C78" s="35" t="s">
        <v>17</v>
      </c>
      <c r="D78" s="34" t="s">
        <v>3110</v>
      </c>
      <c r="E78" s="11" t="str">
        <f>HYPERLINK("https://youtu.be/YY-RI5x9Pcc?t=3856","channel 2")</f>
        <v>channel 2</v>
      </c>
    </row>
    <row r="79">
      <c r="B79" s="34" t="s">
        <v>3110</v>
      </c>
      <c r="C79" s="35" t="s">
        <v>260</v>
      </c>
      <c r="D79" s="34" t="s">
        <v>230</v>
      </c>
      <c r="E79" s="11" t="str">
        <f>HYPERLINK("https://youtu.be/b9YjSBXKdyA?t=4649","channel 1")</f>
        <v>channel 1</v>
      </c>
    </row>
    <row r="80">
      <c r="B80" s="32" t="s">
        <v>1613</v>
      </c>
      <c r="C80" s="35" t="s">
        <v>82</v>
      </c>
      <c r="D80" s="34" t="s">
        <v>3111</v>
      </c>
      <c r="E80" s="11" t="str">
        <f>HYPERLINK("https://youtu.be/YY-RI5x9Pcc?t=4792","channel 2")</f>
        <v>channel 2</v>
      </c>
    </row>
    <row r="81">
      <c r="B81" s="34" t="s">
        <v>230</v>
      </c>
      <c r="C81" s="35" t="s">
        <v>87</v>
      </c>
      <c r="D81" s="34" t="s">
        <v>2590</v>
      </c>
      <c r="E81" s="11" t="str">
        <f>HYPERLINK("https://youtu.be/b9YjSBXKdyA?t=5684","channel 1")</f>
        <v>channel 1</v>
      </c>
    </row>
    <row r="82">
      <c r="B82" s="34" t="s">
        <v>3110</v>
      </c>
      <c r="C82" s="35" t="s">
        <v>285</v>
      </c>
      <c r="D82" s="34" t="s">
        <v>3111</v>
      </c>
      <c r="E82" s="11" t="str">
        <f>HYPERLINK("https://youtu.be/YY-RI5x9Pcc?t=5846","channel 2")</f>
        <v>channel 2</v>
      </c>
    </row>
    <row r="83">
      <c r="B83" s="32" t="s">
        <v>1613</v>
      </c>
      <c r="C83" s="35" t="s">
        <v>19</v>
      </c>
      <c r="D83" s="34" t="s">
        <v>2590</v>
      </c>
      <c r="E83" s="11" t="str">
        <f>HYPERLINK("https://youtu.be/b9YjSBXKdyA?t=6587","channel 1")</f>
        <v>channel 1</v>
      </c>
    </row>
    <row r="84">
      <c r="B84" s="34" t="s">
        <v>230</v>
      </c>
      <c r="C84" s="35" t="s">
        <v>446</v>
      </c>
      <c r="D84" s="34" t="s">
        <v>3111</v>
      </c>
      <c r="E84" s="11" t="str">
        <f>HYPERLINK("https://youtu.be/YY-RI5x9Pcc?t=6744","channel 2")</f>
        <v>channel 2</v>
      </c>
    </row>
    <row r="85">
      <c r="B85" s="34" t="s">
        <v>3110</v>
      </c>
      <c r="C85" s="35" t="s">
        <v>196</v>
      </c>
      <c r="D85" s="34" t="s">
        <v>2590</v>
      </c>
      <c r="E85" s="11" t="str">
        <f>HYPERLINK("https://youtu.be/b9YjSBXKdyA?t=7580","channel 1")</f>
        <v>channel 1</v>
      </c>
    </row>
    <row r="86">
      <c r="B86" s="34" t="s">
        <v>230</v>
      </c>
      <c r="C86" s="35" t="s">
        <v>81</v>
      </c>
      <c r="D86" s="32" t="s">
        <v>1613</v>
      </c>
      <c r="E86" s="11" t="str">
        <f>HYPERLINK("https://youtu.be/YY-RI5x9Pcc?t=7613","channel 2")</f>
        <v>channel 2</v>
      </c>
    </row>
    <row r="87">
      <c r="B87" s="34" t="s">
        <v>3111</v>
      </c>
      <c r="C87" s="35" t="s">
        <v>196</v>
      </c>
      <c r="D87" s="34" t="s">
        <v>2590</v>
      </c>
      <c r="E87" s="11" t="str">
        <f>HYPERLINK("https://youtu.be/b9YjSBXKdyA?t=8518","channel 1")</f>
        <v>channel 1</v>
      </c>
    </row>
    <row r="88">
      <c r="B88" s="34" t="s">
        <v>3110</v>
      </c>
      <c r="C88" s="35" t="s">
        <v>25</v>
      </c>
      <c r="D88" s="32" t="s">
        <v>1613</v>
      </c>
      <c r="E88" s="11" t="str">
        <f>HYPERLINK("https://youtu.be/YY-RI5x9Pcc?t=8546","channel 2")</f>
        <v>channel 2</v>
      </c>
    </row>
    <row r="89">
      <c r="B89" s="72" t="s">
        <v>3112</v>
      </c>
      <c r="C89" s="2"/>
      <c r="D89" s="3"/>
      <c r="E89" s="29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34" t="s">
        <v>2604</v>
      </c>
      <c r="C91" s="35" t="s">
        <v>197</v>
      </c>
      <c r="D91" s="34" t="s">
        <v>2035</v>
      </c>
      <c r="E91" s="11" t="str">
        <f>HYPERLINK("https://youtu.be/oLoyHeUlqC8","channel 3")</f>
        <v>channel 3</v>
      </c>
    </row>
    <row r="92">
      <c r="B92" s="34" t="s">
        <v>1104</v>
      </c>
      <c r="C92" s="35" t="s">
        <v>42</v>
      </c>
      <c r="D92" s="32" t="s">
        <v>1376</v>
      </c>
      <c r="E92" s="11" t="str">
        <f>HYPERLINK("https://youtu.be/iluhyls9vPo","channel 4")</f>
        <v>channel 4</v>
      </c>
    </row>
    <row r="93">
      <c r="B93" s="34" t="s">
        <v>3113</v>
      </c>
      <c r="C93" s="35" t="s">
        <v>190</v>
      </c>
      <c r="D93" s="34" t="s">
        <v>2604</v>
      </c>
      <c r="E93" s="11" t="str">
        <f>HYPERLINK("https://youtu.be/oLoyHeUlqC8?t=905","channel 3")</f>
        <v>channel 3</v>
      </c>
    </row>
    <row r="94">
      <c r="B94" s="34" t="s">
        <v>1104</v>
      </c>
      <c r="C94" s="35" t="s">
        <v>3114</v>
      </c>
      <c r="D94" s="34" t="s">
        <v>2035</v>
      </c>
      <c r="E94" s="11" t="str">
        <f>HYPERLINK("https://youtu.be/iluhyls9vPo?t=897","channel 4")</f>
        <v>channel 4</v>
      </c>
    </row>
    <row r="95">
      <c r="B95" s="34" t="s">
        <v>3113</v>
      </c>
      <c r="C95" s="35" t="s">
        <v>31</v>
      </c>
      <c r="D95" s="32" t="s">
        <v>1376</v>
      </c>
      <c r="E95" s="11" t="str">
        <f>HYPERLINK("https://youtu.be/oLoyHeUlqC8?t=1742","channel 3")</f>
        <v>channel 3</v>
      </c>
    </row>
    <row r="96">
      <c r="B96" s="34" t="s">
        <v>1104</v>
      </c>
      <c r="C96" s="35" t="s">
        <v>48</v>
      </c>
      <c r="D96" s="34" t="s">
        <v>2604</v>
      </c>
      <c r="E96" s="11" t="str">
        <f>HYPERLINK("https://youtu.be/iluhyls9vPo?t=1783","channel 4")</f>
        <v>channel 4</v>
      </c>
    </row>
    <row r="97">
      <c r="B97" s="34" t="s">
        <v>3113</v>
      </c>
      <c r="C97" s="35" t="s">
        <v>69</v>
      </c>
      <c r="D97" s="34" t="s">
        <v>2035</v>
      </c>
      <c r="E97" s="11" t="str">
        <f>HYPERLINK("https://youtu.be/oLoyHeUlqC8?t=2535","channel 3")</f>
        <v>channel 3</v>
      </c>
    </row>
    <row r="98">
      <c r="B98" s="32" t="s">
        <v>1376</v>
      </c>
      <c r="C98" s="35" t="s">
        <v>284</v>
      </c>
      <c r="D98" s="34" t="s">
        <v>2604</v>
      </c>
      <c r="E98" s="11" t="str">
        <f>HYPERLINK("https://youtu.be/iluhyls9vPo?t=2663","channel 4")</f>
        <v>channel 4</v>
      </c>
    </row>
    <row r="99">
      <c r="B99" s="34" t="s">
        <v>3113</v>
      </c>
      <c r="C99" s="35" t="s">
        <v>3115</v>
      </c>
      <c r="D99" s="34" t="s">
        <v>1104</v>
      </c>
      <c r="E99" s="11" t="str">
        <f>HYPERLINK("https://youtu.be/oLoyHeUlqC8?t=3347","channel 3")</f>
        <v>channel 3</v>
      </c>
    </row>
    <row r="100">
      <c r="B100" s="32" t="s">
        <v>1376</v>
      </c>
      <c r="C100" s="35" t="s">
        <v>81</v>
      </c>
      <c r="D100" s="34" t="s">
        <v>2035</v>
      </c>
      <c r="E100" s="11" t="str">
        <f>HYPERLINK("https://youtu.be/iluhyls9vPo?t=3515","channel 4")</f>
        <v>channel 4</v>
      </c>
    </row>
    <row r="101">
      <c r="B101" s="34" t="s">
        <v>2035</v>
      </c>
      <c r="C101" s="35" t="s">
        <v>273</v>
      </c>
      <c r="D101" s="34" t="s">
        <v>2604</v>
      </c>
      <c r="E101" s="11" t="str">
        <f>HYPERLINK("https://youtu.be/oLoyHeUlqC8?t=4273","channel 3")</f>
        <v>channel 3</v>
      </c>
    </row>
    <row r="102">
      <c r="B102" s="32" t="s">
        <v>1376</v>
      </c>
      <c r="C102" s="35" t="s">
        <v>195</v>
      </c>
      <c r="D102" s="34" t="s">
        <v>1104</v>
      </c>
      <c r="E102" s="11" t="str">
        <f>HYPERLINK("https://youtu.be/iluhyls9vPo?t=4287","channel 4")</f>
        <v>channel 4</v>
      </c>
    </row>
    <row r="103">
      <c r="B103" s="34" t="s">
        <v>2604</v>
      </c>
      <c r="C103" s="35" t="s">
        <v>269</v>
      </c>
      <c r="D103" s="34" t="s">
        <v>3113</v>
      </c>
      <c r="E103" s="11" t="str">
        <f>HYPERLINK("https://youtu.be/oLoyHeUlqC8?t=5158","channel 3")</f>
        <v>channel 3</v>
      </c>
    </row>
    <row r="104">
      <c r="B104" s="34" t="s">
        <v>2035</v>
      </c>
      <c r="C104" s="35" t="s">
        <v>1025</v>
      </c>
      <c r="D104" s="34" t="s">
        <v>1104</v>
      </c>
      <c r="E104" s="11" t="str">
        <f>HYPERLINK("https://youtu.be/iluhyls9vPo?t=5113","channel 4")</f>
        <v>channel 4</v>
      </c>
    </row>
    <row r="105">
      <c r="B105" s="32" t="s">
        <v>1376</v>
      </c>
      <c r="C105" s="35" t="s">
        <v>285</v>
      </c>
      <c r="D105" s="34" t="s">
        <v>3113</v>
      </c>
      <c r="E105" s="11" t="str">
        <f>HYPERLINK("https://youtu.be/oLoyHeUlqC8?t=6024","channel 3")</f>
        <v>channel 3</v>
      </c>
    </row>
    <row r="106">
      <c r="B106" s="34" t="s">
        <v>2604</v>
      </c>
      <c r="C106" s="35" t="s">
        <v>81</v>
      </c>
      <c r="D106" s="34" t="s">
        <v>1104</v>
      </c>
      <c r="E106" s="11" t="str">
        <f>HYPERLINK("https://youtu.be/iluhyls9vPo?t=6013","channel 4")</f>
        <v>channel 4</v>
      </c>
    </row>
    <row r="107">
      <c r="B107" s="34" t="s">
        <v>2035</v>
      </c>
      <c r="C107" s="35" t="s">
        <v>201</v>
      </c>
      <c r="D107" s="34" t="s">
        <v>3113</v>
      </c>
      <c r="E107" s="11" t="str">
        <f>HYPERLINK("https://youtu.be/oLoyHeUlqC8?t=6896","channel 3")</f>
        <v>channel 3</v>
      </c>
    </row>
    <row r="108">
      <c r="B108" s="34" t="s">
        <v>2604</v>
      </c>
      <c r="C108" s="35" t="s">
        <v>751</v>
      </c>
      <c r="D108" s="32" t="s">
        <v>1376</v>
      </c>
      <c r="E108" s="11" t="str">
        <f>HYPERLINK("https://youtu.be/iluhyls9vPo?t=6872","channel 4")</f>
        <v>channel 4</v>
      </c>
    </row>
    <row r="109">
      <c r="B109" s="34" t="s">
        <v>1104</v>
      </c>
      <c r="C109" s="35" t="s">
        <v>88</v>
      </c>
      <c r="D109" s="34" t="s">
        <v>3113</v>
      </c>
      <c r="E109" s="11" t="str">
        <f>HYPERLINK("https://youtu.be/oLoyHeUlqC8?t=7690","channel 3")</f>
        <v>channel 3</v>
      </c>
    </row>
    <row r="110">
      <c r="B110" s="34" t="s">
        <v>2035</v>
      </c>
      <c r="C110" s="35" t="s">
        <v>218</v>
      </c>
      <c r="D110" s="32" t="s">
        <v>1376</v>
      </c>
      <c r="E110" s="11" t="str">
        <f>HYPERLINK("https://youtu.be/iluhyls9vPo?t=7698","channel 4")</f>
        <v>channel 4</v>
      </c>
    </row>
    <row r="111">
      <c r="B111" s="72" t="s">
        <v>2551</v>
      </c>
      <c r="C111" s="2"/>
      <c r="D111" s="3"/>
      <c r="E111" s="29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34" t="s">
        <v>1867</v>
      </c>
      <c r="C113" s="35" t="s">
        <v>285</v>
      </c>
      <c r="D113" s="34" t="s">
        <v>3116</v>
      </c>
      <c r="E113" s="11" t="str">
        <f>HYPERLINK("https://youtu.be/1mPudCoM_Yo","channel 3")</f>
        <v>channel 3</v>
      </c>
    </row>
    <row r="114">
      <c r="B114" s="34" t="s">
        <v>3117</v>
      </c>
      <c r="C114" s="35" t="s">
        <v>64</v>
      </c>
      <c r="D114" s="32" t="s">
        <v>3051</v>
      </c>
      <c r="E114" s="11" t="str">
        <f>HYPERLINK("https://youtu.be/WxrejWZmu50","channel 4")</f>
        <v>channel 4</v>
      </c>
    </row>
    <row r="115">
      <c r="B115" s="34" t="s">
        <v>3118</v>
      </c>
      <c r="C115" s="35" t="s">
        <v>21</v>
      </c>
      <c r="D115" s="34" t="s">
        <v>1867</v>
      </c>
      <c r="E115" s="11" t="str">
        <f>HYPERLINK("https://youtu.be/1mPudCoM_Yo?t=1025","channel 3")</f>
        <v>channel 3</v>
      </c>
    </row>
    <row r="116">
      <c r="B116" s="34" t="s">
        <v>3117</v>
      </c>
      <c r="C116" s="35" t="s">
        <v>319</v>
      </c>
      <c r="D116" s="34" t="s">
        <v>3116</v>
      </c>
      <c r="E116" s="11" t="str">
        <f>HYPERLINK("https://youtu.be/WxrejWZmu50?t=735","channel 4")</f>
        <v>channel 4</v>
      </c>
    </row>
    <row r="117">
      <c r="B117" s="34" t="s">
        <v>3118</v>
      </c>
      <c r="C117" s="35" t="s">
        <v>28</v>
      </c>
      <c r="D117" s="32" t="s">
        <v>3051</v>
      </c>
      <c r="E117" s="11" t="str">
        <f>HYPERLINK("https://youtu.be/1mPudCoM_Yo?t=1868","channel 3")</f>
        <v>channel 3</v>
      </c>
    </row>
    <row r="118">
      <c r="B118" s="34" t="s">
        <v>3117</v>
      </c>
      <c r="C118" s="35" t="s">
        <v>1266</v>
      </c>
      <c r="D118" s="34" t="s">
        <v>1867</v>
      </c>
      <c r="E118" s="11" t="str">
        <f>HYPERLINK("https://youtu.be/WxrejWZmu50?t=1587","channel 4")</f>
        <v>channel 4</v>
      </c>
    </row>
    <row r="119">
      <c r="B119" s="34" t="s">
        <v>3118</v>
      </c>
      <c r="C119" s="35" t="s">
        <v>201</v>
      </c>
      <c r="D119" s="34" t="s">
        <v>3116</v>
      </c>
      <c r="E119" s="11" t="str">
        <f>HYPERLINK("https://youtu.be/1mPudCoM_Yo?t=2817","channel 3")</f>
        <v>channel 3</v>
      </c>
    </row>
    <row r="120">
      <c r="B120" s="32" t="s">
        <v>3051</v>
      </c>
      <c r="C120" s="35" t="s">
        <v>52</v>
      </c>
      <c r="D120" s="34" t="s">
        <v>1867</v>
      </c>
      <c r="E120" s="11" t="str">
        <f>HYPERLINK("https://youtu.be/WxrejWZmu50?t=2538","channel 4")</f>
        <v>channel 4</v>
      </c>
    </row>
    <row r="121">
      <c r="B121" s="34" t="s">
        <v>3118</v>
      </c>
      <c r="C121" s="35" t="s">
        <v>285</v>
      </c>
      <c r="D121" s="34" t="s">
        <v>3117</v>
      </c>
      <c r="E121" s="11" t="str">
        <f>HYPERLINK("https://youtu.be/1mPudCoM_Yo?t=3665","channel 3")</f>
        <v>channel 3</v>
      </c>
    </row>
    <row r="122">
      <c r="B122" s="32" t="s">
        <v>3051</v>
      </c>
      <c r="C122" s="35" t="s">
        <v>207</v>
      </c>
      <c r="D122" s="34" t="s">
        <v>3116</v>
      </c>
      <c r="E122" s="11" t="str">
        <f>HYPERLINK("https://youtu.be/WxrejWZmu50?t=3430","channel 4")</f>
        <v>channel 4</v>
      </c>
    </row>
    <row r="123">
      <c r="B123" s="34" t="s">
        <v>3116</v>
      </c>
      <c r="C123" s="35" t="s">
        <v>35</v>
      </c>
      <c r="D123" s="34" t="s">
        <v>1867</v>
      </c>
      <c r="E123" s="11" t="str">
        <f>HYPERLINK("https://youtu.be/1mPudCoM_Yo?t=4574","channel 3")</f>
        <v>channel 3</v>
      </c>
    </row>
    <row r="124">
      <c r="B124" s="32" t="s">
        <v>3051</v>
      </c>
      <c r="C124" s="35" t="s">
        <v>45</v>
      </c>
      <c r="D124" s="34" t="s">
        <v>3117</v>
      </c>
      <c r="E124" s="11" t="str">
        <f>HYPERLINK("https://youtu.be/WxrejWZmu50?t=4277","channel 4")</f>
        <v>channel 4</v>
      </c>
    </row>
    <row r="125">
      <c r="B125" s="34" t="s">
        <v>1867</v>
      </c>
      <c r="C125" s="35" t="s">
        <v>87</v>
      </c>
      <c r="D125" s="34" t="s">
        <v>3118</v>
      </c>
      <c r="E125" s="11" t="str">
        <f>HYPERLINK("https://youtu.be/1mPudCoM_Yo?t=5427","channel 3")</f>
        <v>channel 3</v>
      </c>
    </row>
    <row r="126">
      <c r="B126" s="34" t="s">
        <v>3116</v>
      </c>
      <c r="C126" s="35" t="s">
        <v>84</v>
      </c>
      <c r="D126" s="34" t="s">
        <v>3117</v>
      </c>
      <c r="E126" s="11" t="str">
        <f>HYPERLINK("https://youtu.be/WxrejWZmu50?t=5117","channel 4")</f>
        <v>channel 4</v>
      </c>
    </row>
    <row r="127">
      <c r="B127" s="32" t="s">
        <v>3051</v>
      </c>
      <c r="C127" s="35" t="s">
        <v>201</v>
      </c>
      <c r="D127" s="34" t="s">
        <v>3118</v>
      </c>
      <c r="E127" s="11" t="str">
        <f>HYPERLINK("https://youtu.be/1mPudCoM_Yo?t=6386","channel 3")</f>
        <v>channel 3</v>
      </c>
    </row>
    <row r="128">
      <c r="B128" s="34" t="s">
        <v>1867</v>
      </c>
      <c r="C128" s="35" t="s">
        <v>316</v>
      </c>
      <c r="D128" s="34" t="s">
        <v>3117</v>
      </c>
      <c r="E128" s="11" t="str">
        <f>HYPERLINK("https://youtu.be/WxrejWZmu50?t=6144","channel 4")</f>
        <v>channel 4</v>
      </c>
    </row>
    <row r="129">
      <c r="B129" s="34" t="s">
        <v>3116</v>
      </c>
      <c r="C129" s="35" t="s">
        <v>195</v>
      </c>
      <c r="D129" s="34" t="s">
        <v>3118</v>
      </c>
      <c r="E129" s="11" t="str">
        <f>HYPERLINK("https://youtu.be/1mPudCoM_Yo?t=7321","channel 3")</f>
        <v>channel 3</v>
      </c>
    </row>
    <row r="130">
      <c r="B130" s="34" t="s">
        <v>1867</v>
      </c>
      <c r="C130" s="35" t="s">
        <v>307</v>
      </c>
      <c r="D130" s="32" t="s">
        <v>3051</v>
      </c>
      <c r="E130" s="11" t="str">
        <f>HYPERLINK("https://youtu.be/WxrejWZmu50?t=7063","channel 4")</f>
        <v>channel 4</v>
      </c>
    </row>
    <row r="131">
      <c r="B131" s="34" t="s">
        <v>3117</v>
      </c>
      <c r="C131" s="35" t="s">
        <v>947</v>
      </c>
      <c r="D131" s="34" t="s">
        <v>3118</v>
      </c>
      <c r="E131" s="11" t="str">
        <f>HYPERLINK("https://youtu.be/1mPudCoM_Yo?t=8783","channel 3")</f>
        <v>channel 3</v>
      </c>
    </row>
    <row r="132">
      <c r="B132" s="34" t="s">
        <v>3116</v>
      </c>
      <c r="C132" s="35" t="s">
        <v>239</v>
      </c>
      <c r="D132" s="32" t="s">
        <v>3051</v>
      </c>
      <c r="E132" s="11" t="str">
        <f>HYPERLINK("https://youtu.be/WxrejWZmu50?t=8497","channel 4")</f>
        <v>channel 4</v>
      </c>
    </row>
    <row r="133">
      <c r="B133" s="72" t="s">
        <v>3019</v>
      </c>
      <c r="C133" s="2"/>
      <c r="D133" s="3"/>
      <c r="E133" s="2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34" t="s">
        <v>2955</v>
      </c>
      <c r="C135" s="35" t="s">
        <v>38</v>
      </c>
      <c r="D135" s="34" t="s">
        <v>3000</v>
      </c>
      <c r="E135" s="11" t="str">
        <f>HYPERLINK("https://youtu.be/lS6MpaFov_k","channel 1")</f>
        <v>channel 1</v>
      </c>
    </row>
    <row r="136">
      <c r="B136" s="34" t="s">
        <v>3119</v>
      </c>
      <c r="C136" s="35" t="s">
        <v>19</v>
      </c>
      <c r="D136" s="32" t="s">
        <v>876</v>
      </c>
      <c r="E136" s="11" t="str">
        <f>HYPERLINK("https://youtu.be/1sBZV8zqvMQ","channel 2")</f>
        <v>channel 2</v>
      </c>
    </row>
    <row r="137">
      <c r="B137" s="34" t="s">
        <v>1510</v>
      </c>
      <c r="C137" s="35" t="s">
        <v>27</v>
      </c>
      <c r="D137" s="34" t="s">
        <v>2955</v>
      </c>
      <c r="E137" s="11" t="str">
        <f>HYPERLINK("https://youtu.be/lS6MpaFov_k?t=123","channel 1")</f>
        <v>channel 1</v>
      </c>
    </row>
    <row r="138">
      <c r="B138" s="34" t="s">
        <v>3119</v>
      </c>
      <c r="C138" s="35" t="s">
        <v>24</v>
      </c>
      <c r="D138" s="34" t="s">
        <v>3000</v>
      </c>
      <c r="E138" s="11" t="str">
        <f>HYPERLINK("https://youtu.be/1sBZV8zqvMQ?t=1049","channel 2")</f>
        <v>channel 2</v>
      </c>
    </row>
    <row r="139">
      <c r="B139" s="34" t="s">
        <v>1510</v>
      </c>
      <c r="C139" s="35" t="s">
        <v>64</v>
      </c>
      <c r="D139" s="32" t="s">
        <v>876</v>
      </c>
      <c r="E139" s="11" t="str">
        <f>HYPERLINK("https://youtu.be/lS6MpaFov_k?t=987","channel 1")</f>
        <v>channel 1</v>
      </c>
    </row>
    <row r="140">
      <c r="B140" s="34" t="s">
        <v>3119</v>
      </c>
      <c r="C140" s="35" t="s">
        <v>793</v>
      </c>
      <c r="D140" s="34" t="s">
        <v>2955</v>
      </c>
      <c r="E140" s="11" t="str">
        <f>HYPERLINK("https://youtu.be/1sBZV8zqvMQ?t=1970","channel 2")</f>
        <v>channel 2</v>
      </c>
    </row>
    <row r="141">
      <c r="B141" s="34" t="s">
        <v>1510</v>
      </c>
      <c r="C141" s="35" t="s">
        <v>273</v>
      </c>
      <c r="D141" s="34" t="s">
        <v>3000</v>
      </c>
      <c r="E141" s="11" t="str">
        <f>HYPERLINK("https://youtu.be/lS6MpaFov_k?t=1970","channel 1")</f>
        <v>channel 1</v>
      </c>
    </row>
    <row r="142">
      <c r="B142" s="32" t="s">
        <v>876</v>
      </c>
      <c r="C142" s="35" t="s">
        <v>19</v>
      </c>
      <c r="D142" s="34" t="s">
        <v>2955</v>
      </c>
      <c r="E142" s="11" t="str">
        <f>HYPERLINK("https://youtu.be/1sBZV8zqvMQ?t=2867","channel 2")</f>
        <v>channel 2</v>
      </c>
    </row>
    <row r="143">
      <c r="B143" s="34" t="s">
        <v>1510</v>
      </c>
      <c r="C143" s="35" t="s">
        <v>196</v>
      </c>
      <c r="D143" s="34" t="s">
        <v>3119</v>
      </c>
      <c r="E143" s="11" t="str">
        <f>HYPERLINK("https://youtu.be/lS6MpaFov_k?t=2963","channel 1")</f>
        <v>channel 1</v>
      </c>
    </row>
    <row r="144">
      <c r="B144" s="32" t="s">
        <v>876</v>
      </c>
      <c r="C144" s="35" t="s">
        <v>578</v>
      </c>
      <c r="D144" s="34" t="s">
        <v>3000</v>
      </c>
      <c r="E144" s="11" t="str">
        <f>HYPERLINK("https://youtu.be/1sBZV8zqvMQ?t=3831","channel 2")</f>
        <v>channel 2</v>
      </c>
    </row>
    <row r="145">
      <c r="B145" s="34" t="s">
        <v>3000</v>
      </c>
      <c r="C145" s="35" t="s">
        <v>370</v>
      </c>
      <c r="D145" s="34" t="s">
        <v>2955</v>
      </c>
      <c r="E145" s="11" t="str">
        <f>HYPERLINK("https://youtu.be/lS6MpaFov_k?t=3828","channel 1")</f>
        <v>channel 1</v>
      </c>
    </row>
    <row r="146">
      <c r="B146" s="32" t="s">
        <v>876</v>
      </c>
      <c r="C146" s="35" t="s">
        <v>321</v>
      </c>
      <c r="D146" s="34" t="s">
        <v>3119</v>
      </c>
      <c r="E146" s="11" t="str">
        <f>HYPERLINK("https://youtu.be/1sBZV8zqvMQ?t=4808","channel 2")</f>
        <v>channel 2</v>
      </c>
    </row>
    <row r="147">
      <c r="B147" s="34" t="s">
        <v>2955</v>
      </c>
      <c r="C147" s="35" t="s">
        <v>416</v>
      </c>
      <c r="D147" s="34" t="s">
        <v>1510</v>
      </c>
      <c r="E147" s="11" t="str">
        <f>HYPERLINK("https://youtu.be/lS6MpaFov_k?t=4860","channel 1")</f>
        <v>channel 1</v>
      </c>
    </row>
    <row r="148">
      <c r="B148" s="34" t="s">
        <v>3000</v>
      </c>
      <c r="C148" s="35" t="s">
        <v>217</v>
      </c>
      <c r="D148" s="34" t="s">
        <v>3119</v>
      </c>
      <c r="E148" s="11" t="str">
        <f>HYPERLINK("https://youtu.be/1sBZV8zqvMQ?t=5793","channel 2")</f>
        <v>channel 2</v>
      </c>
    </row>
    <row r="149">
      <c r="B149" s="32" t="s">
        <v>876</v>
      </c>
      <c r="C149" s="35" t="s">
        <v>25</v>
      </c>
      <c r="D149" s="34" t="s">
        <v>1510</v>
      </c>
      <c r="E149" s="11" t="str">
        <f>HYPERLINK("https://youtu.be/lS6MpaFov_k?t=5815","channel 1")</f>
        <v>channel 1</v>
      </c>
    </row>
    <row r="150">
      <c r="B150" s="34" t="s">
        <v>2955</v>
      </c>
      <c r="C150" s="35" t="s">
        <v>196</v>
      </c>
      <c r="D150" s="34" t="s">
        <v>3119</v>
      </c>
      <c r="E150" s="11" t="str">
        <f>HYPERLINK("https://youtu.be/1sBZV8zqvMQ?t=6716","channel 2")</f>
        <v>channel 2</v>
      </c>
    </row>
    <row r="151">
      <c r="B151" s="34" t="s">
        <v>3000</v>
      </c>
      <c r="C151" s="35" t="s">
        <v>86</v>
      </c>
      <c r="D151" s="34" t="s">
        <v>1510</v>
      </c>
      <c r="E151" s="11" t="str">
        <f>HYPERLINK("https://youtu.be/lS6MpaFov_k?t=6769","channel 1")</f>
        <v>channel 1</v>
      </c>
    </row>
    <row r="152">
      <c r="B152" s="34" t="s">
        <v>2955</v>
      </c>
      <c r="C152" s="35" t="s">
        <v>282</v>
      </c>
      <c r="D152" s="32" t="s">
        <v>876</v>
      </c>
      <c r="E152" s="11" t="str">
        <f>HYPERLINK("https://youtu.be/1sBZV8zqvMQ?t=7620","channel 2")</f>
        <v>channel 2</v>
      </c>
    </row>
    <row r="153">
      <c r="B153" s="34" t="s">
        <v>3119</v>
      </c>
      <c r="C153" s="35" t="s">
        <v>48</v>
      </c>
      <c r="D153" s="34" t="s">
        <v>1510</v>
      </c>
      <c r="E153" s="11" t="str">
        <f>HYPERLINK("https://youtu.be/lS6MpaFov_k?t=7667","channel 1")</f>
        <v>channel 1</v>
      </c>
    </row>
    <row r="154">
      <c r="B154" s="34" t="s">
        <v>3000</v>
      </c>
      <c r="C154" s="35" t="s">
        <v>31</v>
      </c>
      <c r="D154" s="32" t="s">
        <v>876</v>
      </c>
      <c r="E154" s="11" t="str">
        <f>HYPERLINK("https://youtu.be/1sBZV8zqvMQ?t=8612","channel 2")</f>
        <v>channel 2</v>
      </c>
    </row>
    <row r="155">
      <c r="B155" s="72" t="s">
        <v>1685</v>
      </c>
      <c r="C155" s="2"/>
      <c r="D155" s="3"/>
      <c r="E155" s="2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34" t="s">
        <v>3120</v>
      </c>
      <c r="C157" s="35" t="s">
        <v>270</v>
      </c>
      <c r="D157" s="34" t="s">
        <v>2720</v>
      </c>
      <c r="E157" s="11" t="str">
        <f>HYPERLINK("https://youtu.be/ujb2Ad_lPe8","channel 1")</f>
        <v>channel 1</v>
      </c>
    </row>
    <row r="158">
      <c r="B158" s="34" t="s">
        <v>3121</v>
      </c>
      <c r="C158" s="35" t="s">
        <v>35</v>
      </c>
      <c r="D158" s="32" t="s">
        <v>3122</v>
      </c>
      <c r="E158" s="11" t="str">
        <f>HYPERLINK("https://youtu.be/hh5GSyxDfvQ","channel 2")</f>
        <v>channel 2</v>
      </c>
    </row>
    <row r="159">
      <c r="B159" s="34" t="s">
        <v>1484</v>
      </c>
      <c r="C159" s="35" t="s">
        <v>400</v>
      </c>
      <c r="D159" s="34" t="s">
        <v>3120</v>
      </c>
      <c r="E159" s="11" t="str">
        <f>HYPERLINK("https://youtu.be/ujb2Ad_lPe8?t=916","channel 1")</f>
        <v>channel 1</v>
      </c>
    </row>
    <row r="160">
      <c r="B160" s="34" t="s">
        <v>3121</v>
      </c>
      <c r="C160" s="35" t="s">
        <v>190</v>
      </c>
      <c r="D160" s="34" t="s">
        <v>2720</v>
      </c>
      <c r="E160" s="11" t="str">
        <f>HYPERLINK("https://youtu.be/hh5GSyxDfvQ?t=1102","channel 2")</f>
        <v>channel 2</v>
      </c>
    </row>
    <row r="161">
      <c r="B161" s="34" t="s">
        <v>1484</v>
      </c>
      <c r="C161" s="35" t="s">
        <v>87</v>
      </c>
      <c r="D161" s="32" t="s">
        <v>3122</v>
      </c>
      <c r="E161" s="11" t="str">
        <f>HYPERLINK("https://youtu.be/ujb2Ad_lPe8?t=1838","channel 1")</f>
        <v>channel 1</v>
      </c>
    </row>
    <row r="162">
      <c r="B162" s="34" t="s">
        <v>3121</v>
      </c>
      <c r="C162" s="35" t="s">
        <v>48</v>
      </c>
      <c r="D162" s="34" t="s">
        <v>3120</v>
      </c>
      <c r="E162" s="11" t="str">
        <f>HYPERLINK("https://youtu.be/hh5GSyxDfvQ?t=2019","channel 2")</f>
        <v>channel 2</v>
      </c>
    </row>
    <row r="163">
      <c r="B163" s="34" t="s">
        <v>1484</v>
      </c>
      <c r="C163" s="35" t="s">
        <v>62</v>
      </c>
      <c r="D163" s="34" t="s">
        <v>2720</v>
      </c>
      <c r="E163" s="11" t="str">
        <f>HYPERLINK("https://youtu.be/ujb2Ad_lPe8?t=2682","channel 1")</f>
        <v>channel 1</v>
      </c>
    </row>
    <row r="164">
      <c r="B164" s="32" t="s">
        <v>3122</v>
      </c>
      <c r="C164" s="35" t="s">
        <v>533</v>
      </c>
      <c r="D164" s="34" t="s">
        <v>3120</v>
      </c>
      <c r="E164" s="11" t="str">
        <f>HYPERLINK("https://youtu.be/hh5GSyxDfvQ?t=2935","channel 2")</f>
        <v>channel 2</v>
      </c>
    </row>
    <row r="165">
      <c r="B165" s="34" t="s">
        <v>1484</v>
      </c>
      <c r="C165" s="35" t="s">
        <v>11</v>
      </c>
      <c r="D165" s="34" t="s">
        <v>3121</v>
      </c>
      <c r="E165" s="11" t="str">
        <f>HYPERLINK("https://youtu.be/ujb2Ad_lPe8?t=3641","channel 1")</f>
        <v>channel 1</v>
      </c>
    </row>
    <row r="166">
      <c r="B166" s="32" t="s">
        <v>3122</v>
      </c>
      <c r="C166" s="35" t="s">
        <v>62</v>
      </c>
      <c r="D166" s="34" t="s">
        <v>2720</v>
      </c>
      <c r="E166" s="11" t="str">
        <f>HYPERLINK("https://youtu.be/hh5GSyxDfvQ?t=3882","channel 2")</f>
        <v>channel 2</v>
      </c>
    </row>
    <row r="167">
      <c r="B167" s="34" t="s">
        <v>2720</v>
      </c>
      <c r="C167" s="35" t="s">
        <v>81</v>
      </c>
      <c r="D167" s="34" t="s">
        <v>3120</v>
      </c>
      <c r="E167" s="11" t="str">
        <f>HYPERLINK("https://youtu.be/ujb2Ad_lPe8?t=4581","channel 1")</f>
        <v>channel 1</v>
      </c>
    </row>
    <row r="168">
      <c r="B168" s="32" t="s">
        <v>3122</v>
      </c>
      <c r="C168" s="35" t="s">
        <v>17</v>
      </c>
      <c r="D168" s="34" t="s">
        <v>3121</v>
      </c>
      <c r="E168" s="11" t="str">
        <f>HYPERLINK("https://youtu.be/hh5GSyxDfvQ?t=4814","channel 2")</f>
        <v>channel 2</v>
      </c>
    </row>
    <row r="169">
      <c r="B169" s="34" t="s">
        <v>3120</v>
      </c>
      <c r="C169" s="35" t="s">
        <v>201</v>
      </c>
      <c r="D169" s="34" t="s">
        <v>1484</v>
      </c>
      <c r="E169" s="11" t="str">
        <f>HYPERLINK("https://youtu.be/ujb2Ad_lPe8?t=5467","channel 1")</f>
        <v>channel 1</v>
      </c>
    </row>
    <row r="170">
      <c r="B170" s="34" t="s">
        <v>2720</v>
      </c>
      <c r="C170" s="35" t="s">
        <v>319</v>
      </c>
      <c r="D170" s="34" t="s">
        <v>3121</v>
      </c>
      <c r="E170" s="11" t="str">
        <f>HYPERLINK("https://youtu.be/hh5GSyxDfvQ?t=5766","channel 2")</f>
        <v>channel 2</v>
      </c>
    </row>
    <row r="171">
      <c r="B171" s="32" t="s">
        <v>3122</v>
      </c>
      <c r="C171" s="35" t="s">
        <v>87</v>
      </c>
      <c r="D171" s="34" t="s">
        <v>1484</v>
      </c>
      <c r="E171" s="11" t="str">
        <f>HYPERLINK("https://youtu.be/ujb2Ad_lPe8?t=6467","channel 1")</f>
        <v>channel 1</v>
      </c>
    </row>
    <row r="172">
      <c r="B172" s="34" t="s">
        <v>3120</v>
      </c>
      <c r="C172" s="35" t="s">
        <v>273</v>
      </c>
      <c r="D172" s="34" t="s">
        <v>3121</v>
      </c>
      <c r="E172" s="11" t="str">
        <f>HYPERLINK("https://youtu.be/hh5GSyxDfvQ?t=6685","channel 2")</f>
        <v>channel 2</v>
      </c>
    </row>
    <row r="173">
      <c r="B173" s="34" t="s">
        <v>2720</v>
      </c>
      <c r="C173" s="35" t="s">
        <v>43</v>
      </c>
      <c r="D173" s="34" t="s">
        <v>1484</v>
      </c>
      <c r="E173" s="11" t="str">
        <f>HYPERLINK("https://youtu.be/ujb2Ad_lPe8?t=7258","channel 1")</f>
        <v>channel 1</v>
      </c>
    </row>
    <row r="174">
      <c r="B174" s="34" t="s">
        <v>3120</v>
      </c>
      <c r="C174" s="35" t="s">
        <v>17</v>
      </c>
      <c r="D174" s="32" t="s">
        <v>3122</v>
      </c>
      <c r="E174" s="11" t="str">
        <f>HYPERLINK("https://youtu.be/hh5GSyxDfvQ?t=7625","channel 2")</f>
        <v>channel 2</v>
      </c>
    </row>
    <row r="175">
      <c r="B175" s="34" t="s">
        <v>3121</v>
      </c>
      <c r="C175" s="35" t="s">
        <v>19</v>
      </c>
      <c r="D175" s="34" t="s">
        <v>1484</v>
      </c>
      <c r="E175" s="11" t="str">
        <f>HYPERLINK("https://youtu.be/ujb2Ad_lPe8?t=8168","channel 1")</f>
        <v>channel 1</v>
      </c>
    </row>
    <row r="176">
      <c r="B176" s="34" t="s">
        <v>2720</v>
      </c>
      <c r="C176" s="35" t="s">
        <v>614</v>
      </c>
      <c r="D176" s="32" t="s">
        <v>3122</v>
      </c>
      <c r="E176" s="11" t="str">
        <f>HYPERLINK("https://youtu.be/hh5GSyxDfvQ?t=8537","channel 2")</f>
        <v>channel 2</v>
      </c>
    </row>
    <row r="177">
      <c r="B177" s="72" t="s">
        <v>3025</v>
      </c>
      <c r="C177" s="2"/>
      <c r="D177" s="3"/>
      <c r="E177" s="2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34" t="s">
        <v>3123</v>
      </c>
      <c r="C179" s="35" t="s">
        <v>1031</v>
      </c>
      <c r="D179" s="34" t="s">
        <v>3124</v>
      </c>
      <c r="E179" s="11" t="str">
        <f>HYPERLINK("https://youtu.be/lmdJwlI1dKs","channel 3")</f>
        <v>channel 3</v>
      </c>
    </row>
    <row r="180">
      <c r="B180" s="34" t="s">
        <v>3125</v>
      </c>
      <c r="C180" s="35" t="s">
        <v>58</v>
      </c>
      <c r="D180" s="32" t="s">
        <v>3126</v>
      </c>
      <c r="E180" s="11" t="str">
        <f>HYPERLINK("https://youtu.be/XXEFuI5VYoY","channel 4")</f>
        <v>channel 4</v>
      </c>
    </row>
    <row r="181">
      <c r="B181" s="34" t="s">
        <v>3127</v>
      </c>
      <c r="C181" s="35" t="s">
        <v>190</v>
      </c>
      <c r="D181" s="34" t="s">
        <v>3123</v>
      </c>
      <c r="E181" s="11" t="str">
        <f>HYPERLINK("https://youtu.be/lmdJwlI1dKs?t=1091","channel 3")</f>
        <v>channel 3</v>
      </c>
    </row>
    <row r="182">
      <c r="B182" s="34" t="s">
        <v>3125</v>
      </c>
      <c r="C182" s="35" t="s">
        <v>260</v>
      </c>
      <c r="D182" s="34" t="s">
        <v>3124</v>
      </c>
      <c r="E182" s="11" t="str">
        <f>HYPERLINK("https://youtu.be/XXEFuI5VYoY?t=1063","channel 4")</f>
        <v>channel 4</v>
      </c>
    </row>
    <row r="183">
      <c r="B183" s="34" t="s">
        <v>3127</v>
      </c>
      <c r="C183" s="35" t="s">
        <v>81</v>
      </c>
      <c r="D183" s="32" t="s">
        <v>3126</v>
      </c>
      <c r="E183" s="11" t="str">
        <f>HYPERLINK("https://youtu.be/lmdJwlI1dKs?t=1977","channel 3")</f>
        <v>channel 3</v>
      </c>
    </row>
    <row r="184">
      <c r="B184" s="34" t="s">
        <v>3125</v>
      </c>
      <c r="C184" s="35" t="s">
        <v>316</v>
      </c>
      <c r="D184" s="34" t="s">
        <v>3123</v>
      </c>
      <c r="E184" s="11" t="str">
        <f>HYPERLINK("https://youtu.be/XXEFuI5VYoY?t=1953","channel 4")</f>
        <v>channel 4</v>
      </c>
    </row>
    <row r="185">
      <c r="B185" s="34" t="s">
        <v>3127</v>
      </c>
      <c r="C185" s="35" t="s">
        <v>88</v>
      </c>
      <c r="D185" s="34" t="s">
        <v>3124</v>
      </c>
      <c r="E185" s="11" t="str">
        <f>HYPERLINK("https://youtu.be/lmdJwlI1dKs?t=2873","channel 3")</f>
        <v>channel 3</v>
      </c>
    </row>
    <row r="186">
      <c r="B186" s="32" t="s">
        <v>3126</v>
      </c>
      <c r="C186" s="35" t="s">
        <v>62</v>
      </c>
      <c r="D186" s="34" t="s">
        <v>3123</v>
      </c>
      <c r="E186" s="11" t="str">
        <f>HYPERLINK("https://youtu.be/XXEFuI5VYoY?t=2956","channel 4")</f>
        <v>channel 4</v>
      </c>
    </row>
    <row r="187">
      <c r="B187" s="34" t="s">
        <v>3127</v>
      </c>
      <c r="C187" s="35" t="s">
        <v>16</v>
      </c>
      <c r="D187" s="34" t="s">
        <v>3125</v>
      </c>
      <c r="E187" s="11" t="str">
        <f>HYPERLINK("https://youtu.be/lmdJwlI1dKs?t=3834","channel 3")</f>
        <v>channel 3</v>
      </c>
    </row>
    <row r="188">
      <c r="B188" s="32" t="s">
        <v>3126</v>
      </c>
      <c r="C188" s="35" t="s">
        <v>267</v>
      </c>
      <c r="D188" s="34" t="s">
        <v>3124</v>
      </c>
      <c r="E188" s="11" t="str">
        <f>HYPERLINK("https://youtu.be/XXEFuI5VYoY?t=3833","channel 4")</f>
        <v>channel 4</v>
      </c>
    </row>
    <row r="189">
      <c r="B189" s="34" t="s">
        <v>3124</v>
      </c>
      <c r="C189" s="35" t="s">
        <v>270</v>
      </c>
      <c r="D189" s="34" t="s">
        <v>3123</v>
      </c>
      <c r="E189" s="11" t="str">
        <f>HYPERLINK("https://youtu.be/lmdJwlI1dKs?t=4910","channel 3")</f>
        <v>channel 3</v>
      </c>
    </row>
    <row r="190">
      <c r="B190" s="32" t="s">
        <v>3126</v>
      </c>
      <c r="C190" s="35" t="s">
        <v>239</v>
      </c>
      <c r="D190" s="34" t="s">
        <v>3125</v>
      </c>
      <c r="E190" s="11" t="str">
        <f>HYPERLINK("https://youtu.be/XXEFuI5VYoY?t=4909","channel 4")</f>
        <v>channel 4</v>
      </c>
    </row>
    <row r="191">
      <c r="B191" s="34" t="s">
        <v>3123</v>
      </c>
      <c r="C191" s="35" t="s">
        <v>47</v>
      </c>
      <c r="D191" s="34" t="s">
        <v>3127</v>
      </c>
      <c r="E191" s="11" t="str">
        <f>HYPERLINK("https://youtu.be/lmdJwlI1dKs?t=5851","channel 3")</f>
        <v>channel 3</v>
      </c>
    </row>
    <row r="192">
      <c r="B192" s="34" t="s">
        <v>3124</v>
      </c>
      <c r="C192" s="35" t="s">
        <v>201</v>
      </c>
      <c r="D192" s="34" t="s">
        <v>3125</v>
      </c>
      <c r="E192" s="11" t="str">
        <f>HYPERLINK("https://youtu.be/XXEFuI5VYoY?t=5861","channel 4")</f>
        <v>channel 4</v>
      </c>
    </row>
    <row r="193">
      <c r="B193" s="32" t="s">
        <v>3126</v>
      </c>
      <c r="C193" s="35" t="s">
        <v>82</v>
      </c>
      <c r="D193" s="34" t="s">
        <v>3127</v>
      </c>
      <c r="E193" s="11" t="str">
        <f>HYPERLINK("https://youtu.be/lmdJwlI1dKs?t=6797","channel 3")</f>
        <v>channel 3</v>
      </c>
    </row>
    <row r="194">
      <c r="B194" s="34" t="s">
        <v>3123</v>
      </c>
      <c r="C194" s="35" t="s">
        <v>267</v>
      </c>
      <c r="D194" s="34" t="s">
        <v>3125</v>
      </c>
      <c r="E194" s="11" t="str">
        <f>HYPERLINK("https://youtu.be/XXEFuI5VYoY?t=6761","channel 4")</f>
        <v>channel 4</v>
      </c>
    </row>
    <row r="195">
      <c r="B195" s="34" t="s">
        <v>3124</v>
      </c>
      <c r="C195" s="35" t="s">
        <v>66</v>
      </c>
      <c r="D195" s="34" t="s">
        <v>3127</v>
      </c>
      <c r="E195" s="11" t="str">
        <f>HYPERLINK("https://youtu.be/lmdJwlI1dKs?t=7678","channel 3")</f>
        <v>channel 3</v>
      </c>
    </row>
    <row r="196">
      <c r="B196" s="34" t="s">
        <v>3123</v>
      </c>
      <c r="C196" s="35" t="s">
        <v>369</v>
      </c>
      <c r="D196" s="32" t="s">
        <v>3126</v>
      </c>
      <c r="E196" s="11" t="str">
        <f>HYPERLINK("https://youtu.be/XXEFuI5VYoY?t=7689","channel 4")</f>
        <v>channel 4</v>
      </c>
    </row>
    <row r="197">
      <c r="B197" s="34" t="s">
        <v>3125</v>
      </c>
      <c r="C197" s="35" t="s">
        <v>231</v>
      </c>
      <c r="D197" s="34" t="s">
        <v>3127</v>
      </c>
      <c r="E197" s="11" t="str">
        <f>HYPERLINK("https://youtu.be/lmdJwlI1dKs?t=8539","channel 3")</f>
        <v>channel 3</v>
      </c>
    </row>
    <row r="198">
      <c r="B198" s="34" t="s">
        <v>3124</v>
      </c>
      <c r="C198" s="35" t="s">
        <v>285</v>
      </c>
      <c r="D198" s="32" t="s">
        <v>3126</v>
      </c>
      <c r="E198" s="11" t="str">
        <f>HYPERLINK("https://youtu.be/XXEFuI5VYoY?t=8669","channel 4")</f>
        <v>channel 4</v>
      </c>
    </row>
    <row r="199">
      <c r="B199" s="72" t="s">
        <v>2999</v>
      </c>
      <c r="C199" s="2"/>
      <c r="D199" s="3"/>
      <c r="E199" s="2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34" t="s">
        <v>3128</v>
      </c>
      <c r="C201" s="35" t="s">
        <v>249</v>
      </c>
      <c r="D201" s="34" t="s">
        <v>2893</v>
      </c>
      <c r="E201" s="11" t="str">
        <f>HYPERLINK("https://youtu.be/XYYwqvckUZE","channel 3")</f>
        <v>channel 3</v>
      </c>
    </row>
    <row r="202">
      <c r="B202" s="34" t="s">
        <v>3129</v>
      </c>
      <c r="C202" s="35" t="s">
        <v>14</v>
      </c>
      <c r="D202" s="32" t="s">
        <v>1708</v>
      </c>
      <c r="E202" s="11" t="str">
        <f>HYPERLINK("https://youtu.be/VCF3iZRQr-I","channel 4")</f>
        <v>channel 4</v>
      </c>
    </row>
    <row r="203">
      <c r="B203" s="34" t="s">
        <v>3130</v>
      </c>
      <c r="C203" s="35" t="s">
        <v>58</v>
      </c>
      <c r="D203" s="34" t="s">
        <v>3128</v>
      </c>
      <c r="E203" s="11" t="str">
        <f>HYPERLINK("https://youtu.be/XYYwqvckUZE?t=1009","channel 3")</f>
        <v>channel 3</v>
      </c>
    </row>
    <row r="204">
      <c r="B204" s="34" t="s">
        <v>3129</v>
      </c>
      <c r="C204" s="35" t="s">
        <v>250</v>
      </c>
      <c r="D204" s="34" t="s">
        <v>2893</v>
      </c>
      <c r="E204" s="11" t="str">
        <f>HYPERLINK("https://youtu.be/VCF3iZRQr-I?t=964","channel 4")</f>
        <v>channel 4</v>
      </c>
    </row>
    <row r="205">
      <c r="B205" s="34" t="s">
        <v>3130</v>
      </c>
      <c r="C205" s="35" t="s">
        <v>45</v>
      </c>
      <c r="D205" s="32" t="s">
        <v>1708</v>
      </c>
      <c r="E205" s="11" t="str">
        <f>HYPERLINK("https://youtu.be/XYYwqvckUZE?t=2031","channel 3")</f>
        <v>channel 3</v>
      </c>
    </row>
    <row r="206">
      <c r="B206" s="34" t="s">
        <v>3129</v>
      </c>
      <c r="C206" s="35" t="s">
        <v>18</v>
      </c>
      <c r="D206" s="34" t="s">
        <v>3128</v>
      </c>
      <c r="E206" s="11" t="str">
        <f>HYPERLINK("https://youtu.be/VCF3iZRQr-I?t=2032","channel 4")</f>
        <v>channel 4</v>
      </c>
    </row>
    <row r="207">
      <c r="B207" s="34" t="s">
        <v>3130</v>
      </c>
      <c r="C207" s="35" t="s">
        <v>18</v>
      </c>
      <c r="D207" s="34" t="s">
        <v>2893</v>
      </c>
      <c r="E207" s="11" t="str">
        <f>HYPERLINK("https://youtu.be/XYYwqvckUZE?t=2973","channel 3")</f>
        <v>channel 3</v>
      </c>
    </row>
    <row r="208">
      <c r="B208" s="32" t="s">
        <v>1708</v>
      </c>
      <c r="C208" s="35" t="s">
        <v>190</v>
      </c>
      <c r="D208" s="34" t="s">
        <v>3128</v>
      </c>
      <c r="E208" s="11" t="str">
        <f>HYPERLINK("https://youtu.be/VCF3iZRQr-I?t=2922","channel 4")</f>
        <v>channel 4</v>
      </c>
    </row>
    <row r="209">
      <c r="B209" s="34" t="s">
        <v>3130</v>
      </c>
      <c r="C209" s="35" t="s">
        <v>291</v>
      </c>
      <c r="D209" s="34" t="s">
        <v>3129</v>
      </c>
      <c r="E209" s="11" t="str">
        <f>HYPERLINK("https://youtu.be/XYYwqvckUZE?t=3990","channel 3")</f>
        <v>channel 3</v>
      </c>
    </row>
    <row r="210">
      <c r="B210" s="32" t="s">
        <v>1708</v>
      </c>
      <c r="C210" s="35" t="s">
        <v>370</v>
      </c>
      <c r="D210" s="34" t="s">
        <v>2893</v>
      </c>
      <c r="E210" s="11" t="str">
        <f>HYPERLINK("https://youtu.be/VCF3iZRQr-I?t=3987","channel 4")</f>
        <v>channel 4</v>
      </c>
    </row>
    <row r="211">
      <c r="B211" s="34" t="s">
        <v>2893</v>
      </c>
      <c r="C211" s="35" t="s">
        <v>193</v>
      </c>
      <c r="D211" s="34" t="s">
        <v>3128</v>
      </c>
      <c r="E211" s="11" t="str">
        <f>HYPERLINK("https://youtu.be/XYYwqvckUZE?t=4932","channel 3")</f>
        <v>channel 3</v>
      </c>
    </row>
    <row r="212">
      <c r="B212" s="32" t="s">
        <v>1708</v>
      </c>
      <c r="C212" s="35" t="s">
        <v>328</v>
      </c>
      <c r="D212" s="34" t="s">
        <v>3129</v>
      </c>
      <c r="E212" s="11" t="str">
        <f>HYPERLINK("https://youtu.be/VCF3iZRQr-I?t=4886","channel 4")</f>
        <v>channel 4</v>
      </c>
    </row>
    <row r="213">
      <c r="B213" s="34" t="s">
        <v>3128</v>
      </c>
      <c r="C213" s="35" t="s">
        <v>55</v>
      </c>
      <c r="D213" s="34" t="s">
        <v>3130</v>
      </c>
      <c r="E213" s="11" t="str">
        <f>HYPERLINK("https://youtu.be/XYYwqvckUZE?t=5864","channel 3")</f>
        <v>channel 3</v>
      </c>
    </row>
    <row r="214">
      <c r="B214" s="34" t="s">
        <v>2893</v>
      </c>
      <c r="C214" s="35" t="s">
        <v>238</v>
      </c>
      <c r="D214" s="34" t="s">
        <v>3129</v>
      </c>
      <c r="E214" s="11" t="str">
        <f>HYPERLINK("https://youtu.be/VCF3iZRQr-I?t=5882","channel 4")</f>
        <v>channel 4</v>
      </c>
    </row>
    <row r="215">
      <c r="B215" s="32" t="s">
        <v>1708</v>
      </c>
      <c r="C215" s="35" t="s">
        <v>283</v>
      </c>
      <c r="D215" s="34" t="s">
        <v>3130</v>
      </c>
      <c r="E215" s="11" t="str">
        <f>HYPERLINK("https://youtu.be/XYYwqvckUZE?t=6790","channel 3")</f>
        <v>channel 3</v>
      </c>
    </row>
    <row r="216">
      <c r="B216" s="34" t="s">
        <v>3128</v>
      </c>
      <c r="C216" s="35" t="s">
        <v>282</v>
      </c>
      <c r="D216" s="34" t="s">
        <v>3129</v>
      </c>
      <c r="E216" s="11" t="str">
        <f>HYPERLINK("https://youtu.be/VCF3iZRQr-I?t=6790","channel 4")</f>
        <v>channel 4</v>
      </c>
    </row>
    <row r="217">
      <c r="B217" s="34" t="s">
        <v>2893</v>
      </c>
      <c r="C217" s="35" t="s">
        <v>68</v>
      </c>
      <c r="D217" s="34" t="s">
        <v>3130</v>
      </c>
      <c r="E217" s="11" t="str">
        <f>HYPERLINK("https://youtu.be/XYYwqvckUZE?t=7767","channel 3")</f>
        <v>channel 3</v>
      </c>
    </row>
    <row r="218">
      <c r="B218" s="34" t="s">
        <v>3128</v>
      </c>
      <c r="C218" s="35" t="s">
        <v>455</v>
      </c>
      <c r="D218" s="32" t="s">
        <v>1708</v>
      </c>
      <c r="E218" s="11" t="str">
        <f>HYPERLINK("https://youtu.be/VCF3iZRQr-I?t=7760","channel 4")</f>
        <v>channel 4</v>
      </c>
    </row>
    <row r="219">
      <c r="B219" s="34" t="s">
        <v>3129</v>
      </c>
      <c r="C219" s="35" t="s">
        <v>42</v>
      </c>
      <c r="D219" s="34" t="s">
        <v>3130</v>
      </c>
      <c r="E219" s="11" t="str">
        <f>HYPERLINK("https://youtu.be/XYYwqvckUZE?t=8725","channel 3")</f>
        <v>channel 3</v>
      </c>
    </row>
    <row r="220">
      <c r="B220" s="34" t="s">
        <v>2893</v>
      </c>
      <c r="C220" s="35" t="s">
        <v>19</v>
      </c>
      <c r="D220" s="32" t="s">
        <v>1708</v>
      </c>
      <c r="E220" s="11" t="str">
        <f>HYPERLINK("https://youtu.be/VCF3iZRQr-I?t=8752","channel 4")</f>
        <v>channel 4</v>
      </c>
    </row>
    <row r="221">
      <c r="B221" s="72" t="s">
        <v>1441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34" t="s">
        <v>36</v>
      </c>
      <c r="C223" s="35" t="s">
        <v>201</v>
      </c>
      <c r="D223" s="34" t="s">
        <v>1925</v>
      </c>
      <c r="E223" s="11" t="str">
        <f>HYPERLINK("https://youtu.be/3ih4l1179MU","channel 1")</f>
        <v>channel 1</v>
      </c>
    </row>
    <row r="224">
      <c r="B224" s="34" t="s">
        <v>2629</v>
      </c>
      <c r="C224" s="35" t="s">
        <v>445</v>
      </c>
      <c r="D224" s="32" t="s">
        <v>3131</v>
      </c>
      <c r="E224" s="11" t="str">
        <f>HYPERLINK("https://youtu.be/rs7bAkBDv60","channel 2")</f>
        <v>channel 2</v>
      </c>
    </row>
    <row r="225">
      <c r="B225" s="34" t="s">
        <v>2986</v>
      </c>
      <c r="C225" s="35" t="s">
        <v>270</v>
      </c>
      <c r="D225" s="34" t="s">
        <v>36</v>
      </c>
      <c r="E225" s="11" t="str">
        <f>HYPERLINK("https://youtu.be/3ih4l1179MU?t=968","channel 1")</f>
        <v>channel 1</v>
      </c>
    </row>
    <row r="226">
      <c r="B226" s="34" t="s">
        <v>2629</v>
      </c>
      <c r="C226" s="35" t="s">
        <v>239</v>
      </c>
      <c r="D226" s="34" t="s">
        <v>1925</v>
      </c>
      <c r="E226" s="11" t="str">
        <f>HYPERLINK("https://youtu.be/rs7bAkBDv60?t=955","channel 2")</f>
        <v>channel 2</v>
      </c>
    </row>
    <row r="227">
      <c r="B227" s="34" t="s">
        <v>2986</v>
      </c>
      <c r="C227" s="35" t="s">
        <v>416</v>
      </c>
      <c r="D227" s="32" t="s">
        <v>3131</v>
      </c>
      <c r="E227" s="11" t="str">
        <f>HYPERLINK("https://youtu.be/3ih4l1179MU?t=1822","channel 1")</f>
        <v>channel 1</v>
      </c>
    </row>
    <row r="228">
      <c r="B228" s="34" t="s">
        <v>2629</v>
      </c>
      <c r="C228" s="35" t="s">
        <v>658</v>
      </c>
      <c r="D228" s="34" t="s">
        <v>36</v>
      </c>
      <c r="E228" s="11" t="str">
        <f>HYPERLINK("https://youtu.be/rs7bAkBDv60?t=1828","channel 2")</f>
        <v>channel 2</v>
      </c>
    </row>
    <row r="229">
      <c r="B229" s="34" t="s">
        <v>2986</v>
      </c>
      <c r="C229" s="35" t="s">
        <v>76</v>
      </c>
      <c r="D229" s="34" t="s">
        <v>1925</v>
      </c>
      <c r="E229" s="11" t="str">
        <f>HYPERLINK("https://youtu.be/3ih4l1179MU?t=2726","channel 1")</f>
        <v>channel 1</v>
      </c>
    </row>
    <row r="230">
      <c r="B230" s="32" t="s">
        <v>3131</v>
      </c>
      <c r="C230" s="35" t="s">
        <v>239</v>
      </c>
      <c r="D230" s="34" t="s">
        <v>36</v>
      </c>
      <c r="E230" s="11" t="str">
        <f>HYPERLINK("https://youtu.be/rs7bAkBDv60?t=2704","channel 2")</f>
        <v>channel 2</v>
      </c>
    </row>
    <row r="231">
      <c r="B231" s="34" t="s">
        <v>2986</v>
      </c>
      <c r="C231" s="35" t="s">
        <v>25</v>
      </c>
      <c r="D231" s="34" t="s">
        <v>2629</v>
      </c>
      <c r="E231" s="11" t="str">
        <f>HYPERLINK("https://youtu.be/3ih4l1179MU?t=3528","channel 1")</f>
        <v>channel 1</v>
      </c>
    </row>
    <row r="232">
      <c r="B232" s="32" t="s">
        <v>3131</v>
      </c>
      <c r="C232" s="35" t="s">
        <v>25</v>
      </c>
      <c r="D232" s="34" t="s">
        <v>1925</v>
      </c>
      <c r="E232" s="11" t="str">
        <f>HYPERLINK("https://youtu.be/rs7bAkBDv60?t=3553","channel 2")</f>
        <v>channel 2</v>
      </c>
    </row>
    <row r="233">
      <c r="B233" s="34" t="s">
        <v>1925</v>
      </c>
      <c r="C233" s="35" t="s">
        <v>196</v>
      </c>
      <c r="D233" s="34" t="s">
        <v>36</v>
      </c>
      <c r="E233" s="11" t="str">
        <f>HYPERLINK("https://youtu.be/3ih4l1179MU?t=4375","channel 1")</f>
        <v>channel 1</v>
      </c>
    </row>
    <row r="234">
      <c r="B234" s="32" t="s">
        <v>3131</v>
      </c>
      <c r="C234" s="35" t="s">
        <v>44</v>
      </c>
      <c r="D234" s="34" t="s">
        <v>2629</v>
      </c>
      <c r="E234" s="11" t="str">
        <f>HYPERLINK("https://youtu.be/rs7bAkBDv60?t=4396","channel 2")</f>
        <v>channel 2</v>
      </c>
    </row>
    <row r="235">
      <c r="B235" s="34" t="s">
        <v>36</v>
      </c>
      <c r="C235" s="35" t="s">
        <v>428</v>
      </c>
      <c r="D235" s="34" t="s">
        <v>2986</v>
      </c>
      <c r="E235" s="11" t="str">
        <f>HYPERLINK("https://youtu.be/3ih4l1179MU?t=5247","channel 1")</f>
        <v>channel 1</v>
      </c>
    </row>
    <row r="236">
      <c r="B236" s="34" t="s">
        <v>1925</v>
      </c>
      <c r="C236" s="35" t="s">
        <v>68</v>
      </c>
      <c r="D236" s="34" t="s">
        <v>2629</v>
      </c>
      <c r="E236" s="11" t="str">
        <f>HYPERLINK("https://youtu.be/rs7bAkBDv60?t=5218","channel 2")</f>
        <v>channel 2</v>
      </c>
    </row>
    <row r="237">
      <c r="B237" s="32" t="s">
        <v>3131</v>
      </c>
      <c r="C237" s="35" t="s">
        <v>28</v>
      </c>
      <c r="D237" s="34" t="s">
        <v>2986</v>
      </c>
      <c r="E237" s="11" t="str">
        <f>HYPERLINK("https://youtu.be/3ih4l1179MU?t=6179","channel 1")</f>
        <v>channel 1</v>
      </c>
    </row>
    <row r="238">
      <c r="B238" s="34" t="s">
        <v>36</v>
      </c>
      <c r="C238" s="35" t="s">
        <v>196</v>
      </c>
      <c r="D238" s="34" t="s">
        <v>2629</v>
      </c>
      <c r="E238" s="11" t="str">
        <f>HYPERLINK("https://youtu.be/rs7bAkBDv60?t=6150","channel 2")</f>
        <v>channel 2</v>
      </c>
    </row>
    <row r="239">
      <c r="B239" s="34" t="s">
        <v>1925</v>
      </c>
      <c r="C239" s="35" t="s">
        <v>201</v>
      </c>
      <c r="D239" s="34" t="s">
        <v>2986</v>
      </c>
      <c r="E239" s="11" t="str">
        <f>HYPERLINK("https://youtu.be/3ih4l1179MU?t=7072","channel 1")</f>
        <v>channel 1</v>
      </c>
    </row>
    <row r="240">
      <c r="B240" s="34" t="s">
        <v>36</v>
      </c>
      <c r="C240" s="35" t="s">
        <v>950</v>
      </c>
      <c r="D240" s="32" t="s">
        <v>3131</v>
      </c>
      <c r="E240" s="11" t="str">
        <f>HYPERLINK("https://youtu.be/rs7bAkBDv60?t=7083","channel 2")</f>
        <v>channel 2</v>
      </c>
    </row>
    <row r="241">
      <c r="B241" s="34" t="s">
        <v>2629</v>
      </c>
      <c r="C241" s="35" t="s">
        <v>472</v>
      </c>
      <c r="D241" s="34" t="s">
        <v>2986</v>
      </c>
      <c r="E241" s="11" t="str">
        <f>HYPERLINK("https://youtu.be/3ih4l1179MU?t=7997","channel 1")</f>
        <v>channel 1</v>
      </c>
    </row>
    <row r="242">
      <c r="B242" s="34" t="s">
        <v>1925</v>
      </c>
      <c r="C242" s="35" t="s">
        <v>363</v>
      </c>
      <c r="D242" s="32" t="s">
        <v>3131</v>
      </c>
      <c r="E242" s="11" t="str">
        <f>HYPERLINK("https://youtu.be/rs7bAkBDv60?t=8004","channel 2")</f>
        <v>channel 2</v>
      </c>
    </row>
    <row r="243">
      <c r="B243" s="72" t="s">
        <v>1456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34" t="s">
        <v>2777</v>
      </c>
      <c r="C245" s="35" t="s">
        <v>20</v>
      </c>
      <c r="D245" s="34" t="s">
        <v>1945</v>
      </c>
      <c r="E245" s="11" t="str">
        <f>HYPERLINK("https://youtu.be/AFQKDCVVUcU","channel 1")</f>
        <v>channel 1</v>
      </c>
    </row>
    <row r="246">
      <c r="B246" s="34" t="s">
        <v>175</v>
      </c>
      <c r="C246" s="35" t="s">
        <v>197</v>
      </c>
      <c r="D246" s="32" t="s">
        <v>958</v>
      </c>
      <c r="E246" s="11" t="str">
        <f>HYPERLINK("https://youtu.be/GIECbH_pShs","channel 2")</f>
        <v>channel 2</v>
      </c>
    </row>
    <row r="247">
      <c r="B247" s="34" t="s">
        <v>3132</v>
      </c>
      <c r="C247" s="35" t="s">
        <v>21</v>
      </c>
      <c r="D247" s="34" t="s">
        <v>2777</v>
      </c>
      <c r="E247" s="11" t="str">
        <f>HYPERLINK("https://youtu.be/AFQKDCVVUcU?t=973","channel 1")</f>
        <v>channel 1</v>
      </c>
    </row>
    <row r="248">
      <c r="B248" s="34" t="s">
        <v>175</v>
      </c>
      <c r="C248" s="35" t="s">
        <v>261</v>
      </c>
      <c r="D248" s="34" t="s">
        <v>1945</v>
      </c>
      <c r="E248" s="11" t="str">
        <f>HYPERLINK("https://youtu.be/GIECbH_pShs?t=1065","channel 2")</f>
        <v>channel 2</v>
      </c>
    </row>
    <row r="249">
      <c r="B249" s="34" t="s">
        <v>3132</v>
      </c>
      <c r="C249" s="35" t="s">
        <v>197</v>
      </c>
      <c r="D249" s="32" t="s">
        <v>958</v>
      </c>
      <c r="E249" s="11" t="str">
        <f>HYPERLINK("https://youtu.be/AFQKDCVVUcU?t=1913","channel 1")</f>
        <v>channel 1</v>
      </c>
    </row>
    <row r="250">
      <c r="B250" s="34" t="s">
        <v>175</v>
      </c>
      <c r="C250" s="35" t="s">
        <v>233</v>
      </c>
      <c r="D250" s="34" t="s">
        <v>2777</v>
      </c>
      <c r="E250" s="11" t="str">
        <f>HYPERLINK("https://youtu.be/GIECbH_pShs?t=2049","channel 2")</f>
        <v>channel 2</v>
      </c>
    </row>
    <row r="251">
      <c r="B251" s="34" t="s">
        <v>3132</v>
      </c>
      <c r="C251" s="35" t="s">
        <v>23</v>
      </c>
      <c r="D251" s="34" t="s">
        <v>1945</v>
      </c>
      <c r="E251" s="11" t="str">
        <f>HYPERLINK("https://youtu.be/AFQKDCVVUcU?t=2864","channel 1")</f>
        <v>channel 1</v>
      </c>
    </row>
    <row r="252">
      <c r="B252" s="32" t="s">
        <v>958</v>
      </c>
      <c r="C252" s="35" t="s">
        <v>81</v>
      </c>
      <c r="D252" s="34" t="s">
        <v>2777</v>
      </c>
      <c r="E252" s="11" t="str">
        <f>HYPERLINK("https://youtu.be/GIECbH_pShs?t=3016","channel 2")</f>
        <v>channel 2</v>
      </c>
    </row>
    <row r="253">
      <c r="B253" s="34" t="s">
        <v>3132</v>
      </c>
      <c r="C253" s="35" t="s">
        <v>270</v>
      </c>
      <c r="D253" s="34" t="s">
        <v>175</v>
      </c>
      <c r="E253" s="11" t="str">
        <f>HYPERLINK("https://youtu.be/AFQKDCVVUcU?t=3828","channel 1")</f>
        <v>channel 1</v>
      </c>
    </row>
    <row r="254">
      <c r="B254" s="32" t="s">
        <v>958</v>
      </c>
      <c r="C254" s="35" t="s">
        <v>500</v>
      </c>
      <c r="D254" s="34" t="s">
        <v>1945</v>
      </c>
      <c r="E254" s="11" t="str">
        <f>HYPERLINK("https://youtu.be/GIECbH_pShs?t=3947","channel 2")</f>
        <v>channel 2</v>
      </c>
    </row>
    <row r="255">
      <c r="B255" s="34" t="s">
        <v>1945</v>
      </c>
      <c r="C255" s="35" t="s">
        <v>19</v>
      </c>
      <c r="D255" s="34" t="s">
        <v>2777</v>
      </c>
      <c r="E255" s="11" t="str">
        <f>HYPERLINK("https://youtu.be/AFQKDCVVUcU?t=4763","channel 1")</f>
        <v>channel 1</v>
      </c>
    </row>
    <row r="256">
      <c r="B256" s="32" t="s">
        <v>958</v>
      </c>
      <c r="C256" s="35" t="s">
        <v>718</v>
      </c>
      <c r="D256" s="34" t="s">
        <v>175</v>
      </c>
      <c r="E256" s="11" t="str">
        <f>HYPERLINK("https://youtu.be/GIECbH_pShs?t=4857","channel 2")</f>
        <v>channel 2</v>
      </c>
    </row>
    <row r="257">
      <c r="B257" s="34" t="s">
        <v>2777</v>
      </c>
      <c r="C257" s="35" t="s">
        <v>197</v>
      </c>
      <c r="D257" s="34" t="s">
        <v>3132</v>
      </c>
      <c r="E257" s="11" t="str">
        <f>HYPERLINK("https://youtu.be/AFQKDCVVUcU?t=5691","channel 1")</f>
        <v>channel 1</v>
      </c>
    </row>
    <row r="258">
      <c r="B258" s="34" t="s">
        <v>1945</v>
      </c>
      <c r="C258" s="35" t="s">
        <v>22</v>
      </c>
      <c r="D258" s="34" t="s">
        <v>175</v>
      </c>
      <c r="E258" s="11" t="str">
        <f>HYPERLINK("https://youtu.be/GIECbH_pShs?t=5788","channel 2")</f>
        <v>channel 2</v>
      </c>
    </row>
    <row r="259">
      <c r="B259" s="32" t="s">
        <v>958</v>
      </c>
      <c r="C259" s="35" t="s">
        <v>48</v>
      </c>
      <c r="D259" s="34" t="s">
        <v>3132</v>
      </c>
      <c r="E259" s="11" t="str">
        <f>HYPERLINK("https://youtu.be/AFQKDCVVUcU?t=6637","channel 1")</f>
        <v>channel 1</v>
      </c>
    </row>
    <row r="260">
      <c r="B260" s="34" t="s">
        <v>2777</v>
      </c>
      <c r="C260" s="35" t="s">
        <v>16</v>
      </c>
      <c r="D260" s="34" t="s">
        <v>175</v>
      </c>
      <c r="E260" s="11" t="str">
        <f>HYPERLINK("https://youtu.be/GIECbH_pShs?t=6725","channel 2")</f>
        <v>channel 2</v>
      </c>
    </row>
    <row r="261">
      <c r="B261" s="34" t="s">
        <v>1945</v>
      </c>
      <c r="C261" s="35" t="s">
        <v>282</v>
      </c>
      <c r="D261" s="34" t="s">
        <v>3132</v>
      </c>
      <c r="E261" s="11" t="str">
        <f>HYPERLINK("https://youtu.be/AFQKDCVVUcU?t=7551","channel 1")</f>
        <v>channel 1</v>
      </c>
    </row>
    <row r="262">
      <c r="B262" s="34" t="s">
        <v>2777</v>
      </c>
      <c r="C262" s="35" t="s">
        <v>535</v>
      </c>
      <c r="D262" s="32" t="s">
        <v>958</v>
      </c>
      <c r="E262" s="11" t="str">
        <f>HYPERLINK("https://youtu.be/GIECbH_pShs?t=7658","channel 2")</f>
        <v>channel 2</v>
      </c>
    </row>
    <row r="263">
      <c r="B263" s="34" t="s">
        <v>175</v>
      </c>
      <c r="C263" s="35" t="s">
        <v>205</v>
      </c>
      <c r="D263" s="34" t="s">
        <v>3132</v>
      </c>
      <c r="E263" s="11" t="str">
        <f>HYPERLINK("https://youtu.be/AFQKDCVVUcU?t=8457","channel 1")</f>
        <v>channel 1</v>
      </c>
    </row>
    <row r="264">
      <c r="B264" s="34" t="s">
        <v>1945</v>
      </c>
      <c r="C264" s="35" t="s">
        <v>64</v>
      </c>
      <c r="D264" s="32" t="s">
        <v>958</v>
      </c>
      <c r="E264" s="11" t="str">
        <f>HYPERLINK("https://youtu.be/GIECbH_pShs?t=8636","channel 2")</f>
        <v>channel 2</v>
      </c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/>
      <c r="B1" s="72" t="s">
        <v>2143</v>
      </c>
      <c r="C1" s="2"/>
      <c r="D1" s="3"/>
      <c r="E1" s="84"/>
    </row>
    <row r="2">
      <c r="A2" s="66"/>
      <c r="B2" s="85" t="s">
        <v>2</v>
      </c>
      <c r="C2" s="86" t="s">
        <v>3</v>
      </c>
      <c r="D2" s="86" t="s">
        <v>4</v>
      </c>
      <c r="E2" s="86" t="s">
        <v>5</v>
      </c>
    </row>
    <row r="3">
      <c r="A3" s="66"/>
      <c r="B3" s="34" t="s">
        <v>1856</v>
      </c>
      <c r="C3" s="35" t="s">
        <v>81</v>
      </c>
      <c r="D3" s="34" t="s">
        <v>1985</v>
      </c>
      <c r="E3" s="97" t="str">
        <f>HYPERLINK("https://youtu.be/uR0aE-d8CuI","channel 1")</f>
        <v>channel 1</v>
      </c>
    </row>
    <row r="4">
      <c r="A4" s="66"/>
      <c r="B4" s="34" t="s">
        <v>3089</v>
      </c>
      <c r="C4" s="35" t="s">
        <v>726</v>
      </c>
      <c r="D4" s="32" t="s">
        <v>2588</v>
      </c>
      <c r="E4" s="97" t="str">
        <f>HYPERLINK("https://youtu.be/HWvQ0ZWr6aM","channel 2")</f>
        <v>channel 2</v>
      </c>
    </row>
    <row r="5">
      <c r="A5" s="66"/>
      <c r="B5" s="34" t="s">
        <v>3133</v>
      </c>
      <c r="C5" s="35" t="s">
        <v>16</v>
      </c>
      <c r="D5" s="34" t="s">
        <v>1856</v>
      </c>
      <c r="E5" s="97" t="str">
        <f>HYPERLINK("https://youtu.be/uR0aE-d8CuI?t=968","channel 1")</f>
        <v>channel 1</v>
      </c>
    </row>
    <row r="6">
      <c r="A6" s="66"/>
      <c r="B6" s="34" t="s">
        <v>3089</v>
      </c>
      <c r="C6" s="35" t="s">
        <v>67</v>
      </c>
      <c r="D6" s="34" t="s">
        <v>1985</v>
      </c>
      <c r="E6" s="97" t="str">
        <f>HYPERLINK("https://youtu.be/HWvQ0ZWr6aM?t=1057","channel 2")</f>
        <v>channel 2</v>
      </c>
    </row>
    <row r="7">
      <c r="A7" s="66"/>
      <c r="B7" s="34" t="s">
        <v>3133</v>
      </c>
      <c r="C7" s="35" t="s">
        <v>426</v>
      </c>
      <c r="D7" s="32" t="s">
        <v>2588</v>
      </c>
      <c r="E7" s="97" t="str">
        <f>HYPERLINK("https://youtu.be/uR0aE-d8CuI?t=1925","channel 1")</f>
        <v>channel 1</v>
      </c>
    </row>
    <row r="8">
      <c r="A8" s="66"/>
      <c r="B8" s="34" t="s">
        <v>3089</v>
      </c>
      <c r="C8" s="35" t="s">
        <v>42</v>
      </c>
      <c r="D8" s="34" t="s">
        <v>1856</v>
      </c>
      <c r="E8" s="97" t="str">
        <f>HYPERLINK("https://youtu.be/HWvQ0ZWr6aM?t=1979","channel 2")</f>
        <v>channel 2</v>
      </c>
    </row>
    <row r="9">
      <c r="A9" s="66"/>
      <c r="B9" s="34" t="s">
        <v>3133</v>
      </c>
      <c r="C9" s="35" t="s">
        <v>426</v>
      </c>
      <c r="D9" s="34" t="s">
        <v>1985</v>
      </c>
      <c r="E9" s="97" t="str">
        <f>HYPERLINK("https://youtu.be/uR0aE-d8CuI?t=2877","channel 1")</f>
        <v>channel 1</v>
      </c>
    </row>
    <row r="10">
      <c r="A10" s="66"/>
      <c r="B10" s="32" t="s">
        <v>2588</v>
      </c>
      <c r="C10" s="35" t="s">
        <v>22</v>
      </c>
      <c r="D10" s="34" t="s">
        <v>1856</v>
      </c>
      <c r="E10" s="97" t="str">
        <f>HYPERLINK("https://youtu.be/HWvQ0ZWr6aM?t=2961","channel 2")</f>
        <v>channel 2</v>
      </c>
    </row>
    <row r="11">
      <c r="A11" s="66"/>
      <c r="B11" s="34" t="s">
        <v>3133</v>
      </c>
      <c r="C11" s="35" t="s">
        <v>65</v>
      </c>
      <c r="D11" s="34" t="s">
        <v>3089</v>
      </c>
      <c r="E11" s="97" t="str">
        <f>HYPERLINK("https://youtu.be/uR0aE-d8CuI?t=3818","channel 1")</f>
        <v>channel 1</v>
      </c>
    </row>
    <row r="12">
      <c r="A12" s="66"/>
      <c r="B12" s="32" t="s">
        <v>2588</v>
      </c>
      <c r="C12" s="35" t="s">
        <v>19</v>
      </c>
      <c r="D12" s="34" t="s">
        <v>1985</v>
      </c>
      <c r="E12" s="97" t="str">
        <f>HYPERLINK("https://youtu.be/HWvQ0ZWr6aM?t=3905","channel 2")</f>
        <v>channel 2</v>
      </c>
    </row>
    <row r="13">
      <c r="A13" s="66"/>
      <c r="B13" s="34" t="s">
        <v>1985</v>
      </c>
      <c r="C13" s="35" t="s">
        <v>80</v>
      </c>
      <c r="D13" s="34" t="s">
        <v>1856</v>
      </c>
      <c r="E13" s="97" t="str">
        <f>HYPERLINK("https://youtu.be/uR0aE-d8CuI?t=4756","channel 1")</f>
        <v>channel 1</v>
      </c>
    </row>
    <row r="14">
      <c r="A14" s="66"/>
      <c r="B14" s="32" t="s">
        <v>2588</v>
      </c>
      <c r="C14" s="35" t="s">
        <v>412</v>
      </c>
      <c r="D14" s="34" t="s">
        <v>3089</v>
      </c>
      <c r="E14" s="97" t="str">
        <f>HYPERLINK("https://youtu.be/HWvQ0ZWr6aM?t=4836","channel 2")</f>
        <v>channel 2</v>
      </c>
    </row>
    <row r="15">
      <c r="A15" s="66"/>
      <c r="B15" s="34" t="s">
        <v>1856</v>
      </c>
      <c r="C15" s="35" t="s">
        <v>3134</v>
      </c>
      <c r="D15" s="34" t="s">
        <v>3133</v>
      </c>
      <c r="E15" s="97" t="str">
        <f>HYPERLINK("https://youtu.be/uR0aE-d8CuI?t=5682","channel 1")</f>
        <v>channel 1</v>
      </c>
    </row>
    <row r="16">
      <c r="A16" s="66"/>
      <c r="B16" s="34" t="s">
        <v>1985</v>
      </c>
      <c r="C16" s="35" t="s">
        <v>64</v>
      </c>
      <c r="D16" s="34" t="s">
        <v>3089</v>
      </c>
      <c r="E16" s="97" t="str">
        <f>HYPERLINK("https://youtu.be/HWvQ0ZWr6aM?t=5802","channel 2")</f>
        <v>channel 2</v>
      </c>
    </row>
    <row r="17">
      <c r="A17" s="66"/>
      <c r="B17" s="32" t="s">
        <v>2588</v>
      </c>
      <c r="C17" s="35" t="s">
        <v>217</v>
      </c>
      <c r="D17" s="34" t="s">
        <v>3133</v>
      </c>
      <c r="E17" s="97" t="str">
        <f>HYPERLINK("https://youtu.be/uR0aE-d8CuI?t=6609","channel 1")</f>
        <v>channel 1</v>
      </c>
    </row>
    <row r="18">
      <c r="A18" s="66"/>
      <c r="B18" s="34" t="s">
        <v>1856</v>
      </c>
      <c r="C18" s="35" t="s">
        <v>566</v>
      </c>
      <c r="D18" s="34" t="s">
        <v>3089</v>
      </c>
      <c r="E18" s="97" t="str">
        <f>HYPERLINK("https://youtu.be/HWvQ0ZWr6aM?t=6698","channel 2")</f>
        <v>channel 2</v>
      </c>
    </row>
    <row r="19">
      <c r="A19" s="66"/>
      <c r="B19" s="34" t="s">
        <v>1985</v>
      </c>
      <c r="C19" s="35" t="s">
        <v>259</v>
      </c>
      <c r="D19" s="34" t="s">
        <v>3133</v>
      </c>
      <c r="E19" s="97" t="str">
        <f>HYPERLINK("https://youtu.be/uR0aE-d8CuI?t=7584","channel 1")</f>
        <v>channel 1</v>
      </c>
    </row>
    <row r="20">
      <c r="A20" s="66"/>
      <c r="B20" s="34" t="s">
        <v>1856</v>
      </c>
      <c r="C20" s="35" t="s">
        <v>404</v>
      </c>
      <c r="D20" s="32" t="s">
        <v>2588</v>
      </c>
      <c r="E20" s="97" t="str">
        <f>HYPERLINK("https://youtu.be/HWvQ0ZWr6aM?t=7682","channel 2")</f>
        <v>channel 2</v>
      </c>
    </row>
    <row r="21">
      <c r="A21" s="66"/>
      <c r="B21" s="34" t="s">
        <v>3089</v>
      </c>
      <c r="C21" s="35" t="s">
        <v>369</v>
      </c>
      <c r="D21" s="34" t="s">
        <v>3133</v>
      </c>
      <c r="E21" s="97" t="str">
        <f>HYPERLINK("https://youtu.be/uR0aE-d8CuI?t=8518","channel 1")</f>
        <v>channel 1</v>
      </c>
    </row>
    <row r="22">
      <c r="A22" s="66"/>
      <c r="B22" s="34" t="s">
        <v>1985</v>
      </c>
      <c r="C22" s="35" t="s">
        <v>195</v>
      </c>
      <c r="D22" s="32" t="s">
        <v>2588</v>
      </c>
      <c r="E22" s="97" t="str">
        <f>HYPERLINK("https://youtu.be/HWvQ0ZWr6aM?t=8622","channel 2")</f>
        <v>channel 2</v>
      </c>
    </row>
    <row r="23">
      <c r="A23" s="66"/>
      <c r="B23" s="72" t="s">
        <v>2027</v>
      </c>
      <c r="C23" s="2"/>
      <c r="D23" s="3"/>
      <c r="E23" s="29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1012</v>
      </c>
      <c r="C25" s="35" t="s">
        <v>428</v>
      </c>
      <c r="D25" s="34" t="s">
        <v>3135</v>
      </c>
      <c r="E25" s="11" t="str">
        <f>HYPERLINK("https://youtu.be/rexA4ouKCYc","channel 1")</f>
        <v>channel 1</v>
      </c>
    </row>
    <row r="26">
      <c r="A26" s="66"/>
      <c r="B26" s="34" t="s">
        <v>3136</v>
      </c>
      <c r="C26" s="35" t="s">
        <v>26</v>
      </c>
      <c r="D26" s="32" t="s">
        <v>3137</v>
      </c>
      <c r="E26" s="11" t="str">
        <f>HYPERLINK("https://youtu.be/ZQlwzzY14dg","channel 2")</f>
        <v>channel 2</v>
      </c>
    </row>
    <row r="27">
      <c r="A27" s="66"/>
      <c r="B27" s="34" t="s">
        <v>3138</v>
      </c>
      <c r="C27" s="35" t="s">
        <v>302</v>
      </c>
      <c r="D27" s="34" t="s">
        <v>1012</v>
      </c>
      <c r="E27" s="11" t="str">
        <f>HYPERLINK("https://youtu.be/rexA4ouKCYc?t=1231","channel 1")</f>
        <v>channel 1</v>
      </c>
    </row>
    <row r="28">
      <c r="A28" s="66"/>
      <c r="B28" s="34" t="s">
        <v>3136</v>
      </c>
      <c r="C28" s="35" t="s">
        <v>369</v>
      </c>
      <c r="D28" s="34" t="s">
        <v>3135</v>
      </c>
      <c r="E28" s="11" t="str">
        <f>HYPERLINK("https://youtu.be/ZQlwzzY14dg?t=1137","channel 2")</f>
        <v>channel 2</v>
      </c>
    </row>
    <row r="29">
      <c r="A29" s="66"/>
      <c r="B29" s="34" t="s">
        <v>3138</v>
      </c>
      <c r="C29" s="35" t="s">
        <v>338</v>
      </c>
      <c r="D29" s="32" t="s">
        <v>3137</v>
      </c>
      <c r="E29" s="11" t="str">
        <f>HYPERLINK("https://youtu.be/rexA4ouKCYc?t=2135","channel 1")</f>
        <v>channel 1</v>
      </c>
    </row>
    <row r="30">
      <c r="A30" s="66"/>
      <c r="B30" s="34" t="s">
        <v>3136</v>
      </c>
      <c r="C30" s="35" t="s">
        <v>49</v>
      </c>
      <c r="D30" s="34" t="s">
        <v>1012</v>
      </c>
      <c r="E30" s="11" t="str">
        <f>HYPERLINK("https://youtu.be/ZQlwzzY14dg?t=2224","channel 2")</f>
        <v>channel 2</v>
      </c>
    </row>
    <row r="31">
      <c r="A31" s="66"/>
      <c r="B31" s="34" t="s">
        <v>3138</v>
      </c>
      <c r="C31" s="35" t="s">
        <v>27</v>
      </c>
      <c r="D31" s="34" t="s">
        <v>3135</v>
      </c>
      <c r="E31" s="11" t="str">
        <f>HYPERLINK("https://youtu.be/rexA4ouKCYc?t=3061","channel 1")</f>
        <v>channel 1</v>
      </c>
    </row>
    <row r="32">
      <c r="A32" s="66"/>
      <c r="B32" s="32" t="s">
        <v>3137</v>
      </c>
      <c r="C32" s="35" t="s">
        <v>14</v>
      </c>
      <c r="D32" s="34" t="s">
        <v>1012</v>
      </c>
      <c r="E32" s="11" t="str">
        <f>HYPERLINK("https://youtu.be/ZQlwzzY14dg?t=3140","channel 2")</f>
        <v>channel 2</v>
      </c>
    </row>
    <row r="33">
      <c r="A33" s="66"/>
      <c r="B33" s="34" t="s">
        <v>3138</v>
      </c>
      <c r="C33" s="35" t="s">
        <v>497</v>
      </c>
      <c r="D33" s="34" t="s">
        <v>3136</v>
      </c>
      <c r="E33" s="11" t="str">
        <f>HYPERLINK("https://youtu.be/rexA4ouKCYc?t=3939","channel 1")</f>
        <v>channel 1</v>
      </c>
    </row>
    <row r="34">
      <c r="A34" s="66"/>
      <c r="B34" s="32" t="s">
        <v>3137</v>
      </c>
      <c r="C34" s="35" t="s">
        <v>283</v>
      </c>
      <c r="D34" s="34" t="s">
        <v>3135</v>
      </c>
      <c r="E34" s="11" t="str">
        <f>HYPERLINK("https://youtu.be/ZQlwzzY14dg?t=4051","channel 2")</f>
        <v>channel 2</v>
      </c>
    </row>
    <row r="35">
      <c r="A35" s="66"/>
      <c r="B35" s="34" t="s">
        <v>3135</v>
      </c>
      <c r="C35" s="35" t="s">
        <v>233</v>
      </c>
      <c r="D35" s="34" t="s">
        <v>1012</v>
      </c>
      <c r="E35" s="11" t="str">
        <f>HYPERLINK("https://youtu.be/rexA4ouKCYc?t=4952","channel 1")</f>
        <v>channel 1</v>
      </c>
    </row>
    <row r="36">
      <c r="A36" s="66"/>
      <c r="B36" s="32" t="s">
        <v>3137</v>
      </c>
      <c r="C36" s="35" t="s">
        <v>17</v>
      </c>
      <c r="D36" s="34" t="s">
        <v>3136</v>
      </c>
      <c r="E36" s="11" t="str">
        <f>HYPERLINK("https://youtu.be/ZQlwzzY14dg?t=4999","channel 2")</f>
        <v>channel 2</v>
      </c>
    </row>
    <row r="37">
      <c r="A37" s="66"/>
      <c r="B37" s="34" t="s">
        <v>1012</v>
      </c>
      <c r="C37" s="35" t="s">
        <v>2462</v>
      </c>
      <c r="D37" s="34" t="s">
        <v>3138</v>
      </c>
      <c r="E37" s="11" t="str">
        <f>HYPERLINK("https://youtu.be/rexA4ouKCYc?t=5862","channel 1")</f>
        <v>channel 1</v>
      </c>
    </row>
    <row r="38">
      <c r="A38" s="66"/>
      <c r="B38" s="34" t="s">
        <v>3135</v>
      </c>
      <c r="C38" s="35" t="s">
        <v>3139</v>
      </c>
      <c r="D38" s="34" t="s">
        <v>3136</v>
      </c>
      <c r="E38" s="11" t="str">
        <f>HYPERLINK("https://youtu.be/ZQlwzzY14dg?t=5971","channel 2")</f>
        <v>channel 2</v>
      </c>
    </row>
    <row r="39">
      <c r="A39" s="66"/>
      <c r="B39" s="32" t="s">
        <v>3137</v>
      </c>
      <c r="C39" s="35" t="s">
        <v>319</v>
      </c>
      <c r="D39" s="34" t="s">
        <v>3138</v>
      </c>
      <c r="E39" s="11" t="str">
        <f>HYPERLINK("https://youtu.be/rexA4ouKCYc?t=6795","channel 1")</f>
        <v>channel 1</v>
      </c>
    </row>
    <row r="40">
      <c r="A40" s="66"/>
      <c r="B40" s="34" t="s">
        <v>1012</v>
      </c>
      <c r="C40" s="35" t="s">
        <v>853</v>
      </c>
      <c r="D40" s="34" t="s">
        <v>3136</v>
      </c>
      <c r="E40" s="11" t="str">
        <f>HYPERLINK("https://youtu.be/ZQlwzzY14dg?t=6927","channel 2")</f>
        <v>channel 2</v>
      </c>
    </row>
    <row r="41">
      <c r="A41" s="66"/>
      <c r="B41" s="34" t="s">
        <v>3135</v>
      </c>
      <c r="C41" s="35" t="s">
        <v>1342</v>
      </c>
      <c r="D41" s="34" t="s">
        <v>3138</v>
      </c>
      <c r="E41" s="11" t="str">
        <f>HYPERLINK("https://youtu.be/rexA4ouKCYc?t=7758","channel 1")</f>
        <v>channel 1</v>
      </c>
    </row>
    <row r="42">
      <c r="A42" s="66"/>
      <c r="B42" s="34" t="s">
        <v>1012</v>
      </c>
      <c r="C42" s="35" t="s">
        <v>412</v>
      </c>
      <c r="D42" s="32" t="s">
        <v>3137</v>
      </c>
      <c r="E42" s="11" t="str">
        <f>HYPERLINK("https://youtu.be/ZQlwzzY14dg?t=7831","channel 2")</f>
        <v>channel 2</v>
      </c>
    </row>
    <row r="43">
      <c r="A43" s="66"/>
      <c r="B43" s="34" t="s">
        <v>3136</v>
      </c>
      <c r="C43" s="35" t="s">
        <v>20</v>
      </c>
      <c r="D43" s="34" t="s">
        <v>3138</v>
      </c>
      <c r="E43" s="11" t="str">
        <f>HYPERLINK("https://youtu.be/rexA4ouKCYc?t=8641","channel 1")</f>
        <v>channel 1</v>
      </c>
    </row>
    <row r="44">
      <c r="A44" s="67"/>
      <c r="B44" s="34" t="s">
        <v>3135</v>
      </c>
      <c r="C44" s="35" t="s">
        <v>355</v>
      </c>
      <c r="D44" s="32" t="s">
        <v>3137</v>
      </c>
      <c r="E44" s="11" t="str">
        <f>HYPERLINK("https://youtu.be/ZQlwzzY14dg?t=8725","channel 2")</f>
        <v>channel 2</v>
      </c>
    </row>
    <row r="45">
      <c r="B45" s="72" t="s">
        <v>3011</v>
      </c>
      <c r="C45" s="2"/>
      <c r="D45" s="3"/>
      <c r="E45" s="2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34" t="s">
        <v>1543</v>
      </c>
      <c r="C47" s="35" t="s">
        <v>239</v>
      </c>
      <c r="D47" s="34" t="s">
        <v>3140</v>
      </c>
      <c r="E47" s="11" t="str">
        <f>HYPERLINK("https://youtu.be/vHmoklh3nx8","channel 1")</f>
        <v>channel 1</v>
      </c>
    </row>
    <row r="48">
      <c r="B48" s="34" t="s">
        <v>3141</v>
      </c>
      <c r="C48" s="35" t="s">
        <v>190</v>
      </c>
      <c r="D48" s="32" t="s">
        <v>3142</v>
      </c>
      <c r="E48" s="11" t="str">
        <f>HYPERLINK("https://youtu.be/XUVGquOT0d8","channel 2")</f>
        <v>channel 2</v>
      </c>
    </row>
    <row r="49">
      <c r="B49" s="34" t="s">
        <v>1136</v>
      </c>
      <c r="C49" s="35" t="s">
        <v>71</v>
      </c>
      <c r="D49" s="34" t="s">
        <v>1543</v>
      </c>
      <c r="E49" s="11" t="str">
        <f>HYPERLINK("https://youtu.be/vHmoklh3nx8?t=942","channel 1")</f>
        <v>channel 1</v>
      </c>
    </row>
    <row r="50">
      <c r="B50" s="34" t="s">
        <v>3141</v>
      </c>
      <c r="C50" s="35" t="s">
        <v>378</v>
      </c>
      <c r="D50" s="34" t="s">
        <v>3140</v>
      </c>
      <c r="E50" s="11" t="str">
        <f>HYPERLINK("https://youtu.be/XUVGquOT0d8?t=1058","channel 2")</f>
        <v>channel 2</v>
      </c>
    </row>
    <row r="51">
      <c r="B51" s="34" t="s">
        <v>1136</v>
      </c>
      <c r="C51" s="35" t="s">
        <v>2934</v>
      </c>
      <c r="D51" s="32" t="s">
        <v>3142</v>
      </c>
      <c r="E51" s="11" t="str">
        <f>HYPERLINK("https://youtu.be/vHmoklh3nx8?t=1849","channel 1")</f>
        <v>channel 1</v>
      </c>
    </row>
    <row r="52">
      <c r="B52" s="34" t="s">
        <v>3141</v>
      </c>
      <c r="C52" s="35" t="s">
        <v>416</v>
      </c>
      <c r="D52" s="34" t="s">
        <v>1543</v>
      </c>
      <c r="E52" s="11" t="str">
        <f>HYPERLINK("https://youtu.be/XUVGquOT0d8?t=1952","channel 2")</f>
        <v>channel 2</v>
      </c>
    </row>
    <row r="53">
      <c r="B53" s="34" t="s">
        <v>1136</v>
      </c>
      <c r="C53" s="35" t="s">
        <v>278</v>
      </c>
      <c r="D53" s="34" t="s">
        <v>3140</v>
      </c>
      <c r="E53" s="11" t="str">
        <f>HYPERLINK("https://youtu.be/vHmoklh3nx8?t=2770","channel 1")</f>
        <v>channel 1</v>
      </c>
    </row>
    <row r="54">
      <c r="B54" s="32" t="s">
        <v>3142</v>
      </c>
      <c r="C54" s="35" t="s">
        <v>494</v>
      </c>
      <c r="D54" s="34" t="s">
        <v>1543</v>
      </c>
      <c r="E54" s="11" t="str">
        <f>HYPERLINK("https://youtu.be/XUVGquOT0d8?t=2863","channel 2")</f>
        <v>channel 2</v>
      </c>
    </row>
    <row r="55">
      <c r="B55" s="34" t="s">
        <v>1136</v>
      </c>
      <c r="C55" s="35" t="s">
        <v>25</v>
      </c>
      <c r="D55" s="34" t="s">
        <v>3141</v>
      </c>
      <c r="E55" s="11" t="str">
        <f>HYPERLINK("https://youtu.be/vHmoklh3nx8?t=3652","channel 1")</f>
        <v>channel 1</v>
      </c>
    </row>
    <row r="56">
      <c r="B56" s="32" t="s">
        <v>3142</v>
      </c>
      <c r="C56" s="35" t="s">
        <v>370</v>
      </c>
      <c r="D56" s="34" t="s">
        <v>3140</v>
      </c>
      <c r="E56" s="11" t="str">
        <f>HYPERLINK("https://youtu.be/XUVGquOT0d8?t=3813","channel 2")</f>
        <v>channel 2</v>
      </c>
    </row>
    <row r="57">
      <c r="B57" s="34" t="s">
        <v>3140</v>
      </c>
      <c r="C57" s="35" t="s">
        <v>28</v>
      </c>
      <c r="D57" s="34" t="s">
        <v>1543</v>
      </c>
      <c r="E57" s="11" t="str">
        <f>HYPERLINK("https://youtu.be/vHmoklh3nx8?t=4581","channel 1")</f>
        <v>channel 1</v>
      </c>
    </row>
    <row r="58">
      <c r="B58" s="32" t="s">
        <v>3142</v>
      </c>
      <c r="C58" s="35" t="s">
        <v>276</v>
      </c>
      <c r="D58" s="34" t="s">
        <v>3141</v>
      </c>
      <c r="E58" s="11" t="str">
        <f>HYPERLINK("https://youtu.be/XUVGquOT0d8?t=4699","channel 2")</f>
        <v>channel 2</v>
      </c>
    </row>
    <row r="59">
      <c r="B59" s="34" t="s">
        <v>1543</v>
      </c>
      <c r="C59" s="35" t="s">
        <v>16</v>
      </c>
      <c r="D59" s="34" t="s">
        <v>1136</v>
      </c>
      <c r="E59" s="11" t="str">
        <f>HYPERLINK("https://youtu.be/vHmoklh3nx8?t=5475","channel 1")</f>
        <v>channel 1</v>
      </c>
    </row>
    <row r="60">
      <c r="B60" s="34" t="s">
        <v>3140</v>
      </c>
      <c r="C60" s="35" t="s">
        <v>82</v>
      </c>
      <c r="D60" s="34" t="s">
        <v>3141</v>
      </c>
      <c r="E60" s="11" t="str">
        <f>HYPERLINK("https://youtu.be/XUVGquOT0d8?t=5595","channel 2")</f>
        <v>channel 2</v>
      </c>
    </row>
    <row r="61">
      <c r="B61" s="32" t="s">
        <v>3142</v>
      </c>
      <c r="C61" s="35" t="s">
        <v>306</v>
      </c>
      <c r="D61" s="34" t="s">
        <v>1136</v>
      </c>
      <c r="E61" s="11" t="str">
        <f>HYPERLINK("https://youtu.be/vHmoklh3nx8?t=6412","channel 1")</f>
        <v>channel 1</v>
      </c>
    </row>
    <row r="62">
      <c r="B62" s="34" t="s">
        <v>1543</v>
      </c>
      <c r="C62" s="35" t="s">
        <v>270</v>
      </c>
      <c r="D62" s="34" t="s">
        <v>3141</v>
      </c>
      <c r="E62" s="11" t="str">
        <f>HYPERLINK("https://youtu.be/XUVGquOT0d8?t=6497","channel 2")</f>
        <v>channel 2</v>
      </c>
    </row>
    <row r="63">
      <c r="B63" s="34" t="s">
        <v>3140</v>
      </c>
      <c r="C63" s="35" t="s">
        <v>18</v>
      </c>
      <c r="D63" s="34" t="s">
        <v>1136</v>
      </c>
      <c r="E63" s="11" t="str">
        <f>HYPERLINK("https://youtu.be/vHmoklh3nx8?t=7339","channel 1")</f>
        <v>channel 1</v>
      </c>
    </row>
    <row r="64">
      <c r="B64" s="34" t="s">
        <v>1543</v>
      </c>
      <c r="C64" s="35" t="s">
        <v>284</v>
      </c>
      <c r="D64" s="32" t="s">
        <v>3142</v>
      </c>
      <c r="E64" s="11" t="str">
        <f>HYPERLINK("https://youtu.be/XUVGquOT0d8?t=7421","channel 2")</f>
        <v>channel 2</v>
      </c>
    </row>
    <row r="65">
      <c r="B65" s="34" t="s">
        <v>3141</v>
      </c>
      <c r="C65" s="35" t="s">
        <v>41</v>
      </c>
      <c r="D65" s="34" t="s">
        <v>1136</v>
      </c>
      <c r="E65" s="11" t="str">
        <f>HYPERLINK("https://youtu.be/vHmoklh3nx8?t=8228","channel 1")</f>
        <v>channel 1</v>
      </c>
    </row>
    <row r="66">
      <c r="B66" s="34" t="s">
        <v>3140</v>
      </c>
      <c r="C66" s="35" t="s">
        <v>273</v>
      </c>
      <c r="D66" s="32" t="s">
        <v>3142</v>
      </c>
      <c r="E66" s="11" t="str">
        <f>HYPERLINK("https://youtu.be/XUVGquOT0d8?t=8328","channel 2")</f>
        <v>channel 2</v>
      </c>
    </row>
    <row r="67">
      <c r="B67" s="72" t="s">
        <v>3143</v>
      </c>
      <c r="C67" s="2"/>
      <c r="D67" s="3"/>
      <c r="E67" s="29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34" t="s">
        <v>3144</v>
      </c>
      <c r="C69" s="35" t="s">
        <v>16</v>
      </c>
      <c r="D69" s="34" t="s">
        <v>3145</v>
      </c>
      <c r="E69" s="11" t="str">
        <f>HYPERLINK("https://youtu.be/p_B42sqjYec","channel 1")</f>
        <v>channel 1</v>
      </c>
    </row>
    <row r="70">
      <c r="B70" s="34" t="s">
        <v>3146</v>
      </c>
      <c r="C70" s="57" t="s">
        <v>449</v>
      </c>
      <c r="D70" s="32" t="s">
        <v>3147</v>
      </c>
      <c r="E70" s="99" t="s">
        <v>13</v>
      </c>
    </row>
    <row r="71">
      <c r="B71" s="34" t="s">
        <v>3148</v>
      </c>
      <c r="C71" s="35" t="s">
        <v>11</v>
      </c>
      <c r="D71" s="34" t="s">
        <v>3144</v>
      </c>
      <c r="E71" s="11" t="str">
        <f>HYPERLINK("https://youtu.be/p_B42sqjYec?t=1033","channel 1")</f>
        <v>channel 1</v>
      </c>
    </row>
    <row r="72">
      <c r="B72" s="34" t="s">
        <v>3146</v>
      </c>
      <c r="C72" s="57" t="s">
        <v>449</v>
      </c>
      <c r="D72" s="34" t="s">
        <v>3145</v>
      </c>
      <c r="E72" s="99" t="s">
        <v>13</v>
      </c>
    </row>
    <row r="73">
      <c r="B73" s="34" t="s">
        <v>3148</v>
      </c>
      <c r="C73" s="35" t="s">
        <v>17</v>
      </c>
      <c r="D73" s="32" t="s">
        <v>3147</v>
      </c>
      <c r="E73" s="11" t="str">
        <f>HYPERLINK("https://youtu.be/p_B42sqjYec?t=2071","channel 1")</f>
        <v>channel 1</v>
      </c>
    </row>
    <row r="74">
      <c r="B74" s="34" t="s">
        <v>3146</v>
      </c>
      <c r="C74" s="57" t="s">
        <v>449</v>
      </c>
      <c r="D74" s="34" t="s">
        <v>3144</v>
      </c>
      <c r="E74" s="99" t="s">
        <v>13</v>
      </c>
    </row>
    <row r="75">
      <c r="B75" s="34" t="s">
        <v>3148</v>
      </c>
      <c r="C75" s="35" t="s">
        <v>71</v>
      </c>
      <c r="D75" s="34" t="s">
        <v>3145</v>
      </c>
      <c r="E75" s="11" t="str">
        <f>HYPERLINK("https://youtu.be/p_B42sqjYec?t=2999","channel 1")</f>
        <v>channel 1</v>
      </c>
    </row>
    <row r="76">
      <c r="B76" s="32" t="s">
        <v>3147</v>
      </c>
      <c r="C76" s="35" t="s">
        <v>218</v>
      </c>
      <c r="D76" s="34" t="s">
        <v>3144</v>
      </c>
      <c r="E76" s="11" t="str">
        <f>HYPERLINK("https://youtu.be/o7epScSNBlM?t=5","channel 2")</f>
        <v>channel 2</v>
      </c>
    </row>
    <row r="77">
      <c r="B77" s="34" t="s">
        <v>3148</v>
      </c>
      <c r="C77" s="57" t="s">
        <v>449</v>
      </c>
      <c r="D77" s="34" t="s">
        <v>3146</v>
      </c>
      <c r="E77" s="99" t="s">
        <v>9</v>
      </c>
    </row>
    <row r="78">
      <c r="B78" s="32" t="s">
        <v>3147</v>
      </c>
      <c r="C78" s="35" t="s">
        <v>187</v>
      </c>
      <c r="D78" s="34" t="s">
        <v>3145</v>
      </c>
      <c r="E78" s="11" t="str">
        <f>HYPERLINK("https://youtu.be/o7epScSNBlM?t=990","channel 2")</f>
        <v>channel 2</v>
      </c>
    </row>
    <row r="79">
      <c r="B79" s="34" t="s">
        <v>3145</v>
      </c>
      <c r="C79" s="35" t="s">
        <v>82</v>
      </c>
      <c r="D79" s="34" t="s">
        <v>3144</v>
      </c>
      <c r="E79" s="11" t="str">
        <f>HYPERLINK("https://youtu.be/p_B42sqjYec?t=4908","channel 1")</f>
        <v>channel 1</v>
      </c>
    </row>
    <row r="80">
      <c r="B80" s="32" t="s">
        <v>3147</v>
      </c>
      <c r="C80" s="57" t="s">
        <v>449</v>
      </c>
      <c r="D80" s="34" t="s">
        <v>3146</v>
      </c>
      <c r="E80" s="99" t="s">
        <v>13</v>
      </c>
    </row>
    <row r="81">
      <c r="B81" s="34" t="s">
        <v>3144</v>
      </c>
      <c r="C81" s="35" t="s">
        <v>43</v>
      </c>
      <c r="D81" s="34" t="s">
        <v>3148</v>
      </c>
      <c r="E81" s="11" t="str">
        <f>HYPERLINK("https://youtu.be/p_B42sqjYec?t=5839","channel 1")</f>
        <v>channel 1</v>
      </c>
    </row>
    <row r="82">
      <c r="B82" s="34" t="s">
        <v>3145</v>
      </c>
      <c r="C82" s="57" t="s">
        <v>449</v>
      </c>
      <c r="D82" s="34" t="s">
        <v>3146</v>
      </c>
      <c r="E82" s="99" t="s">
        <v>13</v>
      </c>
    </row>
    <row r="83">
      <c r="B83" s="32" t="s">
        <v>3147</v>
      </c>
      <c r="C83" s="35" t="s">
        <v>81</v>
      </c>
      <c r="D83" s="34" t="s">
        <v>3148</v>
      </c>
      <c r="E83" s="11" t="str">
        <f>HYPERLINK("https://youtu.be/p_B42sqjYec?t=6808","channel 1")</f>
        <v>channel 1</v>
      </c>
    </row>
    <row r="84">
      <c r="B84" s="34" t="s">
        <v>3144</v>
      </c>
      <c r="C84" s="57" t="s">
        <v>449</v>
      </c>
      <c r="D84" s="34" t="s">
        <v>3146</v>
      </c>
      <c r="E84" s="99" t="s">
        <v>13</v>
      </c>
    </row>
    <row r="85">
      <c r="B85" s="34" t="s">
        <v>3145</v>
      </c>
      <c r="C85" s="35" t="s">
        <v>35</v>
      </c>
      <c r="D85" s="34" t="s">
        <v>3148</v>
      </c>
      <c r="E85" s="11" t="str">
        <f>HYPERLINK("https://youtu.be/p_B42sqjYec?t=7758","channel 1")</f>
        <v>channel 1</v>
      </c>
    </row>
    <row r="86">
      <c r="B86" s="34" t="s">
        <v>3144</v>
      </c>
      <c r="C86" s="57" t="s">
        <v>449</v>
      </c>
      <c r="D86" s="32" t="s">
        <v>3147</v>
      </c>
      <c r="E86" s="99" t="s">
        <v>13</v>
      </c>
    </row>
    <row r="87">
      <c r="B87" s="34" t="s">
        <v>3146</v>
      </c>
      <c r="C87" s="57" t="s">
        <v>449</v>
      </c>
      <c r="D87" s="34" t="s">
        <v>3148</v>
      </c>
      <c r="E87" s="99" t="s">
        <v>9</v>
      </c>
    </row>
    <row r="88">
      <c r="B88" s="34" t="s">
        <v>3145</v>
      </c>
      <c r="C88" s="35" t="s">
        <v>42</v>
      </c>
      <c r="D88" s="32" t="s">
        <v>3147</v>
      </c>
      <c r="E88" s="11" t="str">
        <f>HYPERLINK("https://youtu.be/o7epScSNBlM?t=5670","channel 2")</f>
        <v>channel 2</v>
      </c>
    </row>
    <row r="89">
      <c r="B89" s="72" t="s">
        <v>2547</v>
      </c>
      <c r="C89" s="2"/>
      <c r="D89" s="3"/>
      <c r="E89" s="29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34" t="s">
        <v>3028</v>
      </c>
      <c r="C91" s="35" t="s">
        <v>18</v>
      </c>
      <c r="D91" s="34" t="s">
        <v>3149</v>
      </c>
      <c r="E91" s="11" t="str">
        <f>HYPERLINK("https://youtu.be/jVXabTBJAgs","channel 3")</f>
        <v>channel 3</v>
      </c>
    </row>
    <row r="92">
      <c r="B92" s="34" t="s">
        <v>2396</v>
      </c>
      <c r="C92" s="35" t="s">
        <v>196</v>
      </c>
      <c r="D92" s="32" t="s">
        <v>3150</v>
      </c>
      <c r="E92" s="11" t="str">
        <f>HYPERLINK("https://youtu.be/o01LFzmlj7w","channel 4")</f>
        <v>channel 4</v>
      </c>
    </row>
    <row r="93">
      <c r="B93" s="34" t="s">
        <v>2026</v>
      </c>
      <c r="C93" s="35" t="s">
        <v>260</v>
      </c>
      <c r="D93" s="34" t="s">
        <v>3028</v>
      </c>
      <c r="E93" s="11" t="str">
        <f>HYPERLINK("https://youtu.be/jVXabTBJAgs?t=1218","channel 3")</f>
        <v>channel 3</v>
      </c>
    </row>
    <row r="94">
      <c r="B94" s="34" t="s">
        <v>2396</v>
      </c>
      <c r="C94" s="35" t="s">
        <v>18</v>
      </c>
      <c r="D94" s="34" t="s">
        <v>3149</v>
      </c>
      <c r="E94" s="11" t="str">
        <f>HYPERLINK("https://youtu.be/o01LFzmlj7w?t=977","channel 4")</f>
        <v>channel 4</v>
      </c>
    </row>
    <row r="95">
      <c r="B95" s="34" t="s">
        <v>2026</v>
      </c>
      <c r="C95" s="35" t="s">
        <v>295</v>
      </c>
      <c r="D95" s="32" t="s">
        <v>3150</v>
      </c>
      <c r="E95" s="11" t="str">
        <f>HYPERLINK("https://youtu.be/jVXabTBJAgs?t=2198","channel 3")</f>
        <v>channel 3</v>
      </c>
    </row>
    <row r="96">
      <c r="B96" s="34" t="s">
        <v>2396</v>
      </c>
      <c r="C96" s="35" t="s">
        <v>947</v>
      </c>
      <c r="D96" s="34" t="s">
        <v>3028</v>
      </c>
      <c r="E96" s="11" t="str">
        <f>HYPERLINK("https://youtu.be/o01LFzmlj7w?t=1921","channel 4")</f>
        <v>channel 4</v>
      </c>
    </row>
    <row r="97">
      <c r="B97" s="34" t="s">
        <v>2026</v>
      </c>
      <c r="C97" s="35" t="s">
        <v>3151</v>
      </c>
      <c r="D97" s="34" t="s">
        <v>3149</v>
      </c>
      <c r="E97" s="11" t="str">
        <f>HYPERLINK("https://youtu.be/jVXabTBJAgs?t=3109","channel 3")</f>
        <v>channel 3</v>
      </c>
    </row>
    <row r="98">
      <c r="B98" s="32" t="s">
        <v>3150</v>
      </c>
      <c r="C98" s="35" t="s">
        <v>28</v>
      </c>
      <c r="D98" s="34" t="s">
        <v>3028</v>
      </c>
      <c r="E98" s="11" t="str">
        <f>HYPERLINK("https://youtu.be/o01LFzmlj7w?t=2941","channel 4")</f>
        <v>channel 4</v>
      </c>
    </row>
    <row r="99">
      <c r="B99" s="34" t="s">
        <v>2026</v>
      </c>
      <c r="C99" s="35" t="s">
        <v>286</v>
      </c>
      <c r="D99" s="34" t="s">
        <v>2396</v>
      </c>
      <c r="E99" s="11" t="str">
        <f>HYPERLINK("https://youtu.be/jVXabTBJAgs?t=4156","channel 3")</f>
        <v>channel 3</v>
      </c>
    </row>
    <row r="100">
      <c r="B100" s="32" t="s">
        <v>3150</v>
      </c>
      <c r="C100" s="35" t="s">
        <v>81</v>
      </c>
      <c r="D100" s="34" t="s">
        <v>3149</v>
      </c>
      <c r="E100" s="11" t="str">
        <f>HYPERLINK("https://youtu.be/o01LFzmlj7w?t=3857","channel 4")</f>
        <v>channel 4</v>
      </c>
    </row>
    <row r="101">
      <c r="B101" s="34" t="s">
        <v>3149</v>
      </c>
      <c r="C101" s="35" t="s">
        <v>201</v>
      </c>
      <c r="D101" s="34" t="s">
        <v>3028</v>
      </c>
      <c r="E101" s="11" t="str">
        <f>HYPERLINK("https://youtu.be/jVXabTBJAgs?t=5048","channel 3")</f>
        <v>channel 3</v>
      </c>
    </row>
    <row r="102">
      <c r="B102" s="32" t="s">
        <v>3150</v>
      </c>
      <c r="C102" s="35" t="s">
        <v>28</v>
      </c>
      <c r="D102" s="34" t="s">
        <v>2396</v>
      </c>
      <c r="E102" s="11" t="str">
        <f>HYPERLINK("https://youtu.be/o01LFzmlj7w?t=4796","channel 4")</f>
        <v>channel 4</v>
      </c>
    </row>
    <row r="103">
      <c r="B103" s="34" t="s">
        <v>3028</v>
      </c>
      <c r="C103" s="35" t="s">
        <v>201</v>
      </c>
      <c r="D103" s="34" t="s">
        <v>2026</v>
      </c>
      <c r="E103" s="11" t="str">
        <f>HYPERLINK("https://youtu.be/jVXabTBJAgs?t=6017","channel 3")</f>
        <v>channel 3</v>
      </c>
    </row>
    <row r="104">
      <c r="B104" s="34" t="s">
        <v>3149</v>
      </c>
      <c r="C104" s="35" t="s">
        <v>195</v>
      </c>
      <c r="D104" s="34" t="s">
        <v>2396</v>
      </c>
      <c r="E104" s="11" t="str">
        <f>HYPERLINK("https://youtu.be/o01LFzmlj7w?t=5765","channel 4")</f>
        <v>channel 4</v>
      </c>
    </row>
    <row r="105">
      <c r="B105" s="32" t="s">
        <v>3150</v>
      </c>
      <c r="C105" s="35" t="s">
        <v>699</v>
      </c>
      <c r="D105" s="34" t="s">
        <v>2026</v>
      </c>
      <c r="E105" s="11" t="str">
        <f>HYPERLINK("https://youtu.be/jVXabTBJAgs?t=6952","channel 3")</f>
        <v>channel 3</v>
      </c>
    </row>
    <row r="106">
      <c r="B106" s="34" t="s">
        <v>3028</v>
      </c>
      <c r="C106" s="35" t="s">
        <v>62</v>
      </c>
      <c r="D106" s="34" t="s">
        <v>2396</v>
      </c>
      <c r="E106" s="11" t="str">
        <f>HYPERLINK("https://youtu.be/o01LFzmlj7w?t=6819","channel 4")</f>
        <v>channel 4</v>
      </c>
    </row>
    <row r="107">
      <c r="B107" s="34" t="s">
        <v>3149</v>
      </c>
      <c r="C107" s="35" t="s">
        <v>238</v>
      </c>
      <c r="D107" s="34" t="s">
        <v>2026</v>
      </c>
      <c r="E107" s="11" t="str">
        <f>HYPERLINK("https://youtu.be/jVXabTBJAgs?t=7977","channel 3")</f>
        <v>channel 3</v>
      </c>
    </row>
    <row r="108">
      <c r="B108" s="34" t="s">
        <v>3028</v>
      </c>
      <c r="C108" s="35" t="s">
        <v>17</v>
      </c>
      <c r="D108" s="32" t="s">
        <v>3150</v>
      </c>
      <c r="E108" s="11" t="str">
        <f>HYPERLINK("https://youtu.be/o01LFzmlj7w?t=7673","channel 4")</f>
        <v>channel 4</v>
      </c>
    </row>
    <row r="109">
      <c r="B109" s="34" t="s">
        <v>2396</v>
      </c>
      <c r="C109" s="35" t="s">
        <v>81</v>
      </c>
      <c r="D109" s="34" t="s">
        <v>2026</v>
      </c>
      <c r="E109" s="11" t="str">
        <f>HYPERLINK("https://youtu.be/jVXabTBJAgs?t=9113","channel 3")</f>
        <v>channel 3</v>
      </c>
    </row>
    <row r="110">
      <c r="B110" s="34" t="s">
        <v>3149</v>
      </c>
      <c r="C110" s="35" t="s">
        <v>66</v>
      </c>
      <c r="D110" s="32" t="s">
        <v>3150</v>
      </c>
      <c r="E110" s="11" t="str">
        <f>HYPERLINK("https://youtu.be/o01LFzmlj7w?t=8640","channel 4")</f>
        <v>channel 4</v>
      </c>
    </row>
    <row r="111">
      <c r="B111" s="72" t="s">
        <v>2646</v>
      </c>
      <c r="C111" s="2"/>
      <c r="D111" s="3"/>
      <c r="E111" s="29"/>
      <c r="J111" s="36" t="s">
        <v>663</v>
      </c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34" t="s">
        <v>2683</v>
      </c>
      <c r="C113" s="35" t="s">
        <v>195</v>
      </c>
      <c r="D113" s="34" t="s">
        <v>3152</v>
      </c>
      <c r="E113" s="11" t="str">
        <f>HYPERLINK("https://youtu.be/Y1ldpeQjmpE","channel 3")</f>
        <v>channel 3</v>
      </c>
    </row>
    <row r="114">
      <c r="B114" s="34" t="s">
        <v>2972</v>
      </c>
      <c r="C114" s="35" t="s">
        <v>55</v>
      </c>
      <c r="D114" s="32" t="s">
        <v>2146</v>
      </c>
      <c r="E114" s="11" t="str">
        <f>HYPERLINK("https://youtu.be/fsNy3RUMSdU","channel 4")</f>
        <v>channel 4</v>
      </c>
    </row>
    <row r="115">
      <c r="B115" s="34" t="s">
        <v>1303</v>
      </c>
      <c r="C115" s="35" t="s">
        <v>82</v>
      </c>
      <c r="D115" s="34" t="s">
        <v>2683</v>
      </c>
      <c r="E115" s="11" t="str">
        <f>HYPERLINK("https://youtu.be/Y1ldpeQjmpE?t=922","channel 3")</f>
        <v>channel 3</v>
      </c>
    </row>
    <row r="116">
      <c r="B116" s="34" t="s">
        <v>2972</v>
      </c>
      <c r="C116" s="35" t="s">
        <v>195</v>
      </c>
      <c r="D116" s="34" t="s">
        <v>3152</v>
      </c>
      <c r="E116" s="11" t="str">
        <f>HYPERLINK("https://youtu.be/fsNy3RUMSdU?t=989","channel 4")</f>
        <v>channel 4</v>
      </c>
    </row>
    <row r="117">
      <c r="B117" s="34" t="s">
        <v>1303</v>
      </c>
      <c r="C117" s="35" t="s">
        <v>38</v>
      </c>
      <c r="D117" s="32" t="s">
        <v>2146</v>
      </c>
      <c r="E117" s="11" t="str">
        <f>HYPERLINK("https://youtu.be/Y1ldpeQjmpE?t=1880","channel 3")</f>
        <v>channel 3</v>
      </c>
    </row>
    <row r="118">
      <c r="B118" s="34" t="s">
        <v>2972</v>
      </c>
      <c r="C118" s="35" t="s">
        <v>11</v>
      </c>
      <c r="D118" s="34" t="s">
        <v>2683</v>
      </c>
      <c r="E118" s="11" t="str">
        <f>HYPERLINK("https://youtu.be/fsNy3RUMSdU?t=1969","channel 4")</f>
        <v>channel 4</v>
      </c>
    </row>
    <row r="119">
      <c r="B119" s="34" t="s">
        <v>1303</v>
      </c>
      <c r="C119" s="35" t="s">
        <v>45</v>
      </c>
      <c r="D119" s="34" t="s">
        <v>3152</v>
      </c>
      <c r="E119" s="11" t="str">
        <f>HYPERLINK("https://youtu.be/Y1ldpeQjmpE?t=2778","channel 3")</f>
        <v>channel 3</v>
      </c>
    </row>
    <row r="120">
      <c r="B120" s="32" t="s">
        <v>2146</v>
      </c>
      <c r="C120" s="35" t="s">
        <v>695</v>
      </c>
      <c r="D120" s="34" t="s">
        <v>2683</v>
      </c>
      <c r="E120" s="11" t="str">
        <f>HYPERLINK("https://youtu.be/fsNy3RUMSdU?t=2983","channel 4")</f>
        <v>channel 4</v>
      </c>
      <c r="F120" s="36" t="s">
        <v>242</v>
      </c>
    </row>
    <row r="121">
      <c r="B121" s="34" t="s">
        <v>1303</v>
      </c>
      <c r="C121" s="35" t="s">
        <v>43</v>
      </c>
      <c r="D121" s="34" t="s">
        <v>2972</v>
      </c>
      <c r="E121" s="11" t="str">
        <f>HYPERLINK("https://youtu.be/Y1ldpeQjmpE?t=3756","channel 3")</f>
        <v>channel 3</v>
      </c>
    </row>
    <row r="122">
      <c r="B122" s="32" t="s">
        <v>2146</v>
      </c>
      <c r="C122" s="35" t="s">
        <v>18</v>
      </c>
      <c r="D122" s="34" t="s">
        <v>3152</v>
      </c>
      <c r="E122" s="11" t="str">
        <f>HYPERLINK("https://youtu.be/fsNy3RUMSdU?t=3918","channel 4")</f>
        <v>channel 4</v>
      </c>
    </row>
    <row r="123">
      <c r="B123" s="34" t="s">
        <v>3152</v>
      </c>
      <c r="C123" s="35" t="s">
        <v>416</v>
      </c>
      <c r="D123" s="34" t="s">
        <v>2683</v>
      </c>
      <c r="E123" s="11" t="str">
        <f>HYPERLINK("https://youtu.be/Y1ldpeQjmpE?t=4749","channel 3")</f>
        <v>channel 3</v>
      </c>
    </row>
    <row r="124">
      <c r="B124" s="32" t="s">
        <v>2146</v>
      </c>
      <c r="C124" s="35" t="s">
        <v>48</v>
      </c>
      <c r="D124" s="34" t="s">
        <v>2972</v>
      </c>
      <c r="E124" s="11" t="str">
        <f>HYPERLINK("https://youtu.be/fsNy3RUMSdU?t=4878","channel 4")</f>
        <v>channel 4</v>
      </c>
    </row>
    <row r="125">
      <c r="B125" s="34" t="s">
        <v>2683</v>
      </c>
      <c r="C125" s="35" t="s">
        <v>1953</v>
      </c>
      <c r="D125" s="34" t="s">
        <v>1303</v>
      </c>
      <c r="E125" s="11" t="str">
        <f>HYPERLINK("https://youtu.be/Y1ldpeQjmpE?t=5768","channel 3")</f>
        <v>channel 3</v>
      </c>
    </row>
    <row r="126">
      <c r="B126" s="34" t="s">
        <v>3152</v>
      </c>
      <c r="C126" s="35" t="s">
        <v>190</v>
      </c>
      <c r="D126" s="34" t="s">
        <v>2972</v>
      </c>
      <c r="E126" s="11" t="str">
        <f>HYPERLINK("https://youtu.be/fsNy3RUMSdU?t=5799","channel 4")</f>
        <v>channel 4</v>
      </c>
    </row>
    <row r="127">
      <c r="B127" s="32" t="s">
        <v>2146</v>
      </c>
      <c r="C127" s="35" t="s">
        <v>82</v>
      </c>
      <c r="D127" s="34" t="s">
        <v>1303</v>
      </c>
      <c r="E127" s="11" t="str">
        <f>HYPERLINK("https://youtu.be/Y1ldpeQjmpE?t=6686","channel 3")</f>
        <v>channel 3</v>
      </c>
    </row>
    <row r="128">
      <c r="B128" s="34" t="s">
        <v>2683</v>
      </c>
      <c r="C128" s="35" t="s">
        <v>566</v>
      </c>
      <c r="D128" s="34" t="s">
        <v>2972</v>
      </c>
      <c r="E128" s="11" t="str">
        <f>HYPERLINK("https://youtu.be/fsNy3RUMSdU?t=6776","channel 4")</f>
        <v>channel 4</v>
      </c>
      <c r="J128" s="36" t="s">
        <v>242</v>
      </c>
    </row>
    <row r="129">
      <c r="B129" s="34" t="s">
        <v>3152</v>
      </c>
      <c r="C129" s="35" t="s">
        <v>1704</v>
      </c>
      <c r="D129" s="34" t="s">
        <v>1303</v>
      </c>
      <c r="E129" s="11" t="str">
        <f>HYPERLINK("https://youtu.be/Y1ldpeQjmpE?t=7618","channel 3")</f>
        <v>channel 3</v>
      </c>
    </row>
    <row r="130">
      <c r="B130" s="34" t="s">
        <v>2683</v>
      </c>
      <c r="C130" s="35" t="s">
        <v>699</v>
      </c>
      <c r="D130" s="32" t="s">
        <v>2146</v>
      </c>
      <c r="E130" s="11" t="str">
        <f>HYPERLINK("https://youtu.be/fsNy3RUMSdU?t=7806","channel 4")</f>
        <v>channel 4</v>
      </c>
    </row>
    <row r="131">
      <c r="B131" s="34" t="s">
        <v>2972</v>
      </c>
      <c r="C131" s="35" t="s">
        <v>14</v>
      </c>
      <c r="D131" s="34" t="s">
        <v>1303</v>
      </c>
      <c r="E131" s="11" t="str">
        <f>HYPERLINK("https://youtu.be/Y1ldpeQjmpE?t=8617","channel 3")</f>
        <v>channel 3</v>
      </c>
    </row>
    <row r="132">
      <c r="B132" s="34" t="s">
        <v>3152</v>
      </c>
      <c r="C132" s="35" t="s">
        <v>220</v>
      </c>
      <c r="D132" s="32" t="s">
        <v>2146</v>
      </c>
      <c r="E132" s="11" t="str">
        <f>HYPERLINK("https://youtu.be/fsNy3RUMSdU?t=8798","channel 4")</f>
        <v>channel 4</v>
      </c>
    </row>
    <row r="133">
      <c r="B133" s="72" t="s">
        <v>2920</v>
      </c>
      <c r="C133" s="2"/>
      <c r="D133" s="3"/>
      <c r="E133" s="2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34" t="s">
        <v>1847</v>
      </c>
      <c r="C135" s="57" t="s">
        <v>449</v>
      </c>
      <c r="D135" s="34" t="s">
        <v>647</v>
      </c>
      <c r="E135" s="99" t="s">
        <v>9</v>
      </c>
    </row>
    <row r="136">
      <c r="B136" s="34" t="s">
        <v>3119</v>
      </c>
      <c r="C136" s="35" t="s">
        <v>218</v>
      </c>
      <c r="D136" s="32" t="s">
        <v>3153</v>
      </c>
      <c r="E136" s="11" t="str">
        <f>HYPERLINK("https://youtu.be/4DDC8vq5FOE","channel 2")</f>
        <v>channel 2</v>
      </c>
    </row>
    <row r="137">
      <c r="B137" s="34" t="s">
        <v>1868</v>
      </c>
      <c r="C137" s="57" t="s">
        <v>449</v>
      </c>
      <c r="D137" s="34" t="s">
        <v>1847</v>
      </c>
      <c r="E137" s="99" t="s">
        <v>9</v>
      </c>
    </row>
    <row r="138">
      <c r="B138" s="34" t="s">
        <v>3119</v>
      </c>
      <c r="C138" s="35" t="s">
        <v>340</v>
      </c>
      <c r="D138" s="34" t="s">
        <v>647</v>
      </c>
      <c r="E138" s="11" t="str">
        <f>HYPERLINK("https://youtu.be/4DDC8vq5FOE?t=1237","channel 2")</f>
        <v>channel 2</v>
      </c>
    </row>
    <row r="139">
      <c r="B139" s="34" t="s">
        <v>1868</v>
      </c>
      <c r="C139" s="35" t="s">
        <v>17</v>
      </c>
      <c r="D139" s="32" t="s">
        <v>3153</v>
      </c>
      <c r="E139" s="11" t="str">
        <f>HYPERLINK("https://youtu.be/VoSpW1H0RdQ","channel 1")</f>
        <v>channel 1</v>
      </c>
    </row>
    <row r="140">
      <c r="B140" s="34" t="s">
        <v>3119</v>
      </c>
      <c r="C140" s="57" t="s">
        <v>449</v>
      </c>
      <c r="D140" s="34" t="s">
        <v>1847</v>
      </c>
      <c r="E140" s="11" t="str">
        <f>HYPERLINK("https://youtu.be/4DDC8vq5FOE?t=4085","channel 2")</f>
        <v>channel 2</v>
      </c>
    </row>
    <row r="141">
      <c r="B141" s="34" t="s">
        <v>1868</v>
      </c>
      <c r="C141" s="35" t="s">
        <v>231</v>
      </c>
      <c r="D141" s="34" t="s">
        <v>647</v>
      </c>
      <c r="E141" s="11" t="str">
        <f>HYPERLINK("https://youtu.be/VoSpW1H0RdQ?t=1115","channel 1")</f>
        <v>channel 1</v>
      </c>
    </row>
    <row r="142">
      <c r="B142" s="32" t="s">
        <v>3153</v>
      </c>
      <c r="C142" s="57" t="s">
        <v>449</v>
      </c>
      <c r="D142" s="34" t="s">
        <v>1847</v>
      </c>
      <c r="E142" s="11" t="str">
        <f>HYPERLINK("https://youtu.be/4DDC8vq5FOE?t=3941","channel 2")</f>
        <v>channel 2</v>
      </c>
    </row>
    <row r="143">
      <c r="B143" s="34" t="s">
        <v>1868</v>
      </c>
      <c r="C143" s="35" t="s">
        <v>947</v>
      </c>
      <c r="D143" s="34" t="s">
        <v>3119</v>
      </c>
      <c r="E143" s="11" t="str">
        <f>HYPERLINK("https://youtu.be/VoSpW1H0RdQ?t=2035","channel 1")</f>
        <v>channel 1</v>
      </c>
    </row>
    <row r="144">
      <c r="B144" s="32" t="s">
        <v>3153</v>
      </c>
      <c r="C144" s="35" t="s">
        <v>220</v>
      </c>
      <c r="D144" s="34" t="s">
        <v>647</v>
      </c>
      <c r="E144" s="11" t="str">
        <f>HYPERLINK("https://youtu.be/XfFBnZXXG-s","channel 2")</f>
        <v>channel 2</v>
      </c>
    </row>
    <row r="145">
      <c r="B145" s="34" t="s">
        <v>647</v>
      </c>
      <c r="C145" s="35" t="s">
        <v>494</v>
      </c>
      <c r="D145" s="34" t="s">
        <v>1847</v>
      </c>
      <c r="E145" s="11" t="str">
        <f>HYPERLINK("https://youtu.be/VoSpW1H0RdQ?t=2924","channel 1")</f>
        <v>channel 1</v>
      </c>
    </row>
    <row r="146">
      <c r="B146" s="32" t="s">
        <v>3153</v>
      </c>
      <c r="C146" s="35" t="s">
        <v>71</v>
      </c>
      <c r="D146" s="34" t="s">
        <v>3119</v>
      </c>
      <c r="E146" s="11" t="str">
        <f>HYPERLINK("https://youtu.be/XfFBnZXXG-s?t=2994","channel 2")</f>
        <v>channel 2</v>
      </c>
    </row>
    <row r="147">
      <c r="B147" s="34" t="s">
        <v>1847</v>
      </c>
      <c r="C147" s="35" t="s">
        <v>16</v>
      </c>
      <c r="D147" s="34" t="s">
        <v>1868</v>
      </c>
      <c r="E147" s="11" t="str">
        <f>HYPERLINK("https://youtu.be/VoSpW1H0RdQ?t=3844","channel 1")</f>
        <v>channel 1</v>
      </c>
    </row>
    <row r="148">
      <c r="B148" s="34" t="s">
        <v>647</v>
      </c>
      <c r="C148" s="35" t="s">
        <v>16</v>
      </c>
      <c r="D148" s="34" t="s">
        <v>3119</v>
      </c>
      <c r="E148" s="11" t="str">
        <f>HYPERLINK("https://youtu.be/XfFBnZXXG-s?t=3900","channel 2")</f>
        <v>channel 2</v>
      </c>
    </row>
    <row r="149">
      <c r="B149" s="32" t="s">
        <v>3153</v>
      </c>
      <c r="C149" s="35" t="s">
        <v>534</v>
      </c>
      <c r="D149" s="34" t="s">
        <v>1868</v>
      </c>
      <c r="E149" s="11" t="str">
        <f>HYPERLINK("https://youtu.be/VoSpW1H0RdQ?t=4751","channel 1")</f>
        <v>channel 1</v>
      </c>
    </row>
    <row r="150">
      <c r="B150" s="34" t="s">
        <v>1847</v>
      </c>
      <c r="C150" s="35" t="s">
        <v>390</v>
      </c>
      <c r="D150" s="34" t="s">
        <v>3119</v>
      </c>
      <c r="E150" s="11" t="str">
        <f>HYPERLINK("https://youtu.be/XfFBnZXXG-s?t=4822","channel 2")</f>
        <v>channel 2</v>
      </c>
    </row>
    <row r="151">
      <c r="B151" s="34" t="s">
        <v>647</v>
      </c>
      <c r="C151" s="35" t="s">
        <v>1465</v>
      </c>
      <c r="D151" s="34" t="s">
        <v>1868</v>
      </c>
      <c r="E151" s="11" t="str">
        <f>HYPERLINK("https://youtu.be/VoSpW1H0RdQ?t=5681","channel 1")</f>
        <v>channel 1</v>
      </c>
    </row>
    <row r="152">
      <c r="B152" s="34" t="s">
        <v>1847</v>
      </c>
      <c r="C152" s="35" t="s">
        <v>193</v>
      </c>
      <c r="D152" s="32" t="s">
        <v>3153</v>
      </c>
      <c r="E152" s="11" t="str">
        <f>HYPERLINK("https://youtu.be/XfFBnZXXG-s?t=5750","channel 2")</f>
        <v>channel 2</v>
      </c>
    </row>
    <row r="153">
      <c r="B153" s="34" t="s">
        <v>3119</v>
      </c>
      <c r="C153" s="35" t="s">
        <v>69</v>
      </c>
      <c r="D153" s="34" t="s">
        <v>1868</v>
      </c>
      <c r="E153" s="11" t="str">
        <f>HYPERLINK("https://youtu.be/VoSpW1H0RdQ?t=6569","channel 1")</f>
        <v>channel 1</v>
      </c>
    </row>
    <row r="154">
      <c r="B154" s="34" t="s">
        <v>647</v>
      </c>
      <c r="C154" s="35" t="s">
        <v>534</v>
      </c>
      <c r="D154" s="32" t="s">
        <v>3153</v>
      </c>
      <c r="E154" s="11" t="str">
        <f>HYPERLINK("https://youtu.be/XfFBnZXXG-s?t=6581","channel 2")</f>
        <v>channel 2</v>
      </c>
    </row>
    <row r="155">
      <c r="B155" s="72" t="s">
        <v>2923</v>
      </c>
      <c r="C155" s="2"/>
      <c r="D155" s="3"/>
      <c r="E155" s="2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34" t="s">
        <v>2636</v>
      </c>
      <c r="C157" s="35" t="s">
        <v>78</v>
      </c>
      <c r="D157" s="34" t="s">
        <v>2857</v>
      </c>
      <c r="E157" s="11" t="str">
        <f>HYPERLINK("https://youtu.be/66WQCChJoHA","channel 1")</f>
        <v>channel 1</v>
      </c>
    </row>
    <row r="158">
      <c r="B158" s="34" t="s">
        <v>3154</v>
      </c>
      <c r="C158" s="35" t="s">
        <v>536</v>
      </c>
      <c r="D158" s="32" t="s">
        <v>2901</v>
      </c>
      <c r="E158" s="11" t="str">
        <f>HYPERLINK("https://youtu.be/0CTIakxkLvw","channel 2")</f>
        <v>channel 2</v>
      </c>
    </row>
    <row r="159">
      <c r="B159" s="34" t="s">
        <v>2110</v>
      </c>
      <c r="C159" s="35" t="s">
        <v>566</v>
      </c>
      <c r="D159" s="34" t="s">
        <v>2636</v>
      </c>
      <c r="E159" s="11" t="str">
        <f>HYPERLINK("https://youtu.be/66WQCChJoHA?t=1011","channel 1")</f>
        <v>channel 1</v>
      </c>
    </row>
    <row r="160">
      <c r="B160" s="34" t="s">
        <v>3154</v>
      </c>
      <c r="C160" s="35" t="s">
        <v>267</v>
      </c>
      <c r="D160" s="34" t="s">
        <v>2857</v>
      </c>
      <c r="E160" s="11" t="str">
        <f>HYPERLINK("https://youtu.be/0CTIakxkLvw?t=1084","channel 2")</f>
        <v>channel 2</v>
      </c>
    </row>
    <row r="161">
      <c r="B161" s="34" t="s">
        <v>2110</v>
      </c>
      <c r="C161" s="35" t="s">
        <v>18</v>
      </c>
      <c r="D161" s="32" t="s">
        <v>2901</v>
      </c>
      <c r="E161" s="11" t="str">
        <f>HYPERLINK("https://youtu.be/66WQCChJoHA?t=2044","channel 1")</f>
        <v>channel 1</v>
      </c>
    </row>
    <row r="162">
      <c r="B162" s="34" t="s">
        <v>3154</v>
      </c>
      <c r="C162" s="35" t="s">
        <v>886</v>
      </c>
      <c r="D162" s="34" t="s">
        <v>2636</v>
      </c>
      <c r="E162" s="11" t="str">
        <f>HYPERLINK("https://youtu.be/Wy1PSDq5FeQ","channel 2")</f>
        <v>channel 2</v>
      </c>
    </row>
    <row r="163">
      <c r="B163" s="34" t="s">
        <v>2110</v>
      </c>
      <c r="C163" s="35" t="s">
        <v>82</v>
      </c>
      <c r="D163" s="34" t="s">
        <v>2857</v>
      </c>
      <c r="E163" s="11" t="str">
        <f>HYPERLINK("https://youtu.be/66WQCChJoHA?t=2937","channel 1")</f>
        <v>channel 1</v>
      </c>
    </row>
    <row r="164">
      <c r="B164" s="32" t="s">
        <v>2901</v>
      </c>
      <c r="C164" s="35" t="s">
        <v>614</v>
      </c>
      <c r="D164" s="34" t="s">
        <v>2636</v>
      </c>
      <c r="E164" s="11" t="str">
        <f>HYPERLINK("https://youtu.be/Wy1PSDq5FeQ?t=1149","channel 2")</f>
        <v>channel 2</v>
      </c>
    </row>
    <row r="165">
      <c r="B165" s="34" t="s">
        <v>2110</v>
      </c>
      <c r="C165" s="35" t="s">
        <v>197</v>
      </c>
      <c r="D165" s="34" t="s">
        <v>3154</v>
      </c>
      <c r="E165" s="11" t="str">
        <f>HYPERLINK("https://youtu.be/66WQCChJoHA?t=3852","channel 1")</f>
        <v>channel 1</v>
      </c>
    </row>
    <row r="166">
      <c r="B166" s="32" t="s">
        <v>2901</v>
      </c>
      <c r="C166" s="35" t="s">
        <v>295</v>
      </c>
      <c r="D166" s="34" t="s">
        <v>2857</v>
      </c>
      <c r="E166" s="11" t="str">
        <f>HYPERLINK("https://youtu.be/Wy1PSDq5FeQ?t=2044","channel 2")</f>
        <v>channel 2</v>
      </c>
    </row>
    <row r="167">
      <c r="B167" s="34" t="s">
        <v>2857</v>
      </c>
      <c r="C167" s="35" t="s">
        <v>190</v>
      </c>
      <c r="D167" s="34" t="s">
        <v>2636</v>
      </c>
      <c r="E167" s="11" t="str">
        <f>HYPERLINK("https://youtu.be/66WQCChJoHA?t=4780","channel 1")</f>
        <v>channel 1</v>
      </c>
    </row>
    <row r="168">
      <c r="B168" s="32" t="s">
        <v>2901</v>
      </c>
      <c r="C168" s="35" t="s">
        <v>285</v>
      </c>
      <c r="D168" s="34" t="s">
        <v>3154</v>
      </c>
      <c r="E168" s="11" t="str">
        <f>HYPERLINK("https://youtu.be/Wy1PSDq5FeQ?t=2906","channel 2")</f>
        <v>channel 2</v>
      </c>
    </row>
    <row r="169">
      <c r="B169" s="34" t="s">
        <v>2636</v>
      </c>
      <c r="C169" s="35" t="s">
        <v>19</v>
      </c>
      <c r="D169" s="34" t="s">
        <v>2110</v>
      </c>
      <c r="E169" s="11" t="str">
        <f>HYPERLINK("https://youtu.be/66WQCChJoHA?t=5690","channel 1")</f>
        <v>channel 1</v>
      </c>
    </row>
    <row r="170">
      <c r="B170" s="34" t="s">
        <v>2857</v>
      </c>
      <c r="C170" s="35" t="s">
        <v>89</v>
      </c>
      <c r="D170" s="34" t="s">
        <v>3154</v>
      </c>
      <c r="E170" s="11" t="str">
        <f>HYPERLINK("https://youtu.be/Wy1PSDq5FeQ?t=3807","channel 2")</f>
        <v>channel 2</v>
      </c>
    </row>
    <row r="171">
      <c r="B171" s="32" t="s">
        <v>2901</v>
      </c>
      <c r="C171" s="35" t="s">
        <v>631</v>
      </c>
      <c r="D171" s="34" t="s">
        <v>2110</v>
      </c>
      <c r="E171" s="11" t="str">
        <f>HYPERLINK("https://youtu.be/66WQCChJoHA?t=6702","channel 1")</f>
        <v>channel 1</v>
      </c>
    </row>
    <row r="172">
      <c r="B172" s="34" t="s">
        <v>2636</v>
      </c>
      <c r="C172" s="35" t="s">
        <v>699</v>
      </c>
      <c r="D172" s="34" t="s">
        <v>3154</v>
      </c>
      <c r="E172" s="11" t="str">
        <f>HYPERLINK("https://youtu.be/Wy1PSDq5FeQ?t=4683","channel 2")</f>
        <v>channel 2</v>
      </c>
    </row>
    <row r="173">
      <c r="B173" s="34" t="s">
        <v>2857</v>
      </c>
      <c r="C173" s="35" t="s">
        <v>87</v>
      </c>
      <c r="D173" s="34" t="s">
        <v>2110</v>
      </c>
      <c r="E173" s="11" t="str">
        <f>HYPERLINK("https://youtu.be/66WQCChJoHA?t=7683","channel 1")</f>
        <v>channel 1</v>
      </c>
    </row>
    <row r="174">
      <c r="B174" s="34" t="s">
        <v>2636</v>
      </c>
      <c r="C174" s="35" t="s">
        <v>16</v>
      </c>
      <c r="D174" s="32" t="s">
        <v>2901</v>
      </c>
      <c r="E174" s="11" t="str">
        <f>HYPERLINK("https://youtu.be/Wy1PSDq5FeQ?t=5700","channel 2")</f>
        <v>channel 2</v>
      </c>
    </row>
    <row r="175">
      <c r="B175" s="34" t="s">
        <v>3154</v>
      </c>
      <c r="C175" s="35" t="s">
        <v>258</v>
      </c>
      <c r="D175" s="34" t="s">
        <v>2110</v>
      </c>
      <c r="E175" s="11" t="str">
        <f>HYPERLINK("https://youtu.be/66WQCChJoHA?t=8582","channel 1")</f>
        <v>channel 1</v>
      </c>
    </row>
    <row r="176">
      <c r="B176" s="34" t="s">
        <v>2857</v>
      </c>
      <c r="C176" s="35" t="s">
        <v>81</v>
      </c>
      <c r="D176" s="32" t="s">
        <v>2901</v>
      </c>
      <c r="E176" s="11" t="str">
        <f>HYPERLINK("https://youtu.be/Wy1PSDq5FeQ?t=6575","channel 2")</f>
        <v>channel 2</v>
      </c>
    </row>
    <row r="177">
      <c r="B177" s="72" t="s">
        <v>2614</v>
      </c>
      <c r="C177" s="2"/>
      <c r="D177" s="3"/>
      <c r="E177" s="2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34" t="s">
        <v>3155</v>
      </c>
      <c r="C179" s="35" t="s">
        <v>194</v>
      </c>
      <c r="D179" s="34" t="s">
        <v>3156</v>
      </c>
      <c r="E179" s="11" t="str">
        <f>HYPERLINK("https://youtu.be/wVma5DOUZzs","channel 3")</f>
        <v>channel 3</v>
      </c>
    </row>
    <row r="180">
      <c r="B180" s="34" t="s">
        <v>3157</v>
      </c>
      <c r="C180" s="35" t="s">
        <v>187</v>
      </c>
      <c r="D180" s="32" t="s">
        <v>2643</v>
      </c>
      <c r="E180" s="11" t="str">
        <f>HYPERLINK("https://youtu.be/gXsaeQK5t2o","channel 4")</f>
        <v>channel 4</v>
      </c>
    </row>
    <row r="181">
      <c r="B181" s="34" t="s">
        <v>1499</v>
      </c>
      <c r="C181" s="35" t="s">
        <v>82</v>
      </c>
      <c r="D181" s="34" t="s">
        <v>3155</v>
      </c>
      <c r="E181" s="11" t="str">
        <f>HYPERLINK("https://youtu.be/wVma5DOUZzs?t=1046","channel 3")</f>
        <v>channel 3</v>
      </c>
    </row>
    <row r="182">
      <c r="B182" s="34" t="s">
        <v>3157</v>
      </c>
      <c r="C182" s="35" t="s">
        <v>488</v>
      </c>
      <c r="D182" s="34" t="s">
        <v>3156</v>
      </c>
      <c r="E182" s="11" t="str">
        <f>HYPERLINK("https://youtu.be/gXsaeQK5t2o?t=980","channel 4")</f>
        <v>channel 4</v>
      </c>
    </row>
    <row r="183">
      <c r="B183" s="34" t="s">
        <v>1499</v>
      </c>
      <c r="C183" s="35" t="s">
        <v>7</v>
      </c>
      <c r="D183" s="32" t="s">
        <v>2643</v>
      </c>
      <c r="E183" s="11" t="str">
        <f>HYPERLINK("https://youtu.be/wVma5DOUZzs?t=1897","channel 3")</f>
        <v>channel 3</v>
      </c>
    </row>
    <row r="184">
      <c r="B184" s="34" t="s">
        <v>3157</v>
      </c>
      <c r="C184" s="35" t="s">
        <v>201</v>
      </c>
      <c r="D184" s="34" t="s">
        <v>3155</v>
      </c>
      <c r="E184" s="11" t="str">
        <f>HYPERLINK("https://youtu.be/gXsaeQK5t2o?t=1934","channel 4")</f>
        <v>channel 4</v>
      </c>
    </row>
    <row r="185">
      <c r="B185" s="34" t="s">
        <v>1499</v>
      </c>
      <c r="C185" s="35" t="s">
        <v>69</v>
      </c>
      <c r="D185" s="34" t="s">
        <v>3156</v>
      </c>
      <c r="E185" s="11" t="str">
        <f>HYPERLINK("https://youtu.be/wVma5DOUZzs?t=2804","channel 3")</f>
        <v>channel 3</v>
      </c>
    </row>
    <row r="186">
      <c r="B186" s="32" t="s">
        <v>2643</v>
      </c>
      <c r="C186" s="35" t="s">
        <v>48</v>
      </c>
      <c r="D186" s="34" t="s">
        <v>3155</v>
      </c>
      <c r="E186" s="11" t="str">
        <f>HYPERLINK("https://youtu.be/gXsaeQK5t2o?t=2959","channel 4")</f>
        <v>channel 4</v>
      </c>
    </row>
    <row r="187">
      <c r="B187" s="34" t="s">
        <v>1499</v>
      </c>
      <c r="C187" s="35" t="s">
        <v>7</v>
      </c>
      <c r="D187" s="34" t="s">
        <v>3157</v>
      </c>
      <c r="E187" s="11" t="str">
        <f>HYPERLINK("https://youtu.be/wVma5DOUZzs?t=3768","channel 3")</f>
        <v>channel 3</v>
      </c>
    </row>
    <row r="188">
      <c r="B188" s="32" t="s">
        <v>2643</v>
      </c>
      <c r="C188" s="35" t="s">
        <v>251</v>
      </c>
      <c r="D188" s="34" t="s">
        <v>3156</v>
      </c>
      <c r="E188" s="11" t="str">
        <f>HYPERLINK("https://youtu.be/gXsaeQK5t2o?t=3921","channel 4")</f>
        <v>channel 4</v>
      </c>
    </row>
    <row r="189">
      <c r="B189" s="34" t="s">
        <v>3156</v>
      </c>
      <c r="C189" s="35" t="s">
        <v>232</v>
      </c>
      <c r="D189" s="34" t="s">
        <v>3155</v>
      </c>
      <c r="E189" s="11" t="str">
        <f>HYPERLINK("https://youtu.be/wVma5DOUZzs?t=4805","channel 3")</f>
        <v>channel 3</v>
      </c>
    </row>
    <row r="190">
      <c r="B190" s="32" t="s">
        <v>2643</v>
      </c>
      <c r="C190" s="35" t="s">
        <v>48</v>
      </c>
      <c r="D190" s="34" t="s">
        <v>3157</v>
      </c>
      <c r="E190" s="11" t="str">
        <f>HYPERLINK("https://youtu.be/gXsaeQK5t2o?t=4847","channel 4")</f>
        <v>channel 4</v>
      </c>
    </row>
    <row r="191">
      <c r="B191" s="34" t="s">
        <v>3155</v>
      </c>
      <c r="C191" s="35" t="s">
        <v>69</v>
      </c>
      <c r="D191" s="34" t="s">
        <v>1499</v>
      </c>
      <c r="E191" s="11" t="str">
        <f>HYPERLINK("https://youtu.be/wVma5DOUZzs?t=5885","channel 3")</f>
        <v>channel 3</v>
      </c>
    </row>
    <row r="192">
      <c r="B192" s="34" t="s">
        <v>3156</v>
      </c>
      <c r="C192" s="35" t="s">
        <v>64</v>
      </c>
      <c r="D192" s="34" t="s">
        <v>3157</v>
      </c>
      <c r="E192" s="11" t="str">
        <f>HYPERLINK("https://youtu.be/gXsaeQK5t2o?t=5790","channel 4")</f>
        <v>channel 4</v>
      </c>
    </row>
    <row r="193">
      <c r="B193" s="32" t="s">
        <v>2643</v>
      </c>
      <c r="C193" s="35" t="s">
        <v>78</v>
      </c>
      <c r="D193" s="34" t="s">
        <v>1499</v>
      </c>
      <c r="E193" s="11" t="str">
        <f>HYPERLINK("https://youtu.be/wVma5DOUZzs?t=7151","channel 3")</f>
        <v>channel 3</v>
      </c>
    </row>
    <row r="194">
      <c r="B194" s="34" t="s">
        <v>3155</v>
      </c>
      <c r="C194" s="35" t="s">
        <v>1170</v>
      </c>
      <c r="D194" s="34" t="s">
        <v>3157</v>
      </c>
      <c r="E194" s="11" t="str">
        <f>HYPERLINK("https://youtu.be/gXsaeQK5t2o?t=6776","channel 4")</f>
        <v>channel 4</v>
      </c>
    </row>
    <row r="195">
      <c r="B195" s="34" t="s">
        <v>3156</v>
      </c>
      <c r="C195" s="35" t="s">
        <v>446</v>
      </c>
      <c r="D195" s="34" t="s">
        <v>1499</v>
      </c>
      <c r="E195" s="11" t="str">
        <f>HYPERLINK("https://youtu.be/wVma5DOUZzs?t=8069","channel 3")</f>
        <v>channel 3</v>
      </c>
    </row>
    <row r="196">
      <c r="B196" s="34" t="s">
        <v>3155</v>
      </c>
      <c r="C196" s="35" t="s">
        <v>82</v>
      </c>
      <c r="D196" s="32" t="s">
        <v>2643</v>
      </c>
      <c r="E196" s="11" t="str">
        <f>HYPERLINK("https://youtu.be/gXsaeQK5t2o?t=7958","channel 4")</f>
        <v>channel 4</v>
      </c>
    </row>
    <row r="197">
      <c r="B197" s="34" t="s">
        <v>3157</v>
      </c>
      <c r="C197" s="35" t="s">
        <v>19</v>
      </c>
      <c r="D197" s="34" t="s">
        <v>1499</v>
      </c>
      <c r="E197" s="11" t="str">
        <f>HYPERLINK("https://youtu.be/wVma5DOUZzs?t=9028","channel 3")</f>
        <v>channel 3</v>
      </c>
      <c r="J197" s="36" t="s">
        <v>663</v>
      </c>
    </row>
    <row r="198">
      <c r="B198" s="34" t="s">
        <v>3156</v>
      </c>
      <c r="C198" s="35" t="s">
        <v>273</v>
      </c>
      <c r="D198" s="32" t="s">
        <v>2643</v>
      </c>
      <c r="E198" s="11" t="str">
        <f>HYPERLINK("https://youtu.be/gXsaeQK5t2o?t=8913","channel 4")</f>
        <v>channel 4</v>
      </c>
      <c r="H198" s="36" t="s">
        <v>242</v>
      </c>
    </row>
    <row r="199">
      <c r="B199" s="72" t="s">
        <v>2928</v>
      </c>
      <c r="C199" s="2"/>
      <c r="D199" s="3"/>
      <c r="E199" s="2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34" t="s">
        <v>3158</v>
      </c>
      <c r="C201" s="35" t="s">
        <v>570</v>
      </c>
      <c r="D201" s="34" t="s">
        <v>3159</v>
      </c>
      <c r="E201" s="11" t="str">
        <f>HYPERLINK("https://youtu.be/pafrE5b8EUY","channel 3")</f>
        <v>channel 3</v>
      </c>
    </row>
    <row r="202">
      <c r="B202" s="34" t="s">
        <v>2345</v>
      </c>
      <c r="C202" s="35" t="s">
        <v>446</v>
      </c>
      <c r="D202" s="32" t="s">
        <v>3160</v>
      </c>
      <c r="E202" s="11" t="str">
        <f>HYPERLINK("https://youtu.be/x8bLRkgkBfA","channel 4")</f>
        <v>channel 4</v>
      </c>
    </row>
    <row r="203">
      <c r="B203" s="34" t="s">
        <v>1835</v>
      </c>
      <c r="C203" s="35" t="s">
        <v>55</v>
      </c>
      <c r="D203" s="34" t="s">
        <v>3158</v>
      </c>
      <c r="E203" s="11" t="str">
        <f>HYPERLINK("https://youtu.be/pafrE5b8EUY?t=1042","channel 3")</f>
        <v>channel 3</v>
      </c>
    </row>
    <row r="204">
      <c r="B204" s="34" t="s">
        <v>2345</v>
      </c>
      <c r="C204" s="35" t="s">
        <v>411</v>
      </c>
      <c r="D204" s="34" t="s">
        <v>3159</v>
      </c>
      <c r="E204" s="11" t="str">
        <f>HYPERLINK("https://youtu.be/x8bLRkgkBfA?t=1012","channel 4")</f>
        <v>channel 4</v>
      </c>
    </row>
    <row r="205">
      <c r="B205" s="34" t="s">
        <v>1835</v>
      </c>
      <c r="C205" s="35" t="s">
        <v>51</v>
      </c>
      <c r="D205" s="32" t="s">
        <v>3160</v>
      </c>
      <c r="E205" s="11" t="str">
        <f>HYPERLINK("https://youtu.be/pafrE5b8EUY?t=1937","channel 3")</f>
        <v>channel 3</v>
      </c>
    </row>
    <row r="206">
      <c r="B206" s="34" t="s">
        <v>2345</v>
      </c>
      <c r="C206" s="35" t="s">
        <v>3161</v>
      </c>
      <c r="D206" s="34" t="s">
        <v>3158</v>
      </c>
      <c r="E206" s="11" t="str">
        <f>HYPERLINK("https://youtu.be/x8bLRkgkBfA?t=1946","channel 4")</f>
        <v>channel 4</v>
      </c>
    </row>
    <row r="207">
      <c r="B207" s="34" t="s">
        <v>1835</v>
      </c>
      <c r="C207" s="35" t="s">
        <v>42</v>
      </c>
      <c r="D207" s="34" t="s">
        <v>3159</v>
      </c>
      <c r="E207" s="11" t="str">
        <f>HYPERLINK("https://youtu.be/pafrE5b8EUY?t=2860","channel 3")</f>
        <v>channel 3</v>
      </c>
    </row>
    <row r="208">
      <c r="B208" s="32" t="s">
        <v>3160</v>
      </c>
      <c r="C208" s="35" t="s">
        <v>544</v>
      </c>
      <c r="D208" s="34" t="s">
        <v>3158</v>
      </c>
      <c r="E208" s="11" t="str">
        <f>HYPERLINK("https://youtu.be/x8bLRkgkBfA?t=3015","channel 4")</f>
        <v>channel 4</v>
      </c>
    </row>
    <row r="209">
      <c r="B209" s="34" t="s">
        <v>1835</v>
      </c>
      <c r="C209" s="35" t="s">
        <v>21</v>
      </c>
      <c r="D209" s="34" t="s">
        <v>2345</v>
      </c>
      <c r="E209" s="11" t="str">
        <f>HYPERLINK("https://youtu.be/pafrE5b8EUY?t=3809","channel 3")</f>
        <v>channel 3</v>
      </c>
    </row>
    <row r="210">
      <c r="B210" s="32" t="s">
        <v>3160</v>
      </c>
      <c r="C210" s="35" t="s">
        <v>19</v>
      </c>
      <c r="D210" s="34" t="s">
        <v>3159</v>
      </c>
      <c r="E210" s="11" t="str">
        <f>HYPERLINK("https://youtu.be/x8bLRkgkBfA?t=3948","channel 4")</f>
        <v>channel 4</v>
      </c>
    </row>
    <row r="211">
      <c r="B211" s="34" t="s">
        <v>3159</v>
      </c>
      <c r="C211" s="35" t="s">
        <v>614</v>
      </c>
      <c r="D211" s="34" t="s">
        <v>3158</v>
      </c>
      <c r="E211" s="11" t="str">
        <f>HYPERLINK("https://youtu.be/pafrE5b8EUY?t=4843","channel 3")</f>
        <v>channel 3</v>
      </c>
    </row>
    <row r="212">
      <c r="B212" s="32" t="s">
        <v>3160</v>
      </c>
      <c r="C212" s="35" t="s">
        <v>21</v>
      </c>
      <c r="D212" s="34" t="s">
        <v>2345</v>
      </c>
      <c r="E212" s="11" t="str">
        <f>HYPERLINK("https://youtu.be/x8bLRkgkBfA?t=4867","channel 4")</f>
        <v>channel 4</v>
      </c>
    </row>
    <row r="213">
      <c r="B213" s="34" t="s">
        <v>3158</v>
      </c>
      <c r="C213" s="35" t="s">
        <v>835</v>
      </c>
      <c r="D213" s="34" t="s">
        <v>1835</v>
      </c>
      <c r="E213" s="11" t="str">
        <f>HYPERLINK("https://youtu.be/pafrE5b8EUY?t=5842","channel 3")</f>
        <v>channel 3</v>
      </c>
    </row>
    <row r="214">
      <c r="B214" s="34" t="s">
        <v>3159</v>
      </c>
      <c r="C214" s="35" t="s">
        <v>3162</v>
      </c>
      <c r="D214" s="34" t="s">
        <v>2345</v>
      </c>
      <c r="E214" s="11" t="str">
        <f>HYPERLINK("https://youtu.be/x8bLRkgkBfA?t=5813","channel 4")</f>
        <v>channel 4</v>
      </c>
    </row>
    <row r="215">
      <c r="B215" s="32" t="s">
        <v>3160</v>
      </c>
      <c r="C215" s="35" t="s">
        <v>11</v>
      </c>
      <c r="D215" s="34" t="s">
        <v>1835</v>
      </c>
      <c r="E215" s="11" t="str">
        <f>HYPERLINK("https://youtu.be/pafrE5b8EUY?t=6785","channel 3")</f>
        <v>channel 3</v>
      </c>
    </row>
    <row r="216">
      <c r="B216" s="34" t="s">
        <v>3158</v>
      </c>
      <c r="C216" s="35" t="s">
        <v>197</v>
      </c>
      <c r="D216" s="34" t="s">
        <v>2345</v>
      </c>
      <c r="E216" s="11" t="str">
        <f>HYPERLINK("https://youtu.be/x8bLRkgkBfA?t=6797","channel 4")</f>
        <v>channel 4</v>
      </c>
      <c r="H216" s="36" t="s">
        <v>242</v>
      </c>
    </row>
    <row r="217">
      <c r="B217" s="34" t="s">
        <v>3159</v>
      </c>
      <c r="C217" s="35" t="s">
        <v>48</v>
      </c>
      <c r="D217" s="34" t="s">
        <v>1835</v>
      </c>
      <c r="E217" s="11" t="str">
        <f>HYPERLINK("https://youtu.be/pafrE5b8EUY?t=7698","channel 3")</f>
        <v>channel 3</v>
      </c>
    </row>
    <row r="218">
      <c r="B218" s="34" t="s">
        <v>3158</v>
      </c>
      <c r="C218" s="35" t="s">
        <v>26</v>
      </c>
      <c r="D218" s="32" t="s">
        <v>3160</v>
      </c>
      <c r="E218" s="11" t="str">
        <f>HYPERLINK("https://youtu.be/x8bLRkgkBfA?t=7771","channel 4")</f>
        <v>channel 4</v>
      </c>
    </row>
    <row r="219">
      <c r="B219" s="34" t="s">
        <v>2345</v>
      </c>
      <c r="C219" s="35" t="s">
        <v>20</v>
      </c>
      <c r="D219" s="34" t="s">
        <v>1835</v>
      </c>
      <c r="E219" s="11" t="str">
        <f>HYPERLINK("https://youtu.be/pafrE5b8EUY?t=8642","channel 3")</f>
        <v>channel 3</v>
      </c>
    </row>
    <row r="220">
      <c r="B220" s="34" t="s">
        <v>3159</v>
      </c>
      <c r="C220" s="35" t="s">
        <v>240</v>
      </c>
      <c r="D220" s="32" t="s">
        <v>3160</v>
      </c>
      <c r="E220" s="11" t="str">
        <f>HYPERLINK("https://youtu.be/x8bLRkgkBfA?t=8778","channel 4")</f>
        <v>channel 4</v>
      </c>
    </row>
    <row r="221">
      <c r="B221" s="72" t="s">
        <v>2507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34" t="s">
        <v>2010</v>
      </c>
      <c r="C223" s="35" t="s">
        <v>270</v>
      </c>
      <c r="D223" s="34" t="s">
        <v>3163</v>
      </c>
      <c r="E223" s="11" t="str">
        <f>HYPERLINK("https://youtu.be/C-BAaIhHsGA","channel 1")</f>
        <v>channel 1</v>
      </c>
    </row>
    <row r="224">
      <c r="B224" s="34" t="s">
        <v>3164</v>
      </c>
      <c r="C224" s="35" t="s">
        <v>488</v>
      </c>
      <c r="D224" s="32" t="s">
        <v>3165</v>
      </c>
      <c r="E224" s="11" t="str">
        <f>HYPERLINK("https://youtu.be/kz6PKUQLjEA","channel 2")</f>
        <v>channel 2</v>
      </c>
    </row>
    <row r="225">
      <c r="B225" s="34" t="s">
        <v>2829</v>
      </c>
      <c r="C225" s="35" t="s">
        <v>22</v>
      </c>
      <c r="D225" s="34" t="s">
        <v>2010</v>
      </c>
      <c r="E225" s="11" t="str">
        <f>HYPERLINK("https://youtu.be/C-BAaIhHsGA?t=1099","channel 1")</f>
        <v>channel 1</v>
      </c>
    </row>
    <row r="226">
      <c r="B226" s="34" t="s">
        <v>3164</v>
      </c>
      <c r="C226" s="35" t="s">
        <v>835</v>
      </c>
      <c r="D226" s="34" t="s">
        <v>3163</v>
      </c>
      <c r="E226" s="11" t="str">
        <f>HYPERLINK("https://youtu.be/kz6PKUQLjEA?t=1109","channel 2")</f>
        <v>channel 2</v>
      </c>
    </row>
    <row r="227">
      <c r="B227" s="34" t="s">
        <v>2829</v>
      </c>
      <c r="C227" s="35" t="s">
        <v>18</v>
      </c>
      <c r="D227" s="32" t="s">
        <v>3165</v>
      </c>
      <c r="E227" s="11" t="str">
        <f>HYPERLINK("https://youtu.be/C-BAaIhHsGA?t=1996","channel 1")</f>
        <v>channel 1</v>
      </c>
    </row>
    <row r="228">
      <c r="B228" s="34" t="s">
        <v>3164</v>
      </c>
      <c r="C228" s="35" t="s">
        <v>64</v>
      </c>
      <c r="D228" s="34" t="s">
        <v>2010</v>
      </c>
      <c r="E228" s="11" t="str">
        <f>HYPERLINK("https://youtu.be/kz6PKUQLjEA?t=2019","channel 2")</f>
        <v>channel 2</v>
      </c>
    </row>
    <row r="229">
      <c r="B229" s="34" t="s">
        <v>2829</v>
      </c>
      <c r="C229" s="35" t="s">
        <v>218</v>
      </c>
      <c r="D229" s="34" t="s">
        <v>3163</v>
      </c>
      <c r="E229" s="11" t="str">
        <f>HYPERLINK("https://youtu.be/C-BAaIhHsGA?t=2953","channel 1")</f>
        <v>channel 1</v>
      </c>
    </row>
    <row r="230">
      <c r="B230" s="32" t="s">
        <v>3165</v>
      </c>
      <c r="C230" s="35" t="s">
        <v>544</v>
      </c>
      <c r="D230" s="34" t="s">
        <v>2010</v>
      </c>
      <c r="E230" s="11" t="str">
        <f>HYPERLINK("https://youtu.be/kz6PKUQLjEA?t=2985","channel 2")</f>
        <v>channel 2</v>
      </c>
    </row>
    <row r="231">
      <c r="B231" s="34" t="s">
        <v>2829</v>
      </c>
      <c r="C231" s="35" t="s">
        <v>16</v>
      </c>
      <c r="D231" s="34" t="s">
        <v>3164</v>
      </c>
      <c r="E231" s="11" t="str">
        <f>HYPERLINK("https://youtu.be/C-BAaIhHsGA?t=3860","channel 1")</f>
        <v>channel 1</v>
      </c>
    </row>
    <row r="232">
      <c r="B232" s="32" t="s">
        <v>3165</v>
      </c>
      <c r="C232" s="35" t="s">
        <v>193</v>
      </c>
      <c r="D232" s="34" t="s">
        <v>3163</v>
      </c>
      <c r="E232" s="11" t="str">
        <f>HYPERLINK("https://youtu.be/kz6PKUQLjEA?t=3982","channel 2")</f>
        <v>channel 2</v>
      </c>
    </row>
    <row r="233">
      <c r="B233" s="34" t="s">
        <v>3163</v>
      </c>
      <c r="C233" s="35" t="s">
        <v>78</v>
      </c>
      <c r="D233" s="34" t="s">
        <v>2010</v>
      </c>
      <c r="E233" s="11" t="str">
        <f>HYPERLINK("https://youtu.be/C-BAaIhHsGA?t=4847","channel 1")</f>
        <v>channel 1</v>
      </c>
    </row>
    <row r="234">
      <c r="B234" s="32" t="s">
        <v>3165</v>
      </c>
      <c r="C234" s="35" t="s">
        <v>62</v>
      </c>
      <c r="D234" s="34" t="s">
        <v>3164</v>
      </c>
      <c r="E234" s="11" t="str">
        <f>HYPERLINK("https://youtu.be/kz6PKUQLjEA?t=4931","channel 2")</f>
        <v>channel 2</v>
      </c>
    </row>
    <row r="235">
      <c r="B235" s="34" t="s">
        <v>2010</v>
      </c>
      <c r="C235" s="35" t="s">
        <v>16</v>
      </c>
      <c r="D235" s="34" t="s">
        <v>2829</v>
      </c>
      <c r="E235" s="11" t="str">
        <f>HYPERLINK("https://youtu.be/C-BAaIhHsGA?t=5858","channel 1")</f>
        <v>channel 1</v>
      </c>
    </row>
    <row r="236">
      <c r="B236" s="34" t="s">
        <v>3163</v>
      </c>
      <c r="C236" s="35" t="s">
        <v>22</v>
      </c>
      <c r="D236" s="34" t="s">
        <v>3164</v>
      </c>
      <c r="E236" s="11" t="str">
        <f>HYPERLINK("https://youtu.be/kz6PKUQLjEA?t=5824","channel 2")</f>
        <v>channel 2</v>
      </c>
    </row>
    <row r="237">
      <c r="B237" s="32" t="s">
        <v>3165</v>
      </c>
      <c r="C237" s="35" t="s">
        <v>41</v>
      </c>
      <c r="D237" s="34" t="s">
        <v>2829</v>
      </c>
      <c r="E237" s="11" t="str">
        <f>HYPERLINK("https://youtu.be/C-BAaIhHsGA?t=6791","channel 1")</f>
        <v>channel 1</v>
      </c>
    </row>
    <row r="238">
      <c r="B238" s="34" t="s">
        <v>2010</v>
      </c>
      <c r="C238" s="35" t="s">
        <v>43</v>
      </c>
      <c r="D238" s="34" t="s">
        <v>3164</v>
      </c>
      <c r="E238" s="11" t="str">
        <f>HYPERLINK("https://youtu.be/kz6PKUQLjEA?t=6743","channel 2")</f>
        <v>channel 2</v>
      </c>
    </row>
    <row r="239">
      <c r="B239" s="34" t="s">
        <v>3163</v>
      </c>
      <c r="C239" s="35" t="s">
        <v>195</v>
      </c>
      <c r="D239" s="34" t="s">
        <v>2829</v>
      </c>
      <c r="E239" s="11" t="str">
        <f>HYPERLINK("https://youtu.be/C-BAaIhHsGA?t=7699","channel 1")</f>
        <v>channel 1</v>
      </c>
    </row>
    <row r="240">
      <c r="B240" s="34" t="s">
        <v>2010</v>
      </c>
      <c r="C240" s="35" t="s">
        <v>331</v>
      </c>
      <c r="D240" s="32" t="s">
        <v>3165</v>
      </c>
      <c r="E240" s="11" t="str">
        <f>HYPERLINK("https://youtu.be/kz6PKUQLjEA?t=7688","channel 2")</f>
        <v>channel 2</v>
      </c>
    </row>
    <row r="241">
      <c r="B241" s="34" t="s">
        <v>3164</v>
      </c>
      <c r="C241" s="35" t="s">
        <v>64</v>
      </c>
      <c r="D241" s="34" t="s">
        <v>2829</v>
      </c>
      <c r="E241" s="11" t="str">
        <f>HYPERLINK("https://youtu.be/C-BAaIhHsGA?t=8670","channel 1")</f>
        <v>channel 1</v>
      </c>
    </row>
    <row r="242">
      <c r="B242" s="34" t="s">
        <v>3163</v>
      </c>
      <c r="C242" s="35" t="s">
        <v>66</v>
      </c>
      <c r="D242" s="32" t="s">
        <v>3165</v>
      </c>
      <c r="E242" s="11" t="str">
        <f>HYPERLINK("https://youtu.be/kz6PKUQLjEA?t=8633","channel 2")</f>
        <v>channel 2</v>
      </c>
    </row>
    <row r="243">
      <c r="B243" s="72" t="s">
        <v>2464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34" t="s">
        <v>2328</v>
      </c>
      <c r="C245" s="35" t="s">
        <v>25</v>
      </c>
      <c r="D245" s="34" t="s">
        <v>1946</v>
      </c>
      <c r="E245" s="11" t="str">
        <f>HYPERLINK("https://youtu.be/b_lkrgxM7yU","channel 1")</f>
        <v>channel 1</v>
      </c>
    </row>
    <row r="246">
      <c r="B246" s="34" t="s">
        <v>3099</v>
      </c>
      <c r="C246" s="35" t="s">
        <v>55</v>
      </c>
      <c r="D246" s="32" t="s">
        <v>795</v>
      </c>
      <c r="E246" s="11" t="str">
        <f>HYPERLINK("https://youtu.be/P5BISPisbe4","channel 2")</f>
        <v>channel 2</v>
      </c>
    </row>
    <row r="247">
      <c r="B247" s="34" t="s">
        <v>1560</v>
      </c>
      <c r="C247" s="35" t="s">
        <v>330</v>
      </c>
      <c r="D247" s="34" t="s">
        <v>2328</v>
      </c>
      <c r="E247" s="11" t="str">
        <f>HYPERLINK("https://youtu.be/b_lkrgxM7yU?t=1160","channel 1")</f>
        <v>channel 1</v>
      </c>
    </row>
    <row r="248">
      <c r="B248" s="34" t="s">
        <v>3099</v>
      </c>
      <c r="C248" s="35" t="s">
        <v>197</v>
      </c>
      <c r="D248" s="34" t="s">
        <v>1946</v>
      </c>
      <c r="E248" s="11" t="str">
        <f>HYPERLINK("https://youtu.be/P5BISPisbe4?t=1160","channel 2")</f>
        <v>channel 2</v>
      </c>
    </row>
    <row r="249">
      <c r="B249" s="34" t="s">
        <v>1560</v>
      </c>
      <c r="C249" s="35" t="s">
        <v>49</v>
      </c>
      <c r="D249" s="32" t="s">
        <v>795</v>
      </c>
      <c r="E249" s="11" t="str">
        <f>HYPERLINK("https://youtu.be/b_lkrgxM7yU?t=2083","channel 1")</f>
        <v>channel 1</v>
      </c>
    </row>
    <row r="250">
      <c r="B250" s="34" t="s">
        <v>3099</v>
      </c>
      <c r="C250" s="35" t="s">
        <v>404</v>
      </c>
      <c r="D250" s="34" t="s">
        <v>2328</v>
      </c>
      <c r="E250" s="11" t="str">
        <f>HYPERLINK("https://youtu.be/P5BISPisbe4?t=2072","channel 2")</f>
        <v>channel 2</v>
      </c>
    </row>
    <row r="251">
      <c r="B251" s="34" t="s">
        <v>1560</v>
      </c>
      <c r="C251" s="35" t="s">
        <v>22</v>
      </c>
      <c r="D251" s="34" t="s">
        <v>1946</v>
      </c>
      <c r="E251" s="11" t="str">
        <f>HYPERLINK("https://youtu.be/b_lkrgxM7yU?t=3027","channel 1")</f>
        <v>channel 1</v>
      </c>
    </row>
    <row r="252">
      <c r="B252" s="32" t="s">
        <v>795</v>
      </c>
      <c r="C252" s="35" t="s">
        <v>249</v>
      </c>
      <c r="D252" s="34" t="s">
        <v>2328</v>
      </c>
      <c r="E252" s="11" t="str">
        <f>HYPERLINK("https://youtu.be/P5BISPisbe4?t=3034","channel 2")</f>
        <v>channel 2</v>
      </c>
    </row>
    <row r="253">
      <c r="B253" s="34" t="s">
        <v>1560</v>
      </c>
      <c r="C253" s="35" t="s">
        <v>853</v>
      </c>
      <c r="D253" s="34" t="s">
        <v>3099</v>
      </c>
      <c r="E253" s="11" t="str">
        <f>HYPERLINK("https://youtu.be/b_lkrgxM7yU?t=4014","channel 1")</f>
        <v>channel 1</v>
      </c>
    </row>
    <row r="254">
      <c r="B254" s="32" t="s">
        <v>795</v>
      </c>
      <c r="C254" s="35" t="s">
        <v>218</v>
      </c>
      <c r="D254" s="34" t="s">
        <v>1946</v>
      </c>
      <c r="E254" s="11" t="str">
        <f>HYPERLINK("https://youtu.be/P5BISPisbe4?t=3989","channel 2")</f>
        <v>channel 2</v>
      </c>
    </row>
    <row r="255">
      <c r="B255" s="34" t="s">
        <v>1946</v>
      </c>
      <c r="C255" s="35" t="s">
        <v>21</v>
      </c>
      <c r="D255" s="34" t="s">
        <v>2328</v>
      </c>
      <c r="E255" s="11" t="str">
        <f>HYPERLINK("https://youtu.be/b_lkrgxM7yU?t=4954","channel 1")</f>
        <v>channel 1</v>
      </c>
    </row>
    <row r="256">
      <c r="B256" s="32" t="s">
        <v>795</v>
      </c>
      <c r="C256" s="35" t="s">
        <v>544</v>
      </c>
      <c r="D256" s="34" t="s">
        <v>3099</v>
      </c>
      <c r="E256" s="11" t="str">
        <f>HYPERLINK("https://youtu.be/P5BISPisbe4?t=4892","channel 2")</f>
        <v>channel 2</v>
      </c>
    </row>
    <row r="257">
      <c r="B257" s="34" t="s">
        <v>2328</v>
      </c>
      <c r="C257" s="35" t="s">
        <v>19</v>
      </c>
      <c r="D257" s="34" t="s">
        <v>1560</v>
      </c>
      <c r="E257" s="11" t="str">
        <f>HYPERLINK("https://youtu.be/b_lkrgxM7yU?t=5851","channel 1")</f>
        <v>channel 1</v>
      </c>
    </row>
    <row r="258">
      <c r="B258" s="34" t="s">
        <v>1946</v>
      </c>
      <c r="C258" s="35" t="s">
        <v>42</v>
      </c>
      <c r="D258" s="34" t="s">
        <v>3099</v>
      </c>
      <c r="E258" s="11" t="str">
        <f>HYPERLINK("https://youtu.be/P5BISPisbe4?t=5799","channel 2")</f>
        <v>channel 2</v>
      </c>
    </row>
    <row r="259">
      <c r="B259" s="32" t="s">
        <v>795</v>
      </c>
      <c r="C259" s="35" t="s">
        <v>68</v>
      </c>
      <c r="D259" s="34" t="s">
        <v>1560</v>
      </c>
      <c r="E259" s="11" t="str">
        <f>HYPERLINK("https://youtu.be/b_lkrgxM7yU?t=6803","channel 1")</f>
        <v>channel 1</v>
      </c>
    </row>
    <row r="260">
      <c r="B260" s="34" t="s">
        <v>2328</v>
      </c>
      <c r="C260" s="35" t="s">
        <v>354</v>
      </c>
      <c r="D260" s="34" t="s">
        <v>3099</v>
      </c>
      <c r="E260" s="11" t="str">
        <f>HYPERLINK("https://youtu.be/P5BISPisbe4?t=6724","channel 2")</f>
        <v>channel 2</v>
      </c>
    </row>
    <row r="261">
      <c r="B261" s="34" t="s">
        <v>1946</v>
      </c>
      <c r="C261" s="35" t="s">
        <v>286</v>
      </c>
      <c r="D261" s="34" t="s">
        <v>1560</v>
      </c>
      <c r="E261" s="11" t="str">
        <f>HYPERLINK("https://youtu.be/b_lkrgxM7yU?t=7685","channel 1")</f>
        <v>channel 1</v>
      </c>
    </row>
    <row r="262">
      <c r="B262" s="34" t="s">
        <v>2328</v>
      </c>
      <c r="C262" s="35" t="s">
        <v>195</v>
      </c>
      <c r="D262" s="32" t="s">
        <v>795</v>
      </c>
      <c r="E262" s="11" t="str">
        <f>HYPERLINK("https://youtu.be/P5BISPisbe4?t=7675","channel 2")</f>
        <v>channel 2</v>
      </c>
    </row>
    <row r="263">
      <c r="B263" s="34" t="s">
        <v>3099</v>
      </c>
      <c r="C263" s="35" t="s">
        <v>285</v>
      </c>
      <c r="D263" s="34" t="s">
        <v>1560</v>
      </c>
      <c r="E263" s="11" t="str">
        <f>HYPERLINK("https://youtu.be/b_lkrgxM7yU?t=8646","channel 1")</f>
        <v>channel 1</v>
      </c>
    </row>
    <row r="264">
      <c r="B264" s="34" t="s">
        <v>1946</v>
      </c>
      <c r="C264" s="35" t="s">
        <v>195</v>
      </c>
      <c r="D264" s="32" t="s">
        <v>795</v>
      </c>
      <c r="E264" s="11" t="str">
        <f>HYPERLINK("https://youtu.be/P5BISPisbe4?t=8601","channel 2")</f>
        <v>channel 2</v>
      </c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/>
      <c r="B1" s="72" t="s">
        <v>2944</v>
      </c>
      <c r="C1" s="2"/>
      <c r="D1" s="3"/>
      <c r="E1" s="84"/>
    </row>
    <row r="2">
      <c r="A2" s="66"/>
      <c r="B2" s="85" t="s">
        <v>2</v>
      </c>
      <c r="C2" s="86" t="s">
        <v>3</v>
      </c>
      <c r="D2" s="86" t="s">
        <v>4</v>
      </c>
      <c r="E2" s="86" t="s">
        <v>5</v>
      </c>
    </row>
    <row r="3">
      <c r="A3" s="66"/>
      <c r="B3" s="34" t="s">
        <v>1907</v>
      </c>
      <c r="C3" s="35" t="s">
        <v>187</v>
      </c>
      <c r="D3" s="34" t="s">
        <v>604</v>
      </c>
      <c r="E3" s="97" t="str">
        <f>HYPERLINK("https://youtu.be/8S8Vsbn2y2k","channel 1")</f>
        <v>channel 1</v>
      </c>
    </row>
    <row r="4">
      <c r="A4" s="66"/>
      <c r="B4" s="34" t="s">
        <v>2701</v>
      </c>
      <c r="C4" s="35" t="s">
        <v>47</v>
      </c>
      <c r="D4" s="32" t="s">
        <v>3166</v>
      </c>
      <c r="E4" s="97" t="str">
        <f>HYPERLINK("https://youtu.be/SNICMQURCiU","channel 2")</f>
        <v>channel 2</v>
      </c>
    </row>
    <row r="5">
      <c r="A5" s="66"/>
      <c r="B5" s="34" t="s">
        <v>2329</v>
      </c>
      <c r="C5" s="35" t="s">
        <v>22</v>
      </c>
      <c r="D5" s="34" t="s">
        <v>1907</v>
      </c>
      <c r="E5" s="97" t="str">
        <f>HYPERLINK("https://youtu.be/8S8Vsbn2y2k?t=1128","channel 1")</f>
        <v>channel 1</v>
      </c>
    </row>
    <row r="6">
      <c r="A6" s="66"/>
      <c r="B6" s="34" t="s">
        <v>2701</v>
      </c>
      <c r="C6" s="35" t="s">
        <v>25</v>
      </c>
      <c r="D6" s="34" t="s">
        <v>604</v>
      </c>
      <c r="E6" s="97" t="str">
        <f>HYPERLINK("https://youtu.be/SNICMQURCiU?t=1034","channel 2")</f>
        <v>channel 2</v>
      </c>
    </row>
    <row r="7">
      <c r="A7" s="66"/>
      <c r="B7" s="34" t="s">
        <v>2329</v>
      </c>
      <c r="C7" s="35" t="s">
        <v>260</v>
      </c>
      <c r="D7" s="32" t="s">
        <v>3166</v>
      </c>
      <c r="E7" s="97" t="str">
        <f>HYPERLINK("https://youtu.be/8S8Vsbn2y2k?t=2033","channel 1")</f>
        <v>channel 1</v>
      </c>
    </row>
    <row r="8">
      <c r="A8" s="66"/>
      <c r="B8" s="34" t="s">
        <v>2701</v>
      </c>
      <c r="C8" s="35" t="s">
        <v>27</v>
      </c>
      <c r="D8" s="34" t="s">
        <v>1907</v>
      </c>
      <c r="E8" s="97" t="str">
        <f>HYPERLINK("https://youtu.be/SNICMQURCiU?t=1965","channel 2")</f>
        <v>channel 2</v>
      </c>
    </row>
    <row r="9">
      <c r="A9" s="66"/>
      <c r="B9" s="34" t="s">
        <v>2329</v>
      </c>
      <c r="C9" s="35" t="s">
        <v>319</v>
      </c>
      <c r="D9" s="34" t="s">
        <v>604</v>
      </c>
      <c r="E9" s="97" t="str">
        <f>HYPERLINK("https://youtu.be/8S8Vsbn2y2k?t=2950","channel 1")</f>
        <v>channel 1</v>
      </c>
    </row>
    <row r="10">
      <c r="A10" s="66"/>
      <c r="B10" s="32" t="s">
        <v>3166</v>
      </c>
      <c r="C10" s="35" t="s">
        <v>64</v>
      </c>
      <c r="D10" s="34" t="s">
        <v>1907</v>
      </c>
      <c r="E10" s="97" t="str">
        <f>HYPERLINK("https://youtu.be/SNICMQURCiU?t=2894","channel 2")</f>
        <v>channel 2</v>
      </c>
    </row>
    <row r="11">
      <c r="A11" s="66"/>
      <c r="B11" s="34" t="s">
        <v>2329</v>
      </c>
      <c r="C11" s="35" t="s">
        <v>187</v>
      </c>
      <c r="D11" s="34" t="s">
        <v>2701</v>
      </c>
      <c r="E11" s="97" t="str">
        <f>HYPERLINK("https://youtu.be/8S8Vsbn2y2k?t=3882","channel 1")</f>
        <v>channel 1</v>
      </c>
    </row>
    <row r="12">
      <c r="A12" s="66"/>
      <c r="B12" s="32" t="s">
        <v>3166</v>
      </c>
      <c r="C12" s="35" t="s">
        <v>20</v>
      </c>
      <c r="D12" s="34" t="s">
        <v>604</v>
      </c>
      <c r="E12" s="97" t="str">
        <f>HYPERLINK("https://youtu.be/SNICMQURCiU?t=3841","channel 2")</f>
        <v>channel 2</v>
      </c>
    </row>
    <row r="13">
      <c r="A13" s="66"/>
      <c r="B13" s="34" t="s">
        <v>604</v>
      </c>
      <c r="C13" s="35" t="s">
        <v>201</v>
      </c>
      <c r="D13" s="34" t="s">
        <v>1907</v>
      </c>
      <c r="E13" s="97" t="str">
        <f>HYPERLINK("https://youtu.be/8S8Vsbn2y2k?t=4923","channel 1")</f>
        <v>channel 1</v>
      </c>
    </row>
    <row r="14">
      <c r="A14" s="66"/>
      <c r="B14" s="32" t="s">
        <v>3166</v>
      </c>
      <c r="C14" s="35" t="s">
        <v>239</v>
      </c>
      <c r="D14" s="34" t="s">
        <v>2701</v>
      </c>
      <c r="E14" s="97" t="str">
        <f>HYPERLINK("https://youtu.be/SNICMQURCiU?t=4832","channel 2")</f>
        <v>channel 2</v>
      </c>
    </row>
    <row r="15">
      <c r="A15" s="66"/>
      <c r="B15" s="34" t="s">
        <v>1907</v>
      </c>
      <c r="C15" s="35" t="s">
        <v>283</v>
      </c>
      <c r="D15" s="34" t="s">
        <v>2329</v>
      </c>
      <c r="E15" s="97" t="str">
        <f>HYPERLINK("https://youtu.be/8S8Vsbn2y2k?t=5880","channel 1")</f>
        <v>channel 1</v>
      </c>
    </row>
    <row r="16">
      <c r="A16" s="66"/>
      <c r="B16" s="34" t="s">
        <v>604</v>
      </c>
      <c r="C16" s="35" t="s">
        <v>566</v>
      </c>
      <c r="D16" s="34" t="s">
        <v>2701</v>
      </c>
      <c r="E16" s="97" t="str">
        <f>HYPERLINK("https://youtu.be/SNICMQURCiU?t=5775","channel 2")</f>
        <v>channel 2</v>
      </c>
    </row>
    <row r="17">
      <c r="A17" s="66"/>
      <c r="B17" s="32" t="s">
        <v>3166</v>
      </c>
      <c r="C17" s="35" t="s">
        <v>285</v>
      </c>
      <c r="D17" s="34" t="s">
        <v>2329</v>
      </c>
      <c r="E17" s="97" t="str">
        <f>HYPERLINK("https://youtu.be/8S8Vsbn2y2k?t=6850","channel 1")</f>
        <v>channel 1</v>
      </c>
    </row>
    <row r="18">
      <c r="A18" s="66"/>
      <c r="B18" s="34" t="s">
        <v>1907</v>
      </c>
      <c r="C18" s="35" t="s">
        <v>64</v>
      </c>
      <c r="D18" s="34" t="s">
        <v>2701</v>
      </c>
      <c r="E18" s="97" t="str">
        <f>HYPERLINK("https://youtu.be/SNICMQURCiU?t=6743","channel 2")</f>
        <v>channel 2</v>
      </c>
    </row>
    <row r="19">
      <c r="A19" s="66"/>
      <c r="B19" s="34" t="s">
        <v>604</v>
      </c>
      <c r="C19" s="35" t="s">
        <v>212</v>
      </c>
      <c r="D19" s="34" t="s">
        <v>2329</v>
      </c>
      <c r="E19" s="97" t="str">
        <f>HYPERLINK("https://youtu.be/8S8Vsbn2y2k?t=7773","channel 1")</f>
        <v>channel 1</v>
      </c>
    </row>
    <row r="20">
      <c r="A20" s="66"/>
      <c r="B20" s="34" t="s">
        <v>1907</v>
      </c>
      <c r="C20" s="35" t="s">
        <v>273</v>
      </c>
      <c r="D20" s="32" t="s">
        <v>3166</v>
      </c>
      <c r="E20" s="97" t="str">
        <f>HYPERLINK("https://youtu.be/SNICMQURCiU?t=7692","channel 2")</f>
        <v>channel 2</v>
      </c>
    </row>
    <row r="21">
      <c r="A21" s="66"/>
      <c r="B21" s="34" t="s">
        <v>2701</v>
      </c>
      <c r="C21" s="35" t="s">
        <v>49</v>
      </c>
      <c r="D21" s="34" t="s">
        <v>2329</v>
      </c>
      <c r="E21" s="97" t="str">
        <f>HYPERLINK("https://youtu.be/8S8Vsbn2y2k?t=8695","channel 1")</f>
        <v>channel 1</v>
      </c>
    </row>
    <row r="22">
      <c r="A22" s="66"/>
      <c r="B22" s="34" t="s">
        <v>604</v>
      </c>
      <c r="C22" s="35" t="s">
        <v>16</v>
      </c>
      <c r="D22" s="32" t="s">
        <v>3166</v>
      </c>
      <c r="E22" s="97" t="str">
        <f>HYPERLINK("https://youtu.be/SNICMQURCiU?t=8628","channel 2")</f>
        <v>channel 2</v>
      </c>
    </row>
    <row r="23">
      <c r="A23" s="66"/>
      <c r="B23" s="72" t="s">
        <v>3103</v>
      </c>
      <c r="C23" s="2"/>
      <c r="D23" s="3"/>
      <c r="E23" s="29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3167</v>
      </c>
      <c r="C25" s="35" t="s">
        <v>260</v>
      </c>
      <c r="D25" s="34" t="s">
        <v>3168</v>
      </c>
      <c r="E25" s="11" t="str">
        <f>HYPERLINK("https://youtu.be/iW8hzOvT9m4","channel 1")</f>
        <v>channel 1</v>
      </c>
    </row>
    <row r="26">
      <c r="A26" s="66"/>
      <c r="B26" s="34" t="s">
        <v>2340</v>
      </c>
      <c r="C26" s="35" t="s">
        <v>43</v>
      </c>
      <c r="D26" s="32" t="s">
        <v>3169</v>
      </c>
      <c r="E26" s="11" t="str">
        <f>HYPERLINK("https://youtu.be/Vie7_RYFcx8","channel 2")</f>
        <v>channel 2</v>
      </c>
    </row>
    <row r="27">
      <c r="A27" s="66"/>
      <c r="B27" s="34" t="s">
        <v>3170</v>
      </c>
      <c r="C27" s="35" t="s">
        <v>42</v>
      </c>
      <c r="D27" s="34" t="s">
        <v>3167</v>
      </c>
      <c r="E27" s="11" t="str">
        <f>HYPERLINK("https://youtu.be/iW8hzOvT9m4?t=1108","channel 1")</f>
        <v>channel 1</v>
      </c>
    </row>
    <row r="28">
      <c r="A28" s="66"/>
      <c r="B28" s="34" t="s">
        <v>2340</v>
      </c>
      <c r="C28" s="35" t="s">
        <v>11</v>
      </c>
      <c r="D28" s="34" t="s">
        <v>3168</v>
      </c>
      <c r="E28" s="11" t="str">
        <f>HYPERLINK("https://youtu.be/Vie7_RYFcx8?t=1032","channel 2")</f>
        <v>channel 2</v>
      </c>
    </row>
    <row r="29">
      <c r="A29" s="66"/>
      <c r="B29" s="34" t="s">
        <v>3170</v>
      </c>
      <c r="C29" s="35" t="s">
        <v>48</v>
      </c>
      <c r="D29" s="32" t="s">
        <v>3169</v>
      </c>
      <c r="E29" s="11" t="str">
        <f>HYPERLINK("https://youtu.be/iW8hzOvT9m4?t=2060","channel 1")</f>
        <v>channel 1</v>
      </c>
    </row>
    <row r="30">
      <c r="A30" s="66"/>
      <c r="B30" s="34" t="s">
        <v>2340</v>
      </c>
      <c r="C30" s="35" t="s">
        <v>49</v>
      </c>
      <c r="D30" s="34" t="s">
        <v>3167</v>
      </c>
      <c r="E30" s="11" t="str">
        <f>HYPERLINK("https://youtu.be/Vie7_RYFcx8?t=2013","channel 2")</f>
        <v>channel 2</v>
      </c>
    </row>
    <row r="31">
      <c r="A31" s="66"/>
      <c r="B31" s="34" t="s">
        <v>3170</v>
      </c>
      <c r="C31" s="35" t="s">
        <v>579</v>
      </c>
      <c r="D31" s="34" t="s">
        <v>3168</v>
      </c>
      <c r="E31" s="11" t="str">
        <f>HYPERLINK("https://youtu.be/iW8hzOvT9m4?t=3073","channel 1")</f>
        <v>channel 1</v>
      </c>
    </row>
    <row r="32">
      <c r="A32" s="66"/>
      <c r="B32" s="32" t="s">
        <v>3169</v>
      </c>
      <c r="C32" s="35" t="s">
        <v>215</v>
      </c>
      <c r="D32" s="34" t="s">
        <v>3167</v>
      </c>
      <c r="E32" s="11" t="str">
        <f>HYPERLINK("https://youtu.be/Vie7_RYFcx8?t=3016","channel 2")</f>
        <v>channel 2</v>
      </c>
    </row>
    <row r="33">
      <c r="A33" s="66"/>
      <c r="B33" s="34" t="s">
        <v>3170</v>
      </c>
      <c r="C33" s="35" t="s">
        <v>232</v>
      </c>
      <c r="D33" s="34" t="s">
        <v>2340</v>
      </c>
      <c r="E33" s="11" t="str">
        <f>HYPERLINK("https://youtu.be/iW8hzOvT9m4?t=4002","channel 1")</f>
        <v>channel 1</v>
      </c>
    </row>
    <row r="34">
      <c r="A34" s="66"/>
      <c r="B34" s="32" t="s">
        <v>3169</v>
      </c>
      <c r="C34" s="35" t="s">
        <v>16</v>
      </c>
      <c r="D34" s="34" t="s">
        <v>3168</v>
      </c>
      <c r="E34" s="11" t="str">
        <f>HYPERLINK("https://youtu.be/Vie7_RYFcx8?t=3928","channel 2")</f>
        <v>channel 2</v>
      </c>
    </row>
    <row r="35">
      <c r="A35" s="66"/>
      <c r="B35" s="34" t="s">
        <v>3168</v>
      </c>
      <c r="C35" s="35" t="s">
        <v>50</v>
      </c>
      <c r="D35" s="34" t="s">
        <v>3167</v>
      </c>
      <c r="E35" s="11" t="str">
        <f>HYPERLINK("https://youtu.be/iW8hzOvT9m4?t=4936","channel 1")</f>
        <v>channel 1</v>
      </c>
    </row>
    <row r="36">
      <c r="A36" s="66"/>
      <c r="B36" s="32" t="s">
        <v>3169</v>
      </c>
      <c r="C36" s="35" t="s">
        <v>197</v>
      </c>
      <c r="D36" s="34" t="s">
        <v>2340</v>
      </c>
      <c r="E36" s="11" t="str">
        <f>HYPERLINK("https://youtu.be/Vie7_RYFcx8?t=4837","channel 2")</f>
        <v>channel 2</v>
      </c>
    </row>
    <row r="37">
      <c r="A37" s="66"/>
      <c r="B37" s="34" t="s">
        <v>3167</v>
      </c>
      <c r="C37" s="35" t="s">
        <v>328</v>
      </c>
      <c r="D37" s="34" t="s">
        <v>3170</v>
      </c>
      <c r="E37" s="11" t="str">
        <f>HYPERLINK("https://youtu.be/iW8hzOvT9m4?t=5881","channel 1")</f>
        <v>channel 1</v>
      </c>
    </row>
    <row r="38">
      <c r="A38" s="66"/>
      <c r="B38" s="34" t="s">
        <v>3168</v>
      </c>
      <c r="C38" s="35" t="s">
        <v>64</v>
      </c>
      <c r="D38" s="34" t="s">
        <v>2340</v>
      </c>
      <c r="E38" s="11" t="str">
        <f>HYPERLINK("https://youtu.be/Vie7_RYFcx8?t=5739","channel 2")</f>
        <v>channel 2</v>
      </c>
    </row>
    <row r="39">
      <c r="A39" s="66"/>
      <c r="B39" s="32" t="s">
        <v>3169</v>
      </c>
      <c r="C39" s="35" t="s">
        <v>195</v>
      </c>
      <c r="D39" s="34" t="s">
        <v>3170</v>
      </c>
      <c r="E39" s="11" t="str">
        <f>HYPERLINK("https://youtu.be/iW8hzOvT9m4?t=6770","channel 1")</f>
        <v>channel 1</v>
      </c>
    </row>
    <row r="40">
      <c r="A40" s="66"/>
      <c r="B40" s="34" t="s">
        <v>3167</v>
      </c>
      <c r="C40" s="35" t="s">
        <v>706</v>
      </c>
      <c r="D40" s="34" t="s">
        <v>2340</v>
      </c>
      <c r="E40" s="11" t="str">
        <f>HYPERLINK("https://youtu.be/Vie7_RYFcx8?t=6670","channel 2")</f>
        <v>channel 2</v>
      </c>
    </row>
    <row r="41">
      <c r="A41" s="66"/>
      <c r="B41" s="34" t="s">
        <v>3168</v>
      </c>
      <c r="C41" s="35" t="s">
        <v>48</v>
      </c>
      <c r="D41" s="34" t="s">
        <v>3170</v>
      </c>
      <c r="E41" s="11" t="str">
        <f>HYPERLINK("https://youtu.be/iW8hzOvT9m4?t=7642","channel 1")</f>
        <v>channel 1</v>
      </c>
    </row>
    <row r="42">
      <c r="A42" s="66"/>
      <c r="B42" s="34" t="s">
        <v>3167</v>
      </c>
      <c r="C42" s="35" t="s">
        <v>83</v>
      </c>
      <c r="D42" s="32" t="s">
        <v>3169</v>
      </c>
      <c r="E42" s="11" t="str">
        <f>HYPERLINK("https://youtu.be/Vie7_RYFcx8?t=7618","channel 2")</f>
        <v>channel 2</v>
      </c>
    </row>
    <row r="43">
      <c r="A43" s="66"/>
      <c r="B43" s="34" t="s">
        <v>2340</v>
      </c>
      <c r="C43" s="35" t="s">
        <v>283</v>
      </c>
      <c r="D43" s="34" t="s">
        <v>3170</v>
      </c>
      <c r="E43" s="11" t="str">
        <f>HYPERLINK("https://youtu.be/iW8hzOvT9m4?t=8546","channel 1")</f>
        <v>channel 1</v>
      </c>
    </row>
    <row r="44">
      <c r="A44" s="67"/>
      <c r="B44" s="34" t="s">
        <v>3168</v>
      </c>
      <c r="C44" s="35" t="s">
        <v>22</v>
      </c>
      <c r="D44" s="32" t="s">
        <v>3169</v>
      </c>
      <c r="E44" s="11" t="str">
        <f>HYPERLINK("https://youtu.be/Vie7_RYFcx8?t=8560","channel 2")</f>
        <v>channel 2</v>
      </c>
    </row>
    <row r="45">
      <c r="B45" s="72" t="s">
        <v>3011</v>
      </c>
      <c r="C45" s="2"/>
      <c r="D45" s="3"/>
      <c r="E45" s="2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34" t="s">
        <v>2225</v>
      </c>
      <c r="C47" s="35" t="s">
        <v>251</v>
      </c>
      <c r="D47" s="34" t="s">
        <v>386</v>
      </c>
      <c r="E47" s="11" t="str">
        <f>HYPERLINK("https://youtu.be/1SkKZzQhWLo","channel 1")</f>
        <v>channel 1</v>
      </c>
    </row>
    <row r="48">
      <c r="B48" s="34" t="s">
        <v>3171</v>
      </c>
      <c r="C48" s="35" t="s">
        <v>25</v>
      </c>
      <c r="D48" s="32" t="s">
        <v>2383</v>
      </c>
      <c r="E48" s="11" t="str">
        <f>HYPERLINK("https://youtu.be/wMcEfOdo7w4","channel 2")</f>
        <v>channel 2</v>
      </c>
    </row>
    <row r="49">
      <c r="B49" s="34" t="s">
        <v>3092</v>
      </c>
      <c r="C49" s="35" t="s">
        <v>260</v>
      </c>
      <c r="D49" s="34" t="s">
        <v>2225</v>
      </c>
      <c r="E49" s="11" t="str">
        <f>HYPERLINK("https://youtu.be/1SkKZzQhWLo?t=979","channel 1")</f>
        <v>channel 1</v>
      </c>
    </row>
    <row r="50">
      <c r="B50" s="34" t="s">
        <v>3171</v>
      </c>
      <c r="C50" s="35" t="s">
        <v>786</v>
      </c>
      <c r="D50" s="34" t="s">
        <v>386</v>
      </c>
      <c r="E50" s="11" t="str">
        <f>HYPERLINK("https://youtu.be/wMcEfOdo7w4?t=1128","channel 2")</f>
        <v>channel 2</v>
      </c>
    </row>
    <row r="51">
      <c r="B51" s="34" t="s">
        <v>3092</v>
      </c>
      <c r="C51" s="35" t="s">
        <v>220</v>
      </c>
      <c r="D51" s="32" t="s">
        <v>2383</v>
      </c>
      <c r="E51" s="11" t="str">
        <f>HYPERLINK("https://youtu.be/1SkKZzQhWLo?t=1870","channel 1")</f>
        <v>channel 1</v>
      </c>
    </row>
    <row r="52">
      <c r="B52" s="34" t="s">
        <v>3171</v>
      </c>
      <c r="C52" s="35" t="s">
        <v>215</v>
      </c>
      <c r="D52" s="34" t="s">
        <v>2225</v>
      </c>
      <c r="E52" s="11" t="str">
        <f>HYPERLINK("https://youtu.be/wMcEfOdo7w4?t=2054","channel 2")</f>
        <v>channel 2</v>
      </c>
    </row>
    <row r="53">
      <c r="B53" s="34" t="s">
        <v>3092</v>
      </c>
      <c r="C53" s="35" t="s">
        <v>195</v>
      </c>
      <c r="D53" s="34" t="s">
        <v>386</v>
      </c>
      <c r="E53" s="11" t="str">
        <f>HYPERLINK("https://youtu.be/1SkKZzQhWLo?t=2952","channel 1")</f>
        <v>channel 1</v>
      </c>
    </row>
    <row r="54">
      <c r="B54" s="32" t="s">
        <v>2383</v>
      </c>
      <c r="C54" s="35" t="s">
        <v>21</v>
      </c>
      <c r="D54" s="34" t="s">
        <v>2225</v>
      </c>
      <c r="E54" s="11" t="str">
        <f>HYPERLINK("https://youtu.be/wMcEfOdo7w4?t=2966","channel 2")</f>
        <v>channel 2</v>
      </c>
    </row>
    <row r="55">
      <c r="B55" s="34" t="s">
        <v>3092</v>
      </c>
      <c r="C55" s="35" t="s">
        <v>81</v>
      </c>
      <c r="D55" s="34" t="s">
        <v>3171</v>
      </c>
      <c r="E55" s="11" t="str">
        <f>HYPERLINK("https://youtu.be/1SkKZzQhWLo?t=3856","channel 1")</f>
        <v>channel 1</v>
      </c>
    </row>
    <row r="56">
      <c r="B56" s="32" t="s">
        <v>2383</v>
      </c>
      <c r="C56" s="35" t="s">
        <v>58</v>
      </c>
      <c r="D56" s="34" t="s">
        <v>386</v>
      </c>
      <c r="E56" s="11" t="str">
        <f>HYPERLINK("https://youtu.be/wMcEfOdo7w4?t=3883","channel 2")</f>
        <v>channel 2</v>
      </c>
    </row>
    <row r="57">
      <c r="B57" s="34" t="s">
        <v>386</v>
      </c>
      <c r="C57" s="35" t="s">
        <v>536</v>
      </c>
      <c r="D57" s="34" t="s">
        <v>2225</v>
      </c>
      <c r="E57" s="11" t="str">
        <f>HYPERLINK("https://youtu.be/1SkKZzQhWLo?t=4820","channel 1")</f>
        <v>channel 1</v>
      </c>
    </row>
    <row r="58">
      <c r="B58" s="32" t="s">
        <v>2383</v>
      </c>
      <c r="C58" s="35" t="s">
        <v>68</v>
      </c>
      <c r="D58" s="34" t="s">
        <v>3171</v>
      </c>
      <c r="E58" s="11" t="str">
        <f>HYPERLINK("https://youtu.be/wMcEfOdo7w4?t=4870","channel 2")</f>
        <v>channel 2</v>
      </c>
    </row>
    <row r="59">
      <c r="B59" s="34" t="s">
        <v>2225</v>
      </c>
      <c r="C59" s="35" t="s">
        <v>68</v>
      </c>
      <c r="D59" s="34" t="s">
        <v>3092</v>
      </c>
      <c r="E59" s="11" t="str">
        <f>HYPERLINK("https://youtu.be/1SkKZzQhWLo?t=5767","channel 1")</f>
        <v>channel 1</v>
      </c>
    </row>
    <row r="60">
      <c r="B60" s="34" t="s">
        <v>386</v>
      </c>
      <c r="C60" s="35" t="s">
        <v>295</v>
      </c>
      <c r="D60" s="34" t="s">
        <v>3171</v>
      </c>
      <c r="E60" s="11" t="str">
        <f>HYPERLINK("https://youtu.be/wMcEfOdo7w4?t=5805","channel 2")</f>
        <v>channel 2</v>
      </c>
    </row>
    <row r="61">
      <c r="B61" s="32" t="s">
        <v>2383</v>
      </c>
      <c r="C61" s="35" t="s">
        <v>218</v>
      </c>
      <c r="D61" s="34" t="s">
        <v>3092</v>
      </c>
      <c r="E61" s="11" t="str">
        <f>HYPERLINK("https://youtu.be/1SkKZzQhWLo?t=6684","channel 1")</f>
        <v>channel 1</v>
      </c>
    </row>
    <row r="62">
      <c r="B62" s="34" t="s">
        <v>2225</v>
      </c>
      <c r="C62" s="35" t="s">
        <v>28</v>
      </c>
      <c r="D62" s="34" t="s">
        <v>3171</v>
      </c>
      <c r="E62" s="11" t="str">
        <f>HYPERLINK("https://youtu.be/wMcEfOdo7w4?t=6752","channel 2")</f>
        <v>channel 2</v>
      </c>
    </row>
    <row r="63">
      <c r="B63" s="34" t="s">
        <v>386</v>
      </c>
      <c r="C63" s="35" t="s">
        <v>11</v>
      </c>
      <c r="D63" s="34" t="s">
        <v>3092</v>
      </c>
      <c r="E63" s="11" t="str">
        <f>HYPERLINK("https://youtu.be/1SkKZzQhWLo?t=7626","channel 1")</f>
        <v>channel 1</v>
      </c>
    </row>
    <row r="64">
      <c r="B64" s="34" t="s">
        <v>2225</v>
      </c>
      <c r="C64" s="35" t="s">
        <v>250</v>
      </c>
      <c r="D64" s="32" t="s">
        <v>2383</v>
      </c>
      <c r="E64" s="11" t="str">
        <f>HYPERLINK("https://youtu.be/wMcEfOdo7w4?t=7653","channel 2")</f>
        <v>channel 2</v>
      </c>
    </row>
    <row r="65">
      <c r="B65" s="34" t="s">
        <v>3171</v>
      </c>
      <c r="C65" s="35" t="s">
        <v>190</v>
      </c>
      <c r="D65" s="34" t="s">
        <v>3092</v>
      </c>
      <c r="E65" s="11" t="str">
        <f>HYPERLINK("https://youtu.be/1SkKZzQhWLo?t=8519","channel 1")</f>
        <v>channel 1</v>
      </c>
    </row>
    <row r="66">
      <c r="B66" s="34" t="s">
        <v>386</v>
      </c>
      <c r="C66" s="35" t="s">
        <v>231</v>
      </c>
      <c r="D66" s="32" t="s">
        <v>2383</v>
      </c>
      <c r="E66" s="11" t="str">
        <f>HYPERLINK("https://youtu.be/wMcEfOdo7w4?t=8580","channel 2")</f>
        <v>channel 2</v>
      </c>
    </row>
    <row r="67">
      <c r="B67" s="72" t="s">
        <v>2231</v>
      </c>
      <c r="C67" s="2"/>
      <c r="D67" s="3"/>
      <c r="E67" s="29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34" t="s">
        <v>3172</v>
      </c>
      <c r="C69" s="35" t="s">
        <v>239</v>
      </c>
      <c r="D69" s="34" t="s">
        <v>2556</v>
      </c>
      <c r="E69" s="11" t="str">
        <f>HYPERLINK("https://youtu.be/anN2JU7AlHY","channel 1")</f>
        <v>channel 1</v>
      </c>
    </row>
    <row r="70">
      <c r="B70" s="34" t="s">
        <v>3173</v>
      </c>
      <c r="C70" s="35" t="s">
        <v>83</v>
      </c>
      <c r="D70" s="32" t="s">
        <v>3174</v>
      </c>
      <c r="E70" s="11" t="str">
        <f>HYPERLINK("https://youtu.be/5BrRM5rE3_k","channel 2")</f>
        <v>channel 2</v>
      </c>
    </row>
    <row r="71">
      <c r="B71" s="34" t="s">
        <v>247</v>
      </c>
      <c r="C71" s="35" t="s">
        <v>22</v>
      </c>
      <c r="D71" s="34" t="s">
        <v>3172</v>
      </c>
      <c r="E71" s="11" t="str">
        <f>HYPERLINK("https://youtu.be/anN2JU7AlHY?t=918","channel 1")</f>
        <v>channel 1</v>
      </c>
    </row>
    <row r="72">
      <c r="B72" s="34" t="s">
        <v>3173</v>
      </c>
      <c r="C72" s="35" t="s">
        <v>404</v>
      </c>
      <c r="D72" s="34" t="s">
        <v>2556</v>
      </c>
      <c r="E72" s="11" t="str">
        <f>HYPERLINK("https://youtu.be/5BrRM5rE3_k?t=1108","channel 2")</f>
        <v>channel 2</v>
      </c>
    </row>
    <row r="73">
      <c r="B73" s="34" t="s">
        <v>247</v>
      </c>
      <c r="C73" s="35" t="s">
        <v>22</v>
      </c>
      <c r="D73" s="32" t="s">
        <v>3174</v>
      </c>
      <c r="E73" s="11" t="str">
        <f>HYPERLINK("https://youtu.be/anN2JU7AlHY?t=1909","channel 1")</f>
        <v>channel 1</v>
      </c>
    </row>
    <row r="74">
      <c r="B74" s="34" t="s">
        <v>3173</v>
      </c>
      <c r="C74" s="35" t="s">
        <v>190</v>
      </c>
      <c r="D74" s="34" t="s">
        <v>3172</v>
      </c>
      <c r="E74" s="11" t="str">
        <f>HYPERLINK("https://youtu.be/5BrRM5rE3_k?t=1990","channel 2")</f>
        <v>channel 2</v>
      </c>
    </row>
    <row r="75">
      <c r="B75" s="34" t="s">
        <v>247</v>
      </c>
      <c r="C75" s="35" t="s">
        <v>215</v>
      </c>
      <c r="D75" s="34" t="s">
        <v>2556</v>
      </c>
      <c r="E75" s="11" t="str">
        <f>HYPERLINK("https://youtu.be/anN2JU7AlHY?t=2820","channel 1")</f>
        <v>channel 1</v>
      </c>
    </row>
    <row r="76">
      <c r="B76" s="32" t="s">
        <v>3174</v>
      </c>
      <c r="C76" s="35" t="s">
        <v>285</v>
      </c>
      <c r="D76" s="34" t="s">
        <v>3172</v>
      </c>
      <c r="E76" s="11" t="str">
        <f>HYPERLINK("https://youtu.be/5BrRM5rE3_k?t=2909","channel 2")</f>
        <v>channel 2</v>
      </c>
    </row>
    <row r="77">
      <c r="B77" s="34" t="s">
        <v>247</v>
      </c>
      <c r="C77" s="35" t="s">
        <v>212</v>
      </c>
      <c r="D77" s="34" t="s">
        <v>3173</v>
      </c>
      <c r="E77" s="11" t="str">
        <f>HYPERLINK("https://youtu.be/anN2JU7AlHY?t=3739","channel 1")</f>
        <v>channel 1</v>
      </c>
    </row>
    <row r="78">
      <c r="B78" s="32" t="s">
        <v>3174</v>
      </c>
      <c r="C78" s="35" t="s">
        <v>43</v>
      </c>
      <c r="D78" s="34" t="s">
        <v>2556</v>
      </c>
      <c r="E78" s="11" t="str">
        <f>HYPERLINK("https://youtu.be/5BrRM5rE3_k?t=3848","channel 2")</f>
        <v>channel 2</v>
      </c>
    </row>
    <row r="79">
      <c r="B79" s="34" t="s">
        <v>2556</v>
      </c>
      <c r="C79" s="35" t="s">
        <v>87</v>
      </c>
      <c r="D79" s="34" t="s">
        <v>3172</v>
      </c>
      <c r="E79" s="11" t="str">
        <f>HYPERLINK("https://youtu.be/anN2JU7AlHY?t=4660","channel 1")</f>
        <v>channel 1</v>
      </c>
    </row>
    <row r="80">
      <c r="B80" s="32" t="s">
        <v>3174</v>
      </c>
      <c r="C80" s="35" t="s">
        <v>286</v>
      </c>
      <c r="D80" s="34" t="s">
        <v>3173</v>
      </c>
      <c r="E80" s="11" t="str">
        <f>HYPERLINK("https://youtu.be/5BrRM5rE3_k?t=4802","channel 2")</f>
        <v>channel 2</v>
      </c>
    </row>
    <row r="81">
      <c r="B81" s="34" t="s">
        <v>3172</v>
      </c>
      <c r="C81" s="35" t="s">
        <v>43</v>
      </c>
      <c r="D81" s="34" t="s">
        <v>247</v>
      </c>
      <c r="E81" s="11" t="str">
        <f>HYPERLINK("https://youtu.be/anN2JU7AlHY?t=5612","channel 1")</f>
        <v>channel 1</v>
      </c>
    </row>
    <row r="82">
      <c r="B82" s="34" t="s">
        <v>2556</v>
      </c>
      <c r="C82" s="35" t="s">
        <v>87</v>
      </c>
      <c r="D82" s="34" t="s">
        <v>3173</v>
      </c>
      <c r="E82" s="11" t="str">
        <f>HYPERLINK("https://youtu.be/5BrRM5rE3_k?t=5799","channel 2")</f>
        <v>channel 2</v>
      </c>
    </row>
    <row r="83">
      <c r="B83" s="32" t="s">
        <v>3174</v>
      </c>
      <c r="C83" s="35" t="s">
        <v>21</v>
      </c>
      <c r="D83" s="34" t="s">
        <v>247</v>
      </c>
      <c r="E83" s="11" t="str">
        <f>HYPERLINK("https://youtu.be/anN2JU7AlHY?t=6562","channel 1")</f>
        <v>channel 1</v>
      </c>
    </row>
    <row r="84">
      <c r="B84" s="34" t="s">
        <v>3172</v>
      </c>
      <c r="C84" s="35" t="s">
        <v>25</v>
      </c>
      <c r="D84" s="34" t="s">
        <v>3173</v>
      </c>
      <c r="E84" s="11" t="str">
        <f>HYPERLINK("https://youtu.be/5BrRM5rE3_k?t=6719","channel 2")</f>
        <v>channel 2</v>
      </c>
    </row>
    <row r="85">
      <c r="B85" s="34" t="s">
        <v>2556</v>
      </c>
      <c r="C85" s="35" t="s">
        <v>72</v>
      </c>
      <c r="D85" s="34" t="s">
        <v>247</v>
      </c>
      <c r="E85" s="11" t="str">
        <f>HYPERLINK("https://youtu.be/anN2JU7AlHY?t=7488","channel 1")</f>
        <v>channel 1</v>
      </c>
    </row>
    <row r="86">
      <c r="B86" s="34" t="s">
        <v>3172</v>
      </c>
      <c r="C86" s="35" t="s">
        <v>194</v>
      </c>
      <c r="D86" s="32" t="s">
        <v>3174</v>
      </c>
      <c r="E86" s="11" t="str">
        <f>HYPERLINK("https://youtu.be/5BrRM5rE3_k?t=7646","channel 2")</f>
        <v>channel 2</v>
      </c>
    </row>
    <row r="87">
      <c r="B87" s="34" t="s">
        <v>3173</v>
      </c>
      <c r="C87" s="35" t="s">
        <v>17</v>
      </c>
      <c r="D87" s="34" t="s">
        <v>247</v>
      </c>
      <c r="E87" s="11" t="str">
        <f>HYPERLINK("https://youtu.be/anN2JU7AlHY?t=8446","channel 1")</f>
        <v>channel 1</v>
      </c>
    </row>
    <row r="88">
      <c r="B88" s="34" t="s">
        <v>2556</v>
      </c>
      <c r="C88" s="35" t="s">
        <v>404</v>
      </c>
      <c r="D88" s="32" t="s">
        <v>3174</v>
      </c>
      <c r="E88" s="11" t="str">
        <f>HYPERLINK("https://youtu.be/5BrRM5rE3_k?t=8637","channel 2")</f>
        <v>channel 2</v>
      </c>
    </row>
    <row r="89">
      <c r="B89" s="72" t="s">
        <v>3175</v>
      </c>
      <c r="C89" s="2"/>
      <c r="D89" s="3"/>
      <c r="E89" s="29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34" t="s">
        <v>3026</v>
      </c>
      <c r="C91" s="35" t="s">
        <v>43</v>
      </c>
      <c r="D91" s="34" t="s">
        <v>1110</v>
      </c>
      <c r="E91" s="11" t="str">
        <f>HYPERLINK("https://youtu.be/k0MuYVtpdcg","channel 3")</f>
        <v>channel 3</v>
      </c>
    </row>
    <row r="92">
      <c r="B92" s="34" t="s">
        <v>2733</v>
      </c>
      <c r="C92" s="35" t="s">
        <v>14</v>
      </c>
      <c r="D92" s="32" t="s">
        <v>3176</v>
      </c>
      <c r="E92" s="11" t="str">
        <f>HYPERLINK("https://youtu.be/PpYHATrG8JM","channel 4")</f>
        <v>channel 4</v>
      </c>
    </row>
    <row r="93">
      <c r="B93" s="34" t="s">
        <v>3177</v>
      </c>
      <c r="C93" s="35" t="s">
        <v>353</v>
      </c>
      <c r="D93" s="34" t="s">
        <v>3026</v>
      </c>
      <c r="E93" s="11" t="str">
        <f>HYPERLINK("https://youtu.be/k0MuYVtpdcg?t=1015","channel 3")</f>
        <v>channel 3</v>
      </c>
    </row>
    <row r="94">
      <c r="B94" s="34" t="s">
        <v>2733</v>
      </c>
      <c r="C94" s="35" t="s">
        <v>14</v>
      </c>
      <c r="D94" s="34" t="s">
        <v>1110</v>
      </c>
      <c r="E94" s="11" t="str">
        <f>HYPERLINK("https://youtu.be/PpYHATrG8JM?t=1010","channel 4")</f>
        <v>channel 4</v>
      </c>
    </row>
    <row r="95">
      <c r="B95" s="34" t="s">
        <v>3177</v>
      </c>
      <c r="C95" s="35" t="s">
        <v>797</v>
      </c>
      <c r="D95" s="32" t="s">
        <v>3176</v>
      </c>
      <c r="E95" s="11" t="str">
        <f>HYPERLINK("https://youtu.be/k0MuYVtpdcg?t=1971","channel 3")</f>
        <v>channel 3</v>
      </c>
    </row>
    <row r="96">
      <c r="B96" s="34" t="s">
        <v>2733</v>
      </c>
      <c r="C96" s="35" t="s">
        <v>1622</v>
      </c>
      <c r="D96" s="34" t="s">
        <v>3026</v>
      </c>
      <c r="E96" s="11" t="str">
        <f>HYPERLINK("https://youtu.be/PpYHATrG8JM?t=1935","channel 4")</f>
        <v>channel 4</v>
      </c>
    </row>
    <row r="97">
      <c r="B97" s="34" t="s">
        <v>3177</v>
      </c>
      <c r="C97" s="35" t="s">
        <v>285</v>
      </c>
      <c r="D97" s="34" t="s">
        <v>1110</v>
      </c>
      <c r="E97" s="11" t="str">
        <f>HYPERLINK("https://youtu.be/k0MuYVtpdcg?t=1971","channel 3")</f>
        <v>channel 3</v>
      </c>
    </row>
    <row r="98">
      <c r="B98" s="32" t="s">
        <v>3176</v>
      </c>
      <c r="C98" s="35" t="s">
        <v>3178</v>
      </c>
      <c r="D98" s="34" t="s">
        <v>3026</v>
      </c>
      <c r="E98" s="11" t="str">
        <f>HYPERLINK("https://youtu.be/PpYHATrG8JM?t=2936","channel 4")</f>
        <v>channel 4</v>
      </c>
    </row>
    <row r="99">
      <c r="B99" s="34" t="s">
        <v>3177</v>
      </c>
      <c r="C99" s="35" t="s">
        <v>857</v>
      </c>
      <c r="D99" s="34" t="s">
        <v>2733</v>
      </c>
      <c r="E99" s="11" t="str">
        <f>HYPERLINK("https://youtu.be/k0MuYVtpdcg?t=3921","channel 3")</f>
        <v>channel 3</v>
      </c>
    </row>
    <row r="100">
      <c r="B100" s="32" t="s">
        <v>3176</v>
      </c>
      <c r="C100" s="35" t="s">
        <v>62</v>
      </c>
      <c r="D100" s="34" t="s">
        <v>1110</v>
      </c>
      <c r="E100" s="11" t="str">
        <f>HYPERLINK("https://youtu.be/PpYHATrG8JM?t=3963","channel 4")</f>
        <v>channel 4</v>
      </c>
    </row>
    <row r="101">
      <c r="B101" s="34" t="s">
        <v>1110</v>
      </c>
      <c r="C101" s="35" t="s">
        <v>412</v>
      </c>
      <c r="D101" s="34" t="s">
        <v>3026</v>
      </c>
      <c r="E101" s="11" t="str">
        <f>HYPERLINK("https://youtu.be/k0MuYVtpdcg?t=4873","channel 3")</f>
        <v>channel 3</v>
      </c>
    </row>
    <row r="102">
      <c r="B102" s="32" t="s">
        <v>3176</v>
      </c>
      <c r="C102" s="35" t="s">
        <v>722</v>
      </c>
      <c r="D102" s="34" t="s">
        <v>2733</v>
      </c>
      <c r="E102" s="11" t="str">
        <f>HYPERLINK("https://youtu.be/PpYHATrG8JM?t=4876","channel 4")</f>
        <v>channel 4</v>
      </c>
    </row>
    <row r="103">
      <c r="B103" s="34" t="s">
        <v>3026</v>
      </c>
      <c r="C103" s="35" t="s">
        <v>21</v>
      </c>
      <c r="D103" s="34" t="s">
        <v>3177</v>
      </c>
      <c r="E103" s="11" t="str">
        <f>HYPERLINK("https://youtu.be/k0MuYVtpdcg?t=5823","channel 3")</f>
        <v>channel 3</v>
      </c>
    </row>
    <row r="104">
      <c r="B104" s="34" t="s">
        <v>1110</v>
      </c>
      <c r="C104" s="35" t="s">
        <v>857</v>
      </c>
      <c r="D104" s="34" t="s">
        <v>2733</v>
      </c>
      <c r="E104" s="11" t="str">
        <f>HYPERLINK("https://youtu.be/PpYHATrG8JM?t=5852","channel 4")</f>
        <v>channel 4</v>
      </c>
    </row>
    <row r="105">
      <c r="B105" s="32" t="s">
        <v>3176</v>
      </c>
      <c r="C105" s="35" t="s">
        <v>78</v>
      </c>
      <c r="D105" s="34" t="s">
        <v>3177</v>
      </c>
      <c r="E105" s="11" t="str">
        <f>HYPERLINK("https://youtu.be/k0MuYVtpdcg?t=6755","channel 3")</f>
        <v>channel 3</v>
      </c>
    </row>
    <row r="106">
      <c r="B106" s="34" t="s">
        <v>3026</v>
      </c>
      <c r="C106" s="35" t="s">
        <v>390</v>
      </c>
      <c r="D106" s="34" t="s">
        <v>2733</v>
      </c>
      <c r="E106" s="11" t="str">
        <f>HYPERLINK("https://youtu.be/PpYHATrG8JM?t=6835","channel 4")</f>
        <v>channel 4</v>
      </c>
    </row>
    <row r="107">
      <c r="B107" s="34" t="s">
        <v>1110</v>
      </c>
      <c r="C107" s="35" t="s">
        <v>25</v>
      </c>
      <c r="D107" s="34" t="s">
        <v>3177</v>
      </c>
      <c r="E107" s="11" t="str">
        <f>HYPERLINK("https://youtu.be/k0MuYVtpdcg?t=7766","channel 3")</f>
        <v>channel 3</v>
      </c>
      <c r="H107" s="36" t="s">
        <v>242</v>
      </c>
    </row>
    <row r="108">
      <c r="B108" s="34" t="s">
        <v>3026</v>
      </c>
      <c r="C108" s="35" t="s">
        <v>291</v>
      </c>
      <c r="D108" s="32" t="s">
        <v>3176</v>
      </c>
      <c r="E108" s="11" t="str">
        <f>HYPERLINK("https://youtu.be/PpYHATrG8JM?t=7802","channel 4")</f>
        <v>channel 4</v>
      </c>
    </row>
    <row r="109">
      <c r="B109" s="34" t="s">
        <v>2733</v>
      </c>
      <c r="C109" s="35" t="s">
        <v>354</v>
      </c>
      <c r="D109" s="34" t="s">
        <v>3177</v>
      </c>
      <c r="E109" s="11" t="str">
        <f>HYPERLINK("https://youtu.be/k0MuYVtpdcg?t=8810","channel 3")</f>
        <v>channel 3</v>
      </c>
    </row>
    <row r="110">
      <c r="B110" s="34" t="s">
        <v>1110</v>
      </c>
      <c r="C110" s="35" t="s">
        <v>494</v>
      </c>
      <c r="D110" s="32" t="s">
        <v>3176</v>
      </c>
      <c r="E110" s="11" t="str">
        <f>HYPERLINK("https://youtu.be/PpYHATrG8JM?t=8793","channel 4")</f>
        <v>channel 4</v>
      </c>
    </row>
    <row r="111">
      <c r="B111" s="72" t="s">
        <v>2960</v>
      </c>
      <c r="C111" s="2"/>
      <c r="D111" s="3"/>
      <c r="E111" s="29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34" t="s">
        <v>3108</v>
      </c>
      <c r="C113" s="35" t="s">
        <v>658</v>
      </c>
      <c r="D113" s="34" t="s">
        <v>1609</v>
      </c>
      <c r="E113" s="11" t="str">
        <f>HYPERLINK("https://youtu.be/B2rcBJgq5gg","channel 3")</f>
        <v>channel 3</v>
      </c>
    </row>
    <row r="114">
      <c r="B114" s="34" t="s">
        <v>2384</v>
      </c>
      <c r="C114" s="35" t="s">
        <v>58</v>
      </c>
      <c r="D114" s="32" t="s">
        <v>3179</v>
      </c>
      <c r="E114" s="11" t="str">
        <f>HYPERLINK("https://youtu.be/5Ks5L00HQzQ","channel 4")</f>
        <v>channel 4</v>
      </c>
      <c r="G114" s="36" t="s">
        <v>242</v>
      </c>
    </row>
    <row r="115">
      <c r="B115" s="34" t="s">
        <v>1530</v>
      </c>
      <c r="C115" s="35" t="s">
        <v>25</v>
      </c>
      <c r="D115" s="34" t="s">
        <v>3108</v>
      </c>
      <c r="E115" s="11" t="str">
        <f>HYPERLINK("https://youtu.be/B2rcBJgq5gg?t=963","channel 3")</f>
        <v>channel 3</v>
      </c>
    </row>
    <row r="116">
      <c r="B116" s="34" t="s">
        <v>2384</v>
      </c>
      <c r="C116" s="35" t="s">
        <v>193</v>
      </c>
      <c r="D116" s="34" t="s">
        <v>1609</v>
      </c>
      <c r="E116" s="11" t="str">
        <f>HYPERLINK("https://youtu.be/5Ks5L00HQzQ?t=1036","channel 4")</f>
        <v>channel 4</v>
      </c>
    </row>
    <row r="117">
      <c r="B117" s="34" t="s">
        <v>1530</v>
      </c>
      <c r="C117" s="35" t="s">
        <v>578</v>
      </c>
      <c r="D117" s="32" t="s">
        <v>3179</v>
      </c>
      <c r="E117" s="11" t="str">
        <f>HYPERLINK("https://youtu.be/B2rcBJgq5gg?t=1871","channel 3")</f>
        <v>channel 3</v>
      </c>
    </row>
    <row r="118">
      <c r="B118" s="34" t="s">
        <v>2384</v>
      </c>
      <c r="C118" s="35" t="s">
        <v>239</v>
      </c>
      <c r="D118" s="34" t="s">
        <v>3108</v>
      </c>
      <c r="E118" s="11" t="str">
        <f>HYPERLINK("https://youtu.be/5Ks5L00HQzQ?t=1961","channel 4")</f>
        <v>channel 4</v>
      </c>
    </row>
    <row r="119">
      <c r="B119" s="34" t="s">
        <v>1530</v>
      </c>
      <c r="C119" s="35" t="s">
        <v>273</v>
      </c>
      <c r="D119" s="34" t="s">
        <v>1609</v>
      </c>
      <c r="E119" s="11" t="str">
        <f>HYPERLINK("https://youtu.be/B2rcBJgq5gg?t=2855","channel 3")</f>
        <v>channel 3</v>
      </c>
    </row>
    <row r="120">
      <c r="B120" s="32" t="s">
        <v>3179</v>
      </c>
      <c r="C120" s="35" t="s">
        <v>21</v>
      </c>
      <c r="D120" s="34" t="s">
        <v>3108</v>
      </c>
      <c r="E120" s="11" t="str">
        <f>HYPERLINK("https://youtu.be/5Ks5L00HQzQ?t=2899","channel 4")</f>
        <v>channel 4</v>
      </c>
    </row>
    <row r="121">
      <c r="B121" s="34" t="s">
        <v>1530</v>
      </c>
      <c r="C121" s="35" t="s">
        <v>205</v>
      </c>
      <c r="D121" s="34" t="s">
        <v>2384</v>
      </c>
      <c r="E121" s="11" t="str">
        <f>HYPERLINK("https://youtu.be/B2rcBJgq5gg?t=3808","channel 3")</f>
        <v>channel 3</v>
      </c>
    </row>
    <row r="122">
      <c r="B122" s="32" t="s">
        <v>3179</v>
      </c>
      <c r="C122" s="35" t="s">
        <v>22</v>
      </c>
      <c r="D122" s="34" t="s">
        <v>1609</v>
      </c>
      <c r="E122" s="11" t="str">
        <f>HYPERLINK("https://youtu.be/5Ks5L00HQzQ?t=3889","channel 4")</f>
        <v>channel 4</v>
      </c>
    </row>
    <row r="123">
      <c r="B123" s="34" t="s">
        <v>1609</v>
      </c>
      <c r="C123" s="35" t="s">
        <v>64</v>
      </c>
      <c r="D123" s="34" t="s">
        <v>3108</v>
      </c>
      <c r="E123" s="11" t="str">
        <f>HYPERLINK("https://youtu.be/B2rcBJgq5gg?t=4767","channel 3")</f>
        <v>channel 3</v>
      </c>
    </row>
    <row r="124">
      <c r="B124" s="32" t="s">
        <v>3179</v>
      </c>
      <c r="C124" s="35" t="s">
        <v>570</v>
      </c>
      <c r="D124" s="34" t="s">
        <v>2384</v>
      </c>
      <c r="E124" s="11" t="str">
        <f>HYPERLINK("https://youtu.be/5Ks5L00HQzQ?t=4864","channel 4")</f>
        <v>channel 4</v>
      </c>
    </row>
    <row r="125">
      <c r="B125" s="34" t="s">
        <v>3108</v>
      </c>
      <c r="C125" s="35" t="s">
        <v>35</v>
      </c>
      <c r="D125" s="34" t="s">
        <v>1530</v>
      </c>
      <c r="E125" s="11" t="str">
        <f>HYPERLINK("https://youtu.be/B2rcBJgq5gg?t=5695","channel 3")</f>
        <v>channel 3</v>
      </c>
    </row>
    <row r="126">
      <c r="B126" s="34" t="s">
        <v>1609</v>
      </c>
      <c r="C126" s="35" t="s">
        <v>55</v>
      </c>
      <c r="D126" s="34" t="s">
        <v>2384</v>
      </c>
      <c r="E126" s="11" t="str">
        <f>HYPERLINK("https://youtu.be/5Ks5L00HQzQ?t=5784","channel 4")</f>
        <v>channel 4</v>
      </c>
      <c r="J126" s="36" t="s">
        <v>242</v>
      </c>
    </row>
    <row r="127">
      <c r="B127" s="32" t="s">
        <v>3179</v>
      </c>
      <c r="C127" s="35" t="s">
        <v>306</v>
      </c>
      <c r="D127" s="34" t="s">
        <v>1530</v>
      </c>
      <c r="E127" s="11" t="str">
        <f>HYPERLINK("https://youtu.be/B2rcBJgq5gg?t=6624","channel 3")</f>
        <v>channel 3</v>
      </c>
    </row>
    <row r="128">
      <c r="B128" s="34" t="s">
        <v>3108</v>
      </c>
      <c r="C128" s="35" t="s">
        <v>17</v>
      </c>
      <c r="D128" s="34" t="s">
        <v>2384</v>
      </c>
      <c r="E128" s="11" t="str">
        <f>HYPERLINK("https://youtu.be/5Ks5L00HQzQ?t=6724","channel 4")</f>
        <v>channel 4</v>
      </c>
    </row>
    <row r="129">
      <c r="B129" s="34" t="s">
        <v>1609</v>
      </c>
      <c r="C129" s="35" t="s">
        <v>82</v>
      </c>
      <c r="D129" s="34" t="s">
        <v>1530</v>
      </c>
      <c r="E129" s="11" t="str">
        <f>HYPERLINK("https://youtu.be/B2rcBJgq5gg?t=7562","channel 3")</f>
        <v>channel 3</v>
      </c>
    </row>
    <row r="130">
      <c r="B130" s="34" t="s">
        <v>3108</v>
      </c>
      <c r="C130" s="35" t="s">
        <v>47</v>
      </c>
      <c r="D130" s="32" t="s">
        <v>3179</v>
      </c>
      <c r="E130" s="11" t="str">
        <f>HYPERLINK("https://youtu.be/5Ks5L00HQzQ?t=7720","channel 4")</f>
        <v>channel 4</v>
      </c>
      <c r="H130" s="36" t="s">
        <v>242</v>
      </c>
    </row>
    <row r="131">
      <c r="B131" s="34" t="s">
        <v>2384</v>
      </c>
      <c r="C131" s="35" t="s">
        <v>50</v>
      </c>
      <c r="D131" s="34" t="s">
        <v>1530</v>
      </c>
      <c r="E131" s="11" t="str">
        <f>HYPERLINK("https://youtu.be/B2rcBJgq5gg?t=8486","channel 3")</f>
        <v>channel 3</v>
      </c>
    </row>
    <row r="132">
      <c r="B132" s="34" t="s">
        <v>1609</v>
      </c>
      <c r="C132" s="35" t="s">
        <v>389</v>
      </c>
      <c r="D132" s="32" t="s">
        <v>3179</v>
      </c>
      <c r="E132" s="11" t="str">
        <f>HYPERLINK("https://youtu.be/5Ks5L00HQzQ?t=8613","channel 4")</f>
        <v>channel 4</v>
      </c>
    </row>
    <row r="133">
      <c r="B133" s="72" t="s">
        <v>1419</v>
      </c>
      <c r="C133" s="2"/>
      <c r="D133" s="3"/>
      <c r="E133" s="2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34" t="s">
        <v>3180</v>
      </c>
      <c r="C135" s="35" t="s">
        <v>25</v>
      </c>
      <c r="D135" s="34" t="s">
        <v>1998</v>
      </c>
      <c r="E135" s="11" t="str">
        <f>HYPERLINK("https://youtu.be/m2rBwHqrji4","channel 1")</f>
        <v>channel 1</v>
      </c>
    </row>
    <row r="136">
      <c r="B136" s="34" t="s">
        <v>3013</v>
      </c>
      <c r="C136" s="35" t="s">
        <v>11</v>
      </c>
      <c r="D136" s="32" t="s">
        <v>3181</v>
      </c>
      <c r="E136" s="11" t="str">
        <f>HYPERLINK("https://youtu.be/VqpVCzTEL0M","channel 2")</f>
        <v>channel 2</v>
      </c>
    </row>
    <row r="137">
      <c r="B137" s="34" t="s">
        <v>3182</v>
      </c>
      <c r="C137" s="35" t="s">
        <v>195</v>
      </c>
      <c r="D137" s="34" t="s">
        <v>3180</v>
      </c>
      <c r="E137" s="11" t="str">
        <f>HYPERLINK("https://youtu.be/m2rBwHqrji4?t=1026","channel 1")</f>
        <v>channel 1</v>
      </c>
    </row>
    <row r="138">
      <c r="B138" s="34" t="s">
        <v>3013</v>
      </c>
      <c r="C138" s="35" t="s">
        <v>58</v>
      </c>
      <c r="D138" s="34" t="s">
        <v>1998</v>
      </c>
      <c r="E138" s="11" t="str">
        <f>HYPERLINK("https://youtu.be/VqpVCzTEL0M?t=1157","channel 2")</f>
        <v>channel 2</v>
      </c>
    </row>
    <row r="139">
      <c r="B139" s="34" t="s">
        <v>3182</v>
      </c>
      <c r="C139" s="35" t="s">
        <v>66</v>
      </c>
      <c r="D139" s="32" t="s">
        <v>3181</v>
      </c>
      <c r="E139" s="11" t="str">
        <f>HYPERLINK("https://youtu.be/m2rBwHqrji4?t=1961","channel 1")</f>
        <v>channel 1</v>
      </c>
    </row>
    <row r="140">
      <c r="B140" s="34" t="s">
        <v>3013</v>
      </c>
      <c r="C140" s="35" t="s">
        <v>196</v>
      </c>
      <c r="D140" s="34" t="s">
        <v>3180</v>
      </c>
      <c r="E140" s="11" t="str">
        <f>HYPERLINK("https://youtu.be/VqpVCzTEL0M?t=2137","channel 2")</f>
        <v>channel 2</v>
      </c>
    </row>
    <row r="141">
      <c r="B141" s="34" t="s">
        <v>3182</v>
      </c>
      <c r="C141" s="35" t="s">
        <v>69</v>
      </c>
      <c r="D141" s="34" t="s">
        <v>1998</v>
      </c>
      <c r="E141" s="11" t="str">
        <f>HYPERLINK("https://youtu.be/m2rBwHqrji4?t=2974","channel 1")</f>
        <v>channel 1</v>
      </c>
    </row>
    <row r="142">
      <c r="B142" s="32" t="s">
        <v>3181</v>
      </c>
      <c r="C142" s="35" t="s">
        <v>21</v>
      </c>
      <c r="D142" s="34" t="s">
        <v>3180</v>
      </c>
      <c r="E142" s="11" t="str">
        <f>HYPERLINK("https://youtu.be/VqpVCzTEL0M?t=2975","channel 2")</f>
        <v>channel 2</v>
      </c>
    </row>
    <row r="143">
      <c r="B143" s="34" t="s">
        <v>3182</v>
      </c>
      <c r="C143" s="35" t="s">
        <v>218</v>
      </c>
      <c r="D143" s="34" t="s">
        <v>3013</v>
      </c>
      <c r="E143" s="11" t="str">
        <f>HYPERLINK("https://youtu.be/m2rBwHqrji4?t=3874","channel 1")</f>
        <v>channel 1</v>
      </c>
    </row>
    <row r="144">
      <c r="B144" s="32" t="s">
        <v>3181</v>
      </c>
      <c r="C144" s="35" t="s">
        <v>43</v>
      </c>
      <c r="D144" s="34" t="s">
        <v>1998</v>
      </c>
      <c r="E144" s="11" t="str">
        <f>HYPERLINK("https://youtu.be/VqpVCzTEL0M?t=3942","channel 2")</f>
        <v>channel 2</v>
      </c>
    </row>
    <row r="145">
      <c r="B145" s="34" t="s">
        <v>1998</v>
      </c>
      <c r="C145" s="35" t="s">
        <v>196</v>
      </c>
      <c r="D145" s="34" t="s">
        <v>3180</v>
      </c>
      <c r="E145" s="11" t="str">
        <f>HYPERLINK("https://youtu.be/m2rBwHqrji4?t=4832","channel 1")</f>
        <v>channel 1</v>
      </c>
    </row>
    <row r="146">
      <c r="B146" s="32" t="s">
        <v>3181</v>
      </c>
      <c r="C146" s="35" t="s">
        <v>84</v>
      </c>
      <c r="D146" s="34" t="s">
        <v>3013</v>
      </c>
      <c r="E146" s="11" t="str">
        <f>HYPERLINK("https://youtu.be/VqpVCzTEL0M?t=4869","channel 2")</f>
        <v>channel 2</v>
      </c>
    </row>
    <row r="147">
      <c r="B147" s="34" t="s">
        <v>3180</v>
      </c>
      <c r="C147" s="35" t="s">
        <v>20</v>
      </c>
      <c r="D147" s="34" t="s">
        <v>3182</v>
      </c>
      <c r="E147" s="11" t="str">
        <f>HYPERLINK("https://youtu.be/m2rBwHqrji4?t=5764","channel 1")</f>
        <v>channel 1</v>
      </c>
    </row>
    <row r="148">
      <c r="B148" s="34" t="s">
        <v>1998</v>
      </c>
      <c r="C148" s="35" t="s">
        <v>68</v>
      </c>
      <c r="D148" s="34" t="s">
        <v>3013</v>
      </c>
      <c r="E148" s="11" t="str">
        <f>HYPERLINK("https://youtu.be/VqpVCzTEL0M?t=5911","channel 2")</f>
        <v>channel 2</v>
      </c>
    </row>
    <row r="149">
      <c r="B149" s="32" t="s">
        <v>3181</v>
      </c>
      <c r="C149" s="35" t="s">
        <v>83</v>
      </c>
      <c r="D149" s="34" t="s">
        <v>3182</v>
      </c>
      <c r="E149" s="11" t="str">
        <f>HYPERLINK("https://youtu.be/m2rBwHqrji4?t=6658","channel 1")</f>
        <v>channel 1</v>
      </c>
    </row>
    <row r="150">
      <c r="B150" s="34" t="s">
        <v>3180</v>
      </c>
      <c r="C150" s="35" t="s">
        <v>84</v>
      </c>
      <c r="D150" s="34" t="s">
        <v>3013</v>
      </c>
      <c r="E150" s="11" t="str">
        <f>HYPERLINK("https://youtu.be/VqpVCzTEL0M?t=6794","channel 2")</f>
        <v>channel 2</v>
      </c>
    </row>
    <row r="151">
      <c r="B151" s="34" t="s">
        <v>1998</v>
      </c>
      <c r="C151" s="35" t="s">
        <v>218</v>
      </c>
      <c r="D151" s="34" t="s">
        <v>3182</v>
      </c>
      <c r="E151" s="11" t="str">
        <f>HYPERLINK("https://youtu.be/m2rBwHqrji4?t=7682","channel 1")</f>
        <v>channel 1</v>
      </c>
    </row>
    <row r="152">
      <c r="B152" s="34" t="s">
        <v>3180</v>
      </c>
      <c r="C152" s="35" t="s">
        <v>62</v>
      </c>
      <c r="D152" s="32" t="s">
        <v>3181</v>
      </c>
      <c r="E152" s="11" t="str">
        <f>HYPERLINK("https://youtu.be/VqpVCzTEL0M?t=7763","channel 2")</f>
        <v>channel 2</v>
      </c>
    </row>
    <row r="153">
      <c r="B153" s="34" t="s">
        <v>3013</v>
      </c>
      <c r="C153" s="35" t="s">
        <v>270</v>
      </c>
      <c r="D153" s="34" t="s">
        <v>3182</v>
      </c>
      <c r="E153" s="11" t="str">
        <f>HYPERLINK("https://youtu.be/m2rBwHqrji4?t=8601","channel 1")</f>
        <v>channel 1</v>
      </c>
    </row>
    <row r="154">
      <c r="B154" s="34" t="s">
        <v>1998</v>
      </c>
      <c r="C154" s="35" t="s">
        <v>45</v>
      </c>
      <c r="D154" s="32" t="s">
        <v>3181</v>
      </c>
      <c r="E154" s="11" t="str">
        <f>HYPERLINK("https://youtu.be/VqpVCzTEL0M?t=8698","channel 2")</f>
        <v>channel 2</v>
      </c>
    </row>
    <row r="155">
      <c r="B155" s="72" t="s">
        <v>1685</v>
      </c>
      <c r="C155" s="2"/>
      <c r="D155" s="3"/>
      <c r="E155" s="2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34" t="s">
        <v>371</v>
      </c>
      <c r="C157" s="35" t="s">
        <v>81</v>
      </c>
      <c r="D157" s="34" t="s">
        <v>1599</v>
      </c>
      <c r="E157" s="11" t="str">
        <f>HYPERLINK("https://youtu.be/km4N2xqPEic","channel 1")</f>
        <v>channel 1</v>
      </c>
    </row>
    <row r="158">
      <c r="B158" s="34" t="s">
        <v>3183</v>
      </c>
      <c r="C158" s="35" t="s">
        <v>81</v>
      </c>
      <c r="D158" s="32" t="s">
        <v>3184</v>
      </c>
      <c r="E158" s="11" t="str">
        <f>HYPERLINK("https://youtu.be/b1FYcV-MjGA","channel 2")</f>
        <v>channel 2</v>
      </c>
    </row>
    <row r="159">
      <c r="B159" s="34" t="s">
        <v>1070</v>
      </c>
      <c r="C159" s="35" t="s">
        <v>906</v>
      </c>
      <c r="D159" s="34" t="s">
        <v>371</v>
      </c>
      <c r="E159" s="11" t="str">
        <f>HYPERLINK("https://youtu.be/km4N2xqPEic?t=978","channel 1")</f>
        <v>channel 1</v>
      </c>
    </row>
    <row r="160">
      <c r="B160" s="34" t="s">
        <v>3183</v>
      </c>
      <c r="C160" s="35" t="s">
        <v>46</v>
      </c>
      <c r="D160" s="34" t="s">
        <v>1599</v>
      </c>
      <c r="E160" s="11" t="str">
        <f>HYPERLINK("https://youtu.be/b1FYcV-MjGA?t=1007","channel 2")</f>
        <v>channel 2</v>
      </c>
    </row>
    <row r="161">
      <c r="B161" s="34" t="s">
        <v>1070</v>
      </c>
      <c r="C161" s="35" t="s">
        <v>217</v>
      </c>
      <c r="D161" s="32" t="s">
        <v>3184</v>
      </c>
      <c r="E161" s="11" t="str">
        <f>HYPERLINK("https://youtu.be/km4N2xqPEic?t=1882","channel 1")</f>
        <v>channel 1</v>
      </c>
    </row>
    <row r="162">
      <c r="B162" s="34" t="s">
        <v>3183</v>
      </c>
      <c r="C162" s="35" t="s">
        <v>76</v>
      </c>
      <c r="D162" s="34" t="s">
        <v>371</v>
      </c>
      <c r="E162" s="11" t="str">
        <f>HYPERLINK("https://youtu.be/b1FYcV-MjGA?t=1951","channel 2")</f>
        <v>channel 2</v>
      </c>
    </row>
    <row r="163">
      <c r="B163" s="34" t="s">
        <v>1070</v>
      </c>
      <c r="C163" s="35" t="s">
        <v>22</v>
      </c>
      <c r="D163" s="34" t="s">
        <v>1599</v>
      </c>
      <c r="E163" s="11" t="str">
        <f>HYPERLINK("https://youtu.be/km4N2xqPEic?t=2822","channel 1")</f>
        <v>channel 1</v>
      </c>
    </row>
    <row r="164">
      <c r="B164" s="32" t="s">
        <v>3184</v>
      </c>
      <c r="C164" s="35" t="s">
        <v>238</v>
      </c>
      <c r="D164" s="34" t="s">
        <v>371</v>
      </c>
      <c r="E164" s="11" t="str">
        <f>HYPERLINK("https://youtu.be/b1FYcV-MjGA?t=2849","channel 2")</f>
        <v>channel 2</v>
      </c>
    </row>
    <row r="165">
      <c r="B165" s="34" t="s">
        <v>1070</v>
      </c>
      <c r="C165" s="35" t="s">
        <v>244</v>
      </c>
      <c r="D165" s="34" t="s">
        <v>3183</v>
      </c>
      <c r="E165" s="11" t="str">
        <f>HYPERLINK("https://youtu.be/km4N2xqPEic?t=3730","channel 1")</f>
        <v>channel 1</v>
      </c>
    </row>
    <row r="166">
      <c r="B166" s="32" t="s">
        <v>3184</v>
      </c>
      <c r="C166" s="35" t="s">
        <v>21</v>
      </c>
      <c r="D166" s="34" t="s">
        <v>1599</v>
      </c>
      <c r="E166" s="11" t="str">
        <f>HYPERLINK("https://youtu.be/b1FYcV-MjGA?t=3795","channel 2")</f>
        <v>channel 2</v>
      </c>
    </row>
    <row r="167">
      <c r="B167" s="34" t="s">
        <v>1599</v>
      </c>
      <c r="C167" s="35" t="s">
        <v>195</v>
      </c>
      <c r="D167" s="34" t="s">
        <v>371</v>
      </c>
      <c r="E167" s="11" t="str">
        <f>HYPERLINK("https://youtu.be/km4N2xqPEic?t=4677","channel 1")</f>
        <v>channel 1</v>
      </c>
    </row>
    <row r="168">
      <c r="B168" s="32" t="s">
        <v>3184</v>
      </c>
      <c r="C168" s="35" t="s">
        <v>81</v>
      </c>
      <c r="D168" s="34" t="s">
        <v>3183</v>
      </c>
      <c r="E168" s="11" t="str">
        <f>HYPERLINK("https://youtu.be/b1FYcV-MjGA?t=4728","channel 2")</f>
        <v>channel 2</v>
      </c>
    </row>
    <row r="169">
      <c r="B169" s="34" t="s">
        <v>371</v>
      </c>
      <c r="C169" s="35" t="s">
        <v>71</v>
      </c>
      <c r="D169" s="34" t="s">
        <v>1070</v>
      </c>
      <c r="E169" s="11" t="str">
        <f>HYPERLINK("https://youtu.be/km4N2xqPEic?t=5568","channel 1")</f>
        <v>channel 1</v>
      </c>
    </row>
    <row r="170">
      <c r="B170" s="34" t="s">
        <v>1599</v>
      </c>
      <c r="C170" s="35" t="s">
        <v>43</v>
      </c>
      <c r="D170" s="34" t="s">
        <v>3183</v>
      </c>
      <c r="E170" s="11" t="str">
        <f>HYPERLINK("https://youtu.be/b1FYcV-MjGA?t=5678","channel 2")</f>
        <v>channel 2</v>
      </c>
    </row>
    <row r="171">
      <c r="B171" s="32" t="s">
        <v>3184</v>
      </c>
      <c r="C171" s="35" t="s">
        <v>70</v>
      </c>
      <c r="D171" s="34" t="s">
        <v>1070</v>
      </c>
      <c r="E171" s="11" t="str">
        <f>HYPERLINK("https://youtu.be/km4N2xqPEic?t=6505","channel 1")</f>
        <v>channel 1</v>
      </c>
    </row>
    <row r="172">
      <c r="B172" s="34" t="s">
        <v>371</v>
      </c>
      <c r="C172" s="35" t="s">
        <v>190</v>
      </c>
      <c r="D172" s="34" t="s">
        <v>3183</v>
      </c>
      <c r="E172" s="11" t="str">
        <f>HYPERLINK("https://youtu.be/b1FYcV-MjGA?t=6565","channel 2")</f>
        <v>channel 2</v>
      </c>
    </row>
    <row r="173">
      <c r="B173" s="34" t="s">
        <v>1599</v>
      </c>
      <c r="C173" s="35" t="s">
        <v>62</v>
      </c>
      <c r="D173" s="34" t="s">
        <v>1070</v>
      </c>
      <c r="E173" s="11" t="str">
        <f>HYPERLINK("https://youtu.be/km4N2xqPEic?t=7429","channel 1")</f>
        <v>channel 1</v>
      </c>
    </row>
    <row r="174">
      <c r="B174" s="34" t="s">
        <v>371</v>
      </c>
      <c r="C174" s="35" t="s">
        <v>1465</v>
      </c>
      <c r="D174" s="32" t="s">
        <v>3184</v>
      </c>
      <c r="E174" s="11" t="str">
        <f>HYPERLINK("https://youtu.be/b1FYcV-MjGA?t=7466","channel 2")</f>
        <v>channel 2</v>
      </c>
    </row>
    <row r="175">
      <c r="B175" s="34" t="s">
        <v>3183</v>
      </c>
      <c r="C175" s="35" t="s">
        <v>260</v>
      </c>
      <c r="D175" s="34" t="s">
        <v>1070</v>
      </c>
      <c r="E175" s="11" t="str">
        <f>HYPERLINK("https://youtu.be/km4N2xqPEic?t=8363","channel 1")</f>
        <v>channel 1</v>
      </c>
    </row>
    <row r="176">
      <c r="B176" s="34" t="s">
        <v>1599</v>
      </c>
      <c r="C176" s="35" t="s">
        <v>66</v>
      </c>
      <c r="D176" s="32" t="s">
        <v>3184</v>
      </c>
      <c r="E176" s="11" t="str">
        <f>HYPERLINK("https://youtu.be/b1FYcV-MjGA?t=8407","channel 2")</f>
        <v>channel 2</v>
      </c>
    </row>
    <row r="177">
      <c r="B177" s="72" t="s">
        <v>2567</v>
      </c>
      <c r="C177" s="2"/>
      <c r="D177" s="3"/>
      <c r="E177" s="2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34" t="s">
        <v>2682</v>
      </c>
      <c r="C179" s="35" t="s">
        <v>55</v>
      </c>
      <c r="D179" s="34" t="s">
        <v>1309</v>
      </c>
      <c r="E179" s="11" t="str">
        <f>HYPERLINK("https://youtu.be/4bau7nKPhGA","channel 3")</f>
        <v>channel 3</v>
      </c>
    </row>
    <row r="180">
      <c r="B180" s="34" t="s">
        <v>2521</v>
      </c>
      <c r="C180" s="35" t="s">
        <v>1170</v>
      </c>
      <c r="D180" s="32" t="s">
        <v>3185</v>
      </c>
      <c r="E180" s="11" t="str">
        <f>HYPERLINK("https://youtu.be/7wRERxliFRI","channel 4")</f>
        <v>channel 4</v>
      </c>
    </row>
    <row r="181">
      <c r="B181" s="34" t="s">
        <v>3086</v>
      </c>
      <c r="C181" s="35" t="s">
        <v>87</v>
      </c>
      <c r="D181" s="34" t="s">
        <v>2682</v>
      </c>
      <c r="E181" s="11" t="str">
        <f>HYPERLINK("https://youtu.be/4bau7nKPhGA?t=965","channel 3")</f>
        <v>channel 3</v>
      </c>
    </row>
    <row r="182">
      <c r="B182" s="34" t="s">
        <v>2521</v>
      </c>
      <c r="C182" s="35" t="s">
        <v>26</v>
      </c>
      <c r="D182" s="34" t="s">
        <v>1309</v>
      </c>
      <c r="E182" s="11" t="str">
        <f>HYPERLINK("https://youtu.be/7wRERxliFRI?t=997","channel 4")</f>
        <v>channel 4</v>
      </c>
    </row>
    <row r="183">
      <c r="B183" s="34" t="s">
        <v>3086</v>
      </c>
      <c r="C183" s="35" t="s">
        <v>699</v>
      </c>
      <c r="D183" s="32" t="s">
        <v>3185</v>
      </c>
      <c r="E183" s="11" t="str">
        <f>HYPERLINK("https://youtu.be/4bau7nKPhGA?t=1889","channel 3")</f>
        <v>channel 3</v>
      </c>
    </row>
    <row r="184">
      <c r="B184" s="34" t="s">
        <v>2521</v>
      </c>
      <c r="C184" s="35" t="s">
        <v>66</v>
      </c>
      <c r="D184" s="34" t="s">
        <v>2682</v>
      </c>
      <c r="E184" s="11" t="str">
        <f>HYPERLINK("https://youtu.be/7wRERxliFRI?t=1870","channel 4")</f>
        <v>channel 4</v>
      </c>
    </row>
    <row r="185">
      <c r="B185" s="34" t="s">
        <v>3086</v>
      </c>
      <c r="C185" s="35" t="s">
        <v>194</v>
      </c>
      <c r="D185" s="34" t="s">
        <v>1309</v>
      </c>
      <c r="E185" s="11" t="str">
        <f>HYPERLINK("https://youtu.be/4bau7nKPhGA?t=2859","channel 3")</f>
        <v>channel 3</v>
      </c>
    </row>
    <row r="186">
      <c r="B186" s="32" t="s">
        <v>3185</v>
      </c>
      <c r="C186" s="35" t="s">
        <v>87</v>
      </c>
      <c r="D186" s="34" t="s">
        <v>2682</v>
      </c>
      <c r="E186" s="11" t="str">
        <f>HYPERLINK("https://youtu.be/7wRERxliFRI?t=2878","channel 4")</f>
        <v>channel 4</v>
      </c>
    </row>
    <row r="187">
      <c r="B187" s="34" t="s">
        <v>3086</v>
      </c>
      <c r="C187" s="35" t="s">
        <v>201</v>
      </c>
      <c r="D187" s="34" t="s">
        <v>2521</v>
      </c>
      <c r="E187" s="11" t="str">
        <f>HYPERLINK("https://youtu.be/4bau7nKPhGA?t=3784","channel 3")</f>
        <v>channel 3</v>
      </c>
    </row>
    <row r="188">
      <c r="B188" s="32" t="s">
        <v>3185</v>
      </c>
      <c r="C188" s="35" t="s">
        <v>83</v>
      </c>
      <c r="D188" s="34" t="s">
        <v>1309</v>
      </c>
      <c r="E188" s="11" t="str">
        <f>HYPERLINK("https://youtu.be/7wRERxliFRI?t=3817","channel 4")</f>
        <v>channel 4</v>
      </c>
    </row>
    <row r="189">
      <c r="B189" s="34" t="s">
        <v>1309</v>
      </c>
      <c r="C189" s="35" t="s">
        <v>14</v>
      </c>
      <c r="D189" s="34" t="s">
        <v>2682</v>
      </c>
      <c r="E189" s="11" t="str">
        <f>HYPERLINK("https://youtu.be/4bau7nKPhGA?t=4768","channel 3")</f>
        <v>channel 3</v>
      </c>
    </row>
    <row r="190">
      <c r="B190" s="32" t="s">
        <v>3185</v>
      </c>
      <c r="C190" s="35" t="s">
        <v>68</v>
      </c>
      <c r="D190" s="34" t="s">
        <v>2521</v>
      </c>
      <c r="E190" s="11" t="str">
        <f>HYPERLINK("https://youtu.be/7wRERxliFRI?t=4820","channel 4")</f>
        <v>channel 4</v>
      </c>
    </row>
    <row r="191">
      <c r="B191" s="34" t="s">
        <v>2682</v>
      </c>
      <c r="C191" s="35" t="s">
        <v>17</v>
      </c>
      <c r="D191" s="34" t="s">
        <v>3086</v>
      </c>
      <c r="E191" s="11" t="str">
        <f>HYPERLINK("https://youtu.be/4bau7nKPhGA?t=5683","channel 3")</f>
        <v>channel 3</v>
      </c>
    </row>
    <row r="192">
      <c r="B192" s="34" t="s">
        <v>1309</v>
      </c>
      <c r="C192" s="35" t="s">
        <v>589</v>
      </c>
      <c r="D192" s="34" t="s">
        <v>2521</v>
      </c>
      <c r="E192" s="11" t="str">
        <f>HYPERLINK("https://youtu.be/7wRERxliFRI?t=5753","channel 4")</f>
        <v>channel 4</v>
      </c>
    </row>
    <row r="193">
      <c r="B193" s="32" t="s">
        <v>3185</v>
      </c>
      <c r="C193" s="35" t="s">
        <v>25</v>
      </c>
      <c r="D193" s="34" t="s">
        <v>3086</v>
      </c>
      <c r="E193" s="11" t="str">
        <f>HYPERLINK("https://youtu.be/4bau7nKPhGA?t=6598","channel 3")</f>
        <v>channel 3</v>
      </c>
      <c r="J193" s="36" t="s">
        <v>663</v>
      </c>
    </row>
    <row r="194">
      <c r="B194" s="34" t="s">
        <v>2682</v>
      </c>
      <c r="C194" s="35" t="s">
        <v>23</v>
      </c>
      <c r="D194" s="34" t="s">
        <v>2521</v>
      </c>
      <c r="E194" s="11" t="str">
        <f>HYPERLINK("https://youtu.be/7wRERxliFRI?t=6704","channel 4")</f>
        <v>channel 4</v>
      </c>
    </row>
    <row r="195">
      <c r="B195" s="34" t="s">
        <v>1309</v>
      </c>
      <c r="C195" s="35" t="s">
        <v>41</v>
      </c>
      <c r="D195" s="34" t="s">
        <v>3086</v>
      </c>
      <c r="E195" s="11" t="str">
        <f>HYPERLINK("https://youtu.be/4bau7nKPhGA?t=7622","channel 3")</f>
        <v>channel 3</v>
      </c>
    </row>
    <row r="196">
      <c r="B196" s="34" t="s">
        <v>2682</v>
      </c>
      <c r="C196" s="35" t="s">
        <v>3186</v>
      </c>
      <c r="D196" s="32" t="s">
        <v>3185</v>
      </c>
      <c r="E196" s="11" t="str">
        <f>HYPERLINK("https://youtu.be/7wRERxliFRI?t=7623","channel 4")</f>
        <v>channel 4</v>
      </c>
    </row>
    <row r="197">
      <c r="B197" s="34" t="s">
        <v>2521</v>
      </c>
      <c r="C197" s="35" t="s">
        <v>2374</v>
      </c>
      <c r="D197" s="34" t="s">
        <v>3086</v>
      </c>
      <c r="E197" s="11" t="str">
        <f>HYPERLINK("https://youtu.be/4bau7nKPhGA?t=8522","channel 3")</f>
        <v>channel 3</v>
      </c>
    </row>
    <row r="198">
      <c r="B198" s="34" t="s">
        <v>1309</v>
      </c>
      <c r="C198" s="35" t="s">
        <v>25</v>
      </c>
      <c r="D198" s="32" t="s">
        <v>3185</v>
      </c>
      <c r="E198" s="11" t="str">
        <f>HYPERLINK("https://youtu.be/7wRERxliFRI?t=8567","channel 4")</f>
        <v>channel 4</v>
      </c>
    </row>
    <row r="199">
      <c r="B199" s="72" t="s">
        <v>2902</v>
      </c>
      <c r="C199" s="2"/>
      <c r="D199" s="3"/>
      <c r="E199" s="2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34" t="s">
        <v>2903</v>
      </c>
      <c r="C201" s="35" t="s">
        <v>196</v>
      </c>
      <c r="D201" s="34" t="s">
        <v>3187</v>
      </c>
      <c r="E201" s="11" t="str">
        <f>HYPERLINK("https://youtu.be/ynHaQ1gDL1w","channel 3")</f>
        <v>channel 3</v>
      </c>
    </row>
    <row r="202">
      <c r="B202" s="34" t="s">
        <v>3188</v>
      </c>
      <c r="C202" s="35" t="s">
        <v>49</v>
      </c>
      <c r="D202" s="32" t="s">
        <v>3189</v>
      </c>
      <c r="E202" s="11" t="str">
        <f>HYPERLINK("https://youtu.be/NEurjpTq-9M","channel 4")</f>
        <v>channel 4</v>
      </c>
    </row>
    <row r="203">
      <c r="B203" s="34" t="s">
        <v>2484</v>
      </c>
      <c r="C203" s="35" t="s">
        <v>81</v>
      </c>
      <c r="D203" s="34" t="s">
        <v>2903</v>
      </c>
      <c r="E203" s="11" t="str">
        <f>HYPERLINK("https://youtu.be/ynHaQ1gDL1w?t=1041","channel 3")</f>
        <v>channel 3</v>
      </c>
    </row>
    <row r="204">
      <c r="B204" s="34" t="s">
        <v>3188</v>
      </c>
      <c r="C204" s="35" t="s">
        <v>81</v>
      </c>
      <c r="D204" s="34" t="s">
        <v>3187</v>
      </c>
      <c r="E204" s="11" t="str">
        <f>HYPERLINK("https://youtu.be/NEurjpTq-9M?t=1076","channel 4")</f>
        <v>channel 4</v>
      </c>
    </row>
    <row r="205">
      <c r="B205" s="34" t="s">
        <v>2484</v>
      </c>
      <c r="C205" s="35" t="s">
        <v>239</v>
      </c>
      <c r="D205" s="32" t="s">
        <v>3189</v>
      </c>
      <c r="E205" s="11" t="str">
        <f>HYPERLINK("https://youtu.be/ynHaQ1gDL1w?t=1949","channel 3")</f>
        <v>channel 3</v>
      </c>
    </row>
    <row r="206">
      <c r="B206" s="34" t="s">
        <v>3188</v>
      </c>
      <c r="C206" s="35" t="s">
        <v>81</v>
      </c>
      <c r="D206" s="34" t="s">
        <v>2903</v>
      </c>
      <c r="E206" s="11" t="str">
        <f>HYPERLINK("https://youtu.be/NEurjpTq-9M?t=1947","channel 4")</f>
        <v>channel 4</v>
      </c>
    </row>
    <row r="207">
      <c r="B207" s="34" t="s">
        <v>2484</v>
      </c>
      <c r="C207" s="35" t="s">
        <v>42</v>
      </c>
      <c r="D207" s="34" t="s">
        <v>3187</v>
      </c>
      <c r="E207" s="11" t="str">
        <f>HYPERLINK("https://youtu.be/ynHaQ1gDL1w?t=2896","channel 3")</f>
        <v>channel 3</v>
      </c>
    </row>
    <row r="208">
      <c r="B208" s="32" t="s">
        <v>3189</v>
      </c>
      <c r="C208" s="35" t="s">
        <v>446</v>
      </c>
      <c r="D208" s="34" t="s">
        <v>2903</v>
      </c>
      <c r="E208" s="11" t="str">
        <f>HYPERLINK("https://youtu.be/NEurjpTq-9M?t=2885","channel 4")</f>
        <v>channel 4</v>
      </c>
    </row>
    <row r="209">
      <c r="B209" s="34" t="s">
        <v>2484</v>
      </c>
      <c r="C209" s="35" t="s">
        <v>25</v>
      </c>
      <c r="D209" s="34" t="s">
        <v>3188</v>
      </c>
      <c r="E209" s="11" t="str">
        <f>HYPERLINK("https://youtu.be/ynHaQ1gDL1w?t=3816","channel 3")</f>
        <v>channel 3</v>
      </c>
    </row>
    <row r="210">
      <c r="B210" s="32" t="s">
        <v>3189</v>
      </c>
      <c r="C210" s="35" t="s">
        <v>11</v>
      </c>
      <c r="D210" s="34" t="s">
        <v>3187</v>
      </c>
      <c r="E210" s="11" t="str">
        <f>HYPERLINK("https://youtu.be/NEurjpTq-9M?t=3865","channel 4")</f>
        <v>channel 4</v>
      </c>
    </row>
    <row r="211">
      <c r="B211" s="34" t="s">
        <v>3187</v>
      </c>
      <c r="C211" s="35" t="s">
        <v>190</v>
      </c>
      <c r="D211" s="34" t="s">
        <v>2903</v>
      </c>
      <c r="E211" s="11" t="str">
        <f>HYPERLINK("https://youtu.be/ynHaQ1gDL1w?t=4774","channel 3")</f>
        <v>channel 3</v>
      </c>
    </row>
    <row r="212">
      <c r="B212" s="32" t="s">
        <v>3189</v>
      </c>
      <c r="C212" s="35" t="s">
        <v>190</v>
      </c>
      <c r="D212" s="34" t="s">
        <v>3188</v>
      </c>
      <c r="E212" s="11" t="str">
        <f>HYPERLINK("https://youtu.be/NEurjpTq-9M?t=4781","channel 4")</f>
        <v>channel 4</v>
      </c>
    </row>
    <row r="213">
      <c r="B213" s="34" t="s">
        <v>2903</v>
      </c>
      <c r="C213" s="35" t="s">
        <v>286</v>
      </c>
      <c r="D213" s="34" t="s">
        <v>2484</v>
      </c>
      <c r="E213" s="11" t="str">
        <f>HYPERLINK("https://youtu.be/ynHaQ1gDL1w?t=5704","channel 3")</f>
        <v>channel 3</v>
      </c>
    </row>
    <row r="214">
      <c r="B214" s="34" t="s">
        <v>3187</v>
      </c>
      <c r="C214" s="35" t="s">
        <v>352</v>
      </c>
      <c r="D214" s="34" t="s">
        <v>3188</v>
      </c>
      <c r="E214" s="11" t="str">
        <f>HYPERLINK("https://youtu.be/NEurjpTq-9M?t=5697","channel 4")</f>
        <v>channel 4</v>
      </c>
    </row>
    <row r="215">
      <c r="B215" s="32" t="s">
        <v>3189</v>
      </c>
      <c r="C215" s="35" t="s">
        <v>58</v>
      </c>
      <c r="D215" s="34" t="s">
        <v>2484</v>
      </c>
      <c r="E215" s="11" t="str">
        <f>HYPERLINK("https://youtu.be/ynHaQ1gDL1w?t=6617","channel 3")</f>
        <v>channel 3</v>
      </c>
    </row>
    <row r="216">
      <c r="B216" s="34" t="s">
        <v>2903</v>
      </c>
      <c r="C216" s="35" t="s">
        <v>3190</v>
      </c>
      <c r="D216" s="34" t="s">
        <v>3188</v>
      </c>
      <c r="E216" s="11" t="str">
        <f>HYPERLINK("https://youtu.be/NEurjpTq-9M?t=6579","channel 4")</f>
        <v>channel 4</v>
      </c>
    </row>
    <row r="217">
      <c r="B217" s="34" t="s">
        <v>3187</v>
      </c>
      <c r="C217" s="35" t="s">
        <v>578</v>
      </c>
      <c r="D217" s="34" t="s">
        <v>2484</v>
      </c>
      <c r="E217" s="11" t="str">
        <f>HYPERLINK("https://youtu.be/ynHaQ1gDL1w?t=7542","channel 3")</f>
        <v>channel 3</v>
      </c>
    </row>
    <row r="218">
      <c r="B218" s="34" t="s">
        <v>2903</v>
      </c>
      <c r="C218" s="35" t="s">
        <v>196</v>
      </c>
      <c r="D218" s="32" t="s">
        <v>3189</v>
      </c>
      <c r="E218" s="11" t="str">
        <f>HYPERLINK("https://youtu.be/NEurjpTq-9M?t=7472","channel 4")</f>
        <v>channel 4</v>
      </c>
    </row>
    <row r="219">
      <c r="B219" s="34" t="s">
        <v>3188</v>
      </c>
      <c r="C219" s="35" t="s">
        <v>14</v>
      </c>
      <c r="D219" s="34" t="s">
        <v>2484</v>
      </c>
      <c r="E219" s="11" t="str">
        <f>HYPERLINK("https://youtu.be/ynHaQ1gDL1w?t=8449","channel 3")</f>
        <v>channel 3</v>
      </c>
    </row>
    <row r="220">
      <c r="B220" s="34" t="s">
        <v>3187</v>
      </c>
      <c r="C220" s="35" t="s">
        <v>197</v>
      </c>
      <c r="D220" s="32" t="s">
        <v>3189</v>
      </c>
      <c r="E220" s="11" t="str">
        <f>HYPERLINK("https://youtu.be/NEurjpTq-9M?t=8379","channel 4")</f>
        <v>channel 4</v>
      </c>
    </row>
    <row r="221">
      <c r="B221" s="72" t="s">
        <v>2974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34" t="s">
        <v>3191</v>
      </c>
      <c r="C223" s="35" t="s">
        <v>195</v>
      </c>
      <c r="D223" s="34" t="s">
        <v>1469</v>
      </c>
      <c r="E223" s="11" t="str">
        <f>HYPERLINK("https://youtu.be/BzKbR2i5jJw?t=1460","channel 1")</f>
        <v>channel 1</v>
      </c>
    </row>
    <row r="224">
      <c r="B224" s="34" t="s">
        <v>2346</v>
      </c>
      <c r="C224" s="35" t="s">
        <v>35</v>
      </c>
      <c r="D224" s="32" t="s">
        <v>3192</v>
      </c>
      <c r="E224" s="11" t="str">
        <f>HYPERLINK("https://youtu.be/xF6wEmblE28","channel 2")</f>
        <v>channel 2</v>
      </c>
    </row>
    <row r="225">
      <c r="B225" s="34" t="s">
        <v>3193</v>
      </c>
      <c r="C225" s="35" t="s">
        <v>43</v>
      </c>
      <c r="D225" s="34" t="s">
        <v>3191</v>
      </c>
      <c r="E225" s="11" t="str">
        <f>HYPERLINK("https://youtu.be/BzKbR2i5jJw?t=2288","channel 1")</f>
        <v>channel 1</v>
      </c>
    </row>
    <row r="226">
      <c r="B226" s="34" t="s">
        <v>2346</v>
      </c>
      <c r="C226" s="35" t="s">
        <v>38</v>
      </c>
      <c r="D226" s="34" t="s">
        <v>1469</v>
      </c>
      <c r="E226" s="11" t="str">
        <f>HYPERLINK("https://youtu.be/xF6wEmblE28?t=1029","channel 2")</f>
        <v>channel 2</v>
      </c>
    </row>
    <row r="227">
      <c r="B227" s="34" t="s">
        <v>3193</v>
      </c>
      <c r="C227" s="35" t="s">
        <v>239</v>
      </c>
      <c r="D227" s="32" t="s">
        <v>3192</v>
      </c>
      <c r="E227" s="11" t="str">
        <f>HYPERLINK("https://youtu.be/BzKbR2i5jJw?t=3134","channel 1")</f>
        <v>channel 1</v>
      </c>
    </row>
    <row r="228">
      <c r="B228" s="34" t="s">
        <v>2346</v>
      </c>
      <c r="C228" s="35" t="s">
        <v>270</v>
      </c>
      <c r="D228" s="34" t="s">
        <v>3191</v>
      </c>
      <c r="E228" s="11" t="str">
        <f>HYPERLINK("https://youtu.be/xF6wEmblE28?t=1868","channel 2")</f>
        <v>channel 2</v>
      </c>
    </row>
    <row r="229">
      <c r="B229" s="34" t="s">
        <v>3193</v>
      </c>
      <c r="C229" s="35" t="s">
        <v>319</v>
      </c>
      <c r="D229" s="34" t="s">
        <v>1469</v>
      </c>
      <c r="E229" s="11" t="str">
        <f>HYPERLINK("https://youtu.be/BzKbR2i5jJw?t=3954","channel 1")</f>
        <v>channel 1</v>
      </c>
    </row>
    <row r="230">
      <c r="B230" s="32" t="s">
        <v>3192</v>
      </c>
      <c r="C230" s="35" t="s">
        <v>62</v>
      </c>
      <c r="D230" s="34" t="s">
        <v>3191</v>
      </c>
      <c r="E230" s="11" t="str">
        <f>HYPERLINK("https://youtu.be/xF6wEmblE28?t=2699","channel 2")</f>
        <v>channel 2</v>
      </c>
    </row>
    <row r="231">
      <c r="B231" s="34" t="s">
        <v>3193</v>
      </c>
      <c r="C231" s="35" t="s">
        <v>25</v>
      </c>
      <c r="D231" s="34" t="s">
        <v>2346</v>
      </c>
      <c r="E231" s="11" t="str">
        <f>HYPERLINK("https://youtu.be/BzKbR2i5jJw?t=4795","channel 1")</f>
        <v>channel 1</v>
      </c>
    </row>
    <row r="232">
      <c r="B232" s="32" t="s">
        <v>3192</v>
      </c>
      <c r="C232" s="35" t="s">
        <v>80</v>
      </c>
      <c r="D232" s="34" t="s">
        <v>1469</v>
      </c>
      <c r="E232" s="11" t="str">
        <f>HYPERLINK("https://youtu.be/xF6wEmblE28?t=3507","channel 2")</f>
        <v>channel 2</v>
      </c>
    </row>
    <row r="233">
      <c r="B233" s="34" t="s">
        <v>1469</v>
      </c>
      <c r="C233" s="35" t="s">
        <v>259</v>
      </c>
      <c r="D233" s="34" t="s">
        <v>3191</v>
      </c>
      <c r="E233" s="11" t="str">
        <f>HYPERLINK("https://youtu.be/BzKbR2i5jJw?t=5658","channel 1")</f>
        <v>channel 1</v>
      </c>
    </row>
    <row r="234">
      <c r="B234" s="32" t="s">
        <v>3192</v>
      </c>
      <c r="C234" s="35" t="s">
        <v>22</v>
      </c>
      <c r="D234" s="34" t="s">
        <v>2346</v>
      </c>
      <c r="E234" s="11" t="str">
        <f>HYPERLINK("https://youtu.be/xF6wEmblE28?t=4324","channel 2")</f>
        <v>channel 2</v>
      </c>
    </row>
    <row r="235">
      <c r="B235" s="34" t="s">
        <v>3191</v>
      </c>
      <c r="C235" s="35" t="s">
        <v>687</v>
      </c>
      <c r="D235" s="34" t="s">
        <v>3193</v>
      </c>
      <c r="E235" s="11" t="str">
        <f>HYPERLINK("https://youtu.be/BzKbR2i5jJw?t=6490","channel 1")</f>
        <v>channel 1</v>
      </c>
    </row>
    <row r="236">
      <c r="B236" s="34" t="s">
        <v>1469</v>
      </c>
      <c r="C236" s="35" t="s">
        <v>193</v>
      </c>
      <c r="D236" s="34" t="s">
        <v>2346</v>
      </c>
      <c r="E236" s="11" t="str">
        <f>HYPERLINK("https://youtu.be/xF6wEmblE28?t=5134","channel 2")</f>
        <v>channel 2</v>
      </c>
    </row>
    <row r="237">
      <c r="B237" s="32" t="s">
        <v>3192</v>
      </c>
      <c r="C237" s="35" t="s">
        <v>354</v>
      </c>
      <c r="D237" s="34" t="s">
        <v>3193</v>
      </c>
      <c r="E237" s="11" t="str">
        <f>HYPERLINK("https://youtu.be/BzKbR2i5jJw?t=7281","channel 1")</f>
        <v>channel 1</v>
      </c>
    </row>
    <row r="238">
      <c r="B238" s="34" t="s">
        <v>3191</v>
      </c>
      <c r="C238" s="35" t="s">
        <v>76</v>
      </c>
      <c r="D238" s="34" t="s">
        <v>2346</v>
      </c>
      <c r="E238" s="11" t="str">
        <f>HYPERLINK("https://youtu.be/xF6wEmblE28?t=5957","channel 2")</f>
        <v>channel 2</v>
      </c>
    </row>
    <row r="239">
      <c r="B239" s="34" t="s">
        <v>1469</v>
      </c>
      <c r="C239" s="35" t="s">
        <v>239</v>
      </c>
      <c r="D239" s="34" t="s">
        <v>3193</v>
      </c>
      <c r="E239" s="11" t="str">
        <f>HYPERLINK("https://youtu.be/BzKbR2i5jJw?t=8176","channel 1")</f>
        <v>channel 1</v>
      </c>
    </row>
    <row r="240">
      <c r="B240" s="34" t="s">
        <v>3191</v>
      </c>
      <c r="C240" s="35" t="s">
        <v>17</v>
      </c>
      <c r="D240" s="32" t="s">
        <v>3192</v>
      </c>
      <c r="E240" s="11" t="str">
        <f>HYPERLINK("https://youtu.be/xF6wEmblE28?t=6864","channel 2")</f>
        <v>channel 2</v>
      </c>
    </row>
    <row r="241">
      <c r="B241" s="34" t="s">
        <v>2346</v>
      </c>
      <c r="C241" s="35" t="s">
        <v>330</v>
      </c>
      <c r="D241" s="34" t="s">
        <v>3193</v>
      </c>
      <c r="E241" s="11" t="str">
        <f>HYPERLINK("https://youtu.be/BzKbR2i5jJw?t=8173","channel 1")</f>
        <v>channel 1</v>
      </c>
    </row>
    <row r="242">
      <c r="B242" s="34" t="s">
        <v>1469</v>
      </c>
      <c r="C242" s="35" t="s">
        <v>231</v>
      </c>
      <c r="D242" s="32" t="s">
        <v>3192</v>
      </c>
      <c r="E242" s="11" t="str">
        <f>HYPERLINK("https://youtu.be/xF6wEmblE28?t=7654","channel 2")</f>
        <v>channel 2</v>
      </c>
    </row>
    <row r="243">
      <c r="B243" s="72" t="s">
        <v>2200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34" t="s">
        <v>3194</v>
      </c>
      <c r="C245" s="35" t="s">
        <v>251</v>
      </c>
      <c r="D245" s="34" t="s">
        <v>2580</v>
      </c>
      <c r="E245" s="11" t="str">
        <f>HYPERLINK("https://youtu.be/FwJT3aYtoug","channel 1")</f>
        <v>channel 1</v>
      </c>
    </row>
    <row r="246">
      <c r="B246" s="34" t="s">
        <v>2492</v>
      </c>
      <c r="C246" s="35" t="s">
        <v>7</v>
      </c>
      <c r="D246" s="32" t="s">
        <v>2201</v>
      </c>
      <c r="E246" s="11" t="str">
        <f>HYPERLINK("https://youtu.be/IigdHxPpNXg","channel 2")</f>
        <v>channel 2</v>
      </c>
    </row>
    <row r="247">
      <c r="B247" s="34" t="s">
        <v>1330</v>
      </c>
      <c r="C247" s="35" t="s">
        <v>1832</v>
      </c>
      <c r="D247" s="34" t="s">
        <v>3194</v>
      </c>
      <c r="E247" s="11" t="str">
        <f>HYPERLINK("https://youtu.be/FwJT3aYtoug?t=996","channel 1")</f>
        <v>channel 1</v>
      </c>
    </row>
    <row r="248">
      <c r="B248" s="34" t="s">
        <v>2492</v>
      </c>
      <c r="C248" s="35" t="s">
        <v>853</v>
      </c>
      <c r="D248" s="34" t="s">
        <v>2580</v>
      </c>
      <c r="E248" s="11" t="str">
        <f>HYPERLINK("https://youtu.be/IigdHxPpNXg?t=1101","channel 2")</f>
        <v>channel 2</v>
      </c>
    </row>
    <row r="249">
      <c r="B249" s="34" t="s">
        <v>1330</v>
      </c>
      <c r="C249" s="35" t="s">
        <v>317</v>
      </c>
      <c r="D249" s="32" t="s">
        <v>2201</v>
      </c>
      <c r="E249" s="11" t="str">
        <f>HYPERLINK("https://youtu.be/FwJT3aYtoug?t=1960","channel 1")</f>
        <v>channel 1</v>
      </c>
    </row>
    <row r="250">
      <c r="B250" s="34" t="s">
        <v>2492</v>
      </c>
      <c r="C250" s="35" t="s">
        <v>1538</v>
      </c>
      <c r="D250" s="34" t="s">
        <v>3194</v>
      </c>
      <c r="E250" s="11" t="str">
        <f>HYPERLINK("https://youtu.be/IigdHxPpNXg?t=2057","channel 2")</f>
        <v>channel 2</v>
      </c>
    </row>
    <row r="251">
      <c r="B251" s="34" t="s">
        <v>1330</v>
      </c>
      <c r="C251" s="35" t="s">
        <v>16</v>
      </c>
      <c r="D251" s="34" t="s">
        <v>2580</v>
      </c>
      <c r="E251" s="11" t="str">
        <f>HYPERLINK("https://youtu.be/FwJT3aYtoug?t=2931","channel 1")</f>
        <v>channel 1</v>
      </c>
    </row>
    <row r="252">
      <c r="B252" s="32" t="s">
        <v>2201</v>
      </c>
      <c r="C252" s="35" t="s">
        <v>239</v>
      </c>
      <c r="D252" s="34" t="s">
        <v>3194</v>
      </c>
      <c r="E252" s="11" t="str">
        <f>HYPERLINK("https://youtu.be/IigdHxPpNXg?t=3021","channel 2")</f>
        <v>channel 2</v>
      </c>
    </row>
    <row r="253">
      <c r="B253" s="34" t="s">
        <v>1330</v>
      </c>
      <c r="C253" s="35" t="s">
        <v>86</v>
      </c>
      <c r="D253" s="34" t="s">
        <v>2492</v>
      </c>
      <c r="E253" s="11" t="str">
        <f>HYPERLINK("https://youtu.be/FwJT3aYtoug?t=3863","channel 1")</f>
        <v>channel 1</v>
      </c>
    </row>
    <row r="254">
      <c r="B254" s="32" t="s">
        <v>2201</v>
      </c>
      <c r="C254" s="35" t="s">
        <v>354</v>
      </c>
      <c r="D254" s="34" t="s">
        <v>2580</v>
      </c>
      <c r="E254" s="11" t="str">
        <f>HYPERLINK("https://youtu.be/IigdHxPpNXg?t=4007","channel 2")</f>
        <v>channel 2</v>
      </c>
    </row>
    <row r="255">
      <c r="B255" s="34" t="s">
        <v>2580</v>
      </c>
      <c r="C255" s="35" t="s">
        <v>66</v>
      </c>
      <c r="D255" s="34" t="s">
        <v>3194</v>
      </c>
      <c r="E255" s="11" t="str">
        <f>HYPERLINK("https://youtu.be/FwJT3aYtoug?t=4824","channel 1")</f>
        <v>channel 1</v>
      </c>
    </row>
    <row r="256">
      <c r="B256" s="32" t="s">
        <v>2201</v>
      </c>
      <c r="C256" s="35" t="s">
        <v>2282</v>
      </c>
      <c r="D256" s="34" t="s">
        <v>2492</v>
      </c>
      <c r="E256" s="11" t="str">
        <f>HYPERLINK("https://youtu.be/IigdHxPpNXg?t=4963","channel 2")</f>
        <v>channel 2</v>
      </c>
    </row>
    <row r="257">
      <c r="B257" s="34" t="s">
        <v>3194</v>
      </c>
      <c r="C257" s="35" t="s">
        <v>829</v>
      </c>
      <c r="D257" s="34" t="s">
        <v>1330</v>
      </c>
      <c r="E257" s="11" t="str">
        <f>HYPERLINK("https://youtu.be/FwJT3aYtoug?t=5762","channel 1")</f>
        <v>channel 1</v>
      </c>
    </row>
    <row r="258">
      <c r="B258" s="34" t="s">
        <v>2580</v>
      </c>
      <c r="C258" s="35" t="s">
        <v>460</v>
      </c>
      <c r="D258" s="34" t="s">
        <v>2492</v>
      </c>
      <c r="E258" s="11" t="str">
        <f>HYPERLINK("https://youtu.be/IigdHxPpNXg?t=5891","channel 2")</f>
        <v>channel 2</v>
      </c>
    </row>
    <row r="259">
      <c r="B259" s="32" t="s">
        <v>2201</v>
      </c>
      <c r="C259" s="35" t="s">
        <v>363</v>
      </c>
      <c r="D259" s="34" t="s">
        <v>1330</v>
      </c>
      <c r="E259" s="11" t="str">
        <f>HYPERLINK("https://youtu.be/FwJT3aYtoug?t=6712","channel 1")</f>
        <v>channel 1</v>
      </c>
    </row>
    <row r="260">
      <c r="B260" s="34" t="s">
        <v>3194</v>
      </c>
      <c r="C260" s="35" t="s">
        <v>43</v>
      </c>
      <c r="D260" s="34" t="s">
        <v>2492</v>
      </c>
      <c r="E260" s="11" t="str">
        <f>HYPERLINK("https://youtu.be/IigdHxPpNXg?t=6846","channel 2")</f>
        <v>channel 2</v>
      </c>
    </row>
    <row r="261">
      <c r="B261" s="34" t="s">
        <v>2580</v>
      </c>
      <c r="C261" s="35" t="s">
        <v>28</v>
      </c>
      <c r="D261" s="34" t="s">
        <v>1330</v>
      </c>
      <c r="E261" s="11" t="str">
        <f>HYPERLINK("https://youtu.be/FwJT3aYtoug?t=7628","channel 1")</f>
        <v>channel 1</v>
      </c>
    </row>
    <row r="262">
      <c r="B262" s="34" t="s">
        <v>3194</v>
      </c>
      <c r="C262" s="35" t="s">
        <v>83</v>
      </c>
      <c r="D262" s="32" t="s">
        <v>2201</v>
      </c>
      <c r="E262" s="11" t="str">
        <f>HYPERLINK("https://youtu.be/IigdHxPpNXg?t=7794","channel 2")</f>
        <v>channel 2</v>
      </c>
    </row>
    <row r="263">
      <c r="B263" s="34" t="s">
        <v>2492</v>
      </c>
      <c r="C263" s="35" t="s">
        <v>25</v>
      </c>
      <c r="D263" s="34" t="s">
        <v>1330</v>
      </c>
      <c r="E263" s="11" t="str">
        <f>HYPERLINK("https://youtu.be/FwJT3aYtoug?t=8562","channel 1")</f>
        <v>channel 1</v>
      </c>
    </row>
    <row r="264">
      <c r="B264" s="34" t="s">
        <v>2580</v>
      </c>
      <c r="C264" s="35" t="s">
        <v>87</v>
      </c>
      <c r="D264" s="32" t="s">
        <v>2201</v>
      </c>
      <c r="E264" s="11" t="str">
        <f>HYPERLINK("https://youtu.be/IigdHxPpNXg?t=8733","channel 2")</f>
        <v>channel 2</v>
      </c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/>
      <c r="B1" s="72" t="s">
        <v>2212</v>
      </c>
      <c r="C1" s="2"/>
      <c r="D1" s="3"/>
      <c r="E1" s="84"/>
    </row>
    <row r="2">
      <c r="A2" s="66"/>
      <c r="B2" s="85" t="s">
        <v>2</v>
      </c>
      <c r="C2" s="86" t="s">
        <v>3</v>
      </c>
      <c r="D2" s="86" t="s">
        <v>4</v>
      </c>
      <c r="E2" s="86" t="s">
        <v>5</v>
      </c>
    </row>
    <row r="3">
      <c r="A3" s="66"/>
      <c r="B3" s="34" t="s">
        <v>3138</v>
      </c>
      <c r="C3" s="35" t="s">
        <v>72</v>
      </c>
      <c r="D3" s="34" t="s">
        <v>3195</v>
      </c>
      <c r="E3" s="97" t="str">
        <f>HYPERLINK("https://youtu.be/3BUDRmMLUYQ","channel 1")</f>
        <v>channel 1</v>
      </c>
    </row>
    <row r="4">
      <c r="A4" s="66"/>
      <c r="B4" s="34" t="s">
        <v>3196</v>
      </c>
      <c r="C4" s="35" t="s">
        <v>88</v>
      </c>
      <c r="D4" s="32" t="s">
        <v>2082</v>
      </c>
      <c r="E4" s="97" t="str">
        <f>HYPERLINK("https://youtu.be/lrKMfDmAUqI","channel 2")</f>
        <v>channel 2</v>
      </c>
    </row>
    <row r="5">
      <c r="A5" s="66"/>
      <c r="B5" s="34" t="s">
        <v>3197</v>
      </c>
      <c r="C5" s="35" t="s">
        <v>282</v>
      </c>
      <c r="D5" s="34" t="s">
        <v>3138</v>
      </c>
      <c r="E5" s="98" t="s">
        <v>9</v>
      </c>
    </row>
    <row r="6">
      <c r="A6" s="66"/>
      <c r="B6" s="34" t="s">
        <v>3196</v>
      </c>
      <c r="C6" s="35" t="s">
        <v>17</v>
      </c>
      <c r="D6" s="34" t="s">
        <v>3195</v>
      </c>
      <c r="E6" s="97" t="str">
        <f>HYPERLINK("https://youtu.be/lrKMfDmAUqI?t=1174","channel 2")</f>
        <v>channel 2</v>
      </c>
    </row>
    <row r="7">
      <c r="A7" s="66"/>
      <c r="B7" s="34" t="s">
        <v>3197</v>
      </c>
      <c r="C7" s="35" t="s">
        <v>482</v>
      </c>
      <c r="D7" s="32" t="s">
        <v>2082</v>
      </c>
      <c r="E7" s="98" t="s">
        <v>9</v>
      </c>
    </row>
    <row r="8">
      <c r="A8" s="66"/>
      <c r="B8" s="34" t="s">
        <v>3196</v>
      </c>
      <c r="C8" s="35" t="s">
        <v>217</v>
      </c>
      <c r="D8" s="34" t="s">
        <v>3138</v>
      </c>
      <c r="E8" s="97" t="str">
        <f>HYPERLINK("https://youtu.be/lrKMfDmAUqI?t=2127","channel 2")</f>
        <v>channel 2</v>
      </c>
    </row>
    <row r="9">
      <c r="A9" s="66"/>
      <c r="B9" s="34" t="s">
        <v>3197</v>
      </c>
      <c r="C9" s="35" t="s">
        <v>20</v>
      </c>
      <c r="D9" s="34" t="s">
        <v>3195</v>
      </c>
      <c r="E9" s="98" t="s">
        <v>9</v>
      </c>
    </row>
    <row r="10">
      <c r="A10" s="66"/>
      <c r="B10" s="32" t="s">
        <v>2082</v>
      </c>
      <c r="C10" s="35" t="s">
        <v>404</v>
      </c>
      <c r="D10" s="34" t="s">
        <v>3138</v>
      </c>
      <c r="E10" s="97" t="str">
        <f>HYPERLINK("https://youtu.be/lrKMfDmAUqI?t=3055","channel 2")</f>
        <v>channel 2</v>
      </c>
    </row>
    <row r="11">
      <c r="A11" s="66"/>
      <c r="B11" s="34" t="s">
        <v>3197</v>
      </c>
      <c r="C11" s="35" t="s">
        <v>218</v>
      </c>
      <c r="D11" s="34" t="s">
        <v>3196</v>
      </c>
      <c r="E11" s="98" t="s">
        <v>9</v>
      </c>
    </row>
    <row r="12">
      <c r="A12" s="66"/>
      <c r="B12" s="32" t="s">
        <v>2082</v>
      </c>
      <c r="C12" s="35" t="s">
        <v>26</v>
      </c>
      <c r="D12" s="34" t="s">
        <v>3195</v>
      </c>
      <c r="E12" s="97" t="str">
        <f>HYPERLINK("https://youtu.be/lrKMfDmAUqI?t=4031","channel 2")</f>
        <v>channel 2</v>
      </c>
    </row>
    <row r="13">
      <c r="A13" s="66"/>
      <c r="B13" s="34" t="s">
        <v>3195</v>
      </c>
      <c r="C13" s="35" t="s">
        <v>197</v>
      </c>
      <c r="D13" s="34" t="s">
        <v>3138</v>
      </c>
      <c r="E13" s="98" t="s">
        <v>9</v>
      </c>
    </row>
    <row r="14">
      <c r="A14" s="66"/>
      <c r="B14" s="32" t="s">
        <v>2082</v>
      </c>
      <c r="C14" s="35" t="s">
        <v>193</v>
      </c>
      <c r="D14" s="34" t="s">
        <v>3196</v>
      </c>
      <c r="E14" s="97" t="str">
        <f>HYPERLINK("https://youtu.be/lrKMfDmAUqI?t=4942","channel 2")</f>
        <v>channel 2</v>
      </c>
    </row>
    <row r="15">
      <c r="A15" s="66"/>
      <c r="B15" s="34" t="s">
        <v>3138</v>
      </c>
      <c r="C15" s="35" t="s">
        <v>17</v>
      </c>
      <c r="D15" s="34" t="s">
        <v>3197</v>
      </c>
      <c r="E15" s="98" t="s">
        <v>9</v>
      </c>
    </row>
    <row r="16">
      <c r="A16" s="66"/>
      <c r="B16" s="34" t="s">
        <v>3195</v>
      </c>
      <c r="C16" s="35" t="s">
        <v>28</v>
      </c>
      <c r="D16" s="34" t="s">
        <v>3196</v>
      </c>
      <c r="E16" s="97" t="str">
        <f>HYPERLINK("https://youtu.be/lrKMfDmAUqI?t=5856","channel 2")</f>
        <v>channel 2</v>
      </c>
    </row>
    <row r="17">
      <c r="A17" s="66"/>
      <c r="B17" s="32" t="s">
        <v>2082</v>
      </c>
      <c r="C17" s="35" t="s">
        <v>1696</v>
      </c>
      <c r="D17" s="34" t="s">
        <v>3197</v>
      </c>
      <c r="E17" s="98" t="s">
        <v>9</v>
      </c>
    </row>
    <row r="18">
      <c r="A18" s="66"/>
      <c r="B18" s="34" t="s">
        <v>3138</v>
      </c>
      <c r="C18" s="35" t="s">
        <v>797</v>
      </c>
      <c r="D18" s="34" t="s">
        <v>3196</v>
      </c>
      <c r="E18" s="97" t="str">
        <f>HYPERLINK("https://youtu.be/lrKMfDmAUqI?t=6789","channel 2")</f>
        <v>channel 2</v>
      </c>
    </row>
    <row r="19">
      <c r="A19" s="66"/>
      <c r="B19" s="34" t="s">
        <v>3195</v>
      </c>
      <c r="C19" s="35" t="s">
        <v>284</v>
      </c>
      <c r="D19" s="34" t="s">
        <v>3197</v>
      </c>
      <c r="E19" s="98" t="s">
        <v>9</v>
      </c>
    </row>
    <row r="20">
      <c r="A20" s="66"/>
      <c r="B20" s="34" t="s">
        <v>3138</v>
      </c>
      <c r="C20" s="35" t="s">
        <v>380</v>
      </c>
      <c r="D20" s="32" t="s">
        <v>2082</v>
      </c>
      <c r="E20" s="97" t="str">
        <f>HYPERLINK("https://youtu.be/lrKMfDmAUqI?t=7733","channel 2")</f>
        <v>channel 2</v>
      </c>
    </row>
    <row r="21">
      <c r="A21" s="66"/>
      <c r="B21" s="34" t="s">
        <v>3196</v>
      </c>
      <c r="C21" s="35" t="s">
        <v>404</v>
      </c>
      <c r="D21" s="34" t="s">
        <v>3197</v>
      </c>
      <c r="E21" s="98" t="s">
        <v>9</v>
      </c>
    </row>
    <row r="22">
      <c r="A22" s="66"/>
      <c r="B22" s="34" t="s">
        <v>3195</v>
      </c>
      <c r="C22" s="35" t="s">
        <v>25</v>
      </c>
      <c r="D22" s="32" t="s">
        <v>2082</v>
      </c>
      <c r="E22" s="97" t="str">
        <f>HYPERLINK("https://youtu.be/lrKMfDmAUqI?t=8648","channel 2")</f>
        <v>channel 2</v>
      </c>
    </row>
    <row r="23">
      <c r="A23" s="66"/>
      <c r="B23" s="72" t="s">
        <v>1331</v>
      </c>
      <c r="C23" s="2"/>
      <c r="D23" s="3"/>
      <c r="E23" s="29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3198</v>
      </c>
      <c r="C25" s="35" t="s">
        <v>286</v>
      </c>
      <c r="D25" s="34" t="s">
        <v>1278</v>
      </c>
      <c r="E25" s="11" t="str">
        <f>HYPERLINK("https://youtu.be/7lm_EG555ns","channel 1")</f>
        <v>channel 1</v>
      </c>
    </row>
    <row r="26">
      <c r="A26" s="66"/>
      <c r="B26" s="34" t="s">
        <v>3199</v>
      </c>
      <c r="C26" s="35" t="s">
        <v>196</v>
      </c>
      <c r="D26" s="32" t="s">
        <v>1845</v>
      </c>
      <c r="E26" s="11" t="str">
        <f>HYPERLINK("https://youtu.be/rq_UJjJggbU","channel 2")</f>
        <v>channel 2</v>
      </c>
    </row>
    <row r="27">
      <c r="A27" s="66"/>
      <c r="B27" s="34" t="s">
        <v>648</v>
      </c>
      <c r="C27" s="35" t="s">
        <v>285</v>
      </c>
      <c r="D27" s="34" t="s">
        <v>3198</v>
      </c>
      <c r="E27" s="11" t="str">
        <f>HYPERLINK("https://youtu.be/7lm_EG555ns?t=974","channel 1")</f>
        <v>channel 1</v>
      </c>
    </row>
    <row r="28">
      <c r="A28" s="66"/>
      <c r="B28" s="34" t="s">
        <v>3199</v>
      </c>
      <c r="C28" s="35" t="s">
        <v>81</v>
      </c>
      <c r="D28" s="34" t="s">
        <v>1278</v>
      </c>
      <c r="E28" s="11" t="str">
        <f>HYPERLINK("https://youtu.be/rq_UJjJggbU?t=1057","channel 2")</f>
        <v>channel 2</v>
      </c>
    </row>
    <row r="29">
      <c r="A29" s="66"/>
      <c r="B29" s="34" t="s">
        <v>648</v>
      </c>
      <c r="C29" s="35" t="s">
        <v>494</v>
      </c>
      <c r="D29" s="32" t="s">
        <v>1845</v>
      </c>
      <c r="E29" s="11" t="str">
        <f>HYPERLINK("https://youtu.be/7lm_EG555ns?t=1900","channel 1")</f>
        <v>channel 1</v>
      </c>
    </row>
    <row r="30">
      <c r="A30" s="66"/>
      <c r="B30" s="34" t="s">
        <v>3199</v>
      </c>
      <c r="C30" s="35" t="s">
        <v>329</v>
      </c>
      <c r="D30" s="34" t="s">
        <v>3198</v>
      </c>
      <c r="E30" s="11" t="str">
        <f>HYPERLINK("https://youtu.be/rq_UJjJggbU?t=1960","channel 2")</f>
        <v>channel 2</v>
      </c>
    </row>
    <row r="31">
      <c r="A31" s="66"/>
      <c r="B31" s="34" t="s">
        <v>648</v>
      </c>
      <c r="C31" s="35" t="s">
        <v>71</v>
      </c>
      <c r="D31" s="34" t="s">
        <v>1278</v>
      </c>
      <c r="E31" s="11" t="str">
        <f>HYPERLINK("https://youtu.be/7lm_EG555ns?t=2769","channel 1")</f>
        <v>channel 1</v>
      </c>
    </row>
    <row r="32">
      <c r="A32" s="66"/>
      <c r="B32" s="32" t="s">
        <v>1845</v>
      </c>
      <c r="C32" s="35" t="s">
        <v>82</v>
      </c>
      <c r="D32" s="34" t="s">
        <v>3198</v>
      </c>
      <c r="E32" s="11" t="str">
        <f>HYPERLINK("https://youtu.be/rq_UJjJggbU?t=2883","channel 2")</f>
        <v>channel 2</v>
      </c>
    </row>
    <row r="33">
      <c r="A33" s="66"/>
      <c r="B33" s="34" t="s">
        <v>648</v>
      </c>
      <c r="C33" s="35" t="s">
        <v>78</v>
      </c>
      <c r="D33" s="34" t="s">
        <v>3199</v>
      </c>
      <c r="E33" s="11" t="str">
        <f>HYPERLINK("https://youtu.be/7lm_EG555ns?t=3694","channel 1")</f>
        <v>channel 1</v>
      </c>
    </row>
    <row r="34">
      <c r="A34" s="66"/>
      <c r="B34" s="32" t="s">
        <v>1845</v>
      </c>
      <c r="C34" s="35" t="s">
        <v>62</v>
      </c>
      <c r="D34" s="34" t="s">
        <v>1278</v>
      </c>
      <c r="E34" s="11" t="str">
        <f>HYPERLINK("https://youtu.be/rq_UJjJggbU?t=3849","channel 2")</f>
        <v>channel 2</v>
      </c>
    </row>
    <row r="35">
      <c r="A35" s="66"/>
      <c r="B35" s="34" t="s">
        <v>1278</v>
      </c>
      <c r="C35" s="35" t="s">
        <v>190</v>
      </c>
      <c r="D35" s="34" t="s">
        <v>3198</v>
      </c>
      <c r="E35" s="11" t="str">
        <f>HYPERLINK("https://youtu.be/7lm_EG555ns?t=4629","channel 1")</f>
        <v>channel 1</v>
      </c>
    </row>
    <row r="36">
      <c r="A36" s="66"/>
      <c r="B36" s="32" t="s">
        <v>1845</v>
      </c>
      <c r="C36" s="35" t="s">
        <v>587</v>
      </c>
      <c r="D36" s="34" t="s">
        <v>3199</v>
      </c>
      <c r="E36" s="11" t="str">
        <f>HYPERLINK("https://youtu.be/rq_UJjJggbU?t=4766","channel 2")</f>
        <v>channel 2</v>
      </c>
    </row>
    <row r="37">
      <c r="A37" s="66"/>
      <c r="B37" s="34" t="s">
        <v>3198</v>
      </c>
      <c r="C37" s="35" t="s">
        <v>193</v>
      </c>
      <c r="D37" s="34" t="s">
        <v>648</v>
      </c>
      <c r="E37" s="11" t="str">
        <f>HYPERLINK("https://youtu.be/7lm_EG555ns?t=5594","channel 1")</f>
        <v>channel 1</v>
      </c>
    </row>
    <row r="38">
      <c r="A38" s="66"/>
      <c r="B38" s="34" t="s">
        <v>1278</v>
      </c>
      <c r="C38" s="35" t="s">
        <v>45</v>
      </c>
      <c r="D38" s="34" t="s">
        <v>3199</v>
      </c>
      <c r="E38" s="11" t="str">
        <f>HYPERLINK("https://youtu.be/rq_UJjJggbU?t=5723","channel 2")</f>
        <v>channel 2</v>
      </c>
    </row>
    <row r="39">
      <c r="A39" s="66"/>
      <c r="B39" s="32" t="s">
        <v>1845</v>
      </c>
      <c r="C39" s="35" t="s">
        <v>2115</v>
      </c>
      <c r="D39" s="34" t="s">
        <v>648</v>
      </c>
      <c r="E39" s="11" t="str">
        <f>HYPERLINK("https://youtu.be/7lm_EG555ns?t=6508","channel 1")</f>
        <v>channel 1</v>
      </c>
    </row>
    <row r="40">
      <c r="A40" s="66"/>
      <c r="B40" s="34" t="s">
        <v>3198</v>
      </c>
      <c r="C40" s="35" t="s">
        <v>19</v>
      </c>
      <c r="D40" s="34" t="s">
        <v>3199</v>
      </c>
      <c r="E40" s="11" t="str">
        <f>HYPERLINK("https://youtu.be/rq_UJjJggbU?t=6690","channel 2")</f>
        <v>channel 2</v>
      </c>
    </row>
    <row r="41">
      <c r="A41" s="66"/>
      <c r="B41" s="34" t="s">
        <v>1278</v>
      </c>
      <c r="C41" s="35" t="s">
        <v>250</v>
      </c>
      <c r="D41" s="34" t="s">
        <v>648</v>
      </c>
      <c r="E41" s="11" t="str">
        <f>HYPERLINK("https://youtu.be/7lm_EG555ns?t=7524","channel 1")</f>
        <v>channel 1</v>
      </c>
    </row>
    <row r="42">
      <c r="A42" s="66"/>
      <c r="B42" s="34" t="s">
        <v>3198</v>
      </c>
      <c r="C42" s="35" t="s">
        <v>11</v>
      </c>
      <c r="D42" s="32" t="s">
        <v>1845</v>
      </c>
      <c r="E42" s="11" t="str">
        <f>HYPERLINK("https://youtu.be/rq_UJjJggbU?t=7695","channel 2")</f>
        <v>channel 2</v>
      </c>
    </row>
    <row r="43">
      <c r="A43" s="66"/>
      <c r="B43" s="34" t="s">
        <v>3199</v>
      </c>
      <c r="C43" s="35" t="s">
        <v>64</v>
      </c>
      <c r="D43" s="34" t="s">
        <v>648</v>
      </c>
      <c r="E43" s="11" t="str">
        <f>HYPERLINK("https://youtu.be/7lm_EG555ns?t=8506","channel 1")</f>
        <v>channel 1</v>
      </c>
    </row>
    <row r="44">
      <c r="A44" s="67"/>
      <c r="B44" s="34" t="s">
        <v>1278</v>
      </c>
      <c r="C44" s="35" t="s">
        <v>64</v>
      </c>
      <c r="D44" s="32" t="s">
        <v>1845</v>
      </c>
      <c r="E44" s="11" t="str">
        <f>HYPERLINK("https://youtu.be/rq_UJjJggbU?t=8632","channel 2")</f>
        <v>channel 2</v>
      </c>
    </row>
    <row r="45">
      <c r="B45" s="72" t="s">
        <v>3045</v>
      </c>
      <c r="C45" s="2"/>
      <c r="D45" s="3"/>
      <c r="E45" s="84"/>
    </row>
    <row r="46">
      <c r="B46" s="85" t="s">
        <v>2</v>
      </c>
      <c r="C46" s="86" t="s">
        <v>3</v>
      </c>
      <c r="D46" s="86" t="s">
        <v>4</v>
      </c>
      <c r="E46" s="86" t="s">
        <v>5</v>
      </c>
    </row>
    <row r="47">
      <c r="B47" s="34" t="s">
        <v>2317</v>
      </c>
      <c r="C47" s="35" t="s">
        <v>7</v>
      </c>
      <c r="D47" s="34" t="s">
        <v>850</v>
      </c>
      <c r="E47" s="97" t="str">
        <f>HYPERLINK("https://youtu.be/oWxPzW-0bZs","channel 1")</f>
        <v>channel 1</v>
      </c>
    </row>
    <row r="48">
      <c r="B48" s="34" t="s">
        <v>3200</v>
      </c>
      <c r="C48" s="35" t="s">
        <v>1021</v>
      </c>
      <c r="D48" s="32" t="s">
        <v>3201</v>
      </c>
      <c r="E48" s="97" t="str">
        <f>HYPERLINK("https://youtu.be/CD8BnxXsxyI","channel 2")</f>
        <v>channel 2</v>
      </c>
    </row>
    <row r="49">
      <c r="B49" s="34" t="s">
        <v>3202</v>
      </c>
      <c r="C49" s="35" t="s">
        <v>18</v>
      </c>
      <c r="D49" s="34" t="s">
        <v>2317</v>
      </c>
      <c r="E49" s="97" t="str">
        <f>HYPERLINK("https://youtu.be/oWxPzW-0bZs?t=1019","channel 1")</f>
        <v>channel 1</v>
      </c>
    </row>
    <row r="50">
      <c r="B50" s="34" t="s">
        <v>3200</v>
      </c>
      <c r="C50" s="35" t="s">
        <v>201</v>
      </c>
      <c r="D50" s="34" t="s">
        <v>850</v>
      </c>
      <c r="E50" s="97" t="str">
        <f>HYPERLINK("https://youtu.be/CD8BnxXsxyI?t=1091","channel 2")</f>
        <v>channel 2</v>
      </c>
    </row>
    <row r="51">
      <c r="B51" s="34" t="s">
        <v>3202</v>
      </c>
      <c r="C51" s="35" t="s">
        <v>68</v>
      </c>
      <c r="D51" s="32" t="s">
        <v>3201</v>
      </c>
      <c r="E51" s="97" t="str">
        <f>HYPERLINK("https://youtu.be/oWxPzW-0bZs?t=1894","channel 1")</f>
        <v>channel 1</v>
      </c>
    </row>
    <row r="52">
      <c r="B52" s="34" t="s">
        <v>3200</v>
      </c>
      <c r="C52" s="35" t="s">
        <v>404</v>
      </c>
      <c r="D52" s="34" t="s">
        <v>2317</v>
      </c>
      <c r="E52" s="97" t="str">
        <f>HYPERLINK("https://youtu.be/CD8BnxXsxyI?t=2043","channel 2")</f>
        <v>channel 2</v>
      </c>
    </row>
    <row r="53">
      <c r="B53" s="34" t="s">
        <v>3202</v>
      </c>
      <c r="C53" s="35" t="s">
        <v>258</v>
      </c>
      <c r="D53" s="34" t="s">
        <v>850</v>
      </c>
      <c r="E53" s="97" t="str">
        <f>HYPERLINK("https://youtu.be/oWxPzW-0bZs?t=2849","channel 1")</f>
        <v>channel 1</v>
      </c>
    </row>
    <row r="54">
      <c r="B54" s="32" t="s">
        <v>3201</v>
      </c>
      <c r="C54" s="35" t="s">
        <v>1952</v>
      </c>
      <c r="D54" s="34" t="s">
        <v>2317</v>
      </c>
      <c r="E54" s="97" t="str">
        <f>HYPERLINK("https://youtu.be/CD8BnxXsxyI?t=3023","channel 2")</f>
        <v>channel 2</v>
      </c>
    </row>
    <row r="55">
      <c r="B55" s="34" t="s">
        <v>3202</v>
      </c>
      <c r="C55" s="35" t="s">
        <v>190</v>
      </c>
      <c r="D55" s="34" t="s">
        <v>3200</v>
      </c>
      <c r="E55" s="97" t="str">
        <f>HYPERLINK("https://youtu.be/oWxPzW-0bZs?t=3850","channel 1")</f>
        <v>channel 1</v>
      </c>
    </row>
    <row r="56">
      <c r="B56" s="32" t="s">
        <v>3201</v>
      </c>
      <c r="C56" s="35" t="s">
        <v>14</v>
      </c>
      <c r="D56" s="34" t="s">
        <v>850</v>
      </c>
      <c r="E56" s="97" t="str">
        <f>HYPERLINK("https://youtu.be/CD8BnxXsxyI?t=3954","channel 2")</f>
        <v>channel 2</v>
      </c>
    </row>
    <row r="57">
      <c r="B57" s="34" t="s">
        <v>850</v>
      </c>
      <c r="C57" s="35" t="s">
        <v>289</v>
      </c>
      <c r="D57" s="34" t="s">
        <v>2317</v>
      </c>
      <c r="E57" s="97" t="str">
        <f>HYPERLINK("https://youtu.be/oWxPzW-0bZs?t=4864","channel 1")</f>
        <v>channel 1</v>
      </c>
    </row>
    <row r="58">
      <c r="B58" s="32" t="s">
        <v>3201</v>
      </c>
      <c r="C58" s="35" t="s">
        <v>69</v>
      </c>
      <c r="D58" s="34" t="s">
        <v>3200</v>
      </c>
      <c r="E58" s="97" t="str">
        <f>HYPERLINK("https://youtu.be/CD8BnxXsxyI?t=4917","channel 2")</f>
        <v>channel 2</v>
      </c>
    </row>
    <row r="59">
      <c r="B59" s="34" t="s">
        <v>2317</v>
      </c>
      <c r="C59" s="35" t="s">
        <v>62</v>
      </c>
      <c r="D59" s="34" t="s">
        <v>3202</v>
      </c>
      <c r="E59" s="97" t="str">
        <f>HYPERLINK("https://youtu.be/oWxPzW-0bZs?t=5812","channel 1")</f>
        <v>channel 1</v>
      </c>
    </row>
    <row r="60">
      <c r="B60" s="34" t="s">
        <v>850</v>
      </c>
      <c r="C60" s="35" t="s">
        <v>270</v>
      </c>
      <c r="D60" s="34" t="s">
        <v>3200</v>
      </c>
      <c r="E60" s="97" t="str">
        <f>HYPERLINK("https://youtu.be/CD8BnxXsxyI?t=5856","channel 2")</f>
        <v>channel 2</v>
      </c>
    </row>
    <row r="61">
      <c r="B61" s="32" t="s">
        <v>3201</v>
      </c>
      <c r="C61" s="35" t="s">
        <v>239</v>
      </c>
      <c r="D61" s="34" t="s">
        <v>3202</v>
      </c>
      <c r="E61" s="97" t="str">
        <f>HYPERLINK("https://youtu.be/oWxPzW-0bZs?t=6756","channel 1")</f>
        <v>channel 1</v>
      </c>
    </row>
    <row r="62">
      <c r="B62" s="34" t="s">
        <v>2317</v>
      </c>
      <c r="C62" s="35" t="s">
        <v>534</v>
      </c>
      <c r="D62" s="34" t="s">
        <v>3200</v>
      </c>
      <c r="E62" s="97" t="str">
        <f>HYPERLINK("https://youtu.be/CD8BnxXsxyI?t=6778","channel 2")</f>
        <v>channel 2</v>
      </c>
    </row>
    <row r="63">
      <c r="B63" s="34" t="s">
        <v>850</v>
      </c>
      <c r="C63" s="35" t="s">
        <v>35</v>
      </c>
      <c r="D63" s="34" t="s">
        <v>3202</v>
      </c>
      <c r="E63" s="97" t="str">
        <f>HYPERLINK("https://youtu.be/oWxPzW-0bZs?t=7708","channel 1")</f>
        <v>channel 1</v>
      </c>
    </row>
    <row r="64">
      <c r="B64" s="34" t="s">
        <v>2317</v>
      </c>
      <c r="C64" s="35" t="s">
        <v>62</v>
      </c>
      <c r="D64" s="32" t="s">
        <v>3201</v>
      </c>
      <c r="E64" s="97" t="str">
        <f>HYPERLINK("https://youtu.be/CD8BnxXsxyI?t=7695","channel 2")</f>
        <v>channel 2</v>
      </c>
    </row>
    <row r="65">
      <c r="B65" s="34" t="s">
        <v>3200</v>
      </c>
      <c r="C65" s="35" t="s">
        <v>43</v>
      </c>
      <c r="D65" s="34" t="s">
        <v>3202</v>
      </c>
      <c r="E65" s="97" t="str">
        <f>HYPERLINK("https://youtu.be/oWxPzW-0bZs?t=8617","channel 1")</f>
        <v>channel 1</v>
      </c>
    </row>
    <row r="66">
      <c r="B66" s="34" t="s">
        <v>850</v>
      </c>
      <c r="C66" s="35" t="s">
        <v>68</v>
      </c>
      <c r="D66" s="32" t="s">
        <v>3201</v>
      </c>
      <c r="E66" s="97" t="str">
        <f>HYPERLINK("https://youtu.be/CD8BnxXsxyI?t=8633","channel 2")</f>
        <v>channel 2</v>
      </c>
    </row>
    <row r="67">
      <c r="B67" s="72" t="s">
        <v>3203</v>
      </c>
      <c r="C67" s="2"/>
      <c r="D67" s="3"/>
      <c r="E67" s="84"/>
    </row>
    <row r="68">
      <c r="B68" s="85" t="s">
        <v>2</v>
      </c>
      <c r="C68" s="86" t="s">
        <v>3</v>
      </c>
      <c r="D68" s="86" t="s">
        <v>4</v>
      </c>
      <c r="E68" s="86" t="s">
        <v>5</v>
      </c>
    </row>
    <row r="69">
      <c r="B69" s="34" t="s">
        <v>3204</v>
      </c>
      <c r="C69" s="35" t="s">
        <v>88</v>
      </c>
      <c r="D69" s="34" t="s">
        <v>3205</v>
      </c>
      <c r="E69" s="97" t="str">
        <f>HYPERLINK("https://youtu.be/9NEuRzHrTQc","channel 1")</f>
        <v>channel 1</v>
      </c>
    </row>
    <row r="70">
      <c r="B70" s="34" t="s">
        <v>3206</v>
      </c>
      <c r="C70" s="35" t="s">
        <v>43</v>
      </c>
      <c r="D70" s="32" t="s">
        <v>1862</v>
      </c>
      <c r="E70" s="97" t="str">
        <f>HYPERLINK("https://youtu.be/AxoETfY-y5Y","channel 2")</f>
        <v>channel 2</v>
      </c>
    </row>
    <row r="71">
      <c r="B71" s="34" t="s">
        <v>2100</v>
      </c>
      <c r="C71" s="35" t="s">
        <v>304</v>
      </c>
      <c r="D71" s="34" t="s">
        <v>3204</v>
      </c>
      <c r="E71" s="97" t="str">
        <f>HYPERLINK("https://youtu.be/9NEuRzHrTQc?t=988","channel 1")</f>
        <v>channel 1</v>
      </c>
    </row>
    <row r="72">
      <c r="B72" s="34" t="s">
        <v>3206</v>
      </c>
      <c r="C72" s="35" t="s">
        <v>212</v>
      </c>
      <c r="D72" s="34" t="s">
        <v>3205</v>
      </c>
      <c r="E72" s="97" t="str">
        <f>HYPERLINK("https://youtu.be/AxoETfY-y5Y?t=1047","channel 2")</f>
        <v>channel 2</v>
      </c>
    </row>
    <row r="73">
      <c r="B73" s="34" t="s">
        <v>2100</v>
      </c>
      <c r="C73" s="35" t="s">
        <v>196</v>
      </c>
      <c r="D73" s="32" t="s">
        <v>1862</v>
      </c>
      <c r="E73" s="97" t="str">
        <f>HYPERLINK("https://youtu.be/9NEuRzHrTQc?t=1947","channel 1")</f>
        <v>channel 1</v>
      </c>
    </row>
    <row r="74">
      <c r="B74" s="34" t="s">
        <v>3206</v>
      </c>
      <c r="C74" s="35" t="s">
        <v>82</v>
      </c>
      <c r="D74" s="34" t="s">
        <v>3204</v>
      </c>
      <c r="E74" s="97" t="str">
        <f>HYPERLINK("https://youtu.be/AxoETfY-y5Y?t=2075","channel 2")</f>
        <v>channel 2</v>
      </c>
    </row>
    <row r="75">
      <c r="B75" s="34" t="s">
        <v>2100</v>
      </c>
      <c r="C75" s="35" t="s">
        <v>220</v>
      </c>
      <c r="D75" s="34" t="s">
        <v>3205</v>
      </c>
      <c r="E75" s="97" t="str">
        <f>HYPERLINK("https://youtu.be/9NEuRzHrTQc?t=2904","channel 1")</f>
        <v>channel 1</v>
      </c>
    </row>
    <row r="76">
      <c r="B76" s="32" t="s">
        <v>1862</v>
      </c>
      <c r="C76" s="35" t="s">
        <v>232</v>
      </c>
      <c r="D76" s="34" t="s">
        <v>3204</v>
      </c>
      <c r="E76" s="97" t="str">
        <f>HYPERLINK("https://youtu.be/AxoETfY-y5Y?t=3053","channel 2")</f>
        <v>channel 2</v>
      </c>
    </row>
    <row r="77">
      <c r="B77" s="34" t="s">
        <v>2100</v>
      </c>
      <c r="C77" s="35" t="s">
        <v>35</v>
      </c>
      <c r="D77" s="34" t="s">
        <v>3206</v>
      </c>
      <c r="E77" s="97" t="str">
        <f>HYPERLINK("https://youtu.be/9NEuRzHrTQc?t=3885","channel 1")</f>
        <v>channel 1</v>
      </c>
    </row>
    <row r="78">
      <c r="B78" s="32" t="s">
        <v>1862</v>
      </c>
      <c r="C78" s="35" t="s">
        <v>197</v>
      </c>
      <c r="D78" s="34" t="s">
        <v>3205</v>
      </c>
      <c r="E78" s="97" t="str">
        <f>HYPERLINK("https://youtu.be/AxoETfY-y5Y?t=4052","channel 2")</f>
        <v>channel 2</v>
      </c>
    </row>
    <row r="79">
      <c r="B79" s="34" t="s">
        <v>3205</v>
      </c>
      <c r="C79" s="35" t="s">
        <v>64</v>
      </c>
      <c r="D79" s="34" t="s">
        <v>3204</v>
      </c>
      <c r="E79" s="97" t="str">
        <f>HYPERLINK("https://youtu.be/9NEuRzHrTQc?t=4968","channel 1")</f>
        <v>channel 1</v>
      </c>
    </row>
    <row r="80">
      <c r="B80" s="32" t="s">
        <v>1862</v>
      </c>
      <c r="C80" s="35" t="s">
        <v>951</v>
      </c>
      <c r="D80" s="34" t="s">
        <v>3206</v>
      </c>
      <c r="E80" s="97" t="str">
        <f>HYPERLINK("https://youtu.be/AxoETfY-y5Y?t=4989","channel 2")</f>
        <v>channel 2</v>
      </c>
    </row>
    <row r="81">
      <c r="B81" s="34" t="s">
        <v>3204</v>
      </c>
      <c r="C81" s="35" t="s">
        <v>22</v>
      </c>
      <c r="D81" s="34" t="s">
        <v>2100</v>
      </c>
      <c r="E81" s="97" t="str">
        <f>HYPERLINK("https://youtu.be/9NEuRzHrTQc?t=5906","channel 1")</f>
        <v>channel 1</v>
      </c>
    </row>
    <row r="82">
      <c r="B82" s="34" t="s">
        <v>3205</v>
      </c>
      <c r="C82" s="35" t="s">
        <v>312</v>
      </c>
      <c r="D82" s="34" t="s">
        <v>3206</v>
      </c>
      <c r="E82" s="97" t="str">
        <f>HYPERLINK("https://youtu.be/AxoETfY-y5Y?t=5946","channel 2")</f>
        <v>channel 2</v>
      </c>
    </row>
    <row r="83">
      <c r="B83" s="32" t="s">
        <v>1862</v>
      </c>
      <c r="C83" s="35" t="s">
        <v>412</v>
      </c>
      <c r="D83" s="34" t="s">
        <v>2100</v>
      </c>
      <c r="E83" s="97" t="str">
        <f>HYPERLINK("https://youtu.be/9NEuRzHrTQc?t=6812","channel 1")</f>
        <v>channel 1</v>
      </c>
    </row>
    <row r="84">
      <c r="B84" s="34" t="s">
        <v>3204</v>
      </c>
      <c r="C84" s="35" t="s">
        <v>542</v>
      </c>
      <c r="D84" s="34" t="s">
        <v>3206</v>
      </c>
      <c r="E84" s="97" t="str">
        <f>HYPERLINK("https://youtu.be/AxoETfY-y5Y?t=6881","channel 2")</f>
        <v>channel 2</v>
      </c>
    </row>
    <row r="85">
      <c r="B85" s="34" t="s">
        <v>3205</v>
      </c>
      <c r="C85" s="35" t="s">
        <v>43</v>
      </c>
      <c r="D85" s="34" t="s">
        <v>2100</v>
      </c>
      <c r="E85" s="97" t="str">
        <f>HYPERLINK("https://youtu.be/9NEuRzHrTQc?t=7774","channel 1")</f>
        <v>channel 1</v>
      </c>
    </row>
    <row r="86">
      <c r="B86" s="34" t="s">
        <v>3204</v>
      </c>
      <c r="C86" s="35" t="s">
        <v>317</v>
      </c>
      <c r="D86" s="32" t="s">
        <v>1862</v>
      </c>
      <c r="E86" s="97" t="str">
        <f>HYPERLINK("https://youtu.be/AxoETfY-y5Y?t=7850","channel 2")</f>
        <v>channel 2</v>
      </c>
    </row>
    <row r="87">
      <c r="B87" s="34" t="s">
        <v>3206</v>
      </c>
      <c r="C87" s="35" t="s">
        <v>87</v>
      </c>
      <c r="D87" s="34" t="s">
        <v>2100</v>
      </c>
      <c r="E87" s="97" t="str">
        <f>HYPERLINK("https://youtu.be/9NEuRzHrTQc?t=8682","channel 1")</f>
        <v>channel 1</v>
      </c>
    </row>
    <row r="88">
      <c r="B88" s="34" t="s">
        <v>3205</v>
      </c>
      <c r="C88" s="35" t="s">
        <v>11</v>
      </c>
      <c r="D88" s="32" t="s">
        <v>1862</v>
      </c>
      <c r="E88" s="97" t="str">
        <f>HYPERLINK("https://youtu.be/AxoETfY-y5Y?t=8800","channel 2")</f>
        <v>channel 2</v>
      </c>
    </row>
    <row r="89">
      <c r="B89" s="72" t="s">
        <v>3207</v>
      </c>
      <c r="C89" s="2"/>
      <c r="D89" s="3"/>
      <c r="E89" s="29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34" t="s">
        <v>3208</v>
      </c>
      <c r="C91" s="35" t="s">
        <v>31</v>
      </c>
      <c r="D91" s="34" t="s">
        <v>1401</v>
      </c>
      <c r="E91" s="11" t="str">
        <f>HYPERLINK("https://youtu.be/Jf6F6x8U1EA","channel 3")</f>
        <v>channel 3</v>
      </c>
    </row>
    <row r="92">
      <c r="B92" s="34" t="s">
        <v>1337</v>
      </c>
      <c r="C92" s="35" t="s">
        <v>62</v>
      </c>
      <c r="D92" s="32" t="s">
        <v>3209</v>
      </c>
      <c r="E92" s="11" t="str">
        <f>HYPERLINK("https://youtu.be/T6axrJXU_M8","channel 4")</f>
        <v>channel 4</v>
      </c>
    </row>
    <row r="93">
      <c r="B93" s="34" t="s">
        <v>3210</v>
      </c>
      <c r="C93" s="35" t="s">
        <v>195</v>
      </c>
      <c r="D93" s="34" t="s">
        <v>3208</v>
      </c>
      <c r="E93" s="11" t="str">
        <f>HYPERLINK("https://youtu.be/Jf6F6x8U1EA?t=962","channel 3")</f>
        <v>channel 3</v>
      </c>
    </row>
    <row r="94">
      <c r="B94" s="34" t="s">
        <v>1337</v>
      </c>
      <c r="C94" s="35" t="s">
        <v>196</v>
      </c>
      <c r="D94" s="34" t="s">
        <v>1401</v>
      </c>
      <c r="E94" s="11" t="str">
        <f>HYPERLINK("https://youtu.be/T6axrJXU_M8?t=1040","channel 4")</f>
        <v>channel 4</v>
      </c>
    </row>
    <row r="95">
      <c r="B95" s="34" t="s">
        <v>3210</v>
      </c>
      <c r="C95" s="35" t="s">
        <v>55</v>
      </c>
      <c r="D95" s="32" t="s">
        <v>3209</v>
      </c>
      <c r="E95" s="11" t="str">
        <f>HYPERLINK("https://youtu.be/Jf6F6x8U1EA?t=1889","channel 3")</f>
        <v>channel 3</v>
      </c>
    </row>
    <row r="96">
      <c r="B96" s="34" t="s">
        <v>1337</v>
      </c>
      <c r="C96" s="35" t="s">
        <v>82</v>
      </c>
      <c r="D96" s="34" t="s">
        <v>3208</v>
      </c>
      <c r="E96" s="11" t="str">
        <f>HYPERLINK("https://youtu.be/T6axrJXU_M8?t=1984","channel 4")</f>
        <v>channel 4</v>
      </c>
    </row>
    <row r="97">
      <c r="B97" s="34" t="s">
        <v>3210</v>
      </c>
      <c r="C97" s="35" t="s">
        <v>17</v>
      </c>
      <c r="D97" s="34" t="s">
        <v>1401</v>
      </c>
      <c r="E97" s="11" t="str">
        <f>HYPERLINK("https://youtu.be/Jf6F6x8U1EA?t=2784","channel 3")</f>
        <v>channel 3</v>
      </c>
      <c r="I97" s="36" t="s">
        <v>242</v>
      </c>
    </row>
    <row r="98">
      <c r="B98" s="32" t="s">
        <v>3209</v>
      </c>
      <c r="C98" s="35" t="s">
        <v>18</v>
      </c>
      <c r="D98" s="34" t="s">
        <v>3208</v>
      </c>
      <c r="E98" s="11" t="str">
        <f>HYPERLINK("https://youtu.be/T6axrJXU_M8?t=2903","channel 4")</f>
        <v>channel 4</v>
      </c>
    </row>
    <row r="99">
      <c r="B99" s="34" t="s">
        <v>3210</v>
      </c>
      <c r="C99" s="35" t="s">
        <v>81</v>
      </c>
      <c r="D99" s="34" t="s">
        <v>1337</v>
      </c>
      <c r="E99" s="11" t="str">
        <f>HYPERLINK("https://youtu.be/Jf6F6x8U1EA?t=3706","channel 3")</f>
        <v>channel 3</v>
      </c>
    </row>
    <row r="100">
      <c r="B100" s="32" t="s">
        <v>3209</v>
      </c>
      <c r="C100" s="35" t="s">
        <v>81</v>
      </c>
      <c r="D100" s="34" t="s">
        <v>1401</v>
      </c>
      <c r="E100" s="11" t="str">
        <f>HYPERLINK("https://youtu.be/T6axrJXU_M8?t=3808","channel 4")</f>
        <v>channel 4</v>
      </c>
    </row>
    <row r="101">
      <c r="B101" s="34" t="s">
        <v>1401</v>
      </c>
      <c r="C101" s="35" t="s">
        <v>71</v>
      </c>
      <c r="D101" s="34" t="s">
        <v>3208</v>
      </c>
      <c r="E101" s="11" t="str">
        <f>HYPERLINK("https://youtu.be/Jf6F6x8U1EA?t=4613","channel 3")</f>
        <v>channel 3</v>
      </c>
    </row>
    <row r="102">
      <c r="B102" s="32" t="s">
        <v>3209</v>
      </c>
      <c r="C102" s="35" t="s">
        <v>19</v>
      </c>
      <c r="D102" s="34" t="s">
        <v>1337</v>
      </c>
      <c r="E102" s="11" t="str">
        <f>HYPERLINK("https://youtu.be/T6axrJXU_M8?t=4723","channel 4")</f>
        <v>channel 4</v>
      </c>
    </row>
    <row r="103">
      <c r="B103" s="34" t="s">
        <v>3208</v>
      </c>
      <c r="C103" s="35" t="s">
        <v>194</v>
      </c>
      <c r="D103" s="34" t="s">
        <v>3210</v>
      </c>
      <c r="E103" s="11" t="str">
        <f>HYPERLINK("https://youtu.be/Jf6F6x8U1EA?t=5569","channel 3")</f>
        <v>channel 3</v>
      </c>
    </row>
    <row r="104">
      <c r="B104" s="34" t="s">
        <v>1401</v>
      </c>
      <c r="C104" s="35" t="s">
        <v>16</v>
      </c>
      <c r="D104" s="34" t="s">
        <v>1337</v>
      </c>
      <c r="E104" s="11" t="str">
        <f>HYPERLINK("https://youtu.be/T6axrJXU_M8?t=5647","channel 4")</f>
        <v>channel 4</v>
      </c>
    </row>
    <row r="105">
      <c r="B105" s="32" t="s">
        <v>3209</v>
      </c>
      <c r="C105" s="35" t="s">
        <v>16</v>
      </c>
      <c r="D105" s="34" t="s">
        <v>3210</v>
      </c>
      <c r="E105" s="11" t="str">
        <f>HYPERLINK("https://youtu.be/Jf6F6x8U1EA?t=6522","channel 3")</f>
        <v>channel 3</v>
      </c>
    </row>
    <row r="106">
      <c r="B106" s="34" t="s">
        <v>3208</v>
      </c>
      <c r="C106" s="35" t="s">
        <v>48</v>
      </c>
      <c r="D106" s="34" t="s">
        <v>1337</v>
      </c>
      <c r="E106" s="11" t="str">
        <f>HYPERLINK("https://youtu.be/T6axrJXU_M8?t=6667","channel 4")</f>
        <v>channel 4</v>
      </c>
    </row>
    <row r="107">
      <c r="B107" s="34" t="s">
        <v>1401</v>
      </c>
      <c r="C107" s="35" t="s">
        <v>22</v>
      </c>
      <c r="D107" s="34" t="s">
        <v>3210</v>
      </c>
      <c r="E107" s="11" t="str">
        <f>HYPERLINK("https://youtu.be/Jf6F6x8U1EA?t=7465","channel 3")</f>
        <v>channel 3</v>
      </c>
    </row>
    <row r="108">
      <c r="B108" s="34" t="s">
        <v>3208</v>
      </c>
      <c r="C108" s="35" t="s">
        <v>556</v>
      </c>
      <c r="D108" s="32" t="s">
        <v>3209</v>
      </c>
      <c r="E108" s="11" t="str">
        <f>HYPERLINK("https://youtu.be/T6axrJXU_M8?t=7581","channel 4")</f>
        <v>channel 4</v>
      </c>
    </row>
    <row r="109">
      <c r="B109" s="34" t="s">
        <v>1337</v>
      </c>
      <c r="C109" s="35" t="s">
        <v>533</v>
      </c>
      <c r="D109" s="34" t="s">
        <v>3210</v>
      </c>
      <c r="E109" s="11" t="str">
        <f>HYPERLINK("https://youtu.be/Jf6F6x8U1EA?t=8442","channel 3")</f>
        <v>channel 3</v>
      </c>
    </row>
    <row r="110">
      <c r="B110" s="34" t="s">
        <v>1401</v>
      </c>
      <c r="C110" s="35" t="s">
        <v>48</v>
      </c>
      <c r="D110" s="32" t="s">
        <v>3209</v>
      </c>
      <c r="E110" s="11" t="str">
        <f>HYPERLINK("https://youtu.be/T6axrJXU_M8?t=8485","channel 4")</f>
        <v>channel 4</v>
      </c>
    </row>
    <row r="111">
      <c r="B111" s="72" t="s">
        <v>2603</v>
      </c>
      <c r="C111" s="2"/>
      <c r="D111" s="3"/>
      <c r="E111" s="29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34" t="s">
        <v>3211</v>
      </c>
      <c r="C113" s="35" t="s">
        <v>285</v>
      </c>
      <c r="D113" s="34" t="s">
        <v>2399</v>
      </c>
      <c r="E113" s="11" t="str">
        <f>HYPERLINK("https://youtu.be/149sNjwxVtk","channel 3")</f>
        <v>channel 3</v>
      </c>
    </row>
    <row r="114">
      <c r="B114" s="34" t="s">
        <v>3177</v>
      </c>
      <c r="C114" s="35" t="s">
        <v>1552</v>
      </c>
      <c r="D114" s="32" t="s">
        <v>2706</v>
      </c>
      <c r="E114" s="11" t="str">
        <f>HYPERLINK("https://youtu.be/IOzMPNDHedE","channel 4")</f>
        <v>channel 4</v>
      </c>
    </row>
    <row r="115">
      <c r="B115" s="34" t="s">
        <v>1241</v>
      </c>
      <c r="C115" s="35" t="s">
        <v>193</v>
      </c>
      <c r="D115" s="34" t="s">
        <v>3211</v>
      </c>
      <c r="E115" s="11" t="str">
        <f>HYPERLINK("https://youtu.be/149sNjwxVtk?t=974","channel 3")</f>
        <v>channel 3</v>
      </c>
    </row>
    <row r="116">
      <c r="B116" s="34" t="s">
        <v>3177</v>
      </c>
      <c r="C116" s="35" t="s">
        <v>815</v>
      </c>
      <c r="D116" s="34" t="s">
        <v>2399</v>
      </c>
      <c r="E116" s="11" t="str">
        <f>HYPERLINK("https://youtu.be/IOzMPNDHedE?t=1016","channel 4")</f>
        <v>channel 4</v>
      </c>
    </row>
    <row r="117">
      <c r="B117" s="34" t="s">
        <v>1241</v>
      </c>
      <c r="C117" s="35" t="s">
        <v>193</v>
      </c>
      <c r="D117" s="32" t="s">
        <v>2706</v>
      </c>
      <c r="E117" s="11" t="str">
        <f>HYPERLINK("https://youtu.be/149sNjwxVtk?t=1888","channel 3")</f>
        <v>channel 3</v>
      </c>
    </row>
    <row r="118">
      <c r="B118" s="34" t="s">
        <v>3177</v>
      </c>
      <c r="C118" s="35" t="s">
        <v>337</v>
      </c>
      <c r="D118" s="34" t="s">
        <v>3211</v>
      </c>
      <c r="E118" s="11" t="str">
        <f>HYPERLINK("https://youtu.be/IOzMPNDHedE?t=1956","channel 4")</f>
        <v>channel 4</v>
      </c>
    </row>
    <row r="119">
      <c r="B119" s="34" t="s">
        <v>1241</v>
      </c>
      <c r="C119" s="35" t="s">
        <v>3212</v>
      </c>
      <c r="D119" s="34" t="s">
        <v>2399</v>
      </c>
      <c r="E119" s="11" t="str">
        <f>HYPERLINK("https://youtu.be/149sNjwxVtk?t=2782","channel 3")</f>
        <v>channel 3</v>
      </c>
    </row>
    <row r="120">
      <c r="B120" s="32" t="s">
        <v>2706</v>
      </c>
      <c r="C120" s="35" t="s">
        <v>285</v>
      </c>
      <c r="D120" s="34" t="s">
        <v>3211</v>
      </c>
      <c r="E120" s="11" t="str">
        <f>HYPERLINK("https://youtu.be/IOzMPNDHedE?t=2912","channel 4")</f>
        <v>channel 4</v>
      </c>
    </row>
    <row r="121">
      <c r="B121" s="34" t="s">
        <v>1241</v>
      </c>
      <c r="C121" s="35" t="s">
        <v>1256</v>
      </c>
      <c r="D121" s="34" t="s">
        <v>3177</v>
      </c>
      <c r="E121" s="11" t="str">
        <f>HYPERLINK("https://youtu.be/149sNjwxVtk?t=3688","channel 3")</f>
        <v>channel 3</v>
      </c>
    </row>
    <row r="122">
      <c r="B122" s="32" t="s">
        <v>2706</v>
      </c>
      <c r="C122" s="35" t="s">
        <v>239</v>
      </c>
      <c r="D122" s="34" t="s">
        <v>2399</v>
      </c>
      <c r="E122" s="11" t="str">
        <f>HYPERLINK("https://youtu.be/IOzMPNDHedE?t=3894","channel 4")</f>
        <v>channel 4</v>
      </c>
    </row>
    <row r="123">
      <c r="B123" s="34" t="s">
        <v>2399</v>
      </c>
      <c r="C123" s="35" t="s">
        <v>282</v>
      </c>
      <c r="D123" s="34" t="s">
        <v>3211</v>
      </c>
      <c r="E123" s="11" t="str">
        <f>HYPERLINK("https://youtu.be/149sNjwxVtk?t=4755","channel 3")</f>
        <v>channel 3</v>
      </c>
    </row>
    <row r="124">
      <c r="B124" s="32" t="s">
        <v>2706</v>
      </c>
      <c r="C124" s="35" t="s">
        <v>2515</v>
      </c>
      <c r="D124" s="34" t="s">
        <v>3177</v>
      </c>
      <c r="E124" s="11" t="str">
        <f>HYPERLINK("https://youtu.be/IOzMPNDHedE?t=4908","channel 4")</f>
        <v>channel 4</v>
      </c>
    </row>
    <row r="125">
      <c r="B125" s="34" t="s">
        <v>3211</v>
      </c>
      <c r="C125" s="35" t="s">
        <v>197</v>
      </c>
      <c r="D125" s="34" t="s">
        <v>1241</v>
      </c>
      <c r="E125" s="11" t="str">
        <f>HYPERLINK("https://youtu.be/149sNjwxVtk?t=5826","channel 3")</f>
        <v>channel 3</v>
      </c>
    </row>
    <row r="126">
      <c r="B126" s="34" t="s">
        <v>2399</v>
      </c>
      <c r="C126" s="35" t="s">
        <v>68</v>
      </c>
      <c r="D126" s="34" t="s">
        <v>3177</v>
      </c>
      <c r="E126" s="11" t="str">
        <f>HYPERLINK("https://youtu.be/IOzMPNDHedE?t=5864","channel 4")</f>
        <v>channel 4</v>
      </c>
    </row>
    <row r="127">
      <c r="B127" s="32" t="s">
        <v>2706</v>
      </c>
      <c r="C127" s="35" t="s">
        <v>665</v>
      </c>
      <c r="D127" s="34" t="s">
        <v>1241</v>
      </c>
      <c r="E127" s="11" t="str">
        <f>HYPERLINK("https://youtu.be/149sNjwxVtk?t=6812","channel 3")</f>
        <v>channel 3</v>
      </c>
    </row>
    <row r="128">
      <c r="B128" s="34" t="s">
        <v>3211</v>
      </c>
      <c r="C128" s="35" t="s">
        <v>724</v>
      </c>
      <c r="D128" s="34" t="s">
        <v>3177</v>
      </c>
      <c r="E128" s="11" t="str">
        <f>HYPERLINK("https://youtu.be/IOzMPNDHedE?t=6821","channel 4")</f>
        <v>channel 4</v>
      </c>
    </row>
    <row r="129">
      <c r="B129" s="34" t="s">
        <v>2399</v>
      </c>
      <c r="C129" s="35" t="s">
        <v>302</v>
      </c>
      <c r="D129" s="34" t="s">
        <v>1241</v>
      </c>
      <c r="E129" s="11" t="str">
        <f>HYPERLINK("https://youtu.be/149sNjwxVtk?t=7730","channel 3")</f>
        <v>channel 3</v>
      </c>
    </row>
    <row r="130">
      <c r="B130" s="34" t="s">
        <v>3211</v>
      </c>
      <c r="C130" s="35" t="s">
        <v>48</v>
      </c>
      <c r="D130" s="32" t="s">
        <v>2706</v>
      </c>
      <c r="E130" s="11" t="str">
        <f>HYPERLINK("https://youtu.be/IOzMPNDHedE?t=7783","channel 4")</f>
        <v>channel 4</v>
      </c>
    </row>
    <row r="131">
      <c r="B131" s="34" t="s">
        <v>3177</v>
      </c>
      <c r="C131" s="35" t="s">
        <v>3213</v>
      </c>
      <c r="D131" s="34" t="s">
        <v>1241</v>
      </c>
      <c r="E131" s="11" t="str">
        <f>HYPERLINK("https://youtu.be/149sNjwxVtk?t=8698","channel 3")</f>
        <v>channel 3</v>
      </c>
    </row>
    <row r="132">
      <c r="B132" s="34" t="s">
        <v>2399</v>
      </c>
      <c r="C132" s="35" t="s">
        <v>70</v>
      </c>
      <c r="D132" s="32" t="s">
        <v>2706</v>
      </c>
      <c r="E132" s="11" t="str">
        <f>HYPERLINK("https://youtu.be/IOzMPNDHedE?t=8676","channel 4")</f>
        <v>channel 4</v>
      </c>
    </row>
    <row r="133">
      <c r="B133" s="72" t="s">
        <v>3214</v>
      </c>
      <c r="C133" s="2"/>
      <c r="D133" s="3"/>
      <c r="E133" s="84"/>
    </row>
    <row r="134">
      <c r="B134" s="85" t="s">
        <v>2</v>
      </c>
      <c r="C134" s="86" t="s">
        <v>3</v>
      </c>
      <c r="D134" s="86" t="s">
        <v>4</v>
      </c>
      <c r="E134" s="86" t="s">
        <v>5</v>
      </c>
    </row>
    <row r="135">
      <c r="B135" s="34" t="s">
        <v>2390</v>
      </c>
      <c r="C135" s="35" t="s">
        <v>28</v>
      </c>
      <c r="D135" s="34" t="s">
        <v>728</v>
      </c>
      <c r="E135" s="97" t="str">
        <f>HYPERLINK("https://youtu.be/fUZcwbYRpn4","channel 1")</f>
        <v>channel 1</v>
      </c>
    </row>
    <row r="136">
      <c r="B136" s="34" t="s">
        <v>3215</v>
      </c>
      <c r="C136" s="35" t="s">
        <v>699</v>
      </c>
      <c r="D136" s="32" t="s">
        <v>3216</v>
      </c>
      <c r="E136" s="97" t="str">
        <f>HYPERLINK("https://youtu.be/kgNZa1YYwig","channel 2")</f>
        <v>channel 2</v>
      </c>
    </row>
    <row r="137">
      <c r="B137" s="34" t="s">
        <v>3217</v>
      </c>
      <c r="C137" s="35" t="s">
        <v>215</v>
      </c>
      <c r="D137" s="34" t="s">
        <v>2390</v>
      </c>
      <c r="E137" s="97" t="str">
        <f>HYPERLINK("https://youtu.be/fUZcwbYRpn4?t=947","channel 1")</f>
        <v>channel 1</v>
      </c>
    </row>
    <row r="138">
      <c r="B138" s="34" t="s">
        <v>3215</v>
      </c>
      <c r="C138" s="35" t="s">
        <v>245</v>
      </c>
      <c r="D138" s="34" t="s">
        <v>728</v>
      </c>
      <c r="E138" s="97" t="str">
        <f>HYPERLINK("https://youtu.be/kgNZa1YYwig?t=1127","channel 2")</f>
        <v>channel 2</v>
      </c>
    </row>
    <row r="139">
      <c r="B139" s="34" t="s">
        <v>3217</v>
      </c>
      <c r="C139" s="35" t="s">
        <v>26</v>
      </c>
      <c r="D139" s="32" t="s">
        <v>3216</v>
      </c>
      <c r="E139" s="97" t="str">
        <f>HYPERLINK("https://youtu.be/fUZcwbYRpn4?t=1933","channel 1")</f>
        <v>channel 1</v>
      </c>
    </row>
    <row r="140">
      <c r="B140" s="34" t="s">
        <v>3215</v>
      </c>
      <c r="C140" s="35" t="s">
        <v>82</v>
      </c>
      <c r="D140" s="34" t="s">
        <v>2390</v>
      </c>
      <c r="E140" s="97" t="str">
        <f>HYPERLINK("https://youtu.be/kgNZa1YYwig?t=2035","channel 2")</f>
        <v>channel 2</v>
      </c>
    </row>
    <row r="141">
      <c r="B141" s="34" t="s">
        <v>3217</v>
      </c>
      <c r="C141" s="35" t="s">
        <v>270</v>
      </c>
      <c r="D141" s="34" t="s">
        <v>728</v>
      </c>
      <c r="E141" s="97" t="str">
        <f>HYPERLINK("https://youtu.be/fUZcwbYRpn4?t=2906","channel 1")</f>
        <v>channel 1</v>
      </c>
    </row>
    <row r="142">
      <c r="B142" s="32" t="s">
        <v>3216</v>
      </c>
      <c r="C142" s="35" t="s">
        <v>276</v>
      </c>
      <c r="D142" s="34" t="s">
        <v>2390</v>
      </c>
      <c r="E142" s="97" t="str">
        <f>HYPERLINK("https://youtu.be/kgNZa1YYwig?t=3030","channel 2")</f>
        <v>channel 2</v>
      </c>
    </row>
    <row r="143">
      <c r="B143" s="34" t="s">
        <v>3217</v>
      </c>
      <c r="C143" s="35" t="s">
        <v>71</v>
      </c>
      <c r="D143" s="34" t="s">
        <v>3215</v>
      </c>
      <c r="E143" s="97" t="str">
        <f>HYPERLINK("https://youtu.be/fUZcwbYRpn4?t=3793","channel 1")</f>
        <v>channel 1</v>
      </c>
    </row>
    <row r="144">
      <c r="B144" s="32" t="s">
        <v>3216</v>
      </c>
      <c r="C144" s="35" t="s">
        <v>412</v>
      </c>
      <c r="D144" s="34" t="s">
        <v>728</v>
      </c>
      <c r="E144" s="97" t="str">
        <f>HYPERLINK("https://youtu.be/kgNZa1YYwig?t=3964","channel 2")</f>
        <v>channel 2</v>
      </c>
    </row>
    <row r="145">
      <c r="B145" s="34" t="s">
        <v>728</v>
      </c>
      <c r="C145" s="35" t="s">
        <v>195</v>
      </c>
      <c r="D145" s="34" t="s">
        <v>2390</v>
      </c>
      <c r="E145" s="97" t="str">
        <f>HYPERLINK("https://youtu.be/fUZcwbYRpn4?t=4793","channel 1")</f>
        <v>channel 1</v>
      </c>
    </row>
    <row r="146">
      <c r="B146" s="32" t="s">
        <v>3216</v>
      </c>
      <c r="C146" s="35" t="s">
        <v>66</v>
      </c>
      <c r="D146" s="34" t="s">
        <v>3215</v>
      </c>
      <c r="E146" s="97" t="str">
        <f>HYPERLINK("https://youtu.be/kgNZa1YYwig?t=4924","channel 2")</f>
        <v>channel 2</v>
      </c>
    </row>
    <row r="147">
      <c r="B147" s="34" t="s">
        <v>2390</v>
      </c>
      <c r="C147" s="35" t="s">
        <v>291</v>
      </c>
      <c r="D147" s="34" t="s">
        <v>3217</v>
      </c>
      <c r="E147" s="97" t="str">
        <f>HYPERLINK("https://youtu.be/fUZcwbYRpn4?t=5812","channel 1")</f>
        <v>channel 1</v>
      </c>
    </row>
    <row r="148">
      <c r="B148" s="34" t="s">
        <v>728</v>
      </c>
      <c r="C148" s="35" t="s">
        <v>83</v>
      </c>
      <c r="D148" s="34" t="s">
        <v>3215</v>
      </c>
      <c r="E148" s="97" t="str">
        <f>HYPERLINK("https://youtu.be/kgNZa1YYwig?t=5866","channel 2")</f>
        <v>channel 2</v>
      </c>
    </row>
    <row r="149">
      <c r="B149" s="32" t="s">
        <v>3216</v>
      </c>
      <c r="C149" s="35" t="s">
        <v>18</v>
      </c>
      <c r="D149" s="34" t="s">
        <v>3217</v>
      </c>
      <c r="E149" s="97" t="str">
        <f>HYPERLINK("https://youtu.be/fUZcwbYRpn4?t=6729","channel 1")</f>
        <v>channel 1</v>
      </c>
    </row>
    <row r="150">
      <c r="B150" s="34" t="s">
        <v>2390</v>
      </c>
      <c r="C150" s="35" t="s">
        <v>82</v>
      </c>
      <c r="D150" s="34" t="s">
        <v>3215</v>
      </c>
      <c r="E150" s="97" t="str">
        <f>HYPERLINK("https://youtu.be/kgNZa1YYwig?t=6798","channel 2")</f>
        <v>channel 2</v>
      </c>
    </row>
    <row r="151">
      <c r="B151" s="34" t="s">
        <v>728</v>
      </c>
      <c r="C151" s="35" t="s">
        <v>544</v>
      </c>
      <c r="D151" s="34" t="s">
        <v>3217</v>
      </c>
      <c r="E151" s="97" t="str">
        <f>HYPERLINK("https://youtu.be/fUZcwbYRpn4?t=7639","channel 1")</f>
        <v>channel 1</v>
      </c>
    </row>
    <row r="152">
      <c r="B152" s="34" t="s">
        <v>2390</v>
      </c>
      <c r="C152" s="35" t="s">
        <v>68</v>
      </c>
      <c r="D152" s="32" t="s">
        <v>3216</v>
      </c>
      <c r="E152" s="97" t="str">
        <f>HYPERLINK("https://youtu.be/kgNZa1YYwig?t=7759","channel 2")</f>
        <v>channel 2</v>
      </c>
    </row>
    <row r="153">
      <c r="B153" s="34" t="s">
        <v>3215</v>
      </c>
      <c r="C153" s="35" t="s">
        <v>195</v>
      </c>
      <c r="D153" s="34" t="s">
        <v>3217</v>
      </c>
      <c r="E153" s="97" t="str">
        <f>HYPERLINK("https://youtu.be/fUZcwbYRpn4?t=8598","channel 1")</f>
        <v>channel 1</v>
      </c>
    </row>
    <row r="154">
      <c r="B154" s="34" t="s">
        <v>728</v>
      </c>
      <c r="C154" s="35" t="s">
        <v>196</v>
      </c>
      <c r="D154" s="32" t="s">
        <v>3216</v>
      </c>
      <c r="E154" s="97" t="str">
        <f>HYPERLINK("https://youtu.be/kgNZa1YYwig?t=8662","channel 2")</f>
        <v>channel 2</v>
      </c>
    </row>
    <row r="155">
      <c r="B155" s="72" t="s">
        <v>3022</v>
      </c>
      <c r="C155" s="2"/>
      <c r="D155" s="3"/>
      <c r="E155" s="84"/>
    </row>
    <row r="156">
      <c r="B156" s="85" t="s">
        <v>2</v>
      </c>
      <c r="C156" s="86" t="s">
        <v>3</v>
      </c>
      <c r="D156" s="86" t="s">
        <v>4</v>
      </c>
      <c r="E156" s="86" t="s">
        <v>5</v>
      </c>
    </row>
    <row r="157">
      <c r="B157" s="34" t="s">
        <v>3218</v>
      </c>
      <c r="C157" s="35" t="s">
        <v>69</v>
      </c>
      <c r="D157" s="34" t="s">
        <v>1145</v>
      </c>
      <c r="E157" s="97" t="str">
        <f>HYPERLINK("https://youtu.be/nF0ptcY4RTg","channel 1")</f>
        <v>channel 1</v>
      </c>
    </row>
    <row r="158">
      <c r="B158" s="34" t="s">
        <v>3094</v>
      </c>
      <c r="C158" s="35" t="s">
        <v>72</v>
      </c>
      <c r="D158" s="32" t="s">
        <v>3219</v>
      </c>
      <c r="E158" s="97" t="str">
        <f>HYPERLINK("https://youtu.be/AnlMyDxabf4","channel 2")</f>
        <v>channel 2</v>
      </c>
    </row>
    <row r="159">
      <c r="B159" s="34" t="s">
        <v>3220</v>
      </c>
      <c r="C159" s="35" t="s">
        <v>533</v>
      </c>
      <c r="D159" s="34" t="s">
        <v>3218</v>
      </c>
      <c r="E159" s="97" t="str">
        <f>HYPERLINK("https://youtu.be/nF0ptcY4RTg?t=996","channel 1")</f>
        <v>channel 1</v>
      </c>
    </row>
    <row r="160">
      <c r="B160" s="34" t="s">
        <v>3094</v>
      </c>
      <c r="C160" s="35" t="s">
        <v>187</v>
      </c>
      <c r="D160" s="34" t="s">
        <v>1145</v>
      </c>
      <c r="E160" s="97" t="str">
        <f>HYPERLINK("https://youtu.be/AnlMyDxabf4?t=1062","channel 2")</f>
        <v>channel 2</v>
      </c>
    </row>
    <row r="161">
      <c r="B161" s="34" t="s">
        <v>3220</v>
      </c>
      <c r="C161" s="35" t="s">
        <v>289</v>
      </c>
      <c r="D161" s="32" t="s">
        <v>3219</v>
      </c>
      <c r="E161" s="97" t="str">
        <f>HYPERLINK("https://youtu.be/nF0ptcY4RTg?t=1960","channel 1")</f>
        <v>channel 1</v>
      </c>
    </row>
    <row r="162">
      <c r="B162" s="34" t="s">
        <v>3094</v>
      </c>
      <c r="C162" s="35" t="s">
        <v>614</v>
      </c>
      <c r="D162" s="34" t="s">
        <v>3218</v>
      </c>
      <c r="E162" s="97" t="str">
        <f>HYPERLINK("https://youtu.be/AnlMyDxabf4?t=2110","channel 2")</f>
        <v>channel 2</v>
      </c>
    </row>
    <row r="163">
      <c r="B163" s="34" t="s">
        <v>3220</v>
      </c>
      <c r="C163" s="35" t="s">
        <v>2115</v>
      </c>
      <c r="D163" s="34" t="s">
        <v>1145</v>
      </c>
      <c r="E163" s="97" t="str">
        <f>HYPERLINK("https://youtu.be/nF0ptcY4RTg?t=2983","channel 1")</f>
        <v>channel 1</v>
      </c>
    </row>
    <row r="164">
      <c r="B164" s="32" t="s">
        <v>3219</v>
      </c>
      <c r="C164" s="35" t="s">
        <v>488</v>
      </c>
      <c r="D164" s="34" t="s">
        <v>3218</v>
      </c>
      <c r="E164" s="97" t="str">
        <f>HYPERLINK("https://youtu.be/AnlMyDxabf4?t=3036","channel 2")</f>
        <v>channel 2</v>
      </c>
    </row>
    <row r="165">
      <c r="B165" s="34" t="s">
        <v>3220</v>
      </c>
      <c r="C165" s="35" t="s">
        <v>64</v>
      </c>
      <c r="D165" s="34" t="s">
        <v>3094</v>
      </c>
      <c r="E165" s="97" t="str">
        <f>HYPERLINK("https://youtu.be/nF0ptcY4RTg?t=3956","channel 1")</f>
        <v>channel 1</v>
      </c>
    </row>
    <row r="166">
      <c r="B166" s="32" t="s">
        <v>3219</v>
      </c>
      <c r="C166" s="35" t="s">
        <v>260</v>
      </c>
      <c r="D166" s="34" t="s">
        <v>1145</v>
      </c>
      <c r="E166" s="97" t="str">
        <f>HYPERLINK("https://youtu.be/AnlMyDxabf4?t=4011","channel 2")</f>
        <v>channel 2</v>
      </c>
    </row>
    <row r="167">
      <c r="B167" s="34" t="s">
        <v>1145</v>
      </c>
      <c r="C167" s="35" t="s">
        <v>43</v>
      </c>
      <c r="D167" s="34" t="s">
        <v>3218</v>
      </c>
      <c r="E167" s="97" t="str">
        <f>HYPERLINK("https://youtu.be/nF0ptcY4RTg?t=4956","channel 1")</f>
        <v>channel 1</v>
      </c>
    </row>
    <row r="168">
      <c r="B168" s="32" t="s">
        <v>3219</v>
      </c>
      <c r="C168" s="35" t="s">
        <v>71</v>
      </c>
      <c r="D168" s="34" t="s">
        <v>3094</v>
      </c>
      <c r="E168" s="97" t="str">
        <f>HYPERLINK("https://youtu.be/AnlMyDxabf4?t=4975","channel 2")</f>
        <v>channel 2</v>
      </c>
    </row>
    <row r="169">
      <c r="B169" s="34" t="s">
        <v>3218</v>
      </c>
      <c r="C169" s="35" t="s">
        <v>43</v>
      </c>
      <c r="D169" s="34" t="s">
        <v>3220</v>
      </c>
      <c r="E169" s="97" t="str">
        <f>HYPERLINK("https://youtu.be/nF0ptcY4RTg?t=5861","channel 1")</f>
        <v>channel 1</v>
      </c>
    </row>
    <row r="170">
      <c r="B170" s="34" t="s">
        <v>1145</v>
      </c>
      <c r="C170" s="35" t="s">
        <v>22</v>
      </c>
      <c r="D170" s="34" t="s">
        <v>3094</v>
      </c>
      <c r="E170" s="97" t="str">
        <f>HYPERLINK("https://youtu.be/AnlMyDxabf4?t=5944","channel 2")</f>
        <v>channel 2</v>
      </c>
    </row>
    <row r="171">
      <c r="B171" s="32" t="s">
        <v>3219</v>
      </c>
      <c r="C171" s="35" t="s">
        <v>195</v>
      </c>
      <c r="D171" s="34" t="s">
        <v>3220</v>
      </c>
      <c r="E171" s="97" t="str">
        <f>HYPERLINK("https://youtu.be/nF0ptcY4RTg?t=6782","channel 1")</f>
        <v>channel 1</v>
      </c>
    </row>
    <row r="172">
      <c r="B172" s="34" t="s">
        <v>3218</v>
      </c>
      <c r="C172" s="35" t="s">
        <v>81</v>
      </c>
      <c r="D172" s="34" t="s">
        <v>3094</v>
      </c>
      <c r="E172" s="97" t="str">
        <f>HYPERLINK("https://youtu.be/AnlMyDxabf4?t=6846","channel 2")</f>
        <v>channel 2</v>
      </c>
    </row>
    <row r="173">
      <c r="B173" s="34" t="s">
        <v>1145</v>
      </c>
      <c r="C173" s="35" t="s">
        <v>16</v>
      </c>
      <c r="D173" s="34" t="s">
        <v>3220</v>
      </c>
      <c r="E173" s="97" t="str">
        <f>HYPERLINK("https://youtu.be/nF0ptcY4RTg?t=7678","channel 1")</f>
        <v>channel 1</v>
      </c>
    </row>
    <row r="174">
      <c r="B174" s="34" t="s">
        <v>3218</v>
      </c>
      <c r="C174" s="35" t="s">
        <v>726</v>
      </c>
      <c r="D174" s="32" t="s">
        <v>3219</v>
      </c>
      <c r="E174" s="97" t="str">
        <f>HYPERLINK("https://youtu.be/AnlMyDxabf4","channel 2")</f>
        <v>channel 2</v>
      </c>
    </row>
    <row r="175">
      <c r="B175" s="34" t="s">
        <v>3094</v>
      </c>
      <c r="C175" s="35" t="s">
        <v>64</v>
      </c>
      <c r="D175" s="34" t="s">
        <v>3220</v>
      </c>
      <c r="E175" s="97" t="str">
        <f>HYPERLINK("https://youtu.be/nF0ptcY4RTg?t=8640","channel 1")</f>
        <v>channel 1</v>
      </c>
    </row>
    <row r="176">
      <c r="B176" s="34" t="s">
        <v>1145</v>
      </c>
      <c r="C176" s="35" t="s">
        <v>68</v>
      </c>
      <c r="D176" s="32" t="s">
        <v>3219</v>
      </c>
      <c r="E176" s="97" t="str">
        <f>HYPERLINK("https://youtu.be/AnlMyDxabf4?t=8766","channel 2")</f>
        <v>channel 2</v>
      </c>
    </row>
    <row r="177">
      <c r="B177" s="72" t="s">
        <v>2727</v>
      </c>
      <c r="C177" s="2"/>
      <c r="D177" s="3"/>
      <c r="E177" s="2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34" t="s">
        <v>3221</v>
      </c>
      <c r="C179" s="35" t="s">
        <v>87</v>
      </c>
      <c r="D179" s="34" t="s">
        <v>135</v>
      </c>
      <c r="E179" s="11" t="str">
        <f>HYPERLINK("https://youtu.be/22J-aSxRvzc","channel 3")</f>
        <v>channel 3</v>
      </c>
    </row>
    <row r="180">
      <c r="B180" s="34" t="s">
        <v>1162</v>
      </c>
      <c r="C180" s="35" t="s">
        <v>7</v>
      </c>
      <c r="D180" s="32" t="s">
        <v>3222</v>
      </c>
      <c r="E180" s="11" t="str">
        <f>HYPERLINK("https://youtu.be/ojew0NFG0Rk","channel 4")</f>
        <v>channel 4</v>
      </c>
    </row>
    <row r="181">
      <c r="B181" s="34" t="s">
        <v>1927</v>
      </c>
      <c r="C181" s="35" t="s">
        <v>190</v>
      </c>
      <c r="D181" s="34" t="s">
        <v>3221</v>
      </c>
      <c r="E181" s="11" t="str">
        <f>HYPERLINK("https://youtu.be/22J-aSxRvzc?t=953","channel 3")</f>
        <v>channel 3</v>
      </c>
    </row>
    <row r="182">
      <c r="B182" s="34" t="s">
        <v>1162</v>
      </c>
      <c r="C182" s="35" t="s">
        <v>21</v>
      </c>
      <c r="D182" s="34" t="s">
        <v>135</v>
      </c>
      <c r="E182" s="11" t="str">
        <f>HYPERLINK("https://youtu.be/ojew0NFG0Rk?t=996","channel 4")</f>
        <v>channel 4</v>
      </c>
    </row>
    <row r="183">
      <c r="B183" s="34" t="s">
        <v>1927</v>
      </c>
      <c r="C183" s="35" t="s">
        <v>194</v>
      </c>
      <c r="D183" s="32" t="s">
        <v>3222</v>
      </c>
      <c r="E183" s="11" t="str">
        <f>HYPERLINK("https://youtu.be/22J-aSxRvzc?t=1909","channel 3")</f>
        <v>channel 3</v>
      </c>
    </row>
    <row r="184">
      <c r="B184" s="34" t="s">
        <v>1162</v>
      </c>
      <c r="C184" s="35" t="s">
        <v>66</v>
      </c>
      <c r="D184" s="34" t="s">
        <v>3221</v>
      </c>
      <c r="E184" s="11" t="str">
        <f>HYPERLINK("https://youtu.be/ojew0NFG0Rk?t=1913","channel 4")</f>
        <v>channel 4</v>
      </c>
    </row>
    <row r="185">
      <c r="B185" s="34" t="s">
        <v>1927</v>
      </c>
      <c r="C185" s="35" t="s">
        <v>48</v>
      </c>
      <c r="D185" s="34" t="s">
        <v>135</v>
      </c>
      <c r="E185" s="11" t="str">
        <f>HYPERLINK("https://youtu.be/22J-aSxRvzc?t=2809","channel 3")</f>
        <v>channel 3</v>
      </c>
    </row>
    <row r="186">
      <c r="B186" s="32" t="s">
        <v>3222</v>
      </c>
      <c r="C186" s="35" t="s">
        <v>25</v>
      </c>
      <c r="D186" s="34" t="s">
        <v>3221</v>
      </c>
      <c r="E186" s="11" t="str">
        <f>HYPERLINK("https://youtu.be/ojew0NFG0Rk?t=2858","channel 4")</f>
        <v>channel 4</v>
      </c>
    </row>
    <row r="187">
      <c r="B187" s="34" t="s">
        <v>1927</v>
      </c>
      <c r="C187" s="35" t="s">
        <v>947</v>
      </c>
      <c r="D187" s="34" t="s">
        <v>1162</v>
      </c>
      <c r="E187" s="11" t="str">
        <f>HYPERLINK("https://youtu.be/22J-aSxRvzc?t=3754","channel 3")</f>
        <v>channel 3</v>
      </c>
    </row>
    <row r="188">
      <c r="B188" s="32" t="s">
        <v>3222</v>
      </c>
      <c r="C188" s="35" t="s">
        <v>351</v>
      </c>
      <c r="D188" s="34" t="s">
        <v>135</v>
      </c>
      <c r="E188" s="11" t="str">
        <f>HYPERLINK("https://youtu.be/ojew0NFG0Rk?t=3793","channel 4")</f>
        <v>channel 4</v>
      </c>
    </row>
    <row r="189">
      <c r="B189" s="34" t="s">
        <v>135</v>
      </c>
      <c r="C189" s="35" t="s">
        <v>196</v>
      </c>
      <c r="D189" s="34" t="s">
        <v>3221</v>
      </c>
      <c r="E189" s="11" t="str">
        <f>HYPERLINK("https://youtu.be/22J-aSxRvzc?t=4658","channel 3")</f>
        <v>channel 3</v>
      </c>
    </row>
    <row r="190">
      <c r="B190" s="32" t="s">
        <v>3222</v>
      </c>
      <c r="C190" s="35" t="s">
        <v>3223</v>
      </c>
      <c r="D190" s="34" t="s">
        <v>1162</v>
      </c>
      <c r="E190" s="11" t="str">
        <f>HYPERLINK("https://youtu.be/ojew0NFG0Rk?t=4757","channel 4")</f>
        <v>channel 4</v>
      </c>
    </row>
    <row r="191">
      <c r="B191" s="34" t="s">
        <v>3221</v>
      </c>
      <c r="C191" s="35" t="s">
        <v>11</v>
      </c>
      <c r="D191" s="34" t="s">
        <v>1927</v>
      </c>
      <c r="E191" s="11" t="str">
        <f>HYPERLINK("https://youtu.be/22J-aSxRvzc?t=5563","channel 3")</f>
        <v>channel 3</v>
      </c>
    </row>
    <row r="192">
      <c r="B192" s="34" t="s">
        <v>135</v>
      </c>
      <c r="C192" s="35" t="s">
        <v>726</v>
      </c>
      <c r="D192" s="34" t="s">
        <v>1162</v>
      </c>
      <c r="E192" s="11" t="str">
        <f>HYPERLINK("https://youtu.be/ojew0NFG0Rk?t=5707","channel 4")</f>
        <v>channel 4</v>
      </c>
    </row>
    <row r="193">
      <c r="B193" s="32" t="s">
        <v>3222</v>
      </c>
      <c r="C193" s="35" t="s">
        <v>81</v>
      </c>
      <c r="D193" s="34" t="s">
        <v>1927</v>
      </c>
      <c r="E193" s="11" t="str">
        <f>HYPERLINK("https://youtu.be/22J-aSxRvzc?t=6561","channel 3")</f>
        <v>channel 3</v>
      </c>
    </row>
    <row r="194">
      <c r="B194" s="34" t="s">
        <v>3221</v>
      </c>
      <c r="C194" s="35" t="s">
        <v>21</v>
      </c>
      <c r="D194" s="34" t="s">
        <v>1162</v>
      </c>
      <c r="E194" s="11" t="str">
        <f>HYPERLINK("https://youtu.be/ojew0NFG0Rk?t=6682","channel 4")</f>
        <v>channel 4</v>
      </c>
    </row>
    <row r="195">
      <c r="B195" s="34" t="s">
        <v>135</v>
      </c>
      <c r="C195" s="35" t="s">
        <v>243</v>
      </c>
      <c r="D195" s="34" t="s">
        <v>1927</v>
      </c>
      <c r="E195" s="11" t="str">
        <f>HYPERLINK("https://youtu.be/22J-aSxRvzc?t=7549","channel 3")</f>
        <v>channel 3</v>
      </c>
    </row>
    <row r="196">
      <c r="B196" s="34" t="s">
        <v>3221</v>
      </c>
      <c r="C196" s="35" t="s">
        <v>250</v>
      </c>
      <c r="D196" s="32" t="s">
        <v>3222</v>
      </c>
      <c r="E196" s="11" t="str">
        <f>HYPERLINK("https://youtu.be/ojew0NFG0Rk?t=7553","channel 4")</f>
        <v>channel 4</v>
      </c>
    </row>
    <row r="197">
      <c r="B197" s="34" t="s">
        <v>1162</v>
      </c>
      <c r="C197" s="35" t="s">
        <v>50</v>
      </c>
      <c r="D197" s="34" t="s">
        <v>1927</v>
      </c>
      <c r="E197" s="11" t="str">
        <f>HYPERLINK("https://youtu.be/22J-aSxRvzc?t=8561","channel 3")</f>
        <v>channel 3</v>
      </c>
      <c r="I197" s="36" t="s">
        <v>663</v>
      </c>
    </row>
    <row r="198">
      <c r="B198" s="34" t="s">
        <v>135</v>
      </c>
      <c r="C198" s="35" t="s">
        <v>38</v>
      </c>
      <c r="D198" s="32" t="s">
        <v>3222</v>
      </c>
      <c r="E198" s="11" t="str">
        <f>HYPERLINK("https://youtu.be/ojew0NFG0Rk?t=8488","channel 4")</f>
        <v>channel 4</v>
      </c>
    </row>
    <row r="199">
      <c r="B199" s="72" t="s">
        <v>2657</v>
      </c>
      <c r="C199" s="2"/>
      <c r="D199" s="3"/>
      <c r="E199" s="2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34" t="s">
        <v>3224</v>
      </c>
      <c r="C201" s="35" t="s">
        <v>82</v>
      </c>
      <c r="D201" s="34" t="s">
        <v>3225</v>
      </c>
      <c r="E201" s="11" t="str">
        <f>HYPERLINK("https://youtu.be/1X-4dvDOagQ","channel 3")</f>
        <v>channel 3</v>
      </c>
    </row>
    <row r="202">
      <c r="B202" s="34" t="s">
        <v>3061</v>
      </c>
      <c r="C202" s="35" t="s">
        <v>416</v>
      </c>
      <c r="D202" s="32" t="s">
        <v>3132</v>
      </c>
      <c r="E202" s="11" t="str">
        <f>HYPERLINK("https://youtu.be/Qc9vN77IYQU","channel 4")</f>
        <v>channel 4</v>
      </c>
    </row>
    <row r="203">
      <c r="B203" s="34" t="s">
        <v>881</v>
      </c>
      <c r="C203" s="35" t="s">
        <v>195</v>
      </c>
      <c r="D203" s="34" t="s">
        <v>3224</v>
      </c>
      <c r="E203" s="11" t="str">
        <f>HYPERLINK("https://youtu.be/1X-4dvDOagQ?t=1097","channel 3")</f>
        <v>channel 3</v>
      </c>
    </row>
    <row r="204">
      <c r="B204" s="34" t="s">
        <v>3061</v>
      </c>
      <c r="C204" s="35" t="s">
        <v>14</v>
      </c>
      <c r="D204" s="34" t="s">
        <v>3225</v>
      </c>
      <c r="E204" s="11" t="str">
        <f>HYPERLINK("https://youtu.be/Qc9vN77IYQU?t=1057","channel 4")</f>
        <v>channel 4</v>
      </c>
    </row>
    <row r="205">
      <c r="B205" s="34" t="s">
        <v>881</v>
      </c>
      <c r="C205" s="35" t="s">
        <v>38</v>
      </c>
      <c r="D205" s="32" t="s">
        <v>3132</v>
      </c>
      <c r="E205" s="11" t="str">
        <f>HYPERLINK("https://youtu.be/1X-4dvDOagQ?t=2054","channel 3")</f>
        <v>channel 3</v>
      </c>
    </row>
    <row r="206">
      <c r="B206" s="34" t="s">
        <v>3061</v>
      </c>
      <c r="C206" s="35" t="s">
        <v>64</v>
      </c>
      <c r="D206" s="34" t="s">
        <v>3224</v>
      </c>
      <c r="E206" s="11" t="str">
        <f>HYPERLINK("https://youtu.be/Qc9vN77IYQU?t=2037","channel 4")</f>
        <v>channel 4</v>
      </c>
      <c r="H206" s="36" t="s">
        <v>242</v>
      </c>
    </row>
    <row r="207">
      <c r="B207" s="34" t="s">
        <v>881</v>
      </c>
      <c r="C207" s="35" t="s">
        <v>3226</v>
      </c>
      <c r="D207" s="34" t="s">
        <v>3225</v>
      </c>
      <c r="E207" s="11" t="str">
        <f>HYPERLINK("https://youtu.be/1X-4dvDOagQ?t=2995","channel 3")</f>
        <v>channel 3</v>
      </c>
    </row>
    <row r="208">
      <c r="B208" s="32" t="s">
        <v>3132</v>
      </c>
      <c r="C208" s="35" t="s">
        <v>857</v>
      </c>
      <c r="D208" s="34" t="s">
        <v>3224</v>
      </c>
      <c r="E208" s="11" t="str">
        <f>HYPERLINK("https://youtu.be/Qc9vN77IYQU?t=2956","channel 4")</f>
        <v>channel 4</v>
      </c>
    </row>
    <row r="209">
      <c r="B209" s="34" t="s">
        <v>881</v>
      </c>
      <c r="C209" s="35" t="s">
        <v>3227</v>
      </c>
      <c r="D209" s="34" t="s">
        <v>3061</v>
      </c>
      <c r="E209" s="11" t="str">
        <f>HYPERLINK("https://youtu.be/1X-4dvDOagQ?t=3933","channel 3")</f>
        <v>channel 3</v>
      </c>
      <c r="F209" s="36" t="s">
        <v>663</v>
      </c>
    </row>
    <row r="210">
      <c r="B210" s="32" t="s">
        <v>3132</v>
      </c>
      <c r="C210" s="35" t="s">
        <v>2283</v>
      </c>
      <c r="D210" s="34" t="s">
        <v>3225</v>
      </c>
      <c r="E210" s="11" t="str">
        <f>HYPERLINK("https://youtu.be/Qc9vN77IYQU?t=3946","channel 4")</f>
        <v>channel 4</v>
      </c>
    </row>
    <row r="211">
      <c r="B211" s="34" t="s">
        <v>3225</v>
      </c>
      <c r="C211" s="35" t="s">
        <v>190</v>
      </c>
      <c r="D211" s="34" t="s">
        <v>3224</v>
      </c>
      <c r="E211" s="11" t="str">
        <f>HYPERLINK("https://youtu.be/1X-4dvDOagQ?t=4860","channel 3")</f>
        <v>channel 3</v>
      </c>
    </row>
    <row r="212">
      <c r="B212" s="32" t="s">
        <v>3132</v>
      </c>
      <c r="C212" s="35" t="s">
        <v>194</v>
      </c>
      <c r="D212" s="34" t="s">
        <v>3061</v>
      </c>
      <c r="E212" s="11" t="str">
        <f>HYPERLINK("https://youtu.be/Qc9vN77IYQU?t=4889","channel 4")</f>
        <v>channel 4</v>
      </c>
    </row>
    <row r="213">
      <c r="B213" s="34" t="s">
        <v>3224</v>
      </c>
      <c r="C213" s="35" t="s">
        <v>68</v>
      </c>
      <c r="D213" s="34" t="s">
        <v>881</v>
      </c>
      <c r="E213" s="11" t="str">
        <f>HYPERLINK("https://youtu.be/1X-4dvDOagQ?t=5795","channel 3")</f>
        <v>channel 3</v>
      </c>
    </row>
    <row r="214">
      <c r="B214" s="34" t="s">
        <v>3225</v>
      </c>
      <c r="C214" s="35" t="s">
        <v>1102</v>
      </c>
      <c r="D214" s="34" t="s">
        <v>3061</v>
      </c>
      <c r="E214" s="11" t="str">
        <f>HYPERLINK("https://youtu.be/Qc9vN77IYQU?t=5784","channel 4")</f>
        <v>channel 4</v>
      </c>
    </row>
    <row r="215">
      <c r="B215" s="32" t="s">
        <v>3132</v>
      </c>
      <c r="C215" s="35" t="s">
        <v>352</v>
      </c>
      <c r="D215" s="34" t="s">
        <v>881</v>
      </c>
      <c r="E215" s="11" t="str">
        <f>HYPERLINK("https://youtu.be/1X-4dvDOagQ?t=6703","channel 3")</f>
        <v>channel 3</v>
      </c>
    </row>
    <row r="216">
      <c r="B216" s="34" t="s">
        <v>3224</v>
      </c>
      <c r="C216" s="35" t="s">
        <v>196</v>
      </c>
      <c r="D216" s="34" t="s">
        <v>3061</v>
      </c>
      <c r="E216" s="11" t="str">
        <f>HYPERLINK("https://youtu.be/Qc9vN77IYQU?t=6715","channel 4")</f>
        <v>channel 4</v>
      </c>
    </row>
    <row r="217">
      <c r="B217" s="34" t="s">
        <v>3225</v>
      </c>
      <c r="C217" s="35" t="s">
        <v>71</v>
      </c>
      <c r="D217" s="34" t="s">
        <v>881</v>
      </c>
      <c r="E217" s="11" t="str">
        <f>HYPERLINK("https://youtu.be/1X-4dvDOagQ?t=7624","channel 3")</f>
        <v>channel 3</v>
      </c>
    </row>
    <row r="218">
      <c r="B218" s="34" t="s">
        <v>3224</v>
      </c>
      <c r="C218" s="35" t="s">
        <v>25</v>
      </c>
      <c r="D218" s="32" t="s">
        <v>3132</v>
      </c>
      <c r="E218" s="11" t="str">
        <f>HYPERLINK("https://youtu.be/Qc9vN77IYQU?t=7667","channel 4")</f>
        <v>channel 4</v>
      </c>
    </row>
    <row r="219">
      <c r="B219" s="34" t="s">
        <v>3061</v>
      </c>
      <c r="C219" s="35" t="s">
        <v>84</v>
      </c>
      <c r="D219" s="34" t="s">
        <v>881</v>
      </c>
      <c r="E219" s="11" t="str">
        <f>HYPERLINK("https://youtu.be/1X-4dvDOagQ?t=8545","channel 3")</f>
        <v>channel 3</v>
      </c>
    </row>
    <row r="220">
      <c r="B220" s="34" t="s">
        <v>3225</v>
      </c>
      <c r="C220" s="35" t="s">
        <v>390</v>
      </c>
      <c r="D220" s="32" t="s">
        <v>3132</v>
      </c>
      <c r="E220" s="11" t="str">
        <f>HYPERLINK("https://youtu.be/Qc9vN77IYQU?t=8565","channel 4")</f>
        <v>channel 4</v>
      </c>
    </row>
    <row r="221">
      <c r="B221" s="72" t="s">
        <v>2394</v>
      </c>
      <c r="C221" s="2"/>
      <c r="D221" s="3"/>
      <c r="E221" s="84"/>
    </row>
    <row r="222">
      <c r="B222" s="85" t="s">
        <v>2</v>
      </c>
      <c r="C222" s="86" t="s">
        <v>3</v>
      </c>
      <c r="D222" s="86" t="s">
        <v>4</v>
      </c>
      <c r="E222" s="86" t="s">
        <v>5</v>
      </c>
    </row>
    <row r="223">
      <c r="B223" s="34" t="s">
        <v>3228</v>
      </c>
      <c r="C223" s="35" t="s">
        <v>444</v>
      </c>
      <c r="D223" s="34" t="s">
        <v>1829</v>
      </c>
      <c r="E223" s="97" t="str">
        <f>HYPERLINK("https://youtu.be/PBdzs0lZtaw","channel 1")</f>
        <v>channel 1</v>
      </c>
    </row>
    <row r="224">
      <c r="B224" s="34" t="s">
        <v>3229</v>
      </c>
      <c r="C224" s="35" t="s">
        <v>11</v>
      </c>
      <c r="D224" s="32" t="s">
        <v>3230</v>
      </c>
      <c r="E224" s="97" t="str">
        <f>HYPERLINK("https://youtu.be/rQUVGJ87rNQ","channel 2")</f>
        <v>channel 2</v>
      </c>
    </row>
    <row r="225">
      <c r="B225" s="34" t="s">
        <v>1827</v>
      </c>
      <c r="C225" s="35" t="s">
        <v>215</v>
      </c>
      <c r="D225" s="34" t="s">
        <v>3228</v>
      </c>
      <c r="E225" s="97" t="str">
        <f>HYPERLINK("https://youtu.be/PBdzs0lZtaw?t=1050","channel 1")</f>
        <v>channel 1</v>
      </c>
    </row>
    <row r="226">
      <c r="B226" s="34" t="s">
        <v>3229</v>
      </c>
      <c r="C226" s="35" t="s">
        <v>21</v>
      </c>
      <c r="D226" s="34" t="s">
        <v>1829</v>
      </c>
      <c r="E226" s="97" t="str">
        <f>HYPERLINK("https://youtu.be/rQUVGJ87rNQ?t=1007","channel 2")</f>
        <v>channel 2</v>
      </c>
    </row>
    <row r="227">
      <c r="B227" s="34" t="s">
        <v>1827</v>
      </c>
      <c r="C227" s="35" t="s">
        <v>218</v>
      </c>
      <c r="D227" s="32" t="s">
        <v>3230</v>
      </c>
      <c r="E227" s="97" t="str">
        <f>HYPERLINK("https://youtu.be/PBdzs0lZtaw?t=2005","channel 1")</f>
        <v>channel 1</v>
      </c>
    </row>
    <row r="228">
      <c r="B228" s="34" t="s">
        <v>3229</v>
      </c>
      <c r="C228" s="35" t="s">
        <v>426</v>
      </c>
      <c r="D228" s="34" t="s">
        <v>3228</v>
      </c>
      <c r="E228" s="97" t="str">
        <f>HYPERLINK("https://youtu.be/rQUVGJ87rNQ?t=1947","channel 2")</f>
        <v>channel 2</v>
      </c>
    </row>
    <row r="229">
      <c r="B229" s="34" t="s">
        <v>1827</v>
      </c>
      <c r="C229" s="35" t="s">
        <v>66</v>
      </c>
      <c r="D229" s="34" t="s">
        <v>1829</v>
      </c>
      <c r="E229" s="97" t="str">
        <f>HYPERLINK("https://youtu.be/PBdzs0lZtaw?t=2933","channel 1")</f>
        <v>channel 1</v>
      </c>
    </row>
    <row r="230">
      <c r="B230" s="32" t="s">
        <v>3230</v>
      </c>
      <c r="C230" s="35" t="s">
        <v>66</v>
      </c>
      <c r="D230" s="34" t="s">
        <v>3228</v>
      </c>
      <c r="E230" s="97" t="str">
        <f>HYPERLINK("https://youtu.be/rQUVGJ87rNQ?t=2873","channel 2")</f>
        <v>channel 2</v>
      </c>
    </row>
    <row r="231">
      <c r="B231" s="34" t="s">
        <v>1827</v>
      </c>
      <c r="C231" s="35" t="s">
        <v>25</v>
      </c>
      <c r="D231" s="34" t="s">
        <v>3229</v>
      </c>
      <c r="E231" s="97" t="str">
        <f>HYPERLINK("https://youtu.be/PBdzs0lZtaw?t=3834","channel 1")</f>
        <v>channel 1</v>
      </c>
    </row>
    <row r="232">
      <c r="B232" s="32" t="s">
        <v>3230</v>
      </c>
      <c r="C232" s="35" t="s">
        <v>17</v>
      </c>
      <c r="D232" s="34" t="s">
        <v>1829</v>
      </c>
      <c r="E232" s="97" t="str">
        <f>HYPERLINK("https://youtu.be/rQUVGJ87rNQ?t=3796","channel 2")</f>
        <v>channel 2</v>
      </c>
    </row>
    <row r="233">
      <c r="B233" s="34" t="s">
        <v>1829</v>
      </c>
      <c r="C233" s="35" t="s">
        <v>282</v>
      </c>
      <c r="D233" s="34" t="s">
        <v>3228</v>
      </c>
      <c r="E233" s="97" t="str">
        <f>HYPERLINK("https://youtu.be/PBdzs0lZtaw?t=4830","channel 1")</f>
        <v>channel 1</v>
      </c>
    </row>
    <row r="234">
      <c r="B234" s="32" t="s">
        <v>3230</v>
      </c>
      <c r="C234" s="35" t="s">
        <v>404</v>
      </c>
      <c r="D234" s="34" t="s">
        <v>3229</v>
      </c>
      <c r="E234" s="97" t="str">
        <f>HYPERLINK("https://youtu.be/rQUVGJ87rNQ?t=4771","channel 2")</f>
        <v>channel 2</v>
      </c>
    </row>
    <row r="235">
      <c r="B235" s="34" t="s">
        <v>3228</v>
      </c>
      <c r="C235" s="35" t="s">
        <v>43</v>
      </c>
      <c r="D235" s="34" t="s">
        <v>1827</v>
      </c>
      <c r="E235" s="97" t="str">
        <f>HYPERLINK("https://youtu.be/PBdzs0lZtaw?t=5782","channel 1")</f>
        <v>channel 1</v>
      </c>
    </row>
    <row r="236">
      <c r="B236" s="34" t="s">
        <v>1829</v>
      </c>
      <c r="C236" s="35" t="s">
        <v>81</v>
      </c>
      <c r="D236" s="34" t="s">
        <v>3229</v>
      </c>
      <c r="E236" s="97" t="str">
        <f>HYPERLINK("https://youtu.be/rQUVGJ87rNQ?t=5700","channel 2")</f>
        <v>channel 2</v>
      </c>
    </row>
    <row r="237">
      <c r="B237" s="32" t="s">
        <v>3230</v>
      </c>
      <c r="C237" s="35" t="s">
        <v>64</v>
      </c>
      <c r="D237" s="34" t="s">
        <v>1827</v>
      </c>
      <c r="E237" s="97" t="str">
        <f>HYPERLINK("https://youtu.be/PBdzs0lZtaw?t=6682","channel 1")</f>
        <v>channel 1</v>
      </c>
    </row>
    <row r="238">
      <c r="B238" s="34" t="s">
        <v>3228</v>
      </c>
      <c r="C238" s="35" t="s">
        <v>193</v>
      </c>
      <c r="D238" s="34" t="s">
        <v>3229</v>
      </c>
      <c r="E238" s="97" t="str">
        <f>HYPERLINK("https://youtu.be/rQUVGJ87rNQ?t=6663","channel 2")</f>
        <v>channel 2</v>
      </c>
    </row>
    <row r="239">
      <c r="B239" s="34" t="s">
        <v>1829</v>
      </c>
      <c r="C239" s="35" t="s">
        <v>3231</v>
      </c>
      <c r="D239" s="34" t="s">
        <v>1827</v>
      </c>
      <c r="E239" s="97" t="str">
        <f>HYPERLINK("https://youtu.be/PBdzs0lZtaw?t=7606","channel 1")</f>
        <v>channel 1</v>
      </c>
    </row>
    <row r="240">
      <c r="B240" s="34" t="s">
        <v>3228</v>
      </c>
      <c r="C240" s="35" t="s">
        <v>193</v>
      </c>
      <c r="D240" s="32" t="s">
        <v>3230</v>
      </c>
      <c r="E240" s="97" t="str">
        <f>HYPERLINK("https://youtu.be/rQUVGJ87rNQ?t=7561","channel 2")</f>
        <v>channel 2</v>
      </c>
    </row>
    <row r="241">
      <c r="B241" s="34" t="s">
        <v>3229</v>
      </c>
      <c r="C241" s="35" t="s">
        <v>28</v>
      </c>
      <c r="D241" s="34" t="s">
        <v>1827</v>
      </c>
      <c r="E241" s="97" t="str">
        <f>HYPERLINK("https://youtu.be/PBdzs0lZtaw?t=8516","channel 1")</f>
        <v>channel 1</v>
      </c>
    </row>
    <row r="242">
      <c r="B242" s="34" t="s">
        <v>1829</v>
      </c>
      <c r="C242" s="35" t="s">
        <v>249</v>
      </c>
      <c r="D242" s="32" t="s">
        <v>3230</v>
      </c>
      <c r="E242" s="97" t="str">
        <f>HYPERLINK("https://youtu.be/rQUVGJ87rNQ?t=8502","channel 2")</f>
        <v>channel 2</v>
      </c>
    </row>
    <row r="243">
      <c r="B243" s="72" t="s">
        <v>2272</v>
      </c>
      <c r="C243" s="2"/>
      <c r="D243" s="3"/>
      <c r="E243" s="84"/>
    </row>
    <row r="244">
      <c r="B244" s="85" t="s">
        <v>2</v>
      </c>
      <c r="C244" s="86" t="s">
        <v>3</v>
      </c>
      <c r="D244" s="86" t="s">
        <v>4</v>
      </c>
      <c r="E244" s="86" t="s">
        <v>5</v>
      </c>
    </row>
    <row r="245">
      <c r="B245" s="34" t="s">
        <v>2400</v>
      </c>
      <c r="C245" s="35" t="s">
        <v>17</v>
      </c>
      <c r="D245" s="34" t="s">
        <v>3232</v>
      </c>
      <c r="E245" s="97" t="str">
        <f>HYPERLINK("https://youtu.be/fNh-ELeIQgA","channel 1")</f>
        <v>channel 1</v>
      </c>
    </row>
    <row r="246">
      <c r="B246" s="34" t="s">
        <v>3085</v>
      </c>
      <c r="C246" s="35" t="s">
        <v>16</v>
      </c>
      <c r="D246" s="32" t="s">
        <v>3233</v>
      </c>
      <c r="E246" s="97" t="str">
        <f>HYPERLINK("https://youtu.be/wKD88N1wdUk","channel 2")</f>
        <v>channel 2</v>
      </c>
    </row>
    <row r="247">
      <c r="B247" s="34" t="s">
        <v>2662</v>
      </c>
      <c r="C247" s="35" t="s">
        <v>25</v>
      </c>
      <c r="D247" s="34" t="s">
        <v>2400</v>
      </c>
      <c r="E247" s="97" t="str">
        <f>HYPERLINK("https://youtu.be/fNh-ELeIQgA?t=1135","channel 1")</f>
        <v>channel 1</v>
      </c>
    </row>
    <row r="248">
      <c r="B248" s="34" t="s">
        <v>3085</v>
      </c>
      <c r="C248" s="35" t="s">
        <v>22</v>
      </c>
      <c r="D248" s="34" t="s">
        <v>3232</v>
      </c>
      <c r="E248" s="97" t="str">
        <f>HYPERLINK("https://youtu.be/wKD88N1wdUk?t=974","channel 2")</f>
        <v>channel 2</v>
      </c>
    </row>
    <row r="249">
      <c r="B249" s="34" t="s">
        <v>2662</v>
      </c>
      <c r="C249" s="35" t="s">
        <v>195</v>
      </c>
      <c r="D249" s="32" t="s">
        <v>3233</v>
      </c>
      <c r="E249" s="97" t="str">
        <f>HYPERLINK("https://youtu.be/fNh-ELeIQgA?t=2066","channel 1")</f>
        <v>channel 1</v>
      </c>
    </row>
    <row r="250">
      <c r="B250" s="34" t="s">
        <v>3085</v>
      </c>
      <c r="C250" s="35" t="s">
        <v>52</v>
      </c>
      <c r="D250" s="34" t="s">
        <v>2400</v>
      </c>
      <c r="E250" s="97" t="str">
        <f>HYPERLINK("https://youtu.be/wKD88N1wdUk?t=1918","channel 2")</f>
        <v>channel 2</v>
      </c>
    </row>
    <row r="251">
      <c r="B251" s="34" t="s">
        <v>2662</v>
      </c>
      <c r="C251" s="35" t="s">
        <v>520</v>
      </c>
      <c r="D251" s="34" t="s">
        <v>3232</v>
      </c>
      <c r="E251" s="97" t="str">
        <f>HYPERLINK("https://youtu.be/fNh-ELeIQgA?t=2974","channel 1")</f>
        <v>channel 1</v>
      </c>
    </row>
    <row r="252">
      <c r="B252" s="32" t="s">
        <v>3233</v>
      </c>
      <c r="C252" s="35" t="s">
        <v>238</v>
      </c>
      <c r="D252" s="34" t="s">
        <v>2400</v>
      </c>
      <c r="E252" s="97" t="str">
        <f>HYPERLINK("https://youtu.be/wKD88N1wdUk?t=2898","channel 2")</f>
        <v>channel 2</v>
      </c>
    </row>
    <row r="253">
      <c r="B253" s="34" t="s">
        <v>2662</v>
      </c>
      <c r="C253" s="35" t="s">
        <v>258</v>
      </c>
      <c r="D253" s="34" t="s">
        <v>3085</v>
      </c>
      <c r="E253" s="97" t="str">
        <f>HYPERLINK("https://youtu.be/fNh-ELeIQgA?t=3923","channel 1")</f>
        <v>channel 1</v>
      </c>
    </row>
    <row r="254">
      <c r="B254" s="32" t="s">
        <v>3233</v>
      </c>
      <c r="C254" s="35" t="s">
        <v>282</v>
      </c>
      <c r="D254" s="34" t="s">
        <v>3232</v>
      </c>
      <c r="E254" s="97" t="str">
        <f>HYPERLINK("https://youtu.be/wKD88N1wdUk?t=3808","channel 2")</f>
        <v>channel 2</v>
      </c>
    </row>
    <row r="255">
      <c r="B255" s="34" t="s">
        <v>3232</v>
      </c>
      <c r="C255" s="35" t="s">
        <v>250</v>
      </c>
      <c r="D255" s="34" t="s">
        <v>2400</v>
      </c>
      <c r="E255" s="97" t="str">
        <f>HYPERLINK("https://youtu.be/fNh-ELeIQgA?t=4849","channel 1")</f>
        <v>channel 1</v>
      </c>
    </row>
    <row r="256">
      <c r="B256" s="32" t="s">
        <v>3233</v>
      </c>
      <c r="C256" s="35" t="s">
        <v>17</v>
      </c>
      <c r="D256" s="34" t="s">
        <v>3085</v>
      </c>
      <c r="E256" s="97" t="str">
        <f>HYPERLINK("https://youtu.be/wKD88N1wdUk?t=4746","channel 2")</f>
        <v>channel 2</v>
      </c>
    </row>
    <row r="257">
      <c r="B257" s="34" t="s">
        <v>2400</v>
      </c>
      <c r="C257" s="35" t="s">
        <v>197</v>
      </c>
      <c r="D257" s="34" t="s">
        <v>2662</v>
      </c>
      <c r="E257" s="97" t="str">
        <f>HYPERLINK("https://youtu.be/fNh-ELeIQgA?t=5788","channel 1")</f>
        <v>channel 1</v>
      </c>
    </row>
    <row r="258">
      <c r="B258" s="34" t="s">
        <v>3232</v>
      </c>
      <c r="C258" s="35" t="s">
        <v>50</v>
      </c>
      <c r="D258" s="34" t="s">
        <v>3085</v>
      </c>
      <c r="E258" s="97" t="str">
        <f>HYPERLINK("https://youtu.be/wKD88N1wdUk?t=5665","channel 2")</f>
        <v>channel 2</v>
      </c>
    </row>
    <row r="259">
      <c r="B259" s="32" t="s">
        <v>3233</v>
      </c>
      <c r="C259" s="35" t="s">
        <v>950</v>
      </c>
      <c r="D259" s="34" t="s">
        <v>2662</v>
      </c>
      <c r="E259" s="97" t="str">
        <f>HYPERLINK("https://youtu.be/fNh-ELeIQgA?t=6799","channel 1")</f>
        <v>channel 1</v>
      </c>
    </row>
    <row r="260">
      <c r="B260" s="34" t="s">
        <v>2400</v>
      </c>
      <c r="C260" s="35" t="s">
        <v>536</v>
      </c>
      <c r="D260" s="34" t="s">
        <v>3085</v>
      </c>
      <c r="E260" s="97" t="str">
        <f>HYPERLINK("https://youtu.be/wKD88N1wdUk?t=6688","channel 2")</f>
        <v>channel 2</v>
      </c>
    </row>
    <row r="261">
      <c r="B261" s="34" t="s">
        <v>3232</v>
      </c>
      <c r="C261" s="35" t="s">
        <v>351</v>
      </c>
      <c r="D261" s="34" t="s">
        <v>2662</v>
      </c>
      <c r="E261" s="97" t="str">
        <f>HYPERLINK("https://youtu.be/fNh-ELeIQgA?t=7815","channel 1")</f>
        <v>channel 1</v>
      </c>
    </row>
    <row r="262">
      <c r="B262" s="34" t="s">
        <v>2400</v>
      </c>
      <c r="C262" s="35" t="s">
        <v>43</v>
      </c>
      <c r="D262" s="32" t="s">
        <v>3233</v>
      </c>
      <c r="E262" s="97" t="str">
        <f>HYPERLINK("https://youtu.be/wKD88N1wdUk?t=7699","channel 2")</f>
        <v>channel 2</v>
      </c>
    </row>
    <row r="263">
      <c r="B263" s="34" t="s">
        <v>3085</v>
      </c>
      <c r="C263" s="35" t="s">
        <v>215</v>
      </c>
      <c r="D263" s="34" t="s">
        <v>2662</v>
      </c>
      <c r="E263" s="97" t="str">
        <f>HYPERLINK("https://youtu.be/fNh-ELeIQgA?t=8801","channel 1")</f>
        <v>channel 1</v>
      </c>
    </row>
    <row r="264">
      <c r="B264" s="34" t="s">
        <v>3232</v>
      </c>
      <c r="C264" s="35" t="s">
        <v>11</v>
      </c>
      <c r="D264" s="32" t="s">
        <v>3233</v>
      </c>
      <c r="E264" s="97" t="str">
        <f>HYPERLINK("https://youtu.be/wKD88N1wdUk?t=8616","channel 2")</f>
        <v>channel 2</v>
      </c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/>
      <c r="B1" s="72" t="s">
        <v>2944</v>
      </c>
      <c r="C1" s="2"/>
      <c r="D1" s="3"/>
      <c r="E1" s="84"/>
    </row>
    <row r="2">
      <c r="A2" s="66"/>
      <c r="B2" s="85" t="s">
        <v>2</v>
      </c>
      <c r="C2" s="86" t="s">
        <v>3</v>
      </c>
      <c r="D2" s="86" t="s">
        <v>4</v>
      </c>
      <c r="E2" s="86" t="s">
        <v>5</v>
      </c>
    </row>
    <row r="3">
      <c r="A3" s="66"/>
      <c r="B3" s="34" t="s">
        <v>3234</v>
      </c>
      <c r="C3" s="35" t="s">
        <v>55</v>
      </c>
      <c r="D3" s="34" t="s">
        <v>3235</v>
      </c>
      <c r="E3" s="97" t="str">
        <f>HYPERLINK("https://youtu.be/4fSqPimBfzA","channel 1")</f>
        <v>channel 1</v>
      </c>
    </row>
    <row r="4">
      <c r="A4" s="66"/>
      <c r="B4" s="34" t="s">
        <v>2576</v>
      </c>
      <c r="C4" s="35" t="s">
        <v>250</v>
      </c>
      <c r="D4" s="32" t="s">
        <v>3236</v>
      </c>
      <c r="E4" s="97" t="str">
        <f>HYPERLINK("https://youtu.be/h1uqHiYcmoA","channel 2")</f>
        <v>channel 2</v>
      </c>
    </row>
    <row r="5">
      <c r="A5" s="66"/>
      <c r="B5" s="34" t="s">
        <v>3237</v>
      </c>
      <c r="C5" s="35" t="s">
        <v>62</v>
      </c>
      <c r="D5" s="34" t="s">
        <v>3234</v>
      </c>
      <c r="E5" s="97" t="str">
        <f>HYPERLINK("https://youtu.be/4fSqPimBfzA?t=1005","channel 1")</f>
        <v>channel 1</v>
      </c>
    </row>
    <row r="6">
      <c r="A6" s="66"/>
      <c r="B6" s="34" t="s">
        <v>2576</v>
      </c>
      <c r="C6" s="35" t="s">
        <v>297</v>
      </c>
      <c r="D6" s="34" t="s">
        <v>3235</v>
      </c>
      <c r="E6" s="97" t="str">
        <f>HYPERLINK("https://youtu.be/h1uqHiYcmoA?t=1046","channel 2")</f>
        <v>channel 2</v>
      </c>
    </row>
    <row r="7">
      <c r="A7" s="66"/>
      <c r="B7" s="34" t="s">
        <v>3237</v>
      </c>
      <c r="C7" s="35" t="s">
        <v>81</v>
      </c>
      <c r="D7" s="32" t="s">
        <v>3236</v>
      </c>
      <c r="E7" s="97" t="str">
        <f>HYPERLINK("https://youtu.be/4fSqPimBfzA?t=1908","channel 1")</f>
        <v>channel 1</v>
      </c>
    </row>
    <row r="8">
      <c r="A8" s="66"/>
      <c r="B8" s="34" t="s">
        <v>2576</v>
      </c>
      <c r="C8" s="35" t="s">
        <v>22</v>
      </c>
      <c r="D8" s="34" t="s">
        <v>3234</v>
      </c>
      <c r="E8" s="97" t="str">
        <f>HYPERLINK("https://youtu.be/h1uqHiYcmoA?t=2047","channel 2")</f>
        <v>channel 2</v>
      </c>
    </row>
    <row r="9">
      <c r="A9" s="66"/>
      <c r="B9" s="34" t="s">
        <v>3237</v>
      </c>
      <c r="C9" s="35" t="s">
        <v>842</v>
      </c>
      <c r="D9" s="34" t="s">
        <v>3235</v>
      </c>
      <c r="E9" s="97" t="str">
        <f>HYPERLINK("https://youtu.be/4fSqPimBfzA?t=2956","channel 1")</f>
        <v>channel 1</v>
      </c>
    </row>
    <row r="10">
      <c r="A10" s="66"/>
      <c r="B10" s="32" t="s">
        <v>3236</v>
      </c>
      <c r="C10" s="35" t="s">
        <v>31</v>
      </c>
      <c r="D10" s="34" t="s">
        <v>3234</v>
      </c>
      <c r="E10" s="97" t="str">
        <f>HYPERLINK("https://youtu.be/h1uqHiYcmoA?t=3005","channel 2")</f>
        <v>channel 2</v>
      </c>
    </row>
    <row r="11">
      <c r="A11" s="66"/>
      <c r="B11" s="34" t="s">
        <v>3237</v>
      </c>
      <c r="C11" s="35" t="s">
        <v>201</v>
      </c>
      <c r="D11" s="34" t="s">
        <v>2576</v>
      </c>
      <c r="E11" s="97" t="str">
        <f>HYPERLINK("https://youtu.be/4fSqPimBfzA?t=3955","channel 1")</f>
        <v>channel 1</v>
      </c>
    </row>
    <row r="12">
      <c r="A12" s="66"/>
      <c r="B12" s="32" t="s">
        <v>3236</v>
      </c>
      <c r="C12" s="35" t="s">
        <v>16</v>
      </c>
      <c r="D12" s="34" t="s">
        <v>3235</v>
      </c>
      <c r="E12" s="97" t="str">
        <f>HYPERLINK("https://youtu.be/h1uqHiYcmoA?t=4001","channel 2")</f>
        <v>channel 2</v>
      </c>
    </row>
    <row r="13">
      <c r="A13" s="66"/>
      <c r="B13" s="34" t="s">
        <v>3235</v>
      </c>
      <c r="C13" s="35" t="s">
        <v>27</v>
      </c>
      <c r="D13" s="34" t="s">
        <v>3234</v>
      </c>
      <c r="E13" s="97" t="str">
        <f>HYPERLINK("https://youtu.be/4fSqPimBfzA?t=4903","channel 1")</f>
        <v>channel 1</v>
      </c>
    </row>
    <row r="14">
      <c r="A14" s="66"/>
      <c r="B14" s="32" t="s">
        <v>3236</v>
      </c>
      <c r="C14" s="35" t="s">
        <v>71</v>
      </c>
      <c r="D14" s="34" t="s">
        <v>2576</v>
      </c>
      <c r="E14" s="97" t="str">
        <f>HYPERLINK("https://youtu.be/h1uqHiYcmoA?t=4961","channel 2")</f>
        <v>channel 2</v>
      </c>
    </row>
    <row r="15">
      <c r="A15" s="66"/>
      <c r="B15" s="34" t="s">
        <v>3234</v>
      </c>
      <c r="C15" s="35" t="s">
        <v>836</v>
      </c>
      <c r="D15" s="34" t="s">
        <v>3237</v>
      </c>
      <c r="E15" s="97" t="str">
        <f>HYPERLINK("https://youtu.be/4fSqPimBfzA?t=5847","channel 1")</f>
        <v>channel 1</v>
      </c>
    </row>
    <row r="16">
      <c r="A16" s="66"/>
      <c r="B16" s="34" t="s">
        <v>3235</v>
      </c>
      <c r="C16" s="35" t="s">
        <v>196</v>
      </c>
      <c r="D16" s="34" t="s">
        <v>2576</v>
      </c>
      <c r="E16" s="97" t="str">
        <f>HYPERLINK("https://youtu.be/h1uqHiYcmoA?t=5889","channel 2")</f>
        <v>channel 2</v>
      </c>
    </row>
    <row r="17">
      <c r="A17" s="66"/>
      <c r="B17" s="32" t="s">
        <v>3236</v>
      </c>
      <c r="C17" s="35" t="s">
        <v>249</v>
      </c>
      <c r="D17" s="34" t="s">
        <v>3237</v>
      </c>
      <c r="E17" s="97" t="str">
        <f>HYPERLINK("https://youtu.be/4fSqPimBfzA?t=6796","channel 1")</f>
        <v>channel 1</v>
      </c>
    </row>
    <row r="18">
      <c r="A18" s="66"/>
      <c r="B18" s="34" t="s">
        <v>3234</v>
      </c>
      <c r="C18" s="35" t="s">
        <v>260</v>
      </c>
      <c r="D18" s="34" t="s">
        <v>2576</v>
      </c>
      <c r="E18" s="97" t="str">
        <f>HYPERLINK("https://youtu.be/h1uqHiYcmoA?t=6832","channel 2")</f>
        <v>channel 2</v>
      </c>
    </row>
    <row r="19">
      <c r="A19" s="66"/>
      <c r="B19" s="34" t="s">
        <v>3235</v>
      </c>
      <c r="C19" s="35" t="s">
        <v>31</v>
      </c>
      <c r="D19" s="34" t="s">
        <v>3237</v>
      </c>
      <c r="E19" s="97" t="str">
        <f>HYPERLINK("https://youtu.be/4fSqPimBfzA?t=7763","channel 1")</f>
        <v>channel 1</v>
      </c>
    </row>
    <row r="20">
      <c r="A20" s="66"/>
      <c r="B20" s="34" t="s">
        <v>3234</v>
      </c>
      <c r="C20" s="35" t="s">
        <v>193</v>
      </c>
      <c r="D20" s="32" t="s">
        <v>3236</v>
      </c>
      <c r="E20" s="97" t="str">
        <f>HYPERLINK("https://youtu.be/h1uqHiYcmoA?t=7783","channel 2")</f>
        <v>channel 2</v>
      </c>
    </row>
    <row r="21">
      <c r="A21" s="66"/>
      <c r="B21" s="34" t="s">
        <v>2576</v>
      </c>
      <c r="C21" s="35" t="s">
        <v>87</v>
      </c>
      <c r="D21" s="34" t="s">
        <v>3237</v>
      </c>
      <c r="E21" s="97" t="str">
        <f>HYPERLINK("https://youtu.be/4fSqPimBfzA?t=8674","channel 1")</f>
        <v>channel 1</v>
      </c>
    </row>
    <row r="22">
      <c r="A22" s="66"/>
      <c r="B22" s="34" t="s">
        <v>3235</v>
      </c>
      <c r="C22" s="35" t="s">
        <v>65</v>
      </c>
      <c r="D22" s="32" t="s">
        <v>3236</v>
      </c>
      <c r="E22" s="97" t="str">
        <f>HYPERLINK("https://youtu.be/h1uqHiYcmoA?t=8650","channel 2")</f>
        <v>channel 2</v>
      </c>
    </row>
    <row r="23">
      <c r="A23" s="66"/>
      <c r="B23" s="72" t="s">
        <v>2093</v>
      </c>
      <c r="C23" s="2"/>
      <c r="D23" s="3"/>
      <c r="E23" s="29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3238</v>
      </c>
      <c r="C25" s="35" t="s">
        <v>369</v>
      </c>
      <c r="D25" s="34" t="s">
        <v>3239</v>
      </c>
      <c r="E25" s="11" t="str">
        <f>HYPERLINK("https://youtu.be/xmwPqnxZJ4w","channel 1")</f>
        <v>channel 1</v>
      </c>
    </row>
    <row r="26">
      <c r="A26" s="66"/>
      <c r="B26" s="34" t="s">
        <v>1846</v>
      </c>
      <c r="C26" s="35" t="s">
        <v>17</v>
      </c>
      <c r="D26" s="32" t="s">
        <v>3240</v>
      </c>
      <c r="E26" s="11" t="str">
        <f>HYPERLINK("https://youtu.be/AN-kZHO-ERQ","channel 2")</f>
        <v>channel 2</v>
      </c>
    </row>
    <row r="27">
      <c r="A27" s="66"/>
      <c r="B27" s="34" t="s">
        <v>3241</v>
      </c>
      <c r="C27" s="35" t="s">
        <v>35</v>
      </c>
      <c r="D27" s="34" t="s">
        <v>3238</v>
      </c>
      <c r="E27" s="11" t="str">
        <f>HYPERLINK("https://youtu.be/xmwPqnxZJ4w?t=1005","channel 1")</f>
        <v>channel 1</v>
      </c>
    </row>
    <row r="28">
      <c r="A28" s="66"/>
      <c r="B28" s="34" t="s">
        <v>1846</v>
      </c>
      <c r="C28" s="35" t="s">
        <v>64</v>
      </c>
      <c r="D28" s="34" t="s">
        <v>3239</v>
      </c>
      <c r="E28" s="11" t="str">
        <f>HYPERLINK("https://youtu.be/AN-kZHO-ERQ?t=1107","channel 2")</f>
        <v>channel 2</v>
      </c>
    </row>
    <row r="29">
      <c r="A29" s="66"/>
      <c r="B29" s="34" t="s">
        <v>3241</v>
      </c>
      <c r="C29" s="35" t="s">
        <v>66</v>
      </c>
      <c r="D29" s="32" t="s">
        <v>3240</v>
      </c>
      <c r="E29" s="11" t="str">
        <f>HYPERLINK("https://youtu.be/xmwPqnxZJ4w?t=1955","channel 1")</f>
        <v>channel 1</v>
      </c>
    </row>
    <row r="30">
      <c r="A30" s="66"/>
      <c r="B30" s="34" t="s">
        <v>1846</v>
      </c>
      <c r="C30" s="35" t="s">
        <v>16</v>
      </c>
      <c r="D30" s="34" t="s">
        <v>3238</v>
      </c>
      <c r="E30" s="11" t="str">
        <f>HYPERLINK("https://youtu.be/AN-kZHO-ERQ?t=2060","channel 2")</f>
        <v>channel 2</v>
      </c>
    </row>
    <row r="31">
      <c r="A31" s="66"/>
      <c r="B31" s="34" t="s">
        <v>3241</v>
      </c>
      <c r="C31" s="35" t="s">
        <v>1129</v>
      </c>
      <c r="D31" s="34" t="s">
        <v>3239</v>
      </c>
      <c r="E31" s="11" t="str">
        <f>HYPERLINK("https://youtu.be/xmwPqnxZJ4w?t=2904","channel 1")</f>
        <v>channel 1</v>
      </c>
    </row>
    <row r="32">
      <c r="A32" s="66"/>
      <c r="B32" s="32" t="s">
        <v>3240</v>
      </c>
      <c r="C32" s="35" t="s">
        <v>1021</v>
      </c>
      <c r="D32" s="34" t="s">
        <v>3238</v>
      </c>
      <c r="E32" s="11" t="str">
        <f>HYPERLINK("https://youtu.be/AN-kZHO-ERQ?t=3032","channel 2")</f>
        <v>channel 2</v>
      </c>
    </row>
    <row r="33">
      <c r="A33" s="66"/>
      <c r="B33" s="34" t="s">
        <v>3241</v>
      </c>
      <c r="C33" s="35" t="s">
        <v>289</v>
      </c>
      <c r="D33" s="34" t="s">
        <v>1846</v>
      </c>
      <c r="E33" s="11" t="str">
        <f>HYPERLINK("https://youtu.be/xmwPqnxZJ4w?t=3871","channel 1")</f>
        <v>channel 1</v>
      </c>
    </row>
    <row r="34">
      <c r="A34" s="66"/>
      <c r="B34" s="32" t="s">
        <v>3240</v>
      </c>
      <c r="C34" s="35" t="s">
        <v>684</v>
      </c>
      <c r="D34" s="34" t="s">
        <v>3239</v>
      </c>
      <c r="E34" s="11" t="str">
        <f>HYPERLINK("https://youtu.be/AN-kZHO-ERQ?t=3975","channel 2")</f>
        <v>channel 2</v>
      </c>
    </row>
    <row r="35">
      <c r="A35" s="66"/>
      <c r="B35" s="34" t="s">
        <v>3239</v>
      </c>
      <c r="C35" s="35" t="s">
        <v>41</v>
      </c>
      <c r="D35" s="34" t="s">
        <v>3238</v>
      </c>
      <c r="E35" s="11" t="str">
        <f>HYPERLINK("https://youtu.be/xmwPqnxZJ4w?t=4800","channel 1")</f>
        <v>channel 1</v>
      </c>
    </row>
    <row r="36">
      <c r="A36" s="66"/>
      <c r="B36" s="32" t="s">
        <v>3240</v>
      </c>
      <c r="C36" s="35" t="s">
        <v>43</v>
      </c>
      <c r="D36" s="34" t="s">
        <v>1846</v>
      </c>
      <c r="E36" s="11" t="str">
        <f>HYPERLINK("https://youtu.be/AN-kZHO-ERQ?t=4882","channel 2")</f>
        <v>channel 2</v>
      </c>
    </row>
    <row r="37">
      <c r="A37" s="66"/>
      <c r="B37" s="34" t="s">
        <v>3238</v>
      </c>
      <c r="C37" s="35" t="s">
        <v>3242</v>
      </c>
      <c r="D37" s="34" t="s">
        <v>3241</v>
      </c>
      <c r="E37" s="11" t="str">
        <f>HYPERLINK("https://youtu.be/xmwPqnxZJ4w?t=5731","channel 1")</f>
        <v>channel 1</v>
      </c>
    </row>
    <row r="38">
      <c r="A38" s="66"/>
      <c r="B38" s="34" t="s">
        <v>3239</v>
      </c>
      <c r="C38" s="35" t="s">
        <v>325</v>
      </c>
      <c r="D38" s="34" t="s">
        <v>1846</v>
      </c>
      <c r="E38" s="11" t="str">
        <f>HYPERLINK("https://youtu.be/AN-kZHO-ERQ?t=5827","channel 2")</f>
        <v>channel 2</v>
      </c>
    </row>
    <row r="39">
      <c r="A39" s="66"/>
      <c r="B39" s="32" t="s">
        <v>3240</v>
      </c>
      <c r="C39" s="35" t="s">
        <v>80</v>
      </c>
      <c r="D39" s="34" t="s">
        <v>3241</v>
      </c>
      <c r="E39" s="11" t="str">
        <f>HYPERLINK("https://youtu.be/xmwPqnxZJ4w?t=6735","channel 1")</f>
        <v>channel 1</v>
      </c>
    </row>
    <row r="40">
      <c r="A40" s="66"/>
      <c r="B40" s="34" t="s">
        <v>3238</v>
      </c>
      <c r="C40" s="35" t="s">
        <v>217</v>
      </c>
      <c r="D40" s="34" t="s">
        <v>1846</v>
      </c>
      <c r="E40" s="11" t="str">
        <f>HYPERLINK("https://youtu.be/AN-kZHO-ERQ?t=6785","channel 2")</f>
        <v>channel 2</v>
      </c>
    </row>
    <row r="41">
      <c r="A41" s="66"/>
      <c r="B41" s="34" t="s">
        <v>3239</v>
      </c>
      <c r="C41" s="35" t="s">
        <v>286</v>
      </c>
      <c r="D41" s="34" t="s">
        <v>3241</v>
      </c>
      <c r="E41" s="11" t="str">
        <f>HYPERLINK("https://youtu.be/xmwPqnxZJ4w?t=7672","channel 1")</f>
        <v>channel 1</v>
      </c>
    </row>
    <row r="42">
      <c r="A42" s="66"/>
      <c r="B42" s="34" t="s">
        <v>3238</v>
      </c>
      <c r="C42" s="35" t="s">
        <v>3243</v>
      </c>
      <c r="D42" s="32" t="s">
        <v>3240</v>
      </c>
      <c r="E42" s="11" t="str">
        <f>HYPERLINK("https://youtu.be/AN-kZHO-ERQ?t=7761","channel 2")</f>
        <v>channel 2</v>
      </c>
    </row>
    <row r="43">
      <c r="A43" s="66"/>
      <c r="B43" s="34" t="s">
        <v>1846</v>
      </c>
      <c r="C43" s="35" t="s">
        <v>67</v>
      </c>
      <c r="D43" s="34" t="s">
        <v>3241</v>
      </c>
      <c r="E43" s="11" t="str">
        <f>HYPERLINK("https://youtu.be/xmwPqnxZJ4w?t=8607","channel 1")</f>
        <v>channel 1</v>
      </c>
    </row>
    <row r="44">
      <c r="A44" s="67"/>
      <c r="B44" s="34" t="s">
        <v>3239</v>
      </c>
      <c r="C44" s="35" t="s">
        <v>716</v>
      </c>
      <c r="D44" s="32" t="s">
        <v>3240</v>
      </c>
      <c r="E44" s="11" t="str">
        <f>HYPERLINK("https://youtu.be/AN-kZHO-ERQ?t=8630","channel 2")</f>
        <v>channel 2</v>
      </c>
    </row>
    <row r="45">
      <c r="B45" s="72" t="s">
        <v>2537</v>
      </c>
      <c r="C45" s="2"/>
      <c r="D45" s="3"/>
      <c r="E45" s="84"/>
    </row>
    <row r="46">
      <c r="B46" s="85" t="s">
        <v>2</v>
      </c>
      <c r="C46" s="86" t="s">
        <v>3</v>
      </c>
      <c r="D46" s="86" t="s">
        <v>4</v>
      </c>
      <c r="E46" s="86" t="s">
        <v>5</v>
      </c>
    </row>
    <row r="47">
      <c r="B47" s="34" t="s">
        <v>3024</v>
      </c>
      <c r="C47" s="35" t="s">
        <v>218</v>
      </c>
      <c r="D47" s="34" t="s">
        <v>838</v>
      </c>
      <c r="E47" s="97" t="str">
        <f>HYPERLINK("https://youtu.be/5vr-Xc-zW7w","channel 1")</f>
        <v>channel 1</v>
      </c>
    </row>
    <row r="48">
      <c r="B48" s="34" t="s">
        <v>3244</v>
      </c>
      <c r="C48" s="35" t="s">
        <v>64</v>
      </c>
      <c r="D48" s="32" t="s">
        <v>3245</v>
      </c>
      <c r="E48" s="97" t="str">
        <f>HYPERLINK("https://youtu.be/u8vtY3zb8U8","channel 2")</f>
        <v>channel 2</v>
      </c>
    </row>
    <row r="49">
      <c r="B49" s="34" t="s">
        <v>2865</v>
      </c>
      <c r="C49" s="35" t="s">
        <v>17</v>
      </c>
      <c r="D49" s="34" t="s">
        <v>3024</v>
      </c>
      <c r="E49" s="97" t="str">
        <f>HYPERLINK("https://youtu.be/5vr-Xc-zW7w?t=1016","channel 1")</f>
        <v>channel 1</v>
      </c>
    </row>
    <row r="50">
      <c r="B50" s="34" t="s">
        <v>3244</v>
      </c>
      <c r="C50" s="35" t="s">
        <v>71</v>
      </c>
      <c r="D50" s="34" t="s">
        <v>838</v>
      </c>
      <c r="E50" s="97" t="str">
        <f>HYPERLINK("https://youtu.be/u8vtY3zb8U8?t=1062","channel 2")</f>
        <v>channel 2</v>
      </c>
    </row>
    <row r="51">
      <c r="B51" s="34" t="s">
        <v>2865</v>
      </c>
      <c r="C51" s="35" t="s">
        <v>55</v>
      </c>
      <c r="D51" s="32" t="s">
        <v>3245</v>
      </c>
      <c r="E51" s="97" t="str">
        <f>HYPERLINK("https://youtu.be/5vr-Xc-zW7w?t=1984","channel 1")</f>
        <v>channel 1</v>
      </c>
    </row>
    <row r="52">
      <c r="B52" s="34" t="s">
        <v>3244</v>
      </c>
      <c r="C52" s="35" t="s">
        <v>251</v>
      </c>
      <c r="D52" s="34" t="s">
        <v>3024</v>
      </c>
      <c r="E52" s="97" t="str">
        <f>HYPERLINK("https://youtu.be/u8vtY3zb8U8?t=2007","channel 2")</f>
        <v>channel 2</v>
      </c>
    </row>
    <row r="53">
      <c r="B53" s="34" t="s">
        <v>2865</v>
      </c>
      <c r="C53" s="35" t="s">
        <v>357</v>
      </c>
      <c r="D53" s="34" t="s">
        <v>838</v>
      </c>
      <c r="E53" s="97" t="str">
        <f>HYPERLINK("https://youtu.be/5vr-Xc-zW7w?t=2923","channel 1")</f>
        <v>channel 1</v>
      </c>
    </row>
    <row r="54">
      <c r="B54" s="32" t="s">
        <v>3245</v>
      </c>
      <c r="C54" s="35" t="s">
        <v>25</v>
      </c>
      <c r="D54" s="34" t="s">
        <v>3024</v>
      </c>
      <c r="E54" s="97" t="str">
        <f>HYPERLINK("https://youtu.be/u8vtY3zb8U8?t=2949","channel 2")</f>
        <v>channel 2</v>
      </c>
    </row>
    <row r="55">
      <c r="B55" s="34" t="s">
        <v>2865</v>
      </c>
      <c r="C55" s="35" t="s">
        <v>45</v>
      </c>
      <c r="D55" s="34" t="s">
        <v>3244</v>
      </c>
      <c r="E55" s="97" t="str">
        <f>HYPERLINK("https://youtu.be/5vr-Xc-zW7w?t=3902","channel 1")</f>
        <v>channel 1</v>
      </c>
    </row>
    <row r="56">
      <c r="B56" s="32" t="s">
        <v>3245</v>
      </c>
      <c r="C56" s="35" t="s">
        <v>232</v>
      </c>
      <c r="D56" s="34" t="s">
        <v>838</v>
      </c>
      <c r="E56" s="97" t="str">
        <f>HYPERLINK("https://youtu.be/u8vtY3zb8U8?t=3929","channel 2")</f>
        <v>channel 2</v>
      </c>
    </row>
    <row r="57">
      <c r="B57" s="34" t="s">
        <v>838</v>
      </c>
      <c r="C57" s="35" t="s">
        <v>45</v>
      </c>
      <c r="D57" s="34" t="s">
        <v>3024</v>
      </c>
      <c r="E57" s="97" t="str">
        <f>HYPERLINK("https://youtu.be/5vr-Xc-zW7w?t=4889","channel 1")</f>
        <v>channel 1</v>
      </c>
    </row>
    <row r="58">
      <c r="B58" s="32" t="s">
        <v>3245</v>
      </c>
      <c r="C58" s="35" t="s">
        <v>71</v>
      </c>
      <c r="D58" s="34" t="s">
        <v>3244</v>
      </c>
      <c r="E58" s="97" t="str">
        <f>HYPERLINK("https://youtu.be/u8vtY3zb8U8?t=4919","channel 2")</f>
        <v>channel 2</v>
      </c>
    </row>
    <row r="59">
      <c r="B59" s="34" t="s">
        <v>3024</v>
      </c>
      <c r="C59" s="35" t="s">
        <v>456</v>
      </c>
      <c r="D59" s="34" t="s">
        <v>2865</v>
      </c>
      <c r="E59" s="97" t="str">
        <f>HYPERLINK("https://youtu.be/5vr-Xc-zW7w?t=5771","channel 1")</f>
        <v>channel 1</v>
      </c>
    </row>
    <row r="60">
      <c r="B60" s="34" t="s">
        <v>838</v>
      </c>
      <c r="C60" s="35" t="s">
        <v>815</v>
      </c>
      <c r="D60" s="34" t="s">
        <v>3244</v>
      </c>
      <c r="E60" s="97" t="str">
        <f>HYPERLINK("https://youtu.be/u8vtY3zb8U8?t=5810","channel 2")</f>
        <v>channel 2</v>
      </c>
    </row>
    <row r="61">
      <c r="B61" s="32" t="s">
        <v>3245</v>
      </c>
      <c r="C61" s="35" t="s">
        <v>196</v>
      </c>
      <c r="D61" s="34" t="s">
        <v>2865</v>
      </c>
      <c r="E61" s="97" t="str">
        <f>HYPERLINK("https://youtu.be/5vr-Xc-zW7w?t=6761","channel 1")</f>
        <v>channel 1</v>
      </c>
    </row>
    <row r="62">
      <c r="B62" s="34" t="s">
        <v>3024</v>
      </c>
      <c r="C62" s="35" t="s">
        <v>81</v>
      </c>
      <c r="D62" s="34" t="s">
        <v>3244</v>
      </c>
      <c r="E62" s="97" t="str">
        <f>HYPERLINK("https://youtu.be/u8vtY3zb8U8?t=6791","channel 2")</f>
        <v>channel 2</v>
      </c>
    </row>
    <row r="63">
      <c r="B63" s="34" t="s">
        <v>838</v>
      </c>
      <c r="C63" s="35" t="s">
        <v>81</v>
      </c>
      <c r="D63" s="34" t="s">
        <v>2865</v>
      </c>
      <c r="E63" s="97" t="str">
        <f>HYPERLINK("https://youtu.be/5vr-Xc-zW7w?t=7733","channel 1")</f>
        <v>channel 1</v>
      </c>
    </row>
    <row r="64">
      <c r="B64" s="34" t="s">
        <v>3024</v>
      </c>
      <c r="C64" s="35" t="s">
        <v>25</v>
      </c>
      <c r="D64" s="32" t="s">
        <v>3245</v>
      </c>
      <c r="E64" s="97" t="str">
        <f>HYPERLINK("https://youtu.be/u8vtY3zb8U8?t=7763","channel 2")</f>
        <v>channel 2</v>
      </c>
    </row>
    <row r="65">
      <c r="B65" s="34" t="s">
        <v>3244</v>
      </c>
      <c r="C65" s="35" t="s">
        <v>87</v>
      </c>
      <c r="D65" s="34" t="s">
        <v>2865</v>
      </c>
      <c r="E65" s="97" t="str">
        <f>HYPERLINK("https://youtu.be/5vr-Xc-zW7w?t=8673","channel 1")</f>
        <v>channel 1</v>
      </c>
    </row>
    <row r="66">
      <c r="B66" s="34" t="s">
        <v>838</v>
      </c>
      <c r="C66" s="35" t="s">
        <v>2959</v>
      </c>
      <c r="D66" s="32" t="s">
        <v>3245</v>
      </c>
      <c r="E66" s="97" t="str">
        <f>HYPERLINK("https://youtu.be/u8vtY3zb8U8?t=8705","channel 2")</f>
        <v>channel 2</v>
      </c>
    </row>
    <row r="67">
      <c r="B67" s="72" t="s">
        <v>2231</v>
      </c>
      <c r="C67" s="2"/>
      <c r="D67" s="3"/>
      <c r="E67" s="84"/>
    </row>
    <row r="68">
      <c r="B68" s="85" t="s">
        <v>2</v>
      </c>
      <c r="C68" s="86" t="s">
        <v>3</v>
      </c>
      <c r="D68" s="86" t="s">
        <v>4</v>
      </c>
      <c r="E68" s="86" t="s">
        <v>5</v>
      </c>
    </row>
    <row r="69">
      <c r="B69" s="34" t="s">
        <v>3246</v>
      </c>
      <c r="C69" s="35" t="s">
        <v>190</v>
      </c>
      <c r="D69" s="34" t="s">
        <v>1752</v>
      </c>
      <c r="E69" s="11" t="str">
        <f>HYPERLINK("https://youtu.be/CqX31wIeJaY","channel 1")</f>
        <v>channel 1</v>
      </c>
    </row>
    <row r="70">
      <c r="B70" s="34" t="s">
        <v>3247</v>
      </c>
      <c r="C70" s="35" t="s">
        <v>190</v>
      </c>
      <c r="D70" s="32" t="s">
        <v>3248</v>
      </c>
      <c r="E70" s="11" t="str">
        <f>HYPERLINK("https://youtu.be/H_7VaEaKJsQ","channel 2")</f>
        <v>channel 2</v>
      </c>
    </row>
    <row r="71">
      <c r="B71" s="34" t="s">
        <v>3249</v>
      </c>
      <c r="C71" s="35" t="s">
        <v>11</v>
      </c>
      <c r="D71" s="34" t="s">
        <v>3246</v>
      </c>
      <c r="E71" s="11" t="str">
        <f>HYPERLINK("https://youtu.be/CqX31wIeJaY?t=1036","channel 1")</f>
        <v>channel 1</v>
      </c>
    </row>
    <row r="72">
      <c r="B72" s="34" t="s">
        <v>3247</v>
      </c>
      <c r="C72" s="35" t="s">
        <v>20</v>
      </c>
      <c r="D72" s="34" t="s">
        <v>1752</v>
      </c>
      <c r="E72" s="11" t="str">
        <f>HYPERLINK("https://youtu.be/H_7VaEaKJsQ?t=1094","channel 2")</f>
        <v>channel 2</v>
      </c>
    </row>
    <row r="73">
      <c r="B73" s="34" t="s">
        <v>3249</v>
      </c>
      <c r="C73" s="35" t="s">
        <v>80</v>
      </c>
      <c r="D73" s="32" t="s">
        <v>3248</v>
      </c>
      <c r="E73" s="11" t="str">
        <f>HYPERLINK("https://youtu.be/CqX31wIeJaY?t=2100","channel 1")</f>
        <v>channel 1</v>
      </c>
    </row>
    <row r="74">
      <c r="B74" s="34" t="s">
        <v>3247</v>
      </c>
      <c r="C74" s="35" t="s">
        <v>17</v>
      </c>
      <c r="D74" s="34" t="s">
        <v>3246</v>
      </c>
      <c r="E74" s="11" t="str">
        <f>HYPERLINK("https://youtu.be/H_7VaEaKJsQ?t=2149","channel 2")</f>
        <v>channel 2</v>
      </c>
    </row>
    <row r="75">
      <c r="B75" s="34" t="s">
        <v>3249</v>
      </c>
      <c r="C75" s="35" t="s">
        <v>319</v>
      </c>
      <c r="D75" s="34" t="s">
        <v>1752</v>
      </c>
      <c r="E75" s="11" t="str">
        <f>HYPERLINK("https://youtu.be/CqX31wIeJaY?t=3082","channel 1")</f>
        <v>channel 1</v>
      </c>
    </row>
    <row r="76">
      <c r="B76" s="32" t="s">
        <v>3248</v>
      </c>
      <c r="C76" s="35" t="s">
        <v>249</v>
      </c>
      <c r="D76" s="34" t="s">
        <v>3246</v>
      </c>
      <c r="E76" s="11" t="str">
        <f>HYPERLINK("https://youtu.be/H_7VaEaKJsQ?t=3100","channel 2")</f>
        <v>channel 2</v>
      </c>
    </row>
    <row r="77">
      <c r="B77" s="34" t="s">
        <v>3249</v>
      </c>
      <c r="C77" s="35" t="s">
        <v>17</v>
      </c>
      <c r="D77" s="34" t="s">
        <v>3247</v>
      </c>
      <c r="E77" s="11" t="str">
        <f>HYPERLINK("https://youtu.be/CqX31wIeJaY?t=4010","channel 1")</f>
        <v>channel 1</v>
      </c>
    </row>
    <row r="78">
      <c r="B78" s="32" t="s">
        <v>3248</v>
      </c>
      <c r="C78" s="35" t="s">
        <v>78</v>
      </c>
      <c r="D78" s="34" t="s">
        <v>1752</v>
      </c>
      <c r="E78" s="11" t="str">
        <f>HYPERLINK("https://youtu.be/H_7VaEaKJsQ?t=4046","channel 2")</f>
        <v>channel 2</v>
      </c>
    </row>
    <row r="79">
      <c r="B79" s="34" t="s">
        <v>1752</v>
      </c>
      <c r="C79" s="35" t="s">
        <v>25</v>
      </c>
      <c r="D79" s="34" t="s">
        <v>3246</v>
      </c>
      <c r="E79" s="11" t="str">
        <f>HYPERLINK("https://youtu.be/CqX31wIeJaY?t=4974","channel 1")</f>
        <v>channel 1</v>
      </c>
    </row>
    <row r="80">
      <c r="B80" s="32" t="s">
        <v>3248</v>
      </c>
      <c r="C80" s="35" t="s">
        <v>566</v>
      </c>
      <c r="D80" s="34" t="s">
        <v>3247</v>
      </c>
      <c r="E80" s="11" t="str">
        <f>HYPERLINK("https://youtu.be/H_7VaEaKJsQ?t=4974","channel 2")</f>
        <v>channel 2</v>
      </c>
    </row>
    <row r="81">
      <c r="B81" s="34" t="s">
        <v>3246</v>
      </c>
      <c r="C81" s="35" t="s">
        <v>81</v>
      </c>
      <c r="D81" s="34" t="s">
        <v>3249</v>
      </c>
      <c r="E81" s="11" t="str">
        <f>HYPERLINK("https://youtu.be/CqX31wIeJaY?t=5883","channel 1")</f>
        <v>channel 1</v>
      </c>
    </row>
    <row r="82">
      <c r="B82" s="34" t="s">
        <v>1752</v>
      </c>
      <c r="C82" s="35" t="s">
        <v>3250</v>
      </c>
      <c r="D82" s="34" t="s">
        <v>3247</v>
      </c>
      <c r="E82" s="11" t="str">
        <f>HYPERLINK("https://youtu.be/H_7VaEaKJsQ?t=5870","channel 2")</f>
        <v>channel 2</v>
      </c>
    </row>
    <row r="83">
      <c r="B83" s="32" t="s">
        <v>3248</v>
      </c>
      <c r="C83" s="35" t="s">
        <v>496</v>
      </c>
      <c r="D83" s="34" t="s">
        <v>3249</v>
      </c>
      <c r="E83" s="11" t="str">
        <f>HYPERLINK("https://youtu.be/CqX31wIeJaY?t=6828","channel 1")</f>
        <v>channel 1</v>
      </c>
    </row>
    <row r="84">
      <c r="B84" s="34" t="s">
        <v>3246</v>
      </c>
      <c r="C84" s="35" t="s">
        <v>312</v>
      </c>
      <c r="D84" s="34" t="s">
        <v>3247</v>
      </c>
      <c r="E84" s="11" t="str">
        <f>HYPERLINK("https://youtu.be/H_7VaEaKJsQ?t=6855","channel 2")</f>
        <v>channel 2</v>
      </c>
    </row>
    <row r="85">
      <c r="B85" s="34" t="s">
        <v>1752</v>
      </c>
      <c r="C85" s="35" t="s">
        <v>58</v>
      </c>
      <c r="D85" s="34" t="s">
        <v>3249</v>
      </c>
      <c r="E85" s="11" t="str">
        <f>HYPERLINK("https://youtu.be/CqX31wIeJaY?t=7844","channel 1")</f>
        <v>channel 1</v>
      </c>
    </row>
    <row r="86">
      <c r="B86" s="34" t="s">
        <v>3246</v>
      </c>
      <c r="C86" s="35" t="s">
        <v>49</v>
      </c>
      <c r="D86" s="32" t="s">
        <v>3248</v>
      </c>
      <c r="E86" s="11" t="str">
        <f>HYPERLINK("https://youtu.be/H_7VaEaKJsQ?t=7779","channel 2")</f>
        <v>channel 2</v>
      </c>
    </row>
    <row r="87">
      <c r="B87" s="34" t="s">
        <v>3247</v>
      </c>
      <c r="C87" s="35" t="s">
        <v>329</v>
      </c>
      <c r="D87" s="34" t="s">
        <v>3249</v>
      </c>
      <c r="E87" s="11" t="str">
        <f>HYPERLINK("https://youtu.be/CqX31wIeJaY?t=8834","channel 1")</f>
        <v>channel 1</v>
      </c>
    </row>
    <row r="88">
      <c r="B88" s="34" t="s">
        <v>1752</v>
      </c>
      <c r="C88" s="35" t="s">
        <v>25</v>
      </c>
      <c r="D88" s="32" t="s">
        <v>3248</v>
      </c>
      <c r="E88" s="11" t="str">
        <f>HYPERLINK("https://youtu.be/H_7VaEaKJsQ?t=8859","channel 2")</f>
        <v>channel 2</v>
      </c>
    </row>
    <row r="89">
      <c r="B89" s="72" t="s">
        <v>3207</v>
      </c>
      <c r="C89" s="2"/>
      <c r="D89" s="3"/>
      <c r="E89" s="29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34" t="s">
        <v>3118</v>
      </c>
      <c r="C91" s="35" t="s">
        <v>11</v>
      </c>
      <c r="D91" s="34" t="s">
        <v>3251</v>
      </c>
      <c r="E91" s="11" t="str">
        <f>HYPERLINK("https://youtu.be/MrLnMq8T6Ag","channel 3")</f>
        <v>channel 3</v>
      </c>
    </row>
    <row r="92">
      <c r="B92" s="34" t="s">
        <v>3051</v>
      </c>
      <c r="C92" s="35" t="s">
        <v>285</v>
      </c>
      <c r="D92" s="32" t="s">
        <v>2881</v>
      </c>
      <c r="E92" s="11" t="str">
        <f>HYPERLINK("https://youtu.be/Wz8zJO8Sncw","channel 4")</f>
        <v>channel 4</v>
      </c>
    </row>
    <row r="93">
      <c r="B93" s="34" t="s">
        <v>386</v>
      </c>
      <c r="C93" s="35" t="s">
        <v>28</v>
      </c>
      <c r="D93" s="34" t="s">
        <v>3118</v>
      </c>
      <c r="E93" s="11" t="str">
        <f>HYPERLINK("https://youtu.be/MrLnMq8T6Ag?t=967","channel 3")</f>
        <v>channel 3</v>
      </c>
    </row>
    <row r="94">
      <c r="B94" s="34" t="s">
        <v>3051</v>
      </c>
      <c r="C94" s="35" t="s">
        <v>286</v>
      </c>
      <c r="D94" s="34" t="s">
        <v>3251</v>
      </c>
      <c r="E94" s="11" t="str">
        <f>HYPERLINK("https://youtu.be/Wz8zJO8Sncw?t=981","channel 4")</f>
        <v>channel 4</v>
      </c>
    </row>
    <row r="95">
      <c r="B95" s="34" t="s">
        <v>386</v>
      </c>
      <c r="C95" s="35" t="s">
        <v>886</v>
      </c>
      <c r="D95" s="32" t="s">
        <v>2881</v>
      </c>
      <c r="E95" s="11" t="str">
        <f>HYPERLINK("https://youtu.be/MrLnMq8T6Ag?t=1863","channel 3")</f>
        <v>channel 3</v>
      </c>
    </row>
    <row r="96">
      <c r="B96" s="34" t="s">
        <v>3051</v>
      </c>
      <c r="C96" s="35" t="s">
        <v>18</v>
      </c>
      <c r="D96" s="34" t="s">
        <v>3118</v>
      </c>
      <c r="E96" s="11" t="str">
        <f>HYPERLINK("https://youtu.be/Wz8zJO8Sncw?t=1903","channel 4")</f>
        <v>channel 4</v>
      </c>
    </row>
    <row r="97">
      <c r="B97" s="34" t="s">
        <v>386</v>
      </c>
      <c r="C97" s="35" t="s">
        <v>72</v>
      </c>
      <c r="D97" s="34" t="s">
        <v>3251</v>
      </c>
      <c r="E97" s="11" t="str">
        <f>HYPERLINK("https://youtu.be/MrLnMq8T6Ag?t=2773","channel 3")</f>
        <v>channel 3</v>
      </c>
    </row>
    <row r="98">
      <c r="B98" s="32" t="s">
        <v>2881</v>
      </c>
      <c r="C98" s="35" t="s">
        <v>274</v>
      </c>
      <c r="D98" s="34" t="s">
        <v>3118</v>
      </c>
      <c r="E98" s="11" t="str">
        <f>HYPERLINK("https://youtu.be/Wz8zJO8Sncw?t=2810","channel 4")</f>
        <v>channel 4</v>
      </c>
    </row>
    <row r="99">
      <c r="B99" s="34" t="s">
        <v>386</v>
      </c>
      <c r="C99" s="35" t="s">
        <v>62</v>
      </c>
      <c r="D99" s="34" t="s">
        <v>3051</v>
      </c>
      <c r="E99" s="11" t="str">
        <f>HYPERLINK("https://youtu.be/MrLnMq8T6Ag?t=3697","channel 3")</f>
        <v>channel 3</v>
      </c>
    </row>
    <row r="100">
      <c r="B100" s="32" t="s">
        <v>2881</v>
      </c>
      <c r="C100" s="35" t="s">
        <v>695</v>
      </c>
      <c r="D100" s="34" t="s">
        <v>3251</v>
      </c>
      <c r="E100" s="11" t="str">
        <f>HYPERLINK("https://youtu.be/Wz8zJO8Sncw?t=3762","channel 4")</f>
        <v>channel 4</v>
      </c>
    </row>
    <row r="101">
      <c r="B101" s="34" t="s">
        <v>3251</v>
      </c>
      <c r="C101" s="35" t="s">
        <v>25</v>
      </c>
      <c r="D101" s="34" t="s">
        <v>3118</v>
      </c>
      <c r="E101" s="11" t="str">
        <f>HYPERLINK("https://youtu.be/MrLnMq8T6Ag?t=4642","channel 3")</f>
        <v>channel 3</v>
      </c>
    </row>
    <row r="102">
      <c r="B102" s="32" t="s">
        <v>2881</v>
      </c>
      <c r="C102" s="35" t="s">
        <v>44</v>
      </c>
      <c r="D102" s="34" t="s">
        <v>3051</v>
      </c>
      <c r="E102" s="11" t="str">
        <f>HYPERLINK("https://youtu.be/Wz8zJO8Sncw?t=4749","channel 4")</f>
        <v>channel 4</v>
      </c>
    </row>
    <row r="103">
      <c r="B103" s="34" t="s">
        <v>3118</v>
      </c>
      <c r="C103" s="35" t="s">
        <v>78</v>
      </c>
      <c r="D103" s="34" t="s">
        <v>386</v>
      </c>
      <c r="E103" s="11" t="str">
        <f>HYPERLINK("https://youtu.be/MrLnMq8T6Ag?t=5616","channel 3")</f>
        <v>channel 3</v>
      </c>
    </row>
    <row r="104">
      <c r="B104" s="34" t="s">
        <v>3251</v>
      </c>
      <c r="C104" s="35" t="s">
        <v>325</v>
      </c>
      <c r="D104" s="34" t="s">
        <v>3051</v>
      </c>
      <c r="E104" s="11" t="str">
        <f>HYPERLINK("https://youtu.be/Wz8zJO8Sncw?t=5750","channel 4")</f>
        <v>channel 4</v>
      </c>
    </row>
    <row r="105">
      <c r="B105" s="32" t="s">
        <v>2881</v>
      </c>
      <c r="C105" s="35" t="s">
        <v>2266</v>
      </c>
      <c r="D105" s="34" t="s">
        <v>386</v>
      </c>
      <c r="E105" s="11" t="str">
        <f>HYPERLINK("https://youtu.be/MrLnMq8T6Ag?t=6674","channel 3")</f>
        <v>channel 3</v>
      </c>
    </row>
    <row r="106">
      <c r="B106" s="34" t="s">
        <v>3118</v>
      </c>
      <c r="C106" s="35" t="s">
        <v>240</v>
      </c>
      <c r="D106" s="34" t="s">
        <v>3051</v>
      </c>
      <c r="E106" s="11" t="str">
        <f>HYPERLINK("https://youtu.be/Wz8zJO8Sncw?t=6638","channel 4")</f>
        <v>channel 4</v>
      </c>
    </row>
    <row r="107">
      <c r="B107" s="34" t="s">
        <v>3251</v>
      </c>
      <c r="C107" s="35" t="s">
        <v>413</v>
      </c>
      <c r="D107" s="34" t="s">
        <v>386</v>
      </c>
      <c r="E107" s="11" t="str">
        <f>HYPERLINK("https://youtu.be/MrLnMq8T6Ag?t=7634","channel 3")</f>
        <v>channel 3</v>
      </c>
    </row>
    <row r="108">
      <c r="B108" s="34" t="s">
        <v>3118</v>
      </c>
      <c r="C108" s="35" t="s">
        <v>64</v>
      </c>
      <c r="D108" s="32" t="s">
        <v>2881</v>
      </c>
      <c r="E108" s="11" t="str">
        <f>HYPERLINK("https://youtu.be/Wz8zJO8Sncw?t=7609","channel 4")</f>
        <v>channel 4</v>
      </c>
    </row>
    <row r="109">
      <c r="B109" s="34" t="s">
        <v>3051</v>
      </c>
      <c r="C109" s="35" t="s">
        <v>329</v>
      </c>
      <c r="D109" s="34" t="s">
        <v>386</v>
      </c>
      <c r="E109" s="11" t="str">
        <f>HYPERLINK("https://youtu.be/MrLnMq8T6Ag?t=8528","channel 3")</f>
        <v>channel 3</v>
      </c>
    </row>
    <row r="110">
      <c r="B110" s="34" t="s">
        <v>3251</v>
      </c>
      <c r="C110" s="35" t="s">
        <v>268</v>
      </c>
      <c r="D110" s="32" t="s">
        <v>2881</v>
      </c>
      <c r="E110" s="11" t="str">
        <f>HYPERLINK("https://youtu.be/Wz8zJO8Sncw?t=8520","channel 4")</f>
        <v>channel 4</v>
      </c>
    </row>
    <row r="111">
      <c r="B111" s="72" t="s">
        <v>2646</v>
      </c>
      <c r="C111" s="2"/>
      <c r="D111" s="3"/>
      <c r="E111" s="29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34" t="s">
        <v>3252</v>
      </c>
      <c r="C113" s="35" t="s">
        <v>201</v>
      </c>
      <c r="D113" s="34" t="s">
        <v>927</v>
      </c>
      <c r="E113" s="11" t="str">
        <f>HYPERLINK("https://youtu.be/1lrqo30ZOJ4","channel 3")</f>
        <v>channel 3</v>
      </c>
    </row>
    <row r="114">
      <c r="B114" s="34" t="s">
        <v>1008</v>
      </c>
      <c r="C114" s="35" t="s">
        <v>83</v>
      </c>
      <c r="D114" s="32" t="s">
        <v>3253</v>
      </c>
      <c r="E114" s="11" t="str">
        <f>HYPERLINK("https://youtu.be/xjlKvsf0uVg","channel 4")</f>
        <v>channel 4</v>
      </c>
    </row>
    <row r="115">
      <c r="B115" s="34" t="s">
        <v>448</v>
      </c>
      <c r="C115" s="35" t="s">
        <v>63</v>
      </c>
      <c r="D115" s="34" t="s">
        <v>3252</v>
      </c>
      <c r="E115" s="11" t="str">
        <f>HYPERLINK("https://youtu.be/1lrqo30ZOJ4?t=1034","channel 3")</f>
        <v>channel 3</v>
      </c>
    </row>
    <row r="116">
      <c r="B116" s="34" t="s">
        <v>1008</v>
      </c>
      <c r="C116" s="35" t="s">
        <v>50</v>
      </c>
      <c r="D116" s="34" t="s">
        <v>927</v>
      </c>
      <c r="E116" s="11" t="str">
        <f>HYPERLINK("https://youtu.be/xjlKvsf0uVg?t=974","channel 4")</f>
        <v>channel 4</v>
      </c>
    </row>
    <row r="117">
      <c r="B117" s="34" t="s">
        <v>448</v>
      </c>
      <c r="C117" s="35" t="s">
        <v>72</v>
      </c>
      <c r="D117" s="32" t="s">
        <v>3253</v>
      </c>
      <c r="E117" s="11" t="str">
        <f>HYPERLINK("https://youtu.be/1lrqo30ZOJ4?t=2011","channel 3")</f>
        <v>channel 3</v>
      </c>
    </row>
    <row r="118">
      <c r="B118" s="34" t="s">
        <v>1008</v>
      </c>
      <c r="C118" s="35" t="s">
        <v>1859</v>
      </c>
      <c r="D118" s="34" t="s">
        <v>3252</v>
      </c>
      <c r="E118" s="11" t="str">
        <f>HYPERLINK("https://youtu.be/xjlKvsf0uVg?t=1924","channel 4")</f>
        <v>channel 4</v>
      </c>
    </row>
    <row r="119">
      <c r="B119" s="34" t="s">
        <v>448</v>
      </c>
      <c r="C119" s="35" t="s">
        <v>1728</v>
      </c>
      <c r="D119" s="34" t="s">
        <v>927</v>
      </c>
      <c r="E119" s="11" t="str">
        <f>HYPERLINK("https://youtu.be/1lrqo30ZOJ4?t=2864","channel 3")</f>
        <v>channel 3</v>
      </c>
    </row>
    <row r="120">
      <c r="B120" s="32" t="s">
        <v>3253</v>
      </c>
      <c r="C120" s="35" t="s">
        <v>258</v>
      </c>
      <c r="D120" s="34" t="s">
        <v>3252</v>
      </c>
      <c r="E120" s="11" t="str">
        <f>HYPERLINK("https://youtu.be/xjlKvsf0uVg?t=2883","channel 4")</f>
        <v>channel 4</v>
      </c>
    </row>
    <row r="121">
      <c r="B121" s="34" t="s">
        <v>448</v>
      </c>
      <c r="C121" s="35" t="s">
        <v>542</v>
      </c>
      <c r="D121" s="34" t="s">
        <v>1008</v>
      </c>
      <c r="E121" s="11" t="str">
        <f>HYPERLINK("https://youtu.be/1lrqo30ZOJ4?t=3809","channel 3")</f>
        <v>channel 3</v>
      </c>
    </row>
    <row r="122">
      <c r="B122" s="32" t="s">
        <v>3253</v>
      </c>
      <c r="C122" s="35" t="s">
        <v>43</v>
      </c>
      <c r="D122" s="34" t="s">
        <v>927</v>
      </c>
      <c r="E122" s="11" t="str">
        <f>HYPERLINK("https://youtu.be/xjlKvsf0uVg?t=3808","channel 4")</f>
        <v>channel 4</v>
      </c>
    </row>
    <row r="123">
      <c r="B123" s="34" t="s">
        <v>927</v>
      </c>
      <c r="C123" s="35" t="s">
        <v>289</v>
      </c>
      <c r="D123" s="34" t="s">
        <v>3252</v>
      </c>
      <c r="E123" s="11" t="str">
        <f>HYPERLINK("https://youtu.be/1lrqo30ZOJ4?t=4751","channel 3")</f>
        <v>channel 3</v>
      </c>
    </row>
    <row r="124">
      <c r="B124" s="32" t="s">
        <v>3253</v>
      </c>
      <c r="C124" s="35" t="s">
        <v>16</v>
      </c>
      <c r="D124" s="34" t="s">
        <v>1008</v>
      </c>
      <c r="E124" s="11" t="str">
        <f>HYPERLINK("https://youtu.be/xjlKvsf0uVg?t=4938","channel 4")</f>
        <v>channel 4</v>
      </c>
    </row>
    <row r="125">
      <c r="B125" s="34" t="s">
        <v>3252</v>
      </c>
      <c r="C125" s="35" t="s">
        <v>579</v>
      </c>
      <c r="D125" s="34" t="s">
        <v>448</v>
      </c>
      <c r="E125" s="11" t="str">
        <f>HYPERLINK("https://youtu.be/1lrqo30ZOJ4?t=5739","channel 3")</f>
        <v>channel 3</v>
      </c>
    </row>
    <row r="126">
      <c r="B126" s="34" t="s">
        <v>927</v>
      </c>
      <c r="C126" s="35" t="s">
        <v>25</v>
      </c>
      <c r="D126" s="34" t="s">
        <v>1008</v>
      </c>
      <c r="E126" s="11" t="str">
        <f>HYPERLINK("https://youtu.be/xjlKvsf0uVg?t=5923","channel 4")</f>
        <v>channel 4</v>
      </c>
    </row>
    <row r="127">
      <c r="B127" s="32" t="s">
        <v>3253</v>
      </c>
      <c r="C127" s="92" t="s">
        <v>220</v>
      </c>
      <c r="D127" s="34" t="s">
        <v>448</v>
      </c>
      <c r="E127" s="11" t="str">
        <f>HYPERLINK("https://youtu.be/1lrqo30ZOJ4?t=6762","channel 3")</f>
        <v>channel 3</v>
      </c>
    </row>
    <row r="128">
      <c r="B128" s="34" t="s">
        <v>3252</v>
      </c>
      <c r="C128" s="35" t="s">
        <v>488</v>
      </c>
      <c r="D128" s="34" t="s">
        <v>1008</v>
      </c>
      <c r="E128" s="11" t="str">
        <f>HYPERLINK("https://youtu.be/xjlKvsf0uVg?t=6782","channel 4")</f>
        <v>channel 4</v>
      </c>
    </row>
    <row r="129">
      <c r="B129" s="34" t="s">
        <v>927</v>
      </c>
      <c r="C129" s="35" t="s">
        <v>218</v>
      </c>
      <c r="D129" s="34" t="s">
        <v>448</v>
      </c>
      <c r="E129" s="11" t="str">
        <f>HYPERLINK("https://youtu.be/1lrqo30ZOJ4?t=7691","channel 3")</f>
        <v>channel 3</v>
      </c>
    </row>
    <row r="130">
      <c r="B130" s="34" t="s">
        <v>3252</v>
      </c>
      <c r="C130" s="35" t="s">
        <v>824</v>
      </c>
      <c r="D130" s="32" t="s">
        <v>3253</v>
      </c>
      <c r="E130" s="11" t="str">
        <f>HYPERLINK("https://youtu.be/xjlKvsf0uVg?t=7746","channel 4")</f>
        <v>channel 4</v>
      </c>
    </row>
    <row r="131">
      <c r="B131" s="34" t="s">
        <v>1008</v>
      </c>
      <c r="C131" s="35" t="s">
        <v>270</v>
      </c>
      <c r="D131" s="34" t="s">
        <v>448</v>
      </c>
      <c r="E131" s="11" t="str">
        <f>HYPERLINK("https://youtu.be/1lrqo30ZOJ4?t=8599","channel 3")</f>
        <v>channel 3</v>
      </c>
    </row>
    <row r="132">
      <c r="B132" s="34" t="s">
        <v>927</v>
      </c>
      <c r="C132" s="35" t="s">
        <v>261</v>
      </c>
      <c r="D132" s="32" t="s">
        <v>3253</v>
      </c>
      <c r="E132" s="11" t="str">
        <f>HYPERLINK("https://youtu.be/xjlKvsf0uVg?t=8610","channel 4")</f>
        <v>channel 4</v>
      </c>
    </row>
    <row r="133">
      <c r="B133" s="72" t="s">
        <v>2041</v>
      </c>
      <c r="C133" s="2"/>
      <c r="D133" s="3"/>
      <c r="E133" s="84"/>
    </row>
    <row r="134">
      <c r="B134" s="85" t="s">
        <v>2</v>
      </c>
      <c r="C134" s="86" t="s">
        <v>3</v>
      </c>
      <c r="D134" s="86" t="s">
        <v>4</v>
      </c>
      <c r="E134" s="86" t="s">
        <v>5</v>
      </c>
    </row>
    <row r="135">
      <c r="B135" s="34" t="s">
        <v>3254</v>
      </c>
      <c r="C135" s="35" t="s">
        <v>195</v>
      </c>
      <c r="D135" s="34" t="s">
        <v>3255</v>
      </c>
      <c r="E135" s="97" t="str">
        <f>HYPERLINK("https://youtu.be/UQ3iYw2BvOo","channel 1")</f>
        <v>channel 1</v>
      </c>
    </row>
    <row r="136">
      <c r="B136" s="34" t="s">
        <v>3256</v>
      </c>
      <c r="C136" s="35" t="s">
        <v>260</v>
      </c>
      <c r="D136" s="32" t="s">
        <v>2870</v>
      </c>
      <c r="E136" s="97" t="str">
        <f>HYPERLINK("https://youtu.be/h3qbNOJL2Po","channel 2")</f>
        <v>channel 2</v>
      </c>
    </row>
    <row r="137">
      <c r="B137" s="34" t="s">
        <v>3257</v>
      </c>
      <c r="C137" s="35" t="s">
        <v>286</v>
      </c>
      <c r="D137" s="34" t="s">
        <v>3254</v>
      </c>
      <c r="E137" s="97" t="str">
        <f>HYPERLINK("https://youtu.be/UQ3iYw2BvOo?t=1069","channel 1")</f>
        <v>channel 1</v>
      </c>
    </row>
    <row r="138">
      <c r="B138" s="34" t="s">
        <v>3256</v>
      </c>
      <c r="C138" s="35" t="s">
        <v>245</v>
      </c>
      <c r="D138" s="34" t="s">
        <v>3255</v>
      </c>
      <c r="E138" s="97" t="str">
        <f>HYPERLINK("https://youtu.be/h3qbNOJL2Po?t=1084","channel 2")</f>
        <v>channel 2</v>
      </c>
    </row>
    <row r="139">
      <c r="B139" s="34" t="s">
        <v>3257</v>
      </c>
      <c r="C139" s="35" t="s">
        <v>35</v>
      </c>
      <c r="D139" s="32" t="s">
        <v>2870</v>
      </c>
      <c r="E139" s="97" t="str">
        <f>HYPERLINK("https://youtu.be/UQ3iYw2BvOo?t=1986","channel 1")</f>
        <v>channel 1</v>
      </c>
    </row>
    <row r="140">
      <c r="B140" s="34" t="s">
        <v>3256</v>
      </c>
      <c r="C140" s="35" t="s">
        <v>328</v>
      </c>
      <c r="D140" s="34" t="s">
        <v>3254</v>
      </c>
      <c r="E140" s="97" t="str">
        <f>HYPERLINK("https://youtu.be/h3qbNOJL2Po?t=2039","channel 2")</f>
        <v>channel 2</v>
      </c>
    </row>
    <row r="141">
      <c r="B141" s="34" t="s">
        <v>3257</v>
      </c>
      <c r="C141" s="35" t="s">
        <v>239</v>
      </c>
      <c r="D141" s="34" t="s">
        <v>3255</v>
      </c>
      <c r="E141" s="97" t="str">
        <f>HYPERLINK("https://youtu.be/UQ3iYw2BvOo?t=2967","channel 1")</f>
        <v>channel 1</v>
      </c>
    </row>
    <row r="142">
      <c r="B142" s="32" t="s">
        <v>2870</v>
      </c>
      <c r="C142" s="35" t="s">
        <v>69</v>
      </c>
      <c r="D142" s="34" t="s">
        <v>3254</v>
      </c>
      <c r="E142" s="97" t="str">
        <f>HYPERLINK("https://youtu.be/h3qbNOJL2Po?t=2964","channel 2")</f>
        <v>channel 2</v>
      </c>
    </row>
    <row r="143">
      <c r="B143" s="34" t="s">
        <v>3257</v>
      </c>
      <c r="C143" s="35" t="s">
        <v>87</v>
      </c>
      <c r="D143" s="34" t="s">
        <v>3256</v>
      </c>
      <c r="E143" s="97" t="str">
        <f>HYPERLINK("https://youtu.be/UQ3iYw2BvOo?t=4033","channel 1")</f>
        <v>channel 1</v>
      </c>
    </row>
    <row r="144">
      <c r="B144" s="32" t="s">
        <v>2870</v>
      </c>
      <c r="C144" s="35" t="s">
        <v>197</v>
      </c>
      <c r="D144" s="34" t="s">
        <v>3255</v>
      </c>
      <c r="E144" s="97" t="str">
        <f>HYPERLINK("https://youtu.be/h3qbNOJL2Po?t=4022","channel 2")</f>
        <v>channel 2</v>
      </c>
    </row>
    <row r="145">
      <c r="B145" s="34" t="s">
        <v>3255</v>
      </c>
      <c r="C145" s="35" t="s">
        <v>190</v>
      </c>
      <c r="D145" s="34" t="s">
        <v>3254</v>
      </c>
      <c r="E145" s="97" t="str">
        <f>HYPERLINK("https://youtu.be/UQ3iYw2BvOo?t=4995","channel 1")</f>
        <v>channel 1</v>
      </c>
    </row>
    <row r="146">
      <c r="B146" s="32" t="s">
        <v>2870</v>
      </c>
      <c r="C146" s="35" t="s">
        <v>17</v>
      </c>
      <c r="D146" s="34" t="s">
        <v>3256</v>
      </c>
      <c r="E146" s="97" t="str">
        <f>HYPERLINK("https://youtu.be/h3qbNOJL2Po?t=4948","channel 2")</f>
        <v>channel 2</v>
      </c>
      <c r="H146" s="35"/>
    </row>
    <row r="147">
      <c r="B147" s="34" t="s">
        <v>3254</v>
      </c>
      <c r="C147" s="35" t="s">
        <v>196</v>
      </c>
      <c r="D147" s="34" t="s">
        <v>3257</v>
      </c>
      <c r="E147" s="97" t="str">
        <f>HYPERLINK("https://youtu.be/UQ3iYw2BvOo?t=5870","channel 1")</f>
        <v>channel 1</v>
      </c>
    </row>
    <row r="148">
      <c r="B148" s="34" t="s">
        <v>3255</v>
      </c>
      <c r="C148" s="35" t="s">
        <v>354</v>
      </c>
      <c r="D148" s="34" t="s">
        <v>3256</v>
      </c>
      <c r="E148" s="97" t="str">
        <f>HYPERLINK("https://youtu.be/h3qbNOJL2Po?t=5883","channel 2")</f>
        <v>channel 2</v>
      </c>
    </row>
    <row r="149">
      <c r="B149" s="32" t="s">
        <v>2870</v>
      </c>
      <c r="C149" s="35" t="s">
        <v>193</v>
      </c>
      <c r="D149" s="34" t="s">
        <v>3257</v>
      </c>
      <c r="E149" s="97" t="str">
        <f>HYPERLINK("https://youtu.be/UQ3iYw2BvOo?t=6866","channel 1")</f>
        <v>channel 1</v>
      </c>
    </row>
    <row r="150">
      <c r="B150" s="34" t="s">
        <v>3254</v>
      </c>
      <c r="C150" s="35" t="s">
        <v>195</v>
      </c>
      <c r="D150" s="34" t="s">
        <v>3256</v>
      </c>
      <c r="E150" s="97" t="str">
        <f>HYPERLINK("https://youtu.be/h3qbNOJL2Po?t=6857","channel 2")</f>
        <v>channel 2</v>
      </c>
    </row>
    <row r="151">
      <c r="B151" s="34" t="s">
        <v>3255</v>
      </c>
      <c r="C151" s="35" t="s">
        <v>87</v>
      </c>
      <c r="D151" s="34" t="s">
        <v>3257</v>
      </c>
      <c r="E151" s="97" t="str">
        <f>HYPERLINK("https://youtu.be/UQ3iYw2BvOo?t=7801","channel 1")</f>
        <v>channel 1</v>
      </c>
    </row>
    <row r="152">
      <c r="B152" s="34" t="s">
        <v>3254</v>
      </c>
      <c r="C152" s="35" t="s">
        <v>190</v>
      </c>
      <c r="D152" s="32" t="s">
        <v>2870</v>
      </c>
      <c r="E152" s="97" t="str">
        <f>HYPERLINK("https://youtu.be/h3qbNOJL2Po?t=7763","channel 2")</f>
        <v>channel 2</v>
      </c>
    </row>
    <row r="153">
      <c r="B153" s="34" t="s">
        <v>3256</v>
      </c>
      <c r="C153" s="35" t="s">
        <v>239</v>
      </c>
      <c r="D153" s="34" t="s">
        <v>3257</v>
      </c>
      <c r="E153" s="97" t="str">
        <f>HYPERLINK("https://youtu.be/UQ3iYw2BvOo?t=8730","channel 1")</f>
        <v>channel 1</v>
      </c>
    </row>
    <row r="154">
      <c r="B154" s="34" t="s">
        <v>3255</v>
      </c>
      <c r="C154" s="35" t="s">
        <v>72</v>
      </c>
      <c r="D154" s="32" t="s">
        <v>2870</v>
      </c>
      <c r="E154" s="97" t="str">
        <f>HYPERLINK("https://youtu.be/h3qbNOJL2Po?t=8738","channel 2")</f>
        <v>channel 2</v>
      </c>
    </row>
    <row r="155">
      <c r="B155" s="72" t="s">
        <v>2923</v>
      </c>
      <c r="C155" s="2"/>
      <c r="D155" s="3"/>
      <c r="E155" s="84"/>
    </row>
    <row r="156">
      <c r="B156" s="85" t="s">
        <v>2</v>
      </c>
      <c r="C156" s="86" t="s">
        <v>3</v>
      </c>
      <c r="D156" s="86" t="s">
        <v>4</v>
      </c>
      <c r="E156" s="86" t="s">
        <v>5</v>
      </c>
    </row>
    <row r="157">
      <c r="B157" s="34" t="s">
        <v>3258</v>
      </c>
      <c r="C157" s="35" t="s">
        <v>69</v>
      </c>
      <c r="D157" s="34" t="s">
        <v>3259</v>
      </c>
      <c r="E157" s="97" t="str">
        <f>HYPERLINK("https://youtu.be/U9946CJTuOE","channel 1")</f>
        <v>channel 1</v>
      </c>
    </row>
    <row r="158">
      <c r="B158" s="34" t="s">
        <v>3095</v>
      </c>
      <c r="C158" s="35" t="s">
        <v>22</v>
      </c>
      <c r="D158" s="32" t="s">
        <v>2858</v>
      </c>
      <c r="E158" s="97" t="str">
        <f>HYPERLINK("https://youtu.be/fUvWOWUVq7Y","channel 2")</f>
        <v>channel 2</v>
      </c>
    </row>
    <row r="159">
      <c r="B159" s="34" t="s">
        <v>3013</v>
      </c>
      <c r="C159" s="35" t="s">
        <v>71</v>
      </c>
      <c r="D159" s="34" t="s">
        <v>3258</v>
      </c>
      <c r="E159" s="97" t="str">
        <f>HYPERLINK("https://youtu.be/U9946CJTuOE?t=979","channel 1")</f>
        <v>channel 1</v>
      </c>
    </row>
    <row r="160">
      <c r="B160" s="34" t="s">
        <v>3095</v>
      </c>
      <c r="C160" s="35" t="s">
        <v>55</v>
      </c>
      <c r="D160" s="34" t="s">
        <v>3259</v>
      </c>
      <c r="E160" s="97" t="str">
        <f>HYPERLINK("https://youtu.be/fUvWOWUVq7Y?t=1055","channel 2")</f>
        <v>channel 2</v>
      </c>
    </row>
    <row r="161">
      <c r="B161" s="34" t="s">
        <v>3013</v>
      </c>
      <c r="C161" s="35" t="s">
        <v>270</v>
      </c>
      <c r="D161" s="32" t="s">
        <v>2858</v>
      </c>
      <c r="E161" s="97" t="str">
        <f>HYPERLINK("https://youtu.be/U9946CJTuOE?t=1954","channel 1")</f>
        <v>channel 1</v>
      </c>
    </row>
    <row r="162">
      <c r="B162" s="34" t="s">
        <v>3095</v>
      </c>
      <c r="C162" s="35" t="s">
        <v>25</v>
      </c>
      <c r="D162" s="34" t="s">
        <v>3258</v>
      </c>
      <c r="E162" s="97" t="str">
        <f>HYPERLINK("https://youtu.be/fUvWOWUVq7Y?t=1950","channel 2")</f>
        <v>channel 2</v>
      </c>
    </row>
    <row r="163">
      <c r="B163" s="34" t="s">
        <v>3013</v>
      </c>
      <c r="C163" s="35" t="s">
        <v>19</v>
      </c>
      <c r="D163" s="34" t="s">
        <v>3259</v>
      </c>
      <c r="E163" s="97" t="str">
        <f>HYPERLINK("https://youtu.be/U9946CJTuOE?t=2871","channel 1")</f>
        <v>channel 1</v>
      </c>
    </row>
    <row r="164">
      <c r="B164" s="32" t="s">
        <v>2858</v>
      </c>
      <c r="C164" s="35" t="s">
        <v>319</v>
      </c>
      <c r="D164" s="34" t="s">
        <v>3258</v>
      </c>
      <c r="E164" s="97" t="str">
        <f>HYPERLINK("https://youtu.be/fUvWOWUVq7Y?t=2864","channel 2")</f>
        <v>channel 2</v>
      </c>
    </row>
    <row r="165">
      <c r="B165" s="34" t="s">
        <v>3013</v>
      </c>
      <c r="C165" s="35" t="s">
        <v>87</v>
      </c>
      <c r="D165" s="34" t="s">
        <v>3095</v>
      </c>
      <c r="E165" s="97" t="str">
        <f>HYPERLINK("https://youtu.be/U9946CJTuOE?t=3821","channel 1")</f>
        <v>channel 1</v>
      </c>
    </row>
    <row r="166">
      <c r="B166" s="32" t="s">
        <v>2858</v>
      </c>
      <c r="C166" s="35" t="s">
        <v>88</v>
      </c>
      <c r="D166" s="34" t="s">
        <v>3259</v>
      </c>
      <c r="E166" s="97" t="str">
        <f>HYPERLINK("https://youtu.be/fUvWOWUVq7Y?t=3786","channel 2")</f>
        <v>channel 2</v>
      </c>
    </row>
    <row r="167">
      <c r="B167" s="34" t="s">
        <v>3259</v>
      </c>
      <c r="C167" s="35" t="s">
        <v>55</v>
      </c>
      <c r="D167" s="34" t="s">
        <v>3258</v>
      </c>
      <c r="E167" s="97" t="str">
        <f>HYPERLINK("https://youtu.be/U9946CJTuOE?t=4730","channel 1")</f>
        <v>channel 1</v>
      </c>
    </row>
    <row r="168">
      <c r="B168" s="32" t="s">
        <v>2858</v>
      </c>
      <c r="C168" s="35" t="s">
        <v>80</v>
      </c>
      <c r="D168" s="34" t="s">
        <v>3095</v>
      </c>
      <c r="E168" s="97" t="str">
        <f>HYPERLINK("https://youtu.be/fUvWOWUVq7Y?t=4712","channel 2")</f>
        <v>channel 2</v>
      </c>
    </row>
    <row r="169">
      <c r="B169" s="34" t="s">
        <v>3258</v>
      </c>
      <c r="C169" s="35" t="s">
        <v>7</v>
      </c>
      <c r="D169" s="34" t="s">
        <v>3013</v>
      </c>
      <c r="E169" s="97" t="str">
        <f>HYPERLINK("https://youtu.be/U9946CJTuOE?t=5784","channel 1")</f>
        <v>channel 1</v>
      </c>
    </row>
    <row r="170">
      <c r="B170" s="34" t="s">
        <v>3259</v>
      </c>
      <c r="C170" s="35" t="s">
        <v>58</v>
      </c>
      <c r="D170" s="34" t="s">
        <v>3095</v>
      </c>
      <c r="E170" s="97" t="str">
        <f>HYPERLINK("https://youtu.be/fUvWOWUVq7Y?t=5818","channel 2")</f>
        <v>channel 2</v>
      </c>
    </row>
    <row r="171">
      <c r="B171" s="32" t="s">
        <v>2858</v>
      </c>
      <c r="C171" s="35" t="s">
        <v>993</v>
      </c>
      <c r="D171" s="34" t="s">
        <v>3013</v>
      </c>
      <c r="E171" s="97" t="str">
        <f>HYPERLINK("https://youtu.be/U9946CJTuOE?t=6686","channel 1")</f>
        <v>channel 1</v>
      </c>
    </row>
    <row r="172">
      <c r="B172" s="34" t="s">
        <v>3258</v>
      </c>
      <c r="C172" s="35" t="s">
        <v>81</v>
      </c>
      <c r="D172" s="34" t="s">
        <v>3095</v>
      </c>
      <c r="E172" s="97" t="str">
        <f>HYPERLINK("https://youtu.be/fUvWOWUVq7Y?t=6740","channel 2")</f>
        <v>channel 2</v>
      </c>
    </row>
    <row r="173">
      <c r="B173" s="34" t="s">
        <v>3259</v>
      </c>
      <c r="C173" s="35" t="s">
        <v>543</v>
      </c>
      <c r="D173" s="34" t="s">
        <v>3013</v>
      </c>
      <c r="E173" s="97" t="str">
        <f>HYPERLINK("https://youtu.be/U9946CJTuOE?t=7806","channel 1")</f>
        <v>channel 1</v>
      </c>
    </row>
    <row r="174">
      <c r="B174" s="34" t="s">
        <v>3258</v>
      </c>
      <c r="C174" s="35" t="s">
        <v>42</v>
      </c>
      <c r="D174" s="32" t="s">
        <v>2858</v>
      </c>
      <c r="E174" s="97" t="str">
        <f>HYPERLINK("https://youtu.be/fUvWOWUVq7Y?t=7804","channel 2")</f>
        <v>channel 2</v>
      </c>
    </row>
    <row r="175">
      <c r="B175" s="34" t="s">
        <v>3095</v>
      </c>
      <c r="C175" s="35" t="s">
        <v>404</v>
      </c>
      <c r="D175" s="34" t="s">
        <v>3013</v>
      </c>
      <c r="E175" s="97" t="str">
        <f>HYPERLINK("https://youtu.be/U9946CJTuOE?t=8841","channel 1")</f>
        <v>channel 1</v>
      </c>
    </row>
    <row r="176">
      <c r="B176" s="34" t="s">
        <v>3259</v>
      </c>
      <c r="C176" s="35" t="s">
        <v>82</v>
      </c>
      <c r="D176" s="32" t="s">
        <v>2858</v>
      </c>
      <c r="E176" s="97" t="str">
        <f>HYPERLINK("https://youtu.be/fUvWOWUVq7Y?t=8757","channel 2")</f>
        <v>channel 2</v>
      </c>
    </row>
    <row r="177">
      <c r="B177" s="72" t="s">
        <v>3260</v>
      </c>
      <c r="C177" s="2"/>
      <c r="D177" s="3"/>
      <c r="E177" s="2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34" t="s">
        <v>3261</v>
      </c>
      <c r="C179" s="35" t="s">
        <v>41</v>
      </c>
      <c r="D179" s="34" t="s">
        <v>1762</v>
      </c>
      <c r="E179" s="11" t="str">
        <f>HYPERLINK("https://youtu.be/uJ_hsU4dw2w","channel 3")</f>
        <v>channel 3</v>
      </c>
    </row>
    <row r="180">
      <c r="B180" s="34" t="s">
        <v>2863</v>
      </c>
      <c r="C180" s="35" t="s">
        <v>302</v>
      </c>
      <c r="D180" s="32" t="s">
        <v>3262</v>
      </c>
      <c r="E180" s="11" t="str">
        <f>HYPERLINK("https://youtu.be/q9-EvHatALU","channel 4")</f>
        <v>channel 4</v>
      </c>
    </row>
    <row r="181">
      <c r="B181" s="34" t="s">
        <v>2811</v>
      </c>
      <c r="C181" s="35" t="s">
        <v>1022</v>
      </c>
      <c r="D181" s="34" t="s">
        <v>3261</v>
      </c>
      <c r="E181" s="11" t="str">
        <f>HYPERLINK("https://youtu.be/uJ_hsU4dw2w?t=664","channel 3")</f>
        <v>channel 3</v>
      </c>
    </row>
    <row r="182">
      <c r="B182" s="34" t="s">
        <v>2863</v>
      </c>
      <c r="C182" s="35" t="s">
        <v>584</v>
      </c>
      <c r="D182" s="34" t="s">
        <v>1762</v>
      </c>
      <c r="E182" s="11" t="str">
        <f>HYPERLINK("https://youtu.be/q9-EvHatALU?t=936","channel 4")</f>
        <v>channel 4</v>
      </c>
    </row>
    <row r="183">
      <c r="B183" s="34" t="s">
        <v>2811</v>
      </c>
      <c r="C183" s="35" t="s">
        <v>1019</v>
      </c>
      <c r="D183" s="32" t="s">
        <v>3262</v>
      </c>
      <c r="E183" s="11" t="str">
        <f>HYPERLINK("https://youtu.be/uJ_hsU4dw2w?t=1566","channel 3")</f>
        <v>channel 3</v>
      </c>
    </row>
    <row r="184">
      <c r="B184" s="34" t="s">
        <v>2863</v>
      </c>
      <c r="C184" s="35" t="s">
        <v>48</v>
      </c>
      <c r="D184" s="34" t="s">
        <v>3261</v>
      </c>
      <c r="E184" s="11" t="str">
        <f>HYPERLINK("https://youtu.be/q9-EvHatALU?t=2121","channel 4")</f>
        <v>channel 4</v>
      </c>
    </row>
    <row r="185">
      <c r="B185" s="34" t="s">
        <v>2811</v>
      </c>
      <c r="C185" s="35" t="s">
        <v>251</v>
      </c>
      <c r="D185" s="34" t="s">
        <v>1762</v>
      </c>
      <c r="E185" s="11" t="str">
        <f>HYPERLINK("https://youtu.be/uJ_hsU4dw2w?t=2418","channel 3")</f>
        <v>channel 3</v>
      </c>
    </row>
    <row r="186">
      <c r="B186" s="32" t="s">
        <v>3262</v>
      </c>
      <c r="C186" s="35" t="s">
        <v>220</v>
      </c>
      <c r="D186" s="34" t="s">
        <v>3261</v>
      </c>
      <c r="E186" s="11" t="str">
        <f>HYPERLINK("https://youtu.be/q9-EvHatALU?t=3045","channel 4")</f>
        <v>channel 4</v>
      </c>
    </row>
    <row r="187">
      <c r="B187" s="34" t="s">
        <v>2811</v>
      </c>
      <c r="C187" s="35" t="s">
        <v>72</v>
      </c>
      <c r="D187" s="34" t="s">
        <v>2863</v>
      </c>
      <c r="E187" s="11" t="str">
        <f>HYPERLINK("https://youtu.be/uJ_hsU4dw2w?t=3316","channel 3")</f>
        <v>channel 3</v>
      </c>
    </row>
    <row r="188">
      <c r="B188" s="32" t="s">
        <v>3262</v>
      </c>
      <c r="C188" s="35" t="s">
        <v>238</v>
      </c>
      <c r="D188" s="34" t="s">
        <v>1762</v>
      </c>
      <c r="E188" s="11" t="str">
        <f>HYPERLINK("https://youtu.be/q9-EvHatALU?t=4115","channel 4")</f>
        <v>channel 4</v>
      </c>
    </row>
    <row r="189">
      <c r="B189" s="34" t="s">
        <v>1762</v>
      </c>
      <c r="C189" s="35" t="s">
        <v>239</v>
      </c>
      <c r="D189" s="34" t="s">
        <v>3261</v>
      </c>
      <c r="E189" s="11" t="str">
        <f>HYPERLINK("https://youtu.be/uJ_hsU4dw2w?t=4383","channel 3")</f>
        <v>channel 3</v>
      </c>
    </row>
    <row r="190">
      <c r="B190" s="32" t="s">
        <v>3262</v>
      </c>
      <c r="C190" s="35" t="s">
        <v>55</v>
      </c>
      <c r="D190" s="34" t="s">
        <v>2863</v>
      </c>
      <c r="E190" s="11" t="str">
        <f>HYPERLINK("https://youtu.be/q9-EvHatALU?t=5077","channel 4")</f>
        <v>channel 4</v>
      </c>
    </row>
    <row r="191">
      <c r="B191" s="34" t="s">
        <v>3261</v>
      </c>
      <c r="C191" s="35" t="s">
        <v>3263</v>
      </c>
      <c r="D191" s="34" t="s">
        <v>2811</v>
      </c>
      <c r="E191" s="11" t="str">
        <f>HYPERLINK("https://youtu.be/uJ_hsU4dw2w?t=5329","channel 3")</f>
        <v>channel 3</v>
      </c>
    </row>
    <row r="192">
      <c r="B192" s="34" t="s">
        <v>1762</v>
      </c>
      <c r="C192" s="35" t="s">
        <v>3264</v>
      </c>
      <c r="D192" s="34" t="s">
        <v>2863</v>
      </c>
      <c r="E192" s="11" t="str">
        <f>HYPERLINK("https://youtu.be/q9-EvHatALU?t=5938","channel 4")</f>
        <v>channel 4</v>
      </c>
    </row>
    <row r="193">
      <c r="B193" s="32" t="s">
        <v>3262</v>
      </c>
      <c r="C193" s="35" t="s">
        <v>312</v>
      </c>
      <c r="D193" s="34" t="s">
        <v>2811</v>
      </c>
      <c r="E193" s="11" t="str">
        <f>HYPERLINK("https://youtu.be/uJ_hsU4dw2w?t=5329","channel 3")</f>
        <v>channel 3</v>
      </c>
    </row>
    <row r="194">
      <c r="B194" s="34" t="s">
        <v>3261</v>
      </c>
      <c r="C194" s="35" t="s">
        <v>201</v>
      </c>
      <c r="D194" s="34" t="s">
        <v>2863</v>
      </c>
      <c r="E194" s="11" t="str">
        <f>HYPERLINK("https://youtu.be/q9-EvHatALU?t=6926","channel 4")</f>
        <v>channel 4</v>
      </c>
    </row>
    <row r="195">
      <c r="B195" s="34" t="s">
        <v>1762</v>
      </c>
      <c r="C195" s="35" t="s">
        <v>82</v>
      </c>
      <c r="D195" s="34" t="s">
        <v>2811</v>
      </c>
      <c r="E195" s="11" t="str">
        <f>HYPERLINK("https://youtu.be/uJ_hsU4dw2w?t=7137","channel 3")</f>
        <v>channel 3</v>
      </c>
    </row>
    <row r="196">
      <c r="B196" s="34" t="s">
        <v>3261</v>
      </c>
      <c r="C196" s="35" t="s">
        <v>41</v>
      </c>
      <c r="D196" s="32" t="s">
        <v>3262</v>
      </c>
      <c r="E196" s="11" t="str">
        <f>HYPERLINK("https://youtu.be/q9-EvHatALU?t=7859","channel 4")</f>
        <v>channel 4</v>
      </c>
    </row>
    <row r="197">
      <c r="B197" s="34" t="s">
        <v>2863</v>
      </c>
      <c r="C197" s="35" t="s">
        <v>289</v>
      </c>
      <c r="D197" s="34" t="s">
        <v>2811</v>
      </c>
      <c r="E197" s="11" t="str">
        <f>HYPERLINK("https://youtu.be/uJ_hsU4dw2w?t=8060","channel 3")</f>
        <v>channel 3</v>
      </c>
    </row>
    <row r="198">
      <c r="B198" s="34" t="s">
        <v>1762</v>
      </c>
      <c r="C198" s="35" t="s">
        <v>268</v>
      </c>
      <c r="D198" s="32" t="s">
        <v>3262</v>
      </c>
      <c r="E198" s="11" t="str">
        <f>HYPERLINK("https://youtu.be/q9-EvHatALU?t=8774","channel 4")</f>
        <v>channel 4</v>
      </c>
    </row>
    <row r="199">
      <c r="B199" s="72" t="s">
        <v>2999</v>
      </c>
      <c r="C199" s="2"/>
      <c r="D199" s="3"/>
      <c r="E199" s="2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34" t="s">
        <v>3265</v>
      </c>
      <c r="C201" s="35" t="s">
        <v>187</v>
      </c>
      <c r="D201" s="34" t="s">
        <v>1499</v>
      </c>
      <c r="E201" s="11" t="str">
        <f>HYPERLINK("https://youtu.be/RNxEnhMZCGA","channel 3")</f>
        <v>channel 3</v>
      </c>
    </row>
    <row r="202">
      <c r="B202" s="34" t="s">
        <v>2512</v>
      </c>
      <c r="C202" s="35" t="s">
        <v>1381</v>
      </c>
      <c r="D202" s="32" t="s">
        <v>3099</v>
      </c>
      <c r="E202" s="11" t="str">
        <f>HYPERLINK("https://youtu.be/-Zx2Wi6Vu0M","channel 4")</f>
        <v>channel 4</v>
      </c>
    </row>
    <row r="203">
      <c r="B203" s="34" t="s">
        <v>2886</v>
      </c>
      <c r="C203" s="35" t="s">
        <v>62</v>
      </c>
      <c r="D203" s="34" t="s">
        <v>3265</v>
      </c>
      <c r="E203" s="11" t="str">
        <f>HYPERLINK("https://youtu.be/RNxEnhMZCGA?t=1016","channel 3")</f>
        <v>channel 3</v>
      </c>
    </row>
    <row r="204">
      <c r="B204" s="34" t="s">
        <v>2512</v>
      </c>
      <c r="C204" s="35" t="s">
        <v>286</v>
      </c>
      <c r="D204" s="34" t="s">
        <v>1499</v>
      </c>
      <c r="E204" s="11" t="str">
        <f>HYPERLINK("https://youtu.be/-Zx2Wi6Vu0M?t=1007","channel 4")</f>
        <v>channel 4</v>
      </c>
    </row>
    <row r="205">
      <c r="B205" s="34" t="s">
        <v>2886</v>
      </c>
      <c r="C205" s="35" t="s">
        <v>936</v>
      </c>
      <c r="D205" s="32" t="s">
        <v>3099</v>
      </c>
      <c r="E205" s="11" t="str">
        <f>HYPERLINK("https://youtu.be/RNxEnhMZCGA?t=1962","channel 3")</f>
        <v>channel 3</v>
      </c>
    </row>
    <row r="206">
      <c r="B206" s="34" t="s">
        <v>2512</v>
      </c>
      <c r="C206" s="35" t="s">
        <v>857</v>
      </c>
      <c r="D206" s="34" t="s">
        <v>3265</v>
      </c>
      <c r="E206" s="11" t="str">
        <f>HYPERLINK("https://youtu.be/-Zx2Wi6Vu0M?t=1980","channel 4")</f>
        <v>channel 4</v>
      </c>
    </row>
    <row r="207">
      <c r="B207" s="34" t="s">
        <v>2886</v>
      </c>
      <c r="C207" s="35" t="s">
        <v>67</v>
      </c>
      <c r="D207" s="34" t="s">
        <v>1499</v>
      </c>
      <c r="E207" s="11" t="str">
        <f>HYPERLINK("https://youtu.be/RNxEnhMZCGA?t=2913","channel 3")</f>
        <v>channel 3</v>
      </c>
    </row>
    <row r="208">
      <c r="B208" s="32" t="s">
        <v>3099</v>
      </c>
      <c r="C208" s="35" t="s">
        <v>195</v>
      </c>
      <c r="D208" s="34" t="s">
        <v>3265</v>
      </c>
      <c r="E208" s="11" t="str">
        <f>HYPERLINK("https://youtu.be/-Zx2Wi6Vu0M?t=2937","channel 4")</f>
        <v>channel 4</v>
      </c>
    </row>
    <row r="209">
      <c r="B209" s="34" t="s">
        <v>2886</v>
      </c>
      <c r="C209" s="35" t="s">
        <v>239</v>
      </c>
      <c r="D209" s="34" t="s">
        <v>2512</v>
      </c>
      <c r="E209" s="11" t="str">
        <f>HYPERLINK("https://youtu.be/RNxEnhMZCGA?t=3855","channel 3")</f>
        <v>channel 3</v>
      </c>
    </row>
    <row r="210">
      <c r="B210" s="32" t="s">
        <v>3099</v>
      </c>
      <c r="C210" s="35" t="s">
        <v>295</v>
      </c>
      <c r="D210" s="34" t="s">
        <v>1499</v>
      </c>
      <c r="E210" s="11" t="str">
        <f>HYPERLINK("https://youtu.be/-Zx2Wi6Vu0M?t=3865","channel 4")</f>
        <v>channel 4</v>
      </c>
    </row>
    <row r="211">
      <c r="B211" s="34" t="s">
        <v>1499</v>
      </c>
      <c r="C211" s="35" t="s">
        <v>82</v>
      </c>
      <c r="D211" s="34" t="s">
        <v>3265</v>
      </c>
      <c r="E211" s="11" t="str">
        <f>HYPERLINK("https://youtu.be/RNxEnhMZCGA?t=4846","channel 3")</f>
        <v>channel 3</v>
      </c>
    </row>
    <row r="212">
      <c r="B212" s="32" t="s">
        <v>3099</v>
      </c>
      <c r="C212" s="35" t="s">
        <v>1067</v>
      </c>
      <c r="D212" s="34" t="s">
        <v>2512</v>
      </c>
      <c r="E212" s="11" t="str">
        <f>HYPERLINK("https://youtu.be/-Zx2Wi6Vu0M?t=4827","channel 4")</f>
        <v>channel 4</v>
      </c>
    </row>
    <row r="213">
      <c r="B213" s="34" t="s">
        <v>3265</v>
      </c>
      <c r="C213" s="35" t="s">
        <v>719</v>
      </c>
      <c r="D213" s="34" t="s">
        <v>2886</v>
      </c>
      <c r="E213" s="11" t="str">
        <f>HYPERLINK("https://youtu.be/RNxEnhMZCGA?t=5768","channel 3")</f>
        <v>channel 3</v>
      </c>
    </row>
    <row r="214">
      <c r="B214" s="34" t="s">
        <v>1499</v>
      </c>
      <c r="C214" s="35" t="s">
        <v>81</v>
      </c>
      <c r="D214" s="34" t="s">
        <v>2512</v>
      </c>
      <c r="E214" s="11" t="str">
        <f>HYPERLINK("https://youtu.be/-Zx2Wi6Vu0M?t=5785","channel 4")</f>
        <v>channel 4</v>
      </c>
    </row>
    <row r="215">
      <c r="B215" s="32" t="s">
        <v>3099</v>
      </c>
      <c r="C215" s="35" t="s">
        <v>413</v>
      </c>
      <c r="D215" s="34" t="s">
        <v>2886</v>
      </c>
      <c r="E215" s="11" t="str">
        <f>HYPERLINK("https://youtu.be/RNxEnhMZCGA?t=6744","channel 3")</f>
        <v>channel 3</v>
      </c>
    </row>
    <row r="216">
      <c r="B216" s="34" t="s">
        <v>3265</v>
      </c>
      <c r="C216" s="35" t="s">
        <v>201</v>
      </c>
      <c r="D216" s="34" t="s">
        <v>2512</v>
      </c>
      <c r="E216" s="11" t="str">
        <f>HYPERLINK("https://youtu.be/-Zx2Wi6Vu0M?t=6777","channel 4")</f>
        <v>channel 4</v>
      </c>
    </row>
    <row r="217">
      <c r="B217" s="34" t="s">
        <v>1499</v>
      </c>
      <c r="C217" s="35" t="s">
        <v>533</v>
      </c>
      <c r="D217" s="34" t="s">
        <v>2886</v>
      </c>
      <c r="E217" s="11" t="str">
        <f>HYPERLINK("https://youtu.be/RNxEnhMZCGA?t=7666","channel 3")</f>
        <v>channel 3</v>
      </c>
    </row>
    <row r="218">
      <c r="B218" s="34" t="s">
        <v>3265</v>
      </c>
      <c r="C218" s="35" t="s">
        <v>193</v>
      </c>
      <c r="D218" s="32" t="s">
        <v>3099</v>
      </c>
      <c r="E218" s="11" t="str">
        <f>HYPERLINK("https://youtu.be/-Zx2Wi6Vu0M?t=7715","channel 4")</f>
        <v>channel 4</v>
      </c>
    </row>
    <row r="219">
      <c r="B219" s="34" t="s">
        <v>2512</v>
      </c>
      <c r="C219" s="35" t="s">
        <v>239</v>
      </c>
      <c r="D219" s="34" t="s">
        <v>2886</v>
      </c>
      <c r="E219" s="11" t="str">
        <f>HYPERLINK("https://youtu.be/RNxEnhMZCGA?t=8597","channel 3")</f>
        <v>channel 3</v>
      </c>
    </row>
    <row r="220">
      <c r="B220" s="34" t="s">
        <v>1499</v>
      </c>
      <c r="C220" s="35" t="s">
        <v>47</v>
      </c>
      <c r="D220" s="32" t="s">
        <v>3099</v>
      </c>
      <c r="E220" s="11" t="str">
        <f>HYPERLINK("https://youtu.be/-Zx2Wi6Vu0M?t=8612","channel 4")</f>
        <v>channel 4</v>
      </c>
    </row>
    <row r="221">
      <c r="B221" s="72" t="s">
        <v>1441</v>
      </c>
      <c r="C221" s="2"/>
      <c r="D221" s="3"/>
      <c r="E221" s="84"/>
    </row>
    <row r="222">
      <c r="B222" s="85" t="s">
        <v>2</v>
      </c>
      <c r="C222" s="86" t="s">
        <v>3</v>
      </c>
      <c r="D222" s="86" t="s">
        <v>4</v>
      </c>
      <c r="E222" s="86" t="s">
        <v>5</v>
      </c>
    </row>
    <row r="223">
      <c r="B223" s="34" t="s">
        <v>1295</v>
      </c>
      <c r="C223" s="35" t="s">
        <v>88</v>
      </c>
      <c r="D223" s="34" t="s">
        <v>3010</v>
      </c>
      <c r="E223" s="97" t="str">
        <f>HYPERLINK("https://youtu.be/bmpMLtrhQSg","channel 1")</f>
        <v>channel 1</v>
      </c>
    </row>
    <row r="224">
      <c r="B224" s="34" t="s">
        <v>3266</v>
      </c>
      <c r="C224" s="35" t="s">
        <v>197</v>
      </c>
      <c r="D224" s="32" t="s">
        <v>1985</v>
      </c>
      <c r="E224" s="97" t="str">
        <f>HYPERLINK("https://youtu.be/SnIgyVwjvXQ","channel 2")</f>
        <v>channel 2</v>
      </c>
    </row>
    <row r="225">
      <c r="B225" s="8" t="s">
        <v>3267</v>
      </c>
      <c r="C225" s="35" t="s">
        <v>78</v>
      </c>
      <c r="D225" s="34" t="s">
        <v>1295</v>
      </c>
      <c r="E225" s="97" t="str">
        <f>HYPERLINK("https://youtu.be/bmpMLtrhQSg?t=949","channel 1")</f>
        <v>channel 1</v>
      </c>
    </row>
    <row r="226">
      <c r="B226" s="34" t="s">
        <v>3266</v>
      </c>
      <c r="C226" s="35" t="s">
        <v>297</v>
      </c>
      <c r="D226" s="34" t="s">
        <v>3010</v>
      </c>
      <c r="E226" s="97" t="str">
        <f>HYPERLINK("https://youtu.be/SnIgyVwjvXQ?t=1052","channel 2")</f>
        <v>channel 2</v>
      </c>
    </row>
    <row r="227">
      <c r="B227" s="8" t="s">
        <v>3267</v>
      </c>
      <c r="C227" s="35" t="s">
        <v>64</v>
      </c>
      <c r="D227" s="32" t="s">
        <v>1985</v>
      </c>
      <c r="E227" s="97" t="str">
        <f>HYPERLINK("https://youtu.be/bmpMLtrhQSg?t=1834","channel 1")</f>
        <v>channel 1</v>
      </c>
    </row>
    <row r="228">
      <c r="B228" s="34" t="s">
        <v>3266</v>
      </c>
      <c r="C228" s="35" t="s">
        <v>260</v>
      </c>
      <c r="D228" s="34" t="s">
        <v>1295</v>
      </c>
      <c r="E228" s="97" t="str">
        <f>HYPERLINK("https://youtu.be/SnIgyVwjvXQ?t=1916","channel 2")</f>
        <v>channel 2</v>
      </c>
    </row>
    <row r="229">
      <c r="B229" s="8" t="s">
        <v>3267</v>
      </c>
      <c r="C229" s="35" t="s">
        <v>284</v>
      </c>
      <c r="D229" s="34" t="s">
        <v>3010</v>
      </c>
      <c r="E229" s="97" t="str">
        <f>HYPERLINK("https://youtu.be/bmpMLtrhQSg?t=2700","channel 1")</f>
        <v>channel 1</v>
      </c>
    </row>
    <row r="230">
      <c r="B230" s="32" t="s">
        <v>1985</v>
      </c>
      <c r="C230" s="35" t="s">
        <v>3107</v>
      </c>
      <c r="D230" s="34" t="s">
        <v>1295</v>
      </c>
      <c r="E230" s="97" t="str">
        <f>HYPERLINK("https://youtu.be/SnIgyVwjvXQ?t=2800","channel 2")</f>
        <v>channel 2</v>
      </c>
    </row>
    <row r="231">
      <c r="B231" s="8" t="s">
        <v>3267</v>
      </c>
      <c r="C231" s="35" t="s">
        <v>446</v>
      </c>
      <c r="D231" s="34" t="s">
        <v>3266</v>
      </c>
      <c r="E231" s="97" t="str">
        <f>HYPERLINK("https://youtu.be/bmpMLtrhQSg?t=3593","channel 1")</f>
        <v>channel 1</v>
      </c>
    </row>
    <row r="232">
      <c r="B232" s="32" t="s">
        <v>1985</v>
      </c>
      <c r="C232" s="35" t="s">
        <v>218</v>
      </c>
      <c r="D232" s="34" t="s">
        <v>3010</v>
      </c>
      <c r="E232" s="97" t="str">
        <f>HYPERLINK("https://youtu.be/SnIgyVwjvXQ?t=3693","channel 2")</f>
        <v>channel 2</v>
      </c>
    </row>
    <row r="233">
      <c r="B233" s="34" t="s">
        <v>3010</v>
      </c>
      <c r="C233" s="35" t="s">
        <v>55</v>
      </c>
      <c r="D233" s="34" t="s">
        <v>1295</v>
      </c>
      <c r="E233" s="97" t="str">
        <f>HYPERLINK("https://youtu.be/bmpMLtrhQSg?t=4417","channel 1")</f>
        <v>channel 1</v>
      </c>
    </row>
    <row r="234">
      <c r="B234" s="32" t="s">
        <v>1985</v>
      </c>
      <c r="C234" s="35" t="s">
        <v>369</v>
      </c>
      <c r="D234" s="34" t="s">
        <v>3266</v>
      </c>
      <c r="E234" s="97" t="str">
        <f>HYPERLINK("https://youtu.be/SnIgyVwjvXQ?t=4501","channel 2")</f>
        <v>channel 2</v>
      </c>
    </row>
    <row r="235">
      <c r="B235" s="34" t="s">
        <v>1295</v>
      </c>
      <c r="C235" s="35" t="s">
        <v>2084</v>
      </c>
      <c r="D235" s="8" t="s">
        <v>3267</v>
      </c>
      <c r="E235" s="97" t="str">
        <f>HYPERLINK("https://youtu.be/bmpMLtrhQSg?t=5267","channel 1")</f>
        <v>channel 1</v>
      </c>
    </row>
    <row r="236">
      <c r="B236" s="34" t="s">
        <v>3010</v>
      </c>
      <c r="C236" s="35" t="s">
        <v>68</v>
      </c>
      <c r="D236" s="34" t="s">
        <v>3266</v>
      </c>
      <c r="E236" s="97" t="str">
        <f>HYPERLINK("https://youtu.be/SnIgyVwjvXQ?t=5359","channel 2")</f>
        <v>channel 2</v>
      </c>
    </row>
    <row r="237">
      <c r="B237" s="32" t="s">
        <v>1985</v>
      </c>
      <c r="C237" s="35" t="s">
        <v>22</v>
      </c>
      <c r="D237" s="8" t="s">
        <v>3267</v>
      </c>
      <c r="E237" s="97" t="str">
        <f>HYPERLINK("https://youtu.be/bmpMLtrhQSg?t=6178","channel 1")</f>
        <v>channel 1</v>
      </c>
    </row>
    <row r="238">
      <c r="B238" s="34" t="s">
        <v>1295</v>
      </c>
      <c r="C238" s="35" t="s">
        <v>43</v>
      </c>
      <c r="D238" s="34" t="s">
        <v>3266</v>
      </c>
      <c r="E238" s="97" t="str">
        <f>HYPERLINK("https://youtu.be/SnIgyVwjvXQ?t=6250","channel 2")</f>
        <v>channel 2</v>
      </c>
    </row>
    <row r="239">
      <c r="B239" s="34" t="s">
        <v>3010</v>
      </c>
      <c r="C239" s="35" t="s">
        <v>83</v>
      </c>
      <c r="D239" s="8" t="s">
        <v>3267</v>
      </c>
      <c r="E239" s="97" t="str">
        <f>HYPERLINK("https://youtu.be/bmpMLtrhQSg?t=7023","channel 1")</f>
        <v>channel 1</v>
      </c>
    </row>
    <row r="240">
      <c r="B240" s="34" t="s">
        <v>1295</v>
      </c>
      <c r="C240" s="35" t="s">
        <v>201</v>
      </c>
      <c r="D240" s="32" t="s">
        <v>1985</v>
      </c>
      <c r="E240" s="97" t="str">
        <f>HYPERLINK("https://youtu.be/SnIgyVwjvXQ?t=7148","channel 2")</f>
        <v>channel 2</v>
      </c>
    </row>
    <row r="241">
      <c r="B241" s="34" t="s">
        <v>3266</v>
      </c>
      <c r="C241" s="35" t="s">
        <v>55</v>
      </c>
      <c r="D241" s="8" t="s">
        <v>3267</v>
      </c>
      <c r="E241" s="97" t="str">
        <f>HYPERLINK("https://youtu.be/bmpMLtrhQSg?t=7965","channel 1")</f>
        <v>channel 1</v>
      </c>
    </row>
    <row r="242">
      <c r="B242" s="34" t="s">
        <v>3010</v>
      </c>
      <c r="C242" s="35" t="s">
        <v>71</v>
      </c>
      <c r="D242" s="32" t="s">
        <v>1985</v>
      </c>
      <c r="E242" s="97" t="str">
        <f>HYPERLINK("https://youtu.be/SnIgyVwjvXQ?t=8059","channel 2")</f>
        <v>channel 2</v>
      </c>
    </row>
    <row r="243">
      <c r="B243" s="72" t="s">
        <v>2069</v>
      </c>
      <c r="C243" s="2"/>
      <c r="D243" s="3"/>
      <c r="E243" s="84"/>
    </row>
    <row r="244">
      <c r="B244" s="85" t="s">
        <v>2</v>
      </c>
      <c r="C244" s="86" t="s">
        <v>3</v>
      </c>
      <c r="D244" s="86" t="s">
        <v>4</v>
      </c>
      <c r="E244" s="86" t="s">
        <v>5</v>
      </c>
    </row>
    <row r="245">
      <c r="B245" s="34" t="s">
        <v>3268</v>
      </c>
      <c r="C245" s="35" t="s">
        <v>726</v>
      </c>
      <c r="D245" s="34" t="s">
        <v>2969</v>
      </c>
      <c r="E245" s="97" t="str">
        <f>HYPERLINK("https://youtu.be/qpfin4gS-5A","channel 1")</f>
        <v>channel 1</v>
      </c>
    </row>
    <row r="246">
      <c r="B246" s="34" t="s">
        <v>3269</v>
      </c>
      <c r="C246" s="35" t="s">
        <v>68</v>
      </c>
      <c r="D246" s="32" t="s">
        <v>3270</v>
      </c>
      <c r="E246" s="97" t="str">
        <f>HYPERLINK("https://youtu.be/UfBOAwJYHoI","channel 2")</f>
        <v>channel 2</v>
      </c>
    </row>
    <row r="247">
      <c r="B247" s="8" t="s">
        <v>424</v>
      </c>
      <c r="C247" s="35" t="s">
        <v>293</v>
      </c>
      <c r="D247" s="34" t="s">
        <v>3268</v>
      </c>
      <c r="E247" s="97" t="str">
        <f>HYPERLINK("https://youtu.be/qpfin4gS-5A?t=1036","channel 1")</f>
        <v>channel 1</v>
      </c>
    </row>
    <row r="248">
      <c r="B248" s="34" t="s">
        <v>3269</v>
      </c>
      <c r="C248" s="35" t="s">
        <v>28</v>
      </c>
      <c r="D248" s="34" t="s">
        <v>2969</v>
      </c>
      <c r="E248" s="97" t="str">
        <f>HYPERLINK("https://youtu.be/UfBOAwJYHoI?t=1142","channel 2")</f>
        <v>channel 2</v>
      </c>
    </row>
    <row r="249">
      <c r="B249" s="8" t="s">
        <v>424</v>
      </c>
      <c r="C249" s="35" t="s">
        <v>48</v>
      </c>
      <c r="D249" s="32" t="s">
        <v>3270</v>
      </c>
      <c r="E249" s="97" t="str">
        <f>HYPERLINK("https://youtu.be/qpfin4gS-5A?t=1981","channel 1")</f>
        <v>channel 1</v>
      </c>
    </row>
    <row r="250">
      <c r="B250" s="34" t="s">
        <v>3269</v>
      </c>
      <c r="C250" s="35" t="s">
        <v>289</v>
      </c>
      <c r="D250" s="34" t="s">
        <v>3268</v>
      </c>
      <c r="E250" s="97" t="str">
        <f>HYPERLINK("https://youtu.be/UfBOAwJYHoI?t=2046","channel 2")</f>
        <v>channel 2</v>
      </c>
    </row>
    <row r="251">
      <c r="B251" s="8" t="s">
        <v>424</v>
      </c>
      <c r="C251" s="35" t="s">
        <v>240</v>
      </c>
      <c r="D251" s="34" t="s">
        <v>2969</v>
      </c>
      <c r="E251" s="97" t="str">
        <f>HYPERLINK("https://youtu.be/qpfin4gS-5A?t=2877","channel 1")</f>
        <v>channel 1</v>
      </c>
    </row>
    <row r="252">
      <c r="B252" s="32" t="s">
        <v>3270</v>
      </c>
      <c r="C252" s="35" t="s">
        <v>443</v>
      </c>
      <c r="D252" s="34" t="s">
        <v>3268</v>
      </c>
      <c r="E252" s="97" t="str">
        <f>HYPERLINK("https://youtu.be/UfBOAwJYHoI?t=2989","channel 2")</f>
        <v>channel 2</v>
      </c>
    </row>
    <row r="253">
      <c r="B253" s="8" t="s">
        <v>424</v>
      </c>
      <c r="C253" s="35" t="s">
        <v>190</v>
      </c>
      <c r="D253" s="34" t="s">
        <v>3269</v>
      </c>
      <c r="E253" s="97" t="str">
        <f>HYPERLINK("https://youtu.be/qpfin4gS-5A?t=3804","channel 1")</f>
        <v>channel 1</v>
      </c>
    </row>
    <row r="254">
      <c r="B254" s="32" t="s">
        <v>3270</v>
      </c>
      <c r="C254" s="35" t="s">
        <v>62</v>
      </c>
      <c r="D254" s="34" t="s">
        <v>2969</v>
      </c>
      <c r="E254" s="97" t="str">
        <f>HYPERLINK("https://youtu.be/UfBOAwJYHoI?t=3909","channel 2")</f>
        <v>channel 2</v>
      </c>
    </row>
    <row r="255">
      <c r="B255" s="34" t="s">
        <v>2969</v>
      </c>
      <c r="C255" s="35" t="s">
        <v>217</v>
      </c>
      <c r="D255" s="34" t="s">
        <v>3268</v>
      </c>
      <c r="E255" s="97" t="str">
        <f>HYPERLINK("https://youtu.be/qpfin4gS-5A?t=4756","channel 1")</f>
        <v>channel 1</v>
      </c>
    </row>
    <row r="256">
      <c r="B256" s="32" t="s">
        <v>3270</v>
      </c>
      <c r="C256" s="35" t="s">
        <v>58</v>
      </c>
      <c r="D256" s="34" t="s">
        <v>3269</v>
      </c>
      <c r="E256" s="97" t="str">
        <f>HYPERLINK("https://youtu.be/UfBOAwJYHoI?t=4816","channel 2")</f>
        <v>channel 2</v>
      </c>
    </row>
    <row r="257">
      <c r="B257" s="34" t="s">
        <v>3268</v>
      </c>
      <c r="C257" s="35" t="s">
        <v>251</v>
      </c>
      <c r="D257" s="8" t="s">
        <v>424</v>
      </c>
      <c r="E257" s="97" t="str">
        <f>HYPERLINK("https://youtu.be/qpfin4gS-5A?t=5644","channel 1")</f>
        <v>channel 1</v>
      </c>
    </row>
    <row r="258">
      <c r="B258" s="34" t="s">
        <v>2969</v>
      </c>
      <c r="C258" s="35" t="s">
        <v>69</v>
      </c>
      <c r="D258" s="34" t="s">
        <v>3269</v>
      </c>
      <c r="E258" s="97" t="str">
        <f>HYPERLINK("https://youtu.be/UfBOAwJYHoI?t=5764","channel 2")</f>
        <v>channel 2</v>
      </c>
    </row>
    <row r="259">
      <c r="B259" s="32" t="s">
        <v>3270</v>
      </c>
      <c r="C259" s="35" t="s">
        <v>239</v>
      </c>
      <c r="D259" s="8" t="s">
        <v>424</v>
      </c>
      <c r="E259" s="97" t="str">
        <f>HYPERLINK("https://youtu.be/qpfin4gS-5A?t=6566","channel 1")</f>
        <v>channel 1</v>
      </c>
    </row>
    <row r="260">
      <c r="B260" s="34" t="s">
        <v>3268</v>
      </c>
      <c r="C260" s="35" t="s">
        <v>380</v>
      </c>
      <c r="D260" s="34" t="s">
        <v>3269</v>
      </c>
      <c r="E260" s="97" t="str">
        <f>HYPERLINK("https://youtu.be/UfBOAwJYHoI?t=6707","channel 2")</f>
        <v>channel 2</v>
      </c>
    </row>
    <row r="261">
      <c r="B261" s="34" t="s">
        <v>2969</v>
      </c>
      <c r="C261" s="35" t="s">
        <v>16</v>
      </c>
      <c r="D261" s="8" t="s">
        <v>424</v>
      </c>
      <c r="E261" s="97" t="str">
        <f>HYPERLINK("https://youtu.be/qpfin4gS-5A?t=7486","channel 1")</f>
        <v>channel 1</v>
      </c>
    </row>
    <row r="262">
      <c r="B262" s="34" t="s">
        <v>3268</v>
      </c>
      <c r="C262" s="35" t="s">
        <v>726</v>
      </c>
      <c r="D262" s="32" t="s">
        <v>3270</v>
      </c>
      <c r="E262" s="97" t="str">
        <f>HYPERLINK("https://youtu.be/UfBOAwJYHoI?t=7634","channel 2")</f>
        <v>channel 2</v>
      </c>
    </row>
    <row r="263">
      <c r="B263" s="34" t="s">
        <v>3269</v>
      </c>
      <c r="C263" s="35" t="s">
        <v>81</v>
      </c>
      <c r="D263" s="8" t="s">
        <v>424</v>
      </c>
      <c r="E263" s="97" t="str">
        <f>HYPERLINK("https://youtu.be/qpfin4gS-5A?t=8439","channel 1")</f>
        <v>channel 1</v>
      </c>
    </row>
    <row r="264">
      <c r="B264" s="34" t="s">
        <v>2969</v>
      </c>
      <c r="C264" s="35" t="s">
        <v>201</v>
      </c>
      <c r="D264" s="32" t="s">
        <v>3270</v>
      </c>
      <c r="E264" s="97" t="str">
        <f>HYPERLINK("https://youtu.be/UfBOAwJYHoI?t=8574","channel 2")</f>
        <v>channel 2</v>
      </c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/>
      <c r="B1" s="72" t="s">
        <v>3271</v>
      </c>
      <c r="C1" s="2"/>
      <c r="D1" s="3"/>
      <c r="E1" s="84"/>
    </row>
    <row r="2">
      <c r="A2" s="66"/>
      <c r="B2" s="85" t="s">
        <v>2</v>
      </c>
      <c r="C2" s="86" t="s">
        <v>3</v>
      </c>
      <c r="D2" s="86" t="s">
        <v>4</v>
      </c>
      <c r="E2" s="86" t="s">
        <v>5</v>
      </c>
    </row>
    <row r="3">
      <c r="A3" s="66"/>
      <c r="B3" s="34" t="s">
        <v>3137</v>
      </c>
      <c r="C3" s="35" t="s">
        <v>416</v>
      </c>
      <c r="D3" s="34" t="s">
        <v>2580</v>
      </c>
      <c r="E3" s="97" t="str">
        <f>HYPERLINK("https://youtu.be/S1VtPRGhphI","channel 1")</f>
        <v>channel 1</v>
      </c>
    </row>
    <row r="4">
      <c r="A4" s="66"/>
      <c r="B4" s="34" t="s">
        <v>3272</v>
      </c>
      <c r="C4" s="35" t="s">
        <v>354</v>
      </c>
      <c r="D4" s="32" t="s">
        <v>3136</v>
      </c>
      <c r="E4" s="97" t="str">
        <f>HYPERLINK("https://youtu.be/NFzUtpXgP8o","channel 2")</f>
        <v>channel 2</v>
      </c>
    </row>
    <row r="5">
      <c r="A5" s="66"/>
      <c r="B5" s="34" t="s">
        <v>3273</v>
      </c>
      <c r="C5" s="35" t="s">
        <v>87</v>
      </c>
      <c r="D5" s="34" t="s">
        <v>3137</v>
      </c>
      <c r="E5" s="97" t="str">
        <f>HYPERLINK("https://youtu.be/S1VtPRGhphI?t=786","channel 1")</f>
        <v>channel 1</v>
      </c>
    </row>
    <row r="6">
      <c r="A6" s="66"/>
      <c r="B6" s="34" t="s">
        <v>3272</v>
      </c>
      <c r="C6" s="35" t="s">
        <v>550</v>
      </c>
      <c r="D6" s="34" t="s">
        <v>2580</v>
      </c>
      <c r="E6" s="97" t="str">
        <f>HYPERLINK("https://youtu.be/NFzUtpXgP8o?t=999","channel 2")</f>
        <v>channel 2</v>
      </c>
    </row>
    <row r="7">
      <c r="A7" s="66"/>
      <c r="B7" s="34" t="s">
        <v>3273</v>
      </c>
      <c r="C7" s="35" t="s">
        <v>282</v>
      </c>
      <c r="D7" s="32" t="s">
        <v>3136</v>
      </c>
      <c r="E7" s="97" t="str">
        <f>HYPERLINK("https://youtu.be/S1VtPRGhphI?t=1597","channel 1")</f>
        <v>channel 1</v>
      </c>
    </row>
    <row r="8">
      <c r="A8" s="66"/>
      <c r="B8" s="34" t="s">
        <v>3272</v>
      </c>
      <c r="C8" s="35" t="s">
        <v>16</v>
      </c>
      <c r="D8" s="34" t="s">
        <v>3137</v>
      </c>
      <c r="E8" s="97" t="str">
        <f>HYPERLINK("https://youtu.be/NFzUtpXgP8o?t=1831","channel 2")</f>
        <v>channel 2</v>
      </c>
    </row>
    <row r="9">
      <c r="A9" s="66"/>
      <c r="B9" s="34" t="s">
        <v>3273</v>
      </c>
      <c r="C9" s="35" t="s">
        <v>378</v>
      </c>
      <c r="D9" s="34" t="s">
        <v>2580</v>
      </c>
      <c r="E9" s="97" t="str">
        <f>HYPERLINK("https://youtu.be/S1VtPRGhphI?t=2414","channel 1")</f>
        <v>channel 1</v>
      </c>
    </row>
    <row r="10">
      <c r="A10" s="66"/>
      <c r="B10" s="32" t="s">
        <v>3136</v>
      </c>
      <c r="C10" s="35" t="s">
        <v>534</v>
      </c>
      <c r="D10" s="34" t="s">
        <v>3137</v>
      </c>
      <c r="E10" s="97" t="str">
        <f>HYPERLINK("https://youtu.be/NFzUtpXgP8o?t=2656","channel 2")</f>
        <v>channel 2</v>
      </c>
    </row>
    <row r="11">
      <c r="A11" s="66"/>
      <c r="B11" s="34" t="s">
        <v>3273</v>
      </c>
      <c r="C11" s="35" t="s">
        <v>412</v>
      </c>
      <c r="D11" s="34" t="s">
        <v>3272</v>
      </c>
      <c r="E11" s="97" t="str">
        <f>HYPERLINK("https://youtu.be/S1VtPRGhphI?t=3213","channel 1")</f>
        <v>channel 1</v>
      </c>
    </row>
    <row r="12">
      <c r="A12" s="66"/>
      <c r="B12" s="32" t="s">
        <v>3136</v>
      </c>
      <c r="C12" s="35" t="s">
        <v>239</v>
      </c>
      <c r="D12" s="34" t="s">
        <v>2580</v>
      </c>
      <c r="E12" s="97" t="str">
        <f>HYPERLINK("https://youtu.be/NFzUtpXgP8o?t=3469","channel 2")</f>
        <v>channel 2</v>
      </c>
    </row>
    <row r="13">
      <c r="A13" s="66"/>
      <c r="B13" s="34" t="s">
        <v>2580</v>
      </c>
      <c r="C13" s="35" t="s">
        <v>251</v>
      </c>
      <c r="D13" s="34" t="s">
        <v>3137</v>
      </c>
      <c r="E13" s="97" t="str">
        <f>HYPERLINK("https://youtu.be/S1VtPRGhphI?t=4086","channel 1")</f>
        <v>channel 1</v>
      </c>
    </row>
    <row r="14">
      <c r="A14" s="66"/>
      <c r="B14" s="32" t="s">
        <v>3136</v>
      </c>
      <c r="C14" s="35" t="s">
        <v>232</v>
      </c>
      <c r="D14" s="34" t="s">
        <v>3272</v>
      </c>
      <c r="E14" s="97" t="str">
        <f>HYPERLINK("https://youtu.be/NFzUtpXgP8o?t=4266","channel 2")</f>
        <v>channel 2</v>
      </c>
    </row>
    <row r="15">
      <c r="A15" s="66"/>
      <c r="B15" s="34" t="s">
        <v>3137</v>
      </c>
      <c r="C15" s="35" t="s">
        <v>22</v>
      </c>
      <c r="D15" s="34" t="s">
        <v>3273</v>
      </c>
      <c r="E15" s="97" t="str">
        <f>HYPERLINK("https://youtu.be/S1VtPRGhphI?t=4832","channel 1")</f>
        <v>channel 1</v>
      </c>
    </row>
    <row r="16">
      <c r="A16" s="66"/>
      <c r="B16" s="34" t="s">
        <v>2580</v>
      </c>
      <c r="C16" s="35" t="s">
        <v>270</v>
      </c>
      <c r="D16" s="34" t="s">
        <v>3272</v>
      </c>
      <c r="E16" s="97" t="str">
        <f>HYPERLINK("https://youtu.be/NFzUtpXgP8o?t=5107","channel 2")</f>
        <v>channel 2</v>
      </c>
    </row>
    <row r="17">
      <c r="A17" s="66"/>
      <c r="B17" s="32" t="s">
        <v>3136</v>
      </c>
      <c r="C17" s="35" t="s">
        <v>3274</v>
      </c>
      <c r="D17" s="34" t="s">
        <v>3273</v>
      </c>
      <c r="E17" s="97" t="str">
        <f>HYPERLINK("https://youtu.be/S1VtPRGhphI?t=5701","channel 1")</f>
        <v>channel 1</v>
      </c>
    </row>
    <row r="18">
      <c r="A18" s="66"/>
      <c r="B18" s="34" t="s">
        <v>3137</v>
      </c>
      <c r="C18" s="35" t="s">
        <v>41</v>
      </c>
      <c r="D18" s="34" t="s">
        <v>3272</v>
      </c>
      <c r="E18" s="97" t="str">
        <f>HYPERLINK("https://youtu.be/NFzUtpXgP8o?t=5982","channel 2")</f>
        <v>channel 2</v>
      </c>
    </row>
    <row r="19">
      <c r="A19" s="66"/>
      <c r="B19" s="34" t="s">
        <v>2580</v>
      </c>
      <c r="C19" s="35" t="s">
        <v>251</v>
      </c>
      <c r="D19" s="34" t="s">
        <v>3273</v>
      </c>
      <c r="E19" s="97" t="str">
        <f>HYPERLINK("https://youtu.be/S1VtPRGhphI?t=6668","channel 1")</f>
        <v>channel 1</v>
      </c>
    </row>
    <row r="20">
      <c r="A20" s="66"/>
      <c r="B20" s="34" t="s">
        <v>3137</v>
      </c>
      <c r="C20" s="35" t="s">
        <v>195</v>
      </c>
      <c r="D20" s="32" t="s">
        <v>3136</v>
      </c>
      <c r="E20" s="97" t="str">
        <f>HYPERLINK("https://youtu.be/NFzUtpXgP8o?t=6930","channel 2")</f>
        <v>channel 2</v>
      </c>
    </row>
    <row r="21">
      <c r="A21" s="66"/>
      <c r="B21" s="34" t="s">
        <v>3272</v>
      </c>
      <c r="C21" s="35" t="s">
        <v>306</v>
      </c>
      <c r="D21" s="34" t="s">
        <v>3273</v>
      </c>
      <c r="E21" s="97" t="str">
        <f>HYPERLINK("https://youtu.be/S1VtPRGhphI?t=7583","channel 1")</f>
        <v>channel 1</v>
      </c>
    </row>
    <row r="22">
      <c r="A22" s="66"/>
      <c r="B22" s="34" t="s">
        <v>2580</v>
      </c>
      <c r="C22" s="35" t="s">
        <v>297</v>
      </c>
      <c r="D22" s="32" t="s">
        <v>3136</v>
      </c>
      <c r="E22" s="97" t="str">
        <f>HYPERLINK("https://youtu.be/NFzUtpXgP8o?t=7824","channel 2")</f>
        <v>channel 2</v>
      </c>
    </row>
    <row r="23">
      <c r="A23" s="66"/>
      <c r="B23" s="72" t="s">
        <v>1331</v>
      </c>
      <c r="C23" s="2"/>
      <c r="D23" s="3"/>
      <c r="E23" s="29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3275</v>
      </c>
      <c r="C25" s="35" t="s">
        <v>218</v>
      </c>
      <c r="D25" s="34" t="s">
        <v>1539</v>
      </c>
      <c r="E25" s="11" t="str">
        <f>HYPERLINK("https://youtu.be/QP9DqfdcCZk","channel 1")</f>
        <v>channel 1</v>
      </c>
    </row>
    <row r="26">
      <c r="A26" s="66"/>
      <c r="B26" s="34" t="s">
        <v>1595</v>
      </c>
      <c r="C26" s="35" t="s">
        <v>24</v>
      </c>
      <c r="D26" s="32" t="s">
        <v>2612</v>
      </c>
      <c r="E26" s="11" t="str">
        <f>HYPERLINK("https://youtu.be/gtg-6jlhiCc","channel 2")</f>
        <v>channel 2</v>
      </c>
    </row>
    <row r="27">
      <c r="A27" s="66"/>
      <c r="B27" s="34" t="s">
        <v>3276</v>
      </c>
      <c r="C27" s="35" t="s">
        <v>17</v>
      </c>
      <c r="D27" s="34" t="s">
        <v>3275</v>
      </c>
      <c r="E27" s="11" t="str">
        <f>HYPERLINK("https://youtu.be/QP9DqfdcCZk?t=1017","channel 1")</f>
        <v>channel 1</v>
      </c>
    </row>
    <row r="28">
      <c r="A28" s="66"/>
      <c r="B28" s="34" t="s">
        <v>1595</v>
      </c>
      <c r="C28" s="35" t="s">
        <v>218</v>
      </c>
      <c r="D28" s="34" t="s">
        <v>1539</v>
      </c>
      <c r="E28" s="11" t="str">
        <f>HYPERLINK("https://youtu.be/gtg-6jlhiCc?t=1137","channel 2")</f>
        <v>channel 2</v>
      </c>
    </row>
    <row r="29">
      <c r="A29" s="66"/>
      <c r="B29" s="34" t="s">
        <v>3276</v>
      </c>
      <c r="C29" s="35" t="s">
        <v>282</v>
      </c>
      <c r="D29" s="32" t="s">
        <v>2612</v>
      </c>
      <c r="E29" s="11" t="str">
        <f>HYPERLINK("https://youtu.be/QP9DqfdcCZk?t=1926","channel 1")</f>
        <v>channel 1</v>
      </c>
    </row>
    <row r="30">
      <c r="A30" s="66"/>
      <c r="B30" s="34" t="s">
        <v>1595</v>
      </c>
      <c r="C30" s="35" t="s">
        <v>354</v>
      </c>
      <c r="D30" s="34" t="s">
        <v>3275</v>
      </c>
      <c r="E30" s="11" t="str">
        <f>HYPERLINK("https://youtu.be/gtg-6jlhiCc?t=2021","channel 2")</f>
        <v>channel 2</v>
      </c>
    </row>
    <row r="31">
      <c r="A31" s="66"/>
      <c r="B31" s="34" t="s">
        <v>3276</v>
      </c>
      <c r="C31" s="35" t="s">
        <v>28</v>
      </c>
      <c r="D31" s="34" t="s">
        <v>1539</v>
      </c>
      <c r="E31" s="11" t="str">
        <f>HYPERLINK("https://youtu.be/QP9DqfdcCZk?t=2832","channel 1")</f>
        <v>channel 1</v>
      </c>
    </row>
    <row r="32">
      <c r="A32" s="66"/>
      <c r="B32" s="32" t="s">
        <v>2612</v>
      </c>
      <c r="C32" s="35" t="s">
        <v>307</v>
      </c>
      <c r="D32" s="34" t="s">
        <v>3275</v>
      </c>
      <c r="E32" s="11" t="str">
        <f>HYPERLINK("https://youtu.be/gtg-6jlhiCc?t=2951","channel 2")</f>
        <v>channel 2</v>
      </c>
    </row>
    <row r="33">
      <c r="A33" s="66"/>
      <c r="B33" s="34" t="s">
        <v>3276</v>
      </c>
      <c r="C33" s="35" t="s">
        <v>64</v>
      </c>
      <c r="D33" s="34" t="s">
        <v>1595</v>
      </c>
      <c r="E33" s="11" t="str">
        <f>HYPERLINK("https://youtu.be/QP9DqfdcCZk?t=3757","channel 1")</f>
        <v>channel 1</v>
      </c>
    </row>
    <row r="34">
      <c r="A34" s="66"/>
      <c r="B34" s="32" t="s">
        <v>2612</v>
      </c>
      <c r="C34" s="35" t="s">
        <v>83</v>
      </c>
      <c r="D34" s="34" t="s">
        <v>1539</v>
      </c>
      <c r="E34" s="11" t="str">
        <f>HYPERLINK("https://youtu.be/gtg-6jlhiCc?t=3884","channel 2")</f>
        <v>channel 2</v>
      </c>
    </row>
    <row r="35">
      <c r="A35" s="66"/>
      <c r="B35" s="34" t="s">
        <v>1539</v>
      </c>
      <c r="C35" s="35" t="s">
        <v>201</v>
      </c>
      <c r="D35" s="34" t="s">
        <v>3275</v>
      </c>
      <c r="E35" s="11" t="str">
        <f>HYPERLINK("https://youtu.be/QP9DqfdcCZk?t=4660","channel 1")</f>
        <v>channel 1</v>
      </c>
    </row>
    <row r="36">
      <c r="A36" s="66"/>
      <c r="B36" s="32" t="s">
        <v>2612</v>
      </c>
      <c r="C36" s="35" t="s">
        <v>72</v>
      </c>
      <c r="D36" s="34" t="s">
        <v>1595</v>
      </c>
      <c r="E36" s="11" t="str">
        <f>HYPERLINK("https://youtu.be/gtg-6jlhiCc?t=4816","channel 2")</f>
        <v>channel 2</v>
      </c>
    </row>
    <row r="37">
      <c r="A37" s="66"/>
      <c r="B37" s="34" t="s">
        <v>3275</v>
      </c>
      <c r="C37" s="35" t="s">
        <v>295</v>
      </c>
      <c r="D37" s="34" t="s">
        <v>3276</v>
      </c>
      <c r="E37" s="11" t="str">
        <f>HYPERLINK("https://youtu.be/QP9DqfdcCZk?t=5616","channel 1")</f>
        <v>channel 1</v>
      </c>
    </row>
    <row r="38">
      <c r="A38" s="66"/>
      <c r="B38" s="34" t="s">
        <v>1539</v>
      </c>
      <c r="C38" s="35" t="s">
        <v>14</v>
      </c>
      <c r="D38" s="34" t="s">
        <v>1595</v>
      </c>
      <c r="E38" s="11" t="str">
        <f>HYPERLINK("https://youtu.be/gtg-6jlhiCc?t=5799","channel 2")</f>
        <v>channel 2</v>
      </c>
    </row>
    <row r="39">
      <c r="A39" s="66"/>
      <c r="B39" s="32" t="s">
        <v>2612</v>
      </c>
      <c r="C39" s="35" t="s">
        <v>35</v>
      </c>
      <c r="D39" s="34" t="s">
        <v>3276</v>
      </c>
      <c r="E39" s="11" t="str">
        <f>HYPERLINK("https://youtu.be/QP9DqfdcCZk?t=6619","channel 1")</f>
        <v>channel 1</v>
      </c>
    </row>
    <row r="40">
      <c r="A40" s="66"/>
      <c r="B40" s="34" t="s">
        <v>3275</v>
      </c>
      <c r="C40" s="35" t="s">
        <v>87</v>
      </c>
      <c r="D40" s="34" t="s">
        <v>1595</v>
      </c>
      <c r="E40" s="11" t="str">
        <f>HYPERLINK("https://youtu.be/gtg-6jlhiCc?t=6756","channel 2")</f>
        <v>channel 2</v>
      </c>
    </row>
    <row r="41">
      <c r="A41" s="66"/>
      <c r="B41" s="34" t="s">
        <v>1539</v>
      </c>
      <c r="C41" s="35" t="s">
        <v>81</v>
      </c>
      <c r="D41" s="34" t="s">
        <v>3276</v>
      </c>
      <c r="E41" s="11" t="str">
        <f>HYPERLINK("https://youtu.be/QP9DqfdcCZk?t=7589","channel 1")</f>
        <v>channel 1</v>
      </c>
    </row>
    <row r="42">
      <c r="A42" s="66"/>
      <c r="B42" s="34" t="s">
        <v>3275</v>
      </c>
      <c r="C42" s="35" t="s">
        <v>631</v>
      </c>
      <c r="D42" s="32" t="s">
        <v>2612</v>
      </c>
      <c r="E42" s="11" t="str">
        <f>HYPERLINK("https://youtu.be/gtg-6jlhiCc?t=7729","channel 2")</f>
        <v>channel 2</v>
      </c>
    </row>
    <row r="43">
      <c r="A43" s="66"/>
      <c r="B43" s="34" t="s">
        <v>1595</v>
      </c>
      <c r="C43" s="35" t="s">
        <v>55</v>
      </c>
      <c r="D43" s="34" t="s">
        <v>3276</v>
      </c>
      <c r="E43" s="11" t="str">
        <f>HYPERLINK("https://youtu.be/QP9DqfdcCZk?t=8472","channel 1")</f>
        <v>channel 1</v>
      </c>
    </row>
    <row r="44">
      <c r="A44" s="67"/>
      <c r="B44" s="34" t="s">
        <v>1539</v>
      </c>
      <c r="C44" s="35" t="s">
        <v>268</v>
      </c>
      <c r="D44" s="32" t="s">
        <v>2612</v>
      </c>
      <c r="E44" s="11" t="str">
        <f>HYPERLINK("https://youtu.be/gtg-6jlhiCc?t=8715","channel 2")</f>
        <v>channel 2</v>
      </c>
    </row>
    <row r="45">
      <c r="B45" s="72" t="s">
        <v>3011</v>
      </c>
      <c r="C45" s="2"/>
      <c r="D45" s="3"/>
      <c r="E45" s="2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34" t="s">
        <v>1386</v>
      </c>
      <c r="C47" s="35" t="s">
        <v>195</v>
      </c>
      <c r="D47" s="34" t="s">
        <v>816</v>
      </c>
      <c r="E47" s="11" t="str">
        <f>HYPERLINK("https://youtu.be/N67wFsb3Rqk","channel 1")</f>
        <v>channel 1</v>
      </c>
    </row>
    <row r="48">
      <c r="B48" s="34" t="s">
        <v>3277</v>
      </c>
      <c r="C48" s="35" t="s">
        <v>289</v>
      </c>
      <c r="D48" s="32" t="s">
        <v>3278</v>
      </c>
      <c r="E48" s="11" t="str">
        <f>HYPERLINK("https://youtu.be/JzlDcmej1Jk","channel 2")</f>
        <v>channel 2</v>
      </c>
    </row>
    <row r="49">
      <c r="B49" s="34" t="s">
        <v>3171</v>
      </c>
      <c r="C49" s="35" t="s">
        <v>49</v>
      </c>
      <c r="D49" s="34" t="s">
        <v>1386</v>
      </c>
      <c r="E49" s="11" t="str">
        <f>HYPERLINK("https://youtu.be/N67wFsb3Rqk?t=996","channel 1")</f>
        <v>channel 1</v>
      </c>
    </row>
    <row r="50">
      <c r="B50" s="34" t="s">
        <v>3277</v>
      </c>
      <c r="C50" s="35" t="s">
        <v>369</v>
      </c>
      <c r="D50" s="34" t="s">
        <v>816</v>
      </c>
      <c r="E50" s="11" t="str">
        <f>HYPERLINK("https://youtu.be/JzlDcmej1Jk?t=1065","channel 2")</f>
        <v>channel 2</v>
      </c>
    </row>
    <row r="51">
      <c r="B51" s="34" t="s">
        <v>3171</v>
      </c>
      <c r="C51" s="35" t="s">
        <v>21</v>
      </c>
      <c r="D51" s="32" t="s">
        <v>3278</v>
      </c>
      <c r="E51" s="11" t="str">
        <f>HYPERLINK("https://youtu.be/N67wFsb3Rqk?t=1969","channel 1")</f>
        <v>channel 1</v>
      </c>
    </row>
    <row r="52">
      <c r="B52" s="34" t="s">
        <v>3277</v>
      </c>
      <c r="C52" s="35" t="s">
        <v>86</v>
      </c>
      <c r="D52" s="34" t="s">
        <v>1386</v>
      </c>
      <c r="E52" s="11" t="str">
        <f>HYPERLINK("https://youtu.be/JzlDcmej1Jk?t=2051","channel 2")</f>
        <v>channel 2</v>
      </c>
    </row>
    <row r="53">
      <c r="B53" s="34" t="s">
        <v>3171</v>
      </c>
      <c r="C53" s="35" t="s">
        <v>44</v>
      </c>
      <c r="D53" s="34" t="s">
        <v>816</v>
      </c>
      <c r="E53" s="11" t="str">
        <f>HYPERLINK("https://youtu.be/N67wFsb3Rqk?t=2909","channel 1")</f>
        <v>channel 1</v>
      </c>
    </row>
    <row r="54">
      <c r="B54" s="32" t="s">
        <v>3278</v>
      </c>
      <c r="C54" s="35" t="s">
        <v>390</v>
      </c>
      <c r="D54" s="34" t="s">
        <v>1386</v>
      </c>
      <c r="E54" s="11" t="str">
        <f>HYPERLINK("https://youtu.be/JzlDcmej1Jk?t=2982","channel 2")</f>
        <v>channel 2</v>
      </c>
    </row>
    <row r="55">
      <c r="B55" s="34" t="s">
        <v>3171</v>
      </c>
      <c r="C55" s="35" t="s">
        <v>41</v>
      </c>
      <c r="D55" s="34" t="s">
        <v>3277</v>
      </c>
      <c r="E55" s="11" t="str">
        <f>HYPERLINK("https://youtu.be/N67wFsb3Rqk?t=3940","channel 1")</f>
        <v>channel 1</v>
      </c>
    </row>
    <row r="56">
      <c r="B56" s="32" t="s">
        <v>3278</v>
      </c>
      <c r="C56" s="35" t="s">
        <v>42</v>
      </c>
      <c r="D56" s="34" t="s">
        <v>816</v>
      </c>
      <c r="E56" s="11" t="str">
        <f>HYPERLINK("https://youtu.be/JzlDcmej1Jk?t=4019","channel 2")</f>
        <v>channel 2</v>
      </c>
    </row>
    <row r="57">
      <c r="B57" s="34" t="s">
        <v>816</v>
      </c>
      <c r="C57" s="35" t="s">
        <v>22</v>
      </c>
      <c r="D57" s="34" t="s">
        <v>1386</v>
      </c>
      <c r="E57" s="11" t="str">
        <f>HYPERLINK("https://youtu.be/N67wFsb3Rqk?t=4879","channel 1")</f>
        <v>channel 1</v>
      </c>
    </row>
    <row r="58">
      <c r="B58" s="32" t="s">
        <v>3278</v>
      </c>
      <c r="C58" s="35" t="s">
        <v>28</v>
      </c>
      <c r="D58" s="34" t="s">
        <v>3277</v>
      </c>
      <c r="E58" s="11" t="str">
        <f>HYPERLINK("https://youtu.be/JzlDcmej1Jk?t=5030","channel 2")</f>
        <v>channel 2</v>
      </c>
    </row>
    <row r="59">
      <c r="B59" s="34" t="s">
        <v>1386</v>
      </c>
      <c r="C59" s="35" t="s">
        <v>1102</v>
      </c>
      <c r="D59" s="34" t="s">
        <v>3171</v>
      </c>
      <c r="E59" s="11" t="str">
        <f>HYPERLINK("https://youtu.be/N67wFsb3Rqk?t=5918","channel 1")</f>
        <v>channel 1</v>
      </c>
    </row>
    <row r="60">
      <c r="B60" s="34" t="s">
        <v>816</v>
      </c>
      <c r="C60" s="35" t="s">
        <v>45</v>
      </c>
      <c r="D60" s="34" t="s">
        <v>3277</v>
      </c>
      <c r="E60" s="11" t="str">
        <f>HYPERLINK("https://youtu.be/JzlDcmej1Jk?t=5957","channel 2")</f>
        <v>channel 2</v>
      </c>
    </row>
    <row r="61">
      <c r="B61" s="32" t="s">
        <v>3278</v>
      </c>
      <c r="C61" s="35" t="s">
        <v>456</v>
      </c>
      <c r="D61" s="34" t="s">
        <v>3171</v>
      </c>
      <c r="E61" s="11" t="str">
        <f>HYPERLINK("https://youtu.be/N67wFsb3Rqk?t=6946","channel 1")</f>
        <v>channel 1</v>
      </c>
    </row>
    <row r="62">
      <c r="B62" s="34" t="s">
        <v>1386</v>
      </c>
      <c r="C62" s="35" t="s">
        <v>196</v>
      </c>
      <c r="D62" s="34" t="s">
        <v>3277</v>
      </c>
      <c r="E62" s="11" t="str">
        <f>HYPERLINK("https://youtu.be/JzlDcmej1Jk?t=6935","channel 2")</f>
        <v>channel 2</v>
      </c>
    </row>
    <row r="63">
      <c r="B63" s="34" t="s">
        <v>816</v>
      </c>
      <c r="C63" s="35" t="s">
        <v>83</v>
      </c>
      <c r="D63" s="34" t="s">
        <v>3171</v>
      </c>
      <c r="E63" s="11" t="str">
        <f>HYPERLINK("https://youtu.be/N67wFsb3Rqk?t=7901","channel 1")</f>
        <v>channel 1</v>
      </c>
    </row>
    <row r="64">
      <c r="B64" s="34" t="s">
        <v>1386</v>
      </c>
      <c r="C64" s="35" t="s">
        <v>20</v>
      </c>
      <c r="D64" s="32" t="s">
        <v>3278</v>
      </c>
      <c r="E64" s="11" t="str">
        <f>HYPERLINK("https://youtu.be/JzlDcmej1Jk?t=7993","channel 2")</f>
        <v>channel 2</v>
      </c>
    </row>
    <row r="65">
      <c r="B65" s="34" t="s">
        <v>3277</v>
      </c>
      <c r="C65" s="35" t="s">
        <v>72</v>
      </c>
      <c r="D65" s="34" t="s">
        <v>3171</v>
      </c>
      <c r="E65" s="11" t="str">
        <f>HYPERLINK("https://youtu.be/N67wFsb3Rqk?t=8868","channel 1")</f>
        <v>channel 1</v>
      </c>
    </row>
    <row r="66">
      <c r="B66" s="34" t="s">
        <v>816</v>
      </c>
      <c r="C66" s="35" t="s">
        <v>7</v>
      </c>
      <c r="D66" s="32" t="s">
        <v>3278</v>
      </c>
      <c r="E66" s="11" t="str">
        <f>HYPERLINK("https://youtu.be/JzlDcmej1Jk?t=8948","channel 2")</f>
        <v>channel 2</v>
      </c>
    </row>
    <row r="67">
      <c r="B67" s="72" t="s">
        <v>2099</v>
      </c>
      <c r="C67" s="2"/>
      <c r="D67" s="3"/>
      <c r="E67" s="29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34" t="s">
        <v>1394</v>
      </c>
      <c r="C69" s="35" t="s">
        <v>20</v>
      </c>
      <c r="D69" s="34" t="s">
        <v>1743</v>
      </c>
      <c r="E69" s="11" t="str">
        <f>HYPERLINK("https://youtu.be/uYWCiKwH2TU","channel 1")</f>
        <v>channel 1</v>
      </c>
    </row>
    <row r="70">
      <c r="B70" s="34" t="s">
        <v>3279</v>
      </c>
      <c r="C70" s="35" t="s">
        <v>509</v>
      </c>
      <c r="D70" s="32" t="s">
        <v>3280</v>
      </c>
      <c r="E70" s="11" t="str">
        <f>HYPERLINK("https://youtu.be/B1atTVu_t6A?t=237","channel 2")</f>
        <v>channel 2</v>
      </c>
    </row>
    <row r="71">
      <c r="B71" s="34" t="s">
        <v>3281</v>
      </c>
      <c r="C71" s="35" t="s">
        <v>232</v>
      </c>
      <c r="D71" s="34" t="s">
        <v>1394</v>
      </c>
      <c r="E71" s="11" t="str">
        <f>HYPERLINK("https://youtu.be/uYWCiKwH2TU?t=1017","channel 1")</f>
        <v>channel 1</v>
      </c>
    </row>
    <row r="72">
      <c r="B72" s="34" t="s">
        <v>3279</v>
      </c>
      <c r="C72" s="35" t="s">
        <v>11</v>
      </c>
      <c r="D72" s="34" t="s">
        <v>1743</v>
      </c>
      <c r="E72" s="11" t="str">
        <f>HYPERLINK("https://youtu.be/B1atTVu_t6A?t=1129","channel 2")</f>
        <v>channel 2</v>
      </c>
    </row>
    <row r="73">
      <c r="B73" s="34" t="s">
        <v>3281</v>
      </c>
      <c r="C73" s="35" t="s">
        <v>404</v>
      </c>
      <c r="D73" s="32" t="s">
        <v>3280</v>
      </c>
      <c r="E73" s="11" t="str">
        <f>HYPERLINK("https://youtu.be/uYWCiKwH2TU?t=2078","channel 1")</f>
        <v>channel 1</v>
      </c>
    </row>
    <row r="74">
      <c r="B74" s="34" t="s">
        <v>3279</v>
      </c>
      <c r="C74" s="35" t="s">
        <v>35</v>
      </c>
      <c r="D74" s="34" t="s">
        <v>1394</v>
      </c>
      <c r="E74" s="11" t="str">
        <f>HYPERLINK("https://youtu.be/B1atTVu_t6A?t=2092","channel 2")</f>
        <v>channel 2</v>
      </c>
    </row>
    <row r="75">
      <c r="B75" s="34" t="s">
        <v>3281</v>
      </c>
      <c r="C75" s="35" t="s">
        <v>506</v>
      </c>
      <c r="D75" s="34" t="s">
        <v>1743</v>
      </c>
      <c r="E75" s="11" t="str">
        <f>HYPERLINK("https://youtu.be/uYWCiKwH2TU?t=3086","channel 1")</f>
        <v>channel 1</v>
      </c>
    </row>
    <row r="76">
      <c r="B76" s="32" t="s">
        <v>3280</v>
      </c>
      <c r="C76" s="35" t="s">
        <v>239</v>
      </c>
      <c r="D76" s="34" t="s">
        <v>1394</v>
      </c>
      <c r="E76" s="11" t="str">
        <f>HYPERLINK("https://youtu.be/B1atTVu_t6A?t=3120","channel 2")</f>
        <v>channel 2</v>
      </c>
    </row>
    <row r="77">
      <c r="B77" s="34" t="s">
        <v>3281</v>
      </c>
      <c r="C77" s="35" t="s">
        <v>2115</v>
      </c>
      <c r="D77" s="34" t="s">
        <v>3279</v>
      </c>
      <c r="E77" s="11" t="str">
        <f>HYPERLINK("https://youtu.be/uYWCiKwH2TU?t=4040","channel 1")</f>
        <v>channel 1</v>
      </c>
    </row>
    <row r="78">
      <c r="B78" s="32" t="s">
        <v>3280</v>
      </c>
      <c r="C78" s="35" t="s">
        <v>403</v>
      </c>
      <c r="D78" s="34" t="s">
        <v>1743</v>
      </c>
      <c r="E78" s="11" t="str">
        <f>HYPERLINK("https://youtu.be/B1atTVu_t6A?t=4110","channel 2")</f>
        <v>channel 2</v>
      </c>
    </row>
    <row r="79">
      <c r="B79" s="34" t="s">
        <v>1743</v>
      </c>
      <c r="C79" s="35" t="s">
        <v>81</v>
      </c>
      <c r="D79" s="34" t="s">
        <v>1394</v>
      </c>
      <c r="E79" s="11" t="str">
        <f>HYPERLINK("https://youtu.be/uYWCiKwH2TU?t=5025","channel 1")</f>
        <v>channel 1</v>
      </c>
    </row>
    <row r="80">
      <c r="B80" s="32" t="s">
        <v>3280</v>
      </c>
      <c r="C80" s="35" t="s">
        <v>88</v>
      </c>
      <c r="D80" s="34" t="s">
        <v>3279</v>
      </c>
      <c r="E80" s="11" t="str">
        <f>HYPERLINK("https://youtu.be/B1atTVu_t6A?t=5060","channel 2")</f>
        <v>channel 2</v>
      </c>
    </row>
    <row r="81">
      <c r="B81" s="34" t="s">
        <v>1394</v>
      </c>
      <c r="C81" s="35" t="s">
        <v>49</v>
      </c>
      <c r="D81" s="34" t="s">
        <v>3281</v>
      </c>
      <c r="E81" s="11" t="str">
        <f>HYPERLINK("https://youtu.be/uYWCiKwH2TU?t=6057","channel 1")</f>
        <v>channel 1</v>
      </c>
    </row>
    <row r="82">
      <c r="B82" s="34" t="s">
        <v>1743</v>
      </c>
      <c r="C82" s="35" t="s">
        <v>17</v>
      </c>
      <c r="D82" s="34" t="s">
        <v>3279</v>
      </c>
      <c r="E82" s="11" t="str">
        <f>HYPERLINK("https://youtu.be/B1atTVu_t6A?t=6109","channel 2")</f>
        <v>channel 2</v>
      </c>
    </row>
    <row r="83">
      <c r="B83" s="32" t="s">
        <v>3280</v>
      </c>
      <c r="C83" s="35" t="s">
        <v>912</v>
      </c>
      <c r="D83" s="34" t="s">
        <v>3281</v>
      </c>
      <c r="E83" s="11" t="str">
        <f>HYPERLINK("https://youtu.be/uYWCiKwH2TU?t=7026","channel 1")</f>
        <v>channel 1</v>
      </c>
    </row>
    <row r="84">
      <c r="B84" s="34" t="s">
        <v>1394</v>
      </c>
      <c r="C84" s="35" t="s">
        <v>43</v>
      </c>
      <c r="D84" s="34" t="s">
        <v>3279</v>
      </c>
      <c r="E84" s="11" t="str">
        <f>HYPERLINK("https://youtu.be/B1atTVu_t6A?t=7113","channel 2")</f>
        <v>channel 2</v>
      </c>
    </row>
    <row r="85">
      <c r="B85" s="34" t="s">
        <v>1743</v>
      </c>
      <c r="C85" s="35" t="s">
        <v>3282</v>
      </c>
      <c r="D85" s="34" t="s">
        <v>3281</v>
      </c>
      <c r="E85" s="11" t="str">
        <f>HYPERLINK("https://youtu.be/uYWCiKwH2TU?t=7971","channel 1")</f>
        <v>channel 1</v>
      </c>
    </row>
    <row r="86">
      <c r="B86" s="34" t="s">
        <v>1394</v>
      </c>
      <c r="C86" s="35" t="s">
        <v>65</v>
      </c>
      <c r="D86" s="32" t="s">
        <v>3280</v>
      </c>
      <c r="E86" s="11" t="str">
        <f>HYPERLINK("https://youtu.be/B1atTVu_t6A?t=8058","channel 2")</f>
        <v>channel 2</v>
      </c>
    </row>
    <row r="87">
      <c r="B87" s="34" t="s">
        <v>3279</v>
      </c>
      <c r="C87" s="35" t="s">
        <v>70</v>
      </c>
      <c r="D87" s="34" t="s">
        <v>3281</v>
      </c>
      <c r="E87" s="11" t="str">
        <f>HYPERLINK("https://youtu.be/uYWCiKwH2TU?t=8895","channel 1")</f>
        <v>channel 1</v>
      </c>
    </row>
    <row r="88">
      <c r="B88" s="34" t="s">
        <v>1743</v>
      </c>
      <c r="C88" s="35" t="s">
        <v>212</v>
      </c>
      <c r="D88" s="32" t="s">
        <v>3280</v>
      </c>
      <c r="E88" s="11" t="str">
        <f>HYPERLINK("https://youtu.be/B1atTVu_t6A?t=8966","channel 2")</f>
        <v>channel 2</v>
      </c>
    </row>
    <row r="89">
      <c r="B89" s="72" t="s">
        <v>2828</v>
      </c>
      <c r="C89" s="2"/>
      <c r="D89" s="3"/>
      <c r="E89" s="29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34" t="s">
        <v>3211</v>
      </c>
      <c r="C91" s="35" t="s">
        <v>378</v>
      </c>
      <c r="D91" s="34" t="s">
        <v>3283</v>
      </c>
      <c r="E91" s="11" t="str">
        <f>HYPERLINK("https://youtu.be/mGkjnam6410","channel 3")</f>
        <v>channel 3</v>
      </c>
    </row>
    <row r="92">
      <c r="B92" s="34" t="s">
        <v>3284</v>
      </c>
      <c r="C92" s="35" t="s">
        <v>11</v>
      </c>
      <c r="D92" s="32" t="s">
        <v>874</v>
      </c>
      <c r="E92" s="11" t="str">
        <f>HYPERLINK("https://youtu.be/j3cszTgci58","channel 4")</f>
        <v>channel 4</v>
      </c>
    </row>
    <row r="93">
      <c r="B93" s="34" t="s">
        <v>322</v>
      </c>
      <c r="C93" s="35" t="s">
        <v>22</v>
      </c>
      <c r="D93" s="34" t="s">
        <v>3211</v>
      </c>
      <c r="E93" s="11" t="str">
        <f>HYPERLINK("https://youtu.be/mGkjnam6410?t=943","channel 3")</f>
        <v>channel 3</v>
      </c>
    </row>
    <row r="94">
      <c r="B94" s="34" t="s">
        <v>3284</v>
      </c>
      <c r="C94" s="35" t="s">
        <v>775</v>
      </c>
      <c r="D94" s="34" t="s">
        <v>3283</v>
      </c>
      <c r="E94" s="11" t="str">
        <f>HYPERLINK("https://youtu.be/j3cszTgci58?t=909","channel 4")</f>
        <v>channel 4</v>
      </c>
    </row>
    <row r="95">
      <c r="B95" s="34" t="s">
        <v>322</v>
      </c>
      <c r="C95" s="35" t="s">
        <v>542</v>
      </c>
      <c r="D95" s="32" t="s">
        <v>874</v>
      </c>
      <c r="E95" s="11" t="str">
        <f>HYPERLINK("https://youtu.be/mGkjnam6410?t=1833","channel 3")</f>
        <v>channel 3</v>
      </c>
    </row>
    <row r="96">
      <c r="B96" s="34" t="s">
        <v>3284</v>
      </c>
      <c r="C96" s="35" t="s">
        <v>87</v>
      </c>
      <c r="D96" s="34" t="s">
        <v>3211</v>
      </c>
      <c r="E96" s="11" t="str">
        <f>HYPERLINK("https://youtu.be/j3cszTgci58?t=1855","channel 4")</f>
        <v>channel 4</v>
      </c>
    </row>
    <row r="97">
      <c r="B97" s="34" t="s">
        <v>322</v>
      </c>
      <c r="C97" s="35" t="s">
        <v>11</v>
      </c>
      <c r="D97" s="34" t="s">
        <v>3283</v>
      </c>
      <c r="E97" s="11" t="str">
        <f>HYPERLINK("https://youtu.be/mGkjnam6410?t=2825","channel 3")</f>
        <v>channel 3</v>
      </c>
    </row>
    <row r="98">
      <c r="B98" s="32" t="s">
        <v>874</v>
      </c>
      <c r="C98" s="35" t="s">
        <v>282</v>
      </c>
      <c r="D98" s="34" t="s">
        <v>3211</v>
      </c>
      <c r="E98" s="11" t="str">
        <f>HYPERLINK("https://youtu.be/j3cszTgci58?t=2769","channel 4")</f>
        <v>channel 4</v>
      </c>
    </row>
    <row r="99">
      <c r="B99" s="34" t="s">
        <v>322</v>
      </c>
      <c r="C99" s="35" t="s">
        <v>196</v>
      </c>
      <c r="D99" s="34" t="s">
        <v>3284</v>
      </c>
      <c r="E99" s="11" t="str">
        <f>HYPERLINK("https://youtu.be/mGkjnam6410?t=3678","channel 3")</f>
        <v>channel 3</v>
      </c>
    </row>
    <row r="100">
      <c r="B100" s="32" t="s">
        <v>874</v>
      </c>
      <c r="C100" s="35" t="s">
        <v>506</v>
      </c>
      <c r="D100" s="34" t="s">
        <v>3283</v>
      </c>
      <c r="E100" s="11" t="str">
        <f>HYPERLINK("https://youtu.be/j3cszTgci58?t=3730","channel 4")</f>
        <v>channel 4</v>
      </c>
    </row>
    <row r="101">
      <c r="B101" s="34" t="s">
        <v>3283</v>
      </c>
      <c r="C101" s="35" t="s">
        <v>25</v>
      </c>
      <c r="D101" s="34" t="s">
        <v>3211</v>
      </c>
      <c r="E101" s="11" t="str">
        <f>HYPERLINK("https://youtu.be/mGkjnam6410?t=4582","channel 3")</f>
        <v>channel 3</v>
      </c>
    </row>
    <row r="102">
      <c r="B102" s="32" t="s">
        <v>874</v>
      </c>
      <c r="C102" s="35" t="s">
        <v>19</v>
      </c>
      <c r="D102" s="34" t="s">
        <v>3284</v>
      </c>
      <c r="E102" s="11" t="str">
        <f>HYPERLINK("https://youtu.be/j3cszTgci58?t=4604","channel 4")</f>
        <v>channel 4</v>
      </c>
    </row>
    <row r="103">
      <c r="B103" s="34" t="s">
        <v>3211</v>
      </c>
      <c r="C103" s="35" t="s">
        <v>25</v>
      </c>
      <c r="D103" s="34" t="s">
        <v>322</v>
      </c>
      <c r="E103" s="11" t="str">
        <f>HYPERLINK("https://youtu.be/mGkjnam6410?t=5494","channel 3")</f>
        <v>channel 3</v>
      </c>
    </row>
    <row r="104">
      <c r="B104" s="34" t="s">
        <v>3283</v>
      </c>
      <c r="C104" s="35" t="s">
        <v>380</v>
      </c>
      <c r="D104" s="34" t="s">
        <v>3284</v>
      </c>
      <c r="E104" s="11" t="str">
        <f>HYPERLINK("https://youtu.be/j3cszTgci58?t=5501","channel 4")</f>
        <v>channel 4</v>
      </c>
    </row>
    <row r="105">
      <c r="B105" s="32" t="s">
        <v>874</v>
      </c>
      <c r="C105" s="35" t="s">
        <v>544</v>
      </c>
      <c r="D105" s="34" t="s">
        <v>322</v>
      </c>
      <c r="E105" s="11" t="str">
        <f>HYPERLINK("https://youtu.be/mGkjnam6410?t=6362","channel 3")</f>
        <v>channel 3</v>
      </c>
    </row>
    <row r="106">
      <c r="B106" s="34" t="s">
        <v>3211</v>
      </c>
      <c r="C106" s="35" t="s">
        <v>41</v>
      </c>
      <c r="D106" s="34" t="s">
        <v>3284</v>
      </c>
      <c r="E106" s="11" t="str">
        <f>HYPERLINK("https://youtu.be/j3cszTgci58?t=6341","channel 4")</f>
        <v>channel 4</v>
      </c>
    </row>
    <row r="107">
      <c r="B107" s="34" t="s">
        <v>3283</v>
      </c>
      <c r="C107" s="35" t="s">
        <v>2121</v>
      </c>
      <c r="D107" s="34" t="s">
        <v>322</v>
      </c>
      <c r="E107" s="11" t="str">
        <f>HYPERLINK("https://youtu.be/mGkjnam6410?t=7432","channel 3")</f>
        <v>channel 3</v>
      </c>
    </row>
    <row r="108">
      <c r="B108" s="34" t="s">
        <v>3211</v>
      </c>
      <c r="C108" s="35" t="s">
        <v>201</v>
      </c>
      <c r="D108" s="32" t="s">
        <v>874</v>
      </c>
      <c r="E108" s="11" t="str">
        <f>HYPERLINK("https://youtu.be/j3cszTgci58?t=7460","channel 4")</f>
        <v>channel 4</v>
      </c>
    </row>
    <row r="109">
      <c r="B109" s="34" t="s">
        <v>3284</v>
      </c>
      <c r="C109" s="35" t="s">
        <v>726</v>
      </c>
      <c r="D109" s="34" t="s">
        <v>322</v>
      </c>
      <c r="E109" s="11" t="str">
        <f>HYPERLINK("https://youtu.be/mGkjnam6410?t=8266","channel 3")</f>
        <v>channel 3</v>
      </c>
    </row>
    <row r="110">
      <c r="B110" s="34" t="s">
        <v>3283</v>
      </c>
      <c r="C110" s="35" t="s">
        <v>218</v>
      </c>
      <c r="D110" s="32" t="s">
        <v>874</v>
      </c>
      <c r="E110" s="11" t="str">
        <f>HYPERLINK("https://youtu.be/j3cszTgci58?t=8318","channel 4")</f>
        <v>channel 4</v>
      </c>
    </row>
    <row r="111">
      <c r="B111" s="72" t="s">
        <v>2646</v>
      </c>
      <c r="C111" s="2"/>
      <c r="D111" s="3"/>
      <c r="E111" s="29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34" t="s">
        <v>3285</v>
      </c>
      <c r="C113" s="33" t="s">
        <v>195</v>
      </c>
      <c r="D113" s="34" t="s">
        <v>2798</v>
      </c>
      <c r="E113" s="11" t="str">
        <f>HYPERLINK("https://youtu.be/e4phMBN4zB0","channel 3")</f>
        <v>channel 3</v>
      </c>
    </row>
    <row r="114">
      <c r="B114" s="34" t="s">
        <v>1759</v>
      </c>
      <c r="C114" s="33" t="s">
        <v>3286</v>
      </c>
      <c r="D114" s="32" t="s">
        <v>1369</v>
      </c>
      <c r="E114" s="11" t="str">
        <f>HYPERLINK("https://youtu.be/sGxVJqAy4Vo","channel 4")</f>
        <v>channel 4</v>
      </c>
    </row>
    <row r="115">
      <c r="B115" s="34" t="s">
        <v>139</v>
      </c>
      <c r="C115" s="57" t="s">
        <v>449</v>
      </c>
      <c r="D115" s="34" t="s">
        <v>3285</v>
      </c>
      <c r="E115" s="102" t="s">
        <v>33</v>
      </c>
    </row>
    <row r="116">
      <c r="B116" s="34" t="s">
        <v>1759</v>
      </c>
      <c r="C116" s="57" t="s">
        <v>449</v>
      </c>
      <c r="D116" s="34" t="s">
        <v>2798</v>
      </c>
      <c r="E116" s="102" t="s">
        <v>37</v>
      </c>
    </row>
    <row r="117">
      <c r="B117" s="34" t="s">
        <v>139</v>
      </c>
      <c r="C117" s="33" t="s">
        <v>2276</v>
      </c>
      <c r="D117" s="32" t="s">
        <v>1369</v>
      </c>
      <c r="E117" s="11" t="str">
        <f>HYPERLINK("https://youtu.be/e4phMBN4zB0?t=1622","channel 3")</f>
        <v>channel 3</v>
      </c>
    </row>
    <row r="118">
      <c r="B118" s="34" t="s">
        <v>1759</v>
      </c>
      <c r="C118" s="33" t="s">
        <v>49</v>
      </c>
      <c r="D118" s="34" t="s">
        <v>3285</v>
      </c>
      <c r="E118" s="11" t="str">
        <f>HYPERLINK("https://youtu.be/sGxVJqAy4Vo?t=1690","channel 4")</f>
        <v>channel 4</v>
      </c>
    </row>
    <row r="119">
      <c r="B119" s="34" t="s">
        <v>139</v>
      </c>
      <c r="C119" s="33" t="s">
        <v>2721</v>
      </c>
      <c r="D119" s="34" t="s">
        <v>2798</v>
      </c>
      <c r="E119" s="11" t="str">
        <f>HYPERLINK("https://youtu.be/e4phMBN4zB0?t=2559","channel 3")</f>
        <v>channel 3</v>
      </c>
    </row>
    <row r="120">
      <c r="B120" s="32" t="s">
        <v>1369</v>
      </c>
      <c r="C120" s="33" t="s">
        <v>64</v>
      </c>
      <c r="D120" s="34" t="s">
        <v>3285</v>
      </c>
      <c r="E120" s="11" t="str">
        <f>HYPERLINK("https://youtu.be/sGxVJqAy4Vo?t=2564","channel 4")</f>
        <v>channel 4</v>
      </c>
    </row>
    <row r="121">
      <c r="B121" s="34" t="s">
        <v>139</v>
      </c>
      <c r="C121" s="33" t="s">
        <v>42</v>
      </c>
      <c r="D121" s="34" t="s">
        <v>1759</v>
      </c>
      <c r="E121" s="11" t="str">
        <f>HYPERLINK("https://youtu.be/e4phMBN4zB0?t=3502","channel 3")</f>
        <v>channel 3</v>
      </c>
    </row>
    <row r="122">
      <c r="B122" s="32" t="s">
        <v>1369</v>
      </c>
      <c r="C122" s="33" t="s">
        <v>3287</v>
      </c>
      <c r="D122" s="34" t="s">
        <v>2798</v>
      </c>
      <c r="E122" s="11" t="str">
        <f>HYPERLINK("https://youtu.be/sGxVJqAy4Vo?t=3453","channel 4")</f>
        <v>channel 4</v>
      </c>
    </row>
    <row r="123">
      <c r="B123" s="34" t="s">
        <v>2798</v>
      </c>
      <c r="C123" s="33" t="s">
        <v>67</v>
      </c>
      <c r="D123" s="34" t="s">
        <v>3285</v>
      </c>
      <c r="E123" s="11" t="str">
        <f>HYPERLINK("https://youtu.be/e4phMBN4zB0?t=4400","channel 3")</f>
        <v>channel 3</v>
      </c>
    </row>
    <row r="124">
      <c r="B124" s="32" t="s">
        <v>1369</v>
      </c>
      <c r="C124" s="35" t="s">
        <v>45</v>
      </c>
      <c r="D124" s="34" t="s">
        <v>1759</v>
      </c>
      <c r="E124" s="11" t="str">
        <f>HYPERLINK("https://youtu.be/sGxVJqAy4Vo?t=4437","channel 4")</f>
        <v>channel 4</v>
      </c>
    </row>
    <row r="125">
      <c r="B125" s="34" t="s">
        <v>3285</v>
      </c>
      <c r="C125" s="35" t="s">
        <v>3288</v>
      </c>
      <c r="D125" s="34" t="s">
        <v>139</v>
      </c>
      <c r="E125" s="11" t="str">
        <f>HYPERLINK("https://youtu.be/e4phMBN4zB0?t=5376","channel 3")</f>
        <v>channel 3</v>
      </c>
    </row>
    <row r="126">
      <c r="B126" s="34" t="s">
        <v>2798</v>
      </c>
      <c r="C126" s="35" t="s">
        <v>11</v>
      </c>
      <c r="D126" s="34" t="s">
        <v>1759</v>
      </c>
      <c r="E126" s="11" t="str">
        <f>HYPERLINK("https://youtu.be/sGxVJqAy4Vo?t=5429","channel 4")</f>
        <v>channel 4</v>
      </c>
    </row>
    <row r="127">
      <c r="B127" s="32" t="s">
        <v>1369</v>
      </c>
      <c r="C127" s="35" t="s">
        <v>3289</v>
      </c>
      <c r="D127" s="34" t="s">
        <v>139</v>
      </c>
      <c r="E127" s="11" t="str">
        <f>HYPERLINK("https://youtu.be/e4phMBN4zB0?t=6401","channel 3")</f>
        <v>channel 3</v>
      </c>
    </row>
    <row r="128">
      <c r="B128" s="34" t="s">
        <v>3285</v>
      </c>
      <c r="C128" s="35" t="s">
        <v>218</v>
      </c>
      <c r="D128" s="34" t="s">
        <v>1759</v>
      </c>
      <c r="E128" s="11" t="str">
        <f>HYPERLINK("https://youtu.be/sGxVJqAy4Vo?t=6370","channel 4")</f>
        <v>channel 4</v>
      </c>
    </row>
    <row r="129">
      <c r="B129" s="34" t="s">
        <v>2798</v>
      </c>
      <c r="C129" s="35" t="s">
        <v>3290</v>
      </c>
      <c r="D129" s="34" t="s">
        <v>139</v>
      </c>
      <c r="E129" s="11" t="str">
        <f>HYPERLINK("https://youtu.be/e4phMBN4zB0?t=7288","channel 3")</f>
        <v>channel 3</v>
      </c>
    </row>
    <row r="130">
      <c r="B130" s="34" t="s">
        <v>3285</v>
      </c>
      <c r="C130" s="35" t="s">
        <v>328</v>
      </c>
      <c r="D130" s="32" t="s">
        <v>1369</v>
      </c>
      <c r="E130" s="11" t="str">
        <f>HYPERLINK("https://youtu.be/sGxVJqAy4Vo?t=7298","channel 4")</f>
        <v>channel 4</v>
      </c>
    </row>
    <row r="131">
      <c r="B131" s="34" t="s">
        <v>1759</v>
      </c>
      <c r="C131" s="35" t="s">
        <v>427</v>
      </c>
      <c r="D131" s="34" t="s">
        <v>139</v>
      </c>
      <c r="E131" s="11" t="str">
        <f>HYPERLINK("https://youtu.be/e4phMBN4zB0?t=8178","channel 3")</f>
        <v>channel 3</v>
      </c>
    </row>
    <row r="132">
      <c r="B132" s="34" t="s">
        <v>2798</v>
      </c>
      <c r="C132" s="57" t="s">
        <v>449</v>
      </c>
      <c r="D132" s="32" t="s">
        <v>1369</v>
      </c>
      <c r="E132" s="102" t="s">
        <v>37</v>
      </c>
    </row>
    <row r="133">
      <c r="B133" s="72" t="s">
        <v>2554</v>
      </c>
      <c r="C133" s="2"/>
      <c r="D133" s="3"/>
      <c r="E133" s="2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34" t="s">
        <v>3291</v>
      </c>
      <c r="C135" s="35" t="s">
        <v>22</v>
      </c>
      <c r="D135" s="34" t="s">
        <v>3292</v>
      </c>
      <c r="E135" s="11" t="str">
        <f>HYPERLINK("https://youtu.be/Ivp1LIlmrhM","channel 1")</f>
        <v>channel 1</v>
      </c>
    </row>
    <row r="136">
      <c r="B136" s="34" t="s">
        <v>1726</v>
      </c>
      <c r="C136" s="35" t="s">
        <v>238</v>
      </c>
      <c r="D136" s="32" t="s">
        <v>3293</v>
      </c>
      <c r="E136" s="11" t="str">
        <f>HYPERLINK("https://youtu.be/dR0Pbb037iQ?t=234","channel 2")</f>
        <v>channel 2</v>
      </c>
    </row>
    <row r="137">
      <c r="B137" s="34" t="s">
        <v>3215</v>
      </c>
      <c r="C137" s="35" t="s">
        <v>25</v>
      </c>
      <c r="D137" s="34" t="s">
        <v>3291</v>
      </c>
      <c r="E137" s="11" t="str">
        <f>HYPERLINK("https://youtu.be/Ivp1LIlmrhM?t=1001","channel 1")</f>
        <v>channel 1</v>
      </c>
    </row>
    <row r="138">
      <c r="B138" s="34" t="s">
        <v>1726</v>
      </c>
      <c r="C138" s="35" t="s">
        <v>87</v>
      </c>
      <c r="D138" s="34" t="s">
        <v>3292</v>
      </c>
      <c r="E138" s="11" t="str">
        <f>HYPERLINK("https://youtu.be/dR0Pbb037iQ?t=1280","channel 2")</f>
        <v>channel 2</v>
      </c>
    </row>
    <row r="139">
      <c r="B139" s="34" t="s">
        <v>3215</v>
      </c>
      <c r="C139" s="35" t="s">
        <v>196</v>
      </c>
      <c r="D139" s="32" t="s">
        <v>3293</v>
      </c>
      <c r="E139" s="11" t="str">
        <f>HYPERLINK("https://youtu.be/Ivp1LIlmrhM?t=1954","channel 1")</f>
        <v>channel 1</v>
      </c>
    </row>
    <row r="140">
      <c r="B140" s="34" t="s">
        <v>1726</v>
      </c>
      <c r="C140" s="35" t="s">
        <v>21</v>
      </c>
      <c r="D140" s="34" t="s">
        <v>3291</v>
      </c>
      <c r="E140" s="11" t="str">
        <f>HYPERLINK("https://youtu.be/dR0Pbb037iQ?t=2145","channel 2")</f>
        <v>channel 2</v>
      </c>
    </row>
    <row r="141">
      <c r="B141" s="34" t="s">
        <v>3215</v>
      </c>
      <c r="C141" s="35" t="s">
        <v>87</v>
      </c>
      <c r="D141" s="34" t="s">
        <v>3292</v>
      </c>
      <c r="E141" s="11" t="str">
        <f>HYPERLINK("https://youtu.be/Ivp1LIlmrhM?t=2940","channel 1")</f>
        <v>channel 1</v>
      </c>
    </row>
    <row r="142">
      <c r="B142" s="32" t="s">
        <v>3293</v>
      </c>
      <c r="C142" s="35" t="s">
        <v>797</v>
      </c>
      <c r="D142" s="34" t="s">
        <v>3291</v>
      </c>
      <c r="E142" s="11" t="str">
        <f>HYPERLINK("https://youtu.be/dR0Pbb037iQ?t=3060","channel 2")</f>
        <v>channel 2</v>
      </c>
    </row>
    <row r="143">
      <c r="B143" s="34" t="s">
        <v>3215</v>
      </c>
      <c r="C143" s="35" t="s">
        <v>319</v>
      </c>
      <c r="D143" s="34" t="s">
        <v>1726</v>
      </c>
      <c r="E143" s="11" t="str">
        <f>HYPERLINK("https://youtu.be/Ivp1LIlmrhM?t=4600","channel 1")</f>
        <v>channel 1</v>
      </c>
    </row>
    <row r="144">
      <c r="B144" s="32" t="s">
        <v>3293</v>
      </c>
      <c r="C144" s="35" t="s">
        <v>81</v>
      </c>
      <c r="D144" s="34" t="s">
        <v>3292</v>
      </c>
      <c r="E144" s="11" t="str">
        <f>HYPERLINK("https://youtu.be/dR0Pbb037iQ?t=4524","channel 2")</f>
        <v>channel 2</v>
      </c>
    </row>
    <row r="145">
      <c r="B145" s="34" t="s">
        <v>3292</v>
      </c>
      <c r="C145" s="35" t="s">
        <v>218</v>
      </c>
      <c r="D145" s="34" t="s">
        <v>3291</v>
      </c>
      <c r="E145" s="11" t="str">
        <f>HYPERLINK("https://youtu.be/Ivp1LIlmrhM?t=5462","channel 1")</f>
        <v>channel 1</v>
      </c>
    </row>
    <row r="146">
      <c r="B146" s="32" t="s">
        <v>3293</v>
      </c>
      <c r="C146" s="35" t="s">
        <v>460</v>
      </c>
      <c r="D146" s="34" t="s">
        <v>1726</v>
      </c>
      <c r="E146" s="11" t="str">
        <f>HYPERLINK("https://youtu.be/dR0Pbb037iQ?t=5407","channel 2")</f>
        <v>channel 2</v>
      </c>
    </row>
    <row r="147">
      <c r="B147" s="34" t="s">
        <v>3291</v>
      </c>
      <c r="C147" s="35" t="s">
        <v>196</v>
      </c>
      <c r="D147" s="34" t="s">
        <v>3215</v>
      </c>
      <c r="E147" s="11" t="str">
        <f>HYPERLINK("https://youtu.be/Ivp1LIlmrhM?t=6363","channel 1")</f>
        <v>channel 1</v>
      </c>
    </row>
    <row r="148">
      <c r="B148" s="34" t="s">
        <v>3292</v>
      </c>
      <c r="C148" s="35" t="s">
        <v>3294</v>
      </c>
      <c r="D148" s="34" t="s">
        <v>1726</v>
      </c>
      <c r="E148" s="11" t="str">
        <f>HYPERLINK("https://youtu.be/dR0Pbb037iQ?t=6381","channel 2")</f>
        <v>channel 2</v>
      </c>
    </row>
    <row r="149">
      <c r="B149" s="32" t="s">
        <v>3293</v>
      </c>
      <c r="C149" s="35" t="s">
        <v>24</v>
      </c>
      <c r="D149" s="34" t="s">
        <v>3215</v>
      </c>
      <c r="E149" s="11" t="str">
        <f>HYPERLINK("https://youtu.be/Ivp1LIlmrhM?t=7277","channel 1")</f>
        <v>channel 1</v>
      </c>
    </row>
    <row r="150">
      <c r="B150" s="34" t="s">
        <v>3291</v>
      </c>
      <c r="C150" s="35" t="s">
        <v>18</v>
      </c>
      <c r="D150" s="34" t="s">
        <v>1726</v>
      </c>
      <c r="E150" s="11" t="str">
        <f>HYPERLINK("https://youtu.be/dR0Pbb037iQ?t=7285","channel 2")</f>
        <v>channel 2</v>
      </c>
    </row>
    <row r="151">
      <c r="B151" s="34" t="s">
        <v>3292</v>
      </c>
      <c r="C151" s="35" t="s">
        <v>68</v>
      </c>
      <c r="D151" s="34" t="s">
        <v>3215</v>
      </c>
      <c r="E151" s="11" t="str">
        <f>HYPERLINK("https://youtu.be/Ivp1LIlmrhM?t=8195","channel 1")</f>
        <v>channel 1</v>
      </c>
    </row>
    <row r="152">
      <c r="B152" s="34" t="s">
        <v>3291</v>
      </c>
      <c r="C152" s="35" t="s">
        <v>19</v>
      </c>
      <c r="D152" s="32" t="s">
        <v>3293</v>
      </c>
      <c r="E152" s="11" t="str">
        <f>HYPERLINK("https://youtu.be/dR0Pbb037iQ?t=8201","channel 2")</f>
        <v>channel 2</v>
      </c>
    </row>
    <row r="153">
      <c r="B153" s="34" t="s">
        <v>1726</v>
      </c>
      <c r="C153" s="35" t="s">
        <v>201</v>
      </c>
      <c r="D153" s="34" t="s">
        <v>3215</v>
      </c>
      <c r="E153" s="11" t="str">
        <f>HYPERLINK("https://youtu.be/Ivp1LIlmrhM?t=9168","channel 1")</f>
        <v>channel 1</v>
      </c>
    </row>
    <row r="154">
      <c r="B154" s="34" t="s">
        <v>3292</v>
      </c>
      <c r="C154" s="35" t="s">
        <v>1252</v>
      </c>
      <c r="D154" s="32" t="s">
        <v>3293</v>
      </c>
      <c r="E154" s="11" t="str">
        <f>HYPERLINK("https://youtu.be/dR0Pbb037iQ?t=9101","channel 2")</f>
        <v>channel 2</v>
      </c>
    </row>
    <row r="155">
      <c r="B155" s="72" t="s">
        <v>1435</v>
      </c>
      <c r="C155" s="2"/>
      <c r="D155" s="3"/>
      <c r="E155" s="2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34" t="s">
        <v>713</v>
      </c>
      <c r="C157" s="35" t="s">
        <v>239</v>
      </c>
      <c r="D157" s="34" t="s">
        <v>738</v>
      </c>
      <c r="E157" s="11" t="str">
        <f>HYPERLINK("https://youtu.be/v07y05TxXlg","channel 1")</f>
        <v>channel 1</v>
      </c>
    </row>
    <row r="158">
      <c r="B158" s="34" t="s">
        <v>851</v>
      </c>
      <c r="C158" s="35" t="s">
        <v>25</v>
      </c>
      <c r="D158" s="32" t="s">
        <v>3295</v>
      </c>
      <c r="E158" s="11" t="str">
        <f>HYPERLINK("https://youtu.be/5NyXBhOEGkU","channel 2")</f>
        <v>channel 2</v>
      </c>
    </row>
    <row r="159">
      <c r="B159" s="34" t="s">
        <v>3296</v>
      </c>
      <c r="C159" s="35" t="s">
        <v>11</v>
      </c>
      <c r="D159" s="34" t="s">
        <v>713</v>
      </c>
      <c r="E159" s="11" t="str">
        <f>HYPERLINK("https://youtu.be/v07y05TxXlg?t=979","channel 1")</f>
        <v>channel 1</v>
      </c>
    </row>
    <row r="160">
      <c r="B160" s="34" t="s">
        <v>851</v>
      </c>
      <c r="C160" s="35" t="s">
        <v>47</v>
      </c>
      <c r="D160" s="34" t="s">
        <v>738</v>
      </c>
      <c r="E160" s="11" t="str">
        <f>HYPERLINK("https://youtu.be/5NyXBhOEGkU?t=932","channel 2")</f>
        <v>channel 2</v>
      </c>
    </row>
    <row r="161">
      <c r="B161" s="34" t="s">
        <v>3296</v>
      </c>
      <c r="C161" s="35" t="s">
        <v>268</v>
      </c>
      <c r="D161" s="32" t="s">
        <v>3295</v>
      </c>
      <c r="E161" s="11" t="str">
        <f>HYPERLINK("https://youtu.be/v07y05TxXlg?t=1934","channel 1")</f>
        <v>channel 1</v>
      </c>
    </row>
    <row r="162">
      <c r="B162" s="34" t="s">
        <v>851</v>
      </c>
      <c r="C162" s="35" t="s">
        <v>536</v>
      </c>
      <c r="D162" s="34" t="s">
        <v>713</v>
      </c>
      <c r="E162" s="11" t="str">
        <f>HYPERLINK("https://youtu.be/5NyXBhOEGkU?t=1829","channel 2")</f>
        <v>channel 2</v>
      </c>
    </row>
    <row r="163">
      <c r="B163" s="34" t="s">
        <v>3296</v>
      </c>
      <c r="C163" s="35" t="s">
        <v>240</v>
      </c>
      <c r="D163" s="34" t="s">
        <v>738</v>
      </c>
      <c r="E163" s="11" t="str">
        <f>HYPERLINK("https://youtu.be/v07y05TxXlg?t=2906","channel 1")</f>
        <v>channel 1</v>
      </c>
    </row>
    <row r="164">
      <c r="B164" s="32" t="s">
        <v>3295</v>
      </c>
      <c r="C164" s="35" t="s">
        <v>45</v>
      </c>
      <c r="D164" s="34" t="s">
        <v>713</v>
      </c>
      <c r="E164" s="11" t="str">
        <f>HYPERLINK("https://youtu.be/5NyXBhOEGkU?t=2734","channel 2")</f>
        <v>channel 2</v>
      </c>
    </row>
    <row r="165">
      <c r="B165" s="34" t="s">
        <v>3296</v>
      </c>
      <c r="C165" s="35" t="s">
        <v>35</v>
      </c>
      <c r="D165" s="34" t="s">
        <v>851</v>
      </c>
      <c r="E165" s="11" t="str">
        <f>HYPERLINK("https://youtu.be/v07y05TxXlg?t=3770","channel 1")</f>
        <v>channel 1</v>
      </c>
    </row>
    <row r="166">
      <c r="B166" s="32" t="s">
        <v>3295</v>
      </c>
      <c r="C166" s="35" t="s">
        <v>416</v>
      </c>
      <c r="D166" s="34" t="s">
        <v>738</v>
      </c>
      <c r="E166" s="11" t="str">
        <f>HYPERLINK("https://youtu.be/5NyXBhOEGkU?t=3680","channel 2")</f>
        <v>channel 2</v>
      </c>
    </row>
    <row r="167">
      <c r="B167" s="34" t="s">
        <v>738</v>
      </c>
      <c r="C167" s="35" t="s">
        <v>81</v>
      </c>
      <c r="D167" s="34" t="s">
        <v>713</v>
      </c>
      <c r="E167" s="11" t="str">
        <f>HYPERLINK("https://youtu.be/v07y05TxXlg?t=4648","channel 1")</f>
        <v>channel 1</v>
      </c>
    </row>
    <row r="168">
      <c r="B168" s="32" t="s">
        <v>3295</v>
      </c>
      <c r="C168" s="35" t="s">
        <v>41</v>
      </c>
      <c r="D168" s="34" t="s">
        <v>851</v>
      </c>
      <c r="E168" s="11" t="str">
        <f>HYPERLINK("https://youtu.be/5NyXBhOEGkU?t=4583","channel 2")</f>
        <v>channel 2</v>
      </c>
    </row>
    <row r="169">
      <c r="B169" s="34" t="s">
        <v>713</v>
      </c>
      <c r="C169" s="35" t="s">
        <v>286</v>
      </c>
      <c r="D169" s="34" t="s">
        <v>3296</v>
      </c>
      <c r="E169" s="11" t="str">
        <f>HYPERLINK("https://youtu.be/v07y05TxXlg?t=5546","channel 1")</f>
        <v>channel 1</v>
      </c>
    </row>
    <row r="170">
      <c r="B170" s="34" t="s">
        <v>738</v>
      </c>
      <c r="C170" s="35" t="s">
        <v>38</v>
      </c>
      <c r="D170" s="34" t="s">
        <v>851</v>
      </c>
      <c r="E170" s="11" t="str">
        <f>HYPERLINK("https://youtu.be/5NyXBhOEGkU?t=5482","channel 2")</f>
        <v>channel 2</v>
      </c>
    </row>
    <row r="171">
      <c r="B171" s="32" t="s">
        <v>3295</v>
      </c>
      <c r="C171" s="35" t="s">
        <v>58</v>
      </c>
      <c r="D171" s="34" t="s">
        <v>3296</v>
      </c>
      <c r="E171" s="11" t="str">
        <f>HYPERLINK("https://youtu.be/v07y05TxXlg?t=6505","channel 1")</f>
        <v>channel 1</v>
      </c>
    </row>
    <row r="172">
      <c r="B172" s="34" t="s">
        <v>713</v>
      </c>
      <c r="C172" s="35" t="s">
        <v>41</v>
      </c>
      <c r="D172" s="34" t="s">
        <v>851</v>
      </c>
      <c r="E172" s="11" t="str">
        <f>HYPERLINK("https://youtu.be/5NyXBhOEGkU?t=6436","channel 2")</f>
        <v>channel 2</v>
      </c>
    </row>
    <row r="173">
      <c r="B173" s="34" t="s">
        <v>738</v>
      </c>
      <c r="C173" s="35" t="s">
        <v>534</v>
      </c>
      <c r="D173" s="34" t="s">
        <v>3296</v>
      </c>
      <c r="E173" s="11" t="str">
        <f>HYPERLINK("https://youtu.be/v07y05TxXlg?t=7428","channel 1")</f>
        <v>channel 1</v>
      </c>
    </row>
    <row r="174">
      <c r="B174" s="34" t="s">
        <v>713</v>
      </c>
      <c r="C174" s="35" t="s">
        <v>19</v>
      </c>
      <c r="D174" s="32" t="s">
        <v>3295</v>
      </c>
      <c r="E174" s="11" t="str">
        <f>HYPERLINK("https://youtu.be/5NyXBhOEGkU?t=7345","channel 2")</f>
        <v>channel 2</v>
      </c>
    </row>
    <row r="175">
      <c r="B175" s="34" t="s">
        <v>851</v>
      </c>
      <c r="C175" s="35" t="s">
        <v>389</v>
      </c>
      <c r="D175" s="34" t="s">
        <v>3296</v>
      </c>
      <c r="E175" s="11" t="str">
        <f>HYPERLINK("https://youtu.be/v07y05TxXlg?t=8307","channel 1")</f>
        <v>channel 1</v>
      </c>
    </row>
    <row r="176">
      <c r="B176" s="34" t="s">
        <v>738</v>
      </c>
      <c r="C176" s="35" t="s">
        <v>533</v>
      </c>
      <c r="D176" s="32" t="s">
        <v>3295</v>
      </c>
      <c r="E176" s="11" t="str">
        <f>HYPERLINK("https://youtu.be/5NyXBhOEGkU?t=8207","channel 2")</f>
        <v>channel 2</v>
      </c>
    </row>
    <row r="177">
      <c r="B177" s="72" t="s">
        <v>2614</v>
      </c>
      <c r="C177" s="2"/>
      <c r="D177" s="3"/>
      <c r="E177" s="2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34" t="s">
        <v>3297</v>
      </c>
      <c r="C179" s="35" t="s">
        <v>260</v>
      </c>
      <c r="D179" s="34" t="s">
        <v>2839</v>
      </c>
      <c r="E179" s="11" t="str">
        <f>HYPERLINK("https://youtu.be/PzQFO9YRNPg","channel 3")</f>
        <v>channel 3</v>
      </c>
    </row>
    <row r="180">
      <c r="B180" s="34" t="s">
        <v>214</v>
      </c>
      <c r="C180" s="57" t="s">
        <v>449</v>
      </c>
      <c r="D180" s="32" t="s">
        <v>996</v>
      </c>
      <c r="E180" s="43" t="s">
        <v>37</v>
      </c>
    </row>
    <row r="181">
      <c r="B181" s="34" t="s">
        <v>2386</v>
      </c>
      <c r="C181" s="35" t="s">
        <v>201</v>
      </c>
      <c r="D181" s="34" t="s">
        <v>3297</v>
      </c>
      <c r="E181" s="11" t="str">
        <f>HYPERLINK("https://youtu.be/PzQFO9YRNPg?t=437","channel 3")</f>
        <v>channel 3</v>
      </c>
    </row>
    <row r="182">
      <c r="B182" s="34" t="s">
        <v>214</v>
      </c>
      <c r="C182" s="35" t="s">
        <v>1001</v>
      </c>
      <c r="D182" s="34" t="s">
        <v>2839</v>
      </c>
      <c r="E182" s="11" t="str">
        <f>HYPERLINK("https://youtu.be/nR21yCwHSTc?t=65","channel 4")</f>
        <v>channel 4</v>
      </c>
    </row>
    <row r="183">
      <c r="B183" s="34" t="s">
        <v>2386</v>
      </c>
      <c r="C183" s="57" t="s">
        <v>449</v>
      </c>
      <c r="D183" s="32" t="s">
        <v>996</v>
      </c>
      <c r="E183" s="102" t="s">
        <v>33</v>
      </c>
    </row>
    <row r="184">
      <c r="B184" s="34" t="s">
        <v>214</v>
      </c>
      <c r="C184" s="35" t="s">
        <v>48</v>
      </c>
      <c r="D184" s="34" t="s">
        <v>3297</v>
      </c>
      <c r="E184" s="11" t="str">
        <f>HYPERLINK("https://youtu.be/nR21yCwHSTc?t=1004","channel 4")</f>
        <v>channel 4</v>
      </c>
    </row>
    <row r="185">
      <c r="B185" s="34" t="s">
        <v>2386</v>
      </c>
      <c r="C185" s="35" t="s">
        <v>217</v>
      </c>
      <c r="D185" s="34" t="s">
        <v>2839</v>
      </c>
      <c r="E185" s="11" t="str">
        <f>HYPERLINK("https://youtu.be/PzQFO9YRNPg?t=2405","channel 3")</f>
        <v>channel 3</v>
      </c>
    </row>
    <row r="186">
      <c r="B186" s="32" t="s">
        <v>996</v>
      </c>
      <c r="C186" s="57" t="s">
        <v>449</v>
      </c>
      <c r="D186" s="34" t="s">
        <v>3297</v>
      </c>
      <c r="E186" s="102" t="s">
        <v>37</v>
      </c>
    </row>
    <row r="187">
      <c r="B187" s="34" t="s">
        <v>2386</v>
      </c>
      <c r="C187" s="35" t="s">
        <v>404</v>
      </c>
      <c r="D187" s="34" t="s">
        <v>214</v>
      </c>
      <c r="E187" s="11" t="str">
        <f>HYPERLINK("https://youtu.be/PzQFO9YRNPg?t=3348","channel 3")</f>
        <v>channel 3</v>
      </c>
    </row>
    <row r="188">
      <c r="B188" s="32" t="s">
        <v>996</v>
      </c>
      <c r="C188" s="57" t="s">
        <v>449</v>
      </c>
      <c r="D188" s="34" t="s">
        <v>2839</v>
      </c>
      <c r="E188" s="102" t="s">
        <v>37</v>
      </c>
    </row>
    <row r="189">
      <c r="B189" s="34" t="s">
        <v>2839</v>
      </c>
      <c r="C189" s="35" t="s">
        <v>273</v>
      </c>
      <c r="D189" s="34" t="s">
        <v>3297</v>
      </c>
      <c r="E189" s="11" t="str">
        <f>HYPERLINK("https://youtu.be/PzQFO9YRNPg?t=4299","channel 3")</f>
        <v>channel 3</v>
      </c>
    </row>
    <row r="190">
      <c r="B190" s="32" t="s">
        <v>996</v>
      </c>
      <c r="C190" s="57" t="s">
        <v>449</v>
      </c>
      <c r="D190" s="34" t="s">
        <v>214</v>
      </c>
      <c r="E190" s="102" t="s">
        <v>37</v>
      </c>
    </row>
    <row r="191">
      <c r="B191" s="34" t="s">
        <v>3297</v>
      </c>
      <c r="C191" s="35" t="s">
        <v>3298</v>
      </c>
      <c r="D191" s="34" t="s">
        <v>2386</v>
      </c>
      <c r="E191" s="11" t="str">
        <f>HYPERLINK("https://youtu.be/PzQFO9YRNPg?t=5263","channel 3")</f>
        <v>channel 3</v>
      </c>
    </row>
    <row r="192">
      <c r="B192" s="34" t="s">
        <v>2839</v>
      </c>
      <c r="C192" s="35" t="s">
        <v>27</v>
      </c>
      <c r="D192" s="34" t="s">
        <v>214</v>
      </c>
      <c r="E192" s="11" t="str">
        <f>HYPERLINK("https://youtu.be/nR21yCwHSTc?t=4921","channel 4")</f>
        <v>channel 4</v>
      </c>
    </row>
    <row r="193">
      <c r="B193" s="32" t="s">
        <v>996</v>
      </c>
      <c r="C193" s="35" t="s">
        <v>497</v>
      </c>
      <c r="D193" s="34" t="s">
        <v>2386</v>
      </c>
      <c r="E193" s="11" t="str">
        <f>HYPERLINK("https://youtu.be/PzQFO9YRNPg?t=6169","channel 3")</f>
        <v>channel 3</v>
      </c>
    </row>
    <row r="194">
      <c r="B194" s="34" t="s">
        <v>3297</v>
      </c>
      <c r="C194" s="35" t="s">
        <v>31</v>
      </c>
      <c r="D194" s="34" t="s">
        <v>214</v>
      </c>
      <c r="E194" s="11" t="str">
        <f>HYPERLINK("https://youtu.be/nR21yCwHSTc?t=5839","channel 4")</f>
        <v>channel 4</v>
      </c>
    </row>
    <row r="195">
      <c r="B195" s="34" t="s">
        <v>2839</v>
      </c>
      <c r="C195" s="35" t="s">
        <v>722</v>
      </c>
      <c r="D195" s="34" t="s">
        <v>2386</v>
      </c>
      <c r="E195" s="11" t="str">
        <f>HYPERLINK("https://youtu.be/PzQFO9YRNPg?t=7091","channel 3")</f>
        <v>channel 3</v>
      </c>
    </row>
    <row r="196">
      <c r="B196" s="34" t="s">
        <v>3297</v>
      </c>
      <c r="C196" s="35" t="s">
        <v>282</v>
      </c>
      <c r="D196" s="32" t="s">
        <v>996</v>
      </c>
      <c r="E196" s="11" t="str">
        <f>HYPERLINK("https://youtu.be/nR21yCwHSTc?t=6803","channel 4")</f>
        <v>channel 4</v>
      </c>
    </row>
    <row r="197">
      <c r="B197" s="34" t="s">
        <v>214</v>
      </c>
      <c r="C197" s="35" t="s">
        <v>232</v>
      </c>
      <c r="D197" s="34" t="s">
        <v>2386</v>
      </c>
      <c r="E197" s="11" t="str">
        <f>HYPERLINK("https://youtu.be/PzQFO9YRNPg?t=8002","channel 3")</f>
        <v>channel 3</v>
      </c>
    </row>
    <row r="198">
      <c r="B198" s="34" t="s">
        <v>2839</v>
      </c>
      <c r="C198" s="35" t="s">
        <v>196</v>
      </c>
      <c r="D198" s="32" t="s">
        <v>996</v>
      </c>
      <c r="E198" s="11" t="str">
        <f>HYPERLINK("https://youtu.be/nR21yCwHSTc?t=7725","channel 4")</f>
        <v>channel 4</v>
      </c>
    </row>
    <row r="199">
      <c r="B199" s="72" t="s">
        <v>2571</v>
      </c>
      <c r="C199" s="2"/>
      <c r="D199" s="3"/>
      <c r="E199" s="2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34" t="s">
        <v>3299</v>
      </c>
      <c r="C201" s="33" t="s">
        <v>780</v>
      </c>
      <c r="D201" s="34" t="s">
        <v>2793</v>
      </c>
      <c r="E201" s="11" t="str">
        <f>HYPERLINK("https://youtu.be/atpCA3DU1aI","channel 3")</f>
        <v>channel 3</v>
      </c>
    </row>
    <row r="202">
      <c r="B202" s="34" t="s">
        <v>1185</v>
      </c>
      <c r="C202" s="33" t="s">
        <v>201</v>
      </c>
      <c r="D202" s="32" t="s">
        <v>1083</v>
      </c>
      <c r="E202" s="11" t="str">
        <f>HYPERLINK("https://youtu.be/LKPjQAd05NA","channel 4")</f>
        <v>channel 4</v>
      </c>
    </row>
    <row r="203">
      <c r="B203" s="34" t="s">
        <v>1086</v>
      </c>
      <c r="C203" s="33" t="s">
        <v>70</v>
      </c>
      <c r="D203" s="34" t="s">
        <v>3299</v>
      </c>
      <c r="E203" s="11" t="str">
        <f>HYPERLINK("https://youtu.be/atpCA3DU1aI?t=956","channel 3")</f>
        <v>channel 3</v>
      </c>
    </row>
    <row r="204">
      <c r="B204" s="34" t="s">
        <v>1185</v>
      </c>
      <c r="C204" s="33" t="s">
        <v>11</v>
      </c>
      <c r="D204" s="34" t="s">
        <v>2793</v>
      </c>
      <c r="E204" s="11" t="str">
        <f>HYPERLINK("https://youtu.be/LKPjQAd05NA?t=997","channel 4")</f>
        <v>channel 4</v>
      </c>
    </row>
    <row r="205">
      <c r="B205" s="34" t="s">
        <v>1086</v>
      </c>
      <c r="C205" s="33" t="s">
        <v>244</v>
      </c>
      <c r="D205" s="32" t="s">
        <v>1083</v>
      </c>
      <c r="E205" s="11" t="str">
        <f>HYPERLINK("https://youtu.be/atpCA3DU1aI?t=1890","channel 3")</f>
        <v>channel 3</v>
      </c>
    </row>
    <row r="206">
      <c r="B206" s="34" t="s">
        <v>1185</v>
      </c>
      <c r="C206" s="33" t="s">
        <v>270</v>
      </c>
      <c r="D206" s="34" t="s">
        <v>3299</v>
      </c>
      <c r="E206" s="11" t="str">
        <f>HYPERLINK("https://youtu.be/LKPjQAd05NA?t=1926","channel 4")</f>
        <v>channel 4</v>
      </c>
    </row>
    <row r="207">
      <c r="B207" s="34" t="s">
        <v>1086</v>
      </c>
      <c r="C207" s="33" t="s">
        <v>369</v>
      </c>
      <c r="D207" s="34" t="s">
        <v>2793</v>
      </c>
      <c r="E207" s="11" t="str">
        <f>HYPERLINK("https://youtu.be/atpCA3DU1aI?t=2870","channel 3")</f>
        <v>channel 3</v>
      </c>
    </row>
    <row r="208">
      <c r="B208" s="32" t="s">
        <v>1083</v>
      </c>
      <c r="C208" s="33" t="s">
        <v>48</v>
      </c>
      <c r="D208" s="34" t="s">
        <v>3299</v>
      </c>
      <c r="E208" s="11" t="str">
        <f>HYPERLINK("https://youtu.be/LKPjQAd05NA?t=2840","channel 4")</f>
        <v>channel 4</v>
      </c>
    </row>
    <row r="209">
      <c r="B209" s="34" t="s">
        <v>1086</v>
      </c>
      <c r="C209" s="33" t="s">
        <v>533</v>
      </c>
      <c r="D209" s="34" t="s">
        <v>1185</v>
      </c>
      <c r="E209" s="11" t="str">
        <f>HYPERLINK("https://youtu.be/atpCA3DU1aI?t=3767","channel 3")</f>
        <v>channel 3</v>
      </c>
    </row>
    <row r="210">
      <c r="B210" s="32" t="s">
        <v>1083</v>
      </c>
      <c r="C210" s="33" t="s">
        <v>260</v>
      </c>
      <c r="D210" s="34" t="s">
        <v>2793</v>
      </c>
      <c r="E210" s="11" t="str">
        <f>HYPERLINK("https://youtu.be/LKPjQAd05NA?t=3808","channel 4")</f>
        <v>channel 4</v>
      </c>
    </row>
    <row r="211">
      <c r="B211" s="34" t="s">
        <v>2793</v>
      </c>
      <c r="C211" s="33" t="s">
        <v>544</v>
      </c>
      <c r="D211" s="34" t="s">
        <v>3299</v>
      </c>
      <c r="E211" s="11" t="str">
        <f>HYPERLINK("https://youtu.be/atpCA3DU1aI?t=4708","channel 3")</f>
        <v>channel 3</v>
      </c>
    </row>
    <row r="212">
      <c r="B212" s="32" t="s">
        <v>1083</v>
      </c>
      <c r="C212" s="33" t="s">
        <v>779</v>
      </c>
      <c r="D212" s="34" t="s">
        <v>1185</v>
      </c>
      <c r="E212" s="11" t="str">
        <f>HYPERLINK("https://youtu.be/LKPjQAd05NA?t=4728","channel 4")</f>
        <v>channel 4</v>
      </c>
    </row>
    <row r="213">
      <c r="B213" s="34" t="s">
        <v>3299</v>
      </c>
      <c r="C213" s="35" t="s">
        <v>194</v>
      </c>
      <c r="D213" s="34" t="s">
        <v>1086</v>
      </c>
      <c r="E213" s="11" t="str">
        <f>HYPERLINK("https://youtu.be/atpCA3DU1aI?t=5633","channel 3")</f>
        <v>channel 3</v>
      </c>
    </row>
    <row r="214">
      <c r="B214" s="34" t="s">
        <v>2793</v>
      </c>
      <c r="C214" s="35" t="s">
        <v>88</v>
      </c>
      <c r="D214" s="34" t="s">
        <v>1185</v>
      </c>
      <c r="E214" s="11" t="str">
        <f>HYPERLINK("https://youtu.be/LKPjQAd05NA?t=5681","channel 4")</f>
        <v>channel 4</v>
      </c>
    </row>
    <row r="215">
      <c r="B215" s="32" t="s">
        <v>1083</v>
      </c>
      <c r="C215" s="35" t="s">
        <v>331</v>
      </c>
      <c r="D215" s="34" t="s">
        <v>1086</v>
      </c>
      <c r="E215" s="11" t="str">
        <f>HYPERLINK("https://youtu.be/atpCA3DU1aI?t=6524","channel 3")</f>
        <v>channel 3</v>
      </c>
    </row>
    <row r="216">
      <c r="B216" s="34" t="s">
        <v>3299</v>
      </c>
      <c r="C216" s="35" t="s">
        <v>76</v>
      </c>
      <c r="D216" s="34" t="s">
        <v>1185</v>
      </c>
      <c r="E216" s="11" t="str">
        <f>HYPERLINK("https://youtu.be/LKPjQAd05NA?t=6605","channel 4")</f>
        <v>channel 4</v>
      </c>
    </row>
    <row r="217">
      <c r="B217" s="34" t="s">
        <v>2793</v>
      </c>
      <c r="C217" s="35" t="s">
        <v>302</v>
      </c>
      <c r="D217" s="34" t="s">
        <v>1086</v>
      </c>
      <c r="E217" s="11" t="str">
        <f>HYPERLINK("https://youtu.be/atpCA3DU1aI?t=7455","channel 3")</f>
        <v>channel 3</v>
      </c>
    </row>
    <row r="218">
      <c r="B218" s="34" t="s">
        <v>3299</v>
      </c>
      <c r="C218" s="35" t="s">
        <v>412</v>
      </c>
      <c r="D218" s="32" t="s">
        <v>1083</v>
      </c>
      <c r="E218" s="11" t="str">
        <f>HYPERLINK("https://youtu.be/LKPjQAd05NA?t=7539","channel 4")</f>
        <v>channel 4</v>
      </c>
    </row>
    <row r="219">
      <c r="B219" s="34" t="s">
        <v>1185</v>
      </c>
      <c r="C219" s="35" t="s">
        <v>16</v>
      </c>
      <c r="D219" s="34" t="s">
        <v>1086</v>
      </c>
      <c r="E219" s="11" t="str">
        <f>HYPERLINK("https://youtu.be/atpCA3DU1aI?t=8352","channel 3")</f>
        <v>channel 3</v>
      </c>
    </row>
    <row r="220">
      <c r="B220" s="34" t="s">
        <v>2793</v>
      </c>
      <c r="C220" s="35" t="s">
        <v>3300</v>
      </c>
      <c r="D220" s="32" t="s">
        <v>1083</v>
      </c>
      <c r="E220" s="11" t="str">
        <f>HYPERLINK("https://youtu.be/LKPjQAd05NA?t=8444","channel 4")</f>
        <v>channel 4</v>
      </c>
    </row>
    <row r="221">
      <c r="B221" s="72" t="s">
        <v>2394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34" t="s">
        <v>1573</v>
      </c>
      <c r="C223" s="35" t="s">
        <v>357</v>
      </c>
      <c r="D223" s="34" t="s">
        <v>2328</v>
      </c>
      <c r="E223" s="11" t="str">
        <f>HYPERLINK("https://youtu.be/53sm3HRCR9M","channel 1")</f>
        <v>channel 1</v>
      </c>
    </row>
    <row r="224">
      <c r="B224" s="34" t="s">
        <v>3301</v>
      </c>
      <c r="C224" s="35" t="s">
        <v>87</v>
      </c>
      <c r="D224" s="32" t="s">
        <v>2293</v>
      </c>
      <c r="E224" s="11" t="str">
        <f>HYPERLINK("https://youtu.be/A-B9Lg2q4KE","channel 2")</f>
        <v>channel 2</v>
      </c>
    </row>
    <row r="225">
      <c r="B225" s="34" t="s">
        <v>1791</v>
      </c>
      <c r="C225" s="35" t="s">
        <v>28</v>
      </c>
      <c r="D225" s="34" t="s">
        <v>1573</v>
      </c>
      <c r="E225" s="11" t="str">
        <f>HYPERLINK("https://youtu.be/53sm3HRCR9M?t=1010","channel 1")</f>
        <v>channel 1</v>
      </c>
    </row>
    <row r="226">
      <c r="B226" s="34" t="s">
        <v>3301</v>
      </c>
      <c r="C226" s="35" t="s">
        <v>66</v>
      </c>
      <c r="D226" s="34" t="s">
        <v>2328</v>
      </c>
      <c r="E226" s="11" t="str">
        <f>HYPERLINK("https://youtu.be/A-B9Lg2q4KE?t=1099","channel 2")</f>
        <v>channel 2</v>
      </c>
    </row>
    <row r="227">
      <c r="B227" s="34" t="s">
        <v>1791</v>
      </c>
      <c r="C227" s="35" t="s">
        <v>197</v>
      </c>
      <c r="D227" s="32" t="s">
        <v>2293</v>
      </c>
      <c r="E227" s="11" t="str">
        <f>HYPERLINK("https://youtu.be/53sm3HRCR9M?t=1934","channel 1")</f>
        <v>channel 1</v>
      </c>
    </row>
    <row r="228">
      <c r="B228" s="34" t="s">
        <v>3301</v>
      </c>
      <c r="C228" s="35" t="s">
        <v>195</v>
      </c>
      <c r="D228" s="34" t="s">
        <v>1573</v>
      </c>
      <c r="E228" s="11" t="str">
        <f>HYPERLINK("https://youtu.be/A-B9Lg2q4KE?t=2053","channel 2")</f>
        <v>channel 2</v>
      </c>
    </row>
    <row r="229">
      <c r="B229" s="34" t="s">
        <v>1791</v>
      </c>
      <c r="C229" s="35" t="s">
        <v>55</v>
      </c>
      <c r="D229" s="34" t="s">
        <v>2328</v>
      </c>
      <c r="E229" s="11" t="str">
        <f>HYPERLINK("https://youtu.be/53sm3HRCR9M?t=2939","channel 1")</f>
        <v>channel 1</v>
      </c>
    </row>
    <row r="230">
      <c r="B230" s="32" t="s">
        <v>2293</v>
      </c>
      <c r="C230" s="35" t="s">
        <v>71</v>
      </c>
      <c r="D230" s="34" t="s">
        <v>1573</v>
      </c>
      <c r="E230" s="11" t="str">
        <f>HYPERLINK("https://youtu.be/A-B9Lg2q4KE?t=2959","channel 2")</f>
        <v>channel 2</v>
      </c>
    </row>
    <row r="231">
      <c r="B231" s="34" t="s">
        <v>1791</v>
      </c>
      <c r="C231" s="35" t="s">
        <v>545</v>
      </c>
      <c r="D231" s="34" t="s">
        <v>3301</v>
      </c>
      <c r="E231" s="11" t="str">
        <f>HYPERLINK("https://youtu.be/53sm3HRCR9M?t=3839","channel 1")</f>
        <v>channel 1</v>
      </c>
    </row>
    <row r="232">
      <c r="B232" s="32" t="s">
        <v>2293</v>
      </c>
      <c r="C232" s="35" t="s">
        <v>400</v>
      </c>
      <c r="D232" s="34" t="s">
        <v>2328</v>
      </c>
      <c r="E232" s="11" t="str">
        <f>HYPERLINK("https://youtu.be/A-B9Lg2q4KE?t=3956","channel 2")</f>
        <v>channel 2</v>
      </c>
    </row>
    <row r="233">
      <c r="B233" s="34" t="s">
        <v>2328</v>
      </c>
      <c r="C233" s="35" t="s">
        <v>614</v>
      </c>
      <c r="D233" s="34" t="s">
        <v>1573</v>
      </c>
      <c r="E233" s="11" t="str">
        <f>HYPERLINK("https://youtu.be/53sm3HRCR9M?t=4824","channel 1")</f>
        <v>channel 1</v>
      </c>
    </row>
    <row r="234">
      <c r="B234" s="32" t="s">
        <v>2293</v>
      </c>
      <c r="C234" s="35" t="s">
        <v>802</v>
      </c>
      <c r="D234" s="34" t="s">
        <v>3301</v>
      </c>
      <c r="E234" s="11" t="str">
        <f>HYPERLINK("https://youtu.be/A-B9Lg2q4KE?t=4950","channel 2")</f>
        <v>channel 2</v>
      </c>
    </row>
    <row r="235">
      <c r="B235" s="34" t="s">
        <v>1573</v>
      </c>
      <c r="C235" s="35" t="s">
        <v>70</v>
      </c>
      <c r="D235" s="34" t="s">
        <v>1791</v>
      </c>
      <c r="E235" s="11" t="str">
        <f>HYPERLINK("https://youtu.be/53sm3HRCR9M?t=5749","channel 1")</f>
        <v>channel 1</v>
      </c>
    </row>
    <row r="236">
      <c r="B236" s="34" t="s">
        <v>2328</v>
      </c>
      <c r="C236" s="35" t="s">
        <v>17</v>
      </c>
      <c r="D236" s="34" t="s">
        <v>3301</v>
      </c>
      <c r="E236" s="11" t="str">
        <f>HYPERLINK("https://youtu.be/A-B9Lg2q4KE?t=5902","channel 2")</f>
        <v>channel 2</v>
      </c>
    </row>
    <row r="237">
      <c r="B237" s="32" t="s">
        <v>2293</v>
      </c>
      <c r="C237" s="35" t="s">
        <v>260</v>
      </c>
      <c r="D237" s="34" t="s">
        <v>1791</v>
      </c>
      <c r="E237" s="11" t="str">
        <f>HYPERLINK("https://youtu.be/53sm3HRCR9M?t=6686","channel 1")</f>
        <v>channel 1</v>
      </c>
    </row>
    <row r="238">
      <c r="B238" s="34" t="s">
        <v>1573</v>
      </c>
      <c r="C238" s="35" t="s">
        <v>239</v>
      </c>
      <c r="D238" s="34" t="s">
        <v>3301</v>
      </c>
      <c r="E238" s="11" t="str">
        <f>HYPERLINK("https://youtu.be/A-B9Lg2q4KE?t=6825","channel 2")</f>
        <v>channel 2</v>
      </c>
    </row>
    <row r="239">
      <c r="B239" s="34" t="s">
        <v>2328</v>
      </c>
      <c r="C239" s="35" t="s">
        <v>194</v>
      </c>
      <c r="D239" s="34" t="s">
        <v>1791</v>
      </c>
      <c r="E239" s="11" t="str">
        <f>HYPERLINK("https://youtu.be/53sm3HRCR9M?t=7612","channel 1")</f>
        <v>channel 1</v>
      </c>
    </row>
    <row r="240">
      <c r="B240" s="34" t="s">
        <v>1573</v>
      </c>
      <c r="C240" s="35" t="s">
        <v>66</v>
      </c>
      <c r="D240" s="32" t="s">
        <v>2293</v>
      </c>
      <c r="E240" s="11" t="str">
        <f>HYPERLINK("https://youtu.be/A-B9Lg2q4KE?t=7750","channel 2")</f>
        <v>channel 2</v>
      </c>
    </row>
    <row r="241">
      <c r="B241" s="34" t="s">
        <v>3301</v>
      </c>
      <c r="C241" s="35" t="s">
        <v>412</v>
      </c>
      <c r="D241" s="34" t="s">
        <v>1791</v>
      </c>
      <c r="E241" s="11" t="str">
        <f>HYPERLINK("https://youtu.be/53sm3HRCR9M?t=8548","channel 1")</f>
        <v>channel 1</v>
      </c>
    </row>
    <row r="242">
      <c r="B242" s="34" t="s">
        <v>2328</v>
      </c>
      <c r="C242" s="35" t="s">
        <v>14</v>
      </c>
      <c r="D242" s="32" t="s">
        <v>2293</v>
      </c>
      <c r="E242" s="11" t="str">
        <f>HYPERLINK("https://youtu.be/A-B9Lg2q4KE?t=8681","channel 2")</f>
        <v>channel 2</v>
      </c>
    </row>
    <row r="243">
      <c r="B243" s="72" t="s">
        <v>2272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34" t="s">
        <v>3302</v>
      </c>
      <c r="C245" s="35" t="s">
        <v>215</v>
      </c>
      <c r="D245" s="34" t="s">
        <v>2050</v>
      </c>
      <c r="E245" s="11" t="str">
        <f>HYPERLINK("https://youtu.be/X6ntIHj4yDE","channel 1")</f>
        <v>channel 1</v>
      </c>
    </row>
    <row r="246">
      <c r="B246" s="34" t="s">
        <v>3303</v>
      </c>
      <c r="C246" s="35" t="s">
        <v>66</v>
      </c>
      <c r="D246" s="32" t="s">
        <v>2411</v>
      </c>
      <c r="E246" s="11" t="str">
        <f>HYPERLINK("https://youtu.be/1NxjU9c8-oQ","channel 2")</f>
        <v>channel 2</v>
      </c>
    </row>
    <row r="247">
      <c r="B247" s="34" t="s">
        <v>3304</v>
      </c>
      <c r="C247" s="35" t="s">
        <v>187</v>
      </c>
      <c r="D247" s="34" t="s">
        <v>3302</v>
      </c>
      <c r="E247" s="11" t="str">
        <f>HYPERLINK("https://youtu.be/X6ntIHj4yDE?t=988","channel 1")</f>
        <v>channel 1</v>
      </c>
    </row>
    <row r="248">
      <c r="B248" s="34" t="s">
        <v>3303</v>
      </c>
      <c r="C248" s="35" t="s">
        <v>239</v>
      </c>
      <c r="D248" s="34" t="s">
        <v>2050</v>
      </c>
      <c r="E248" s="11" t="str">
        <f>HYPERLINK("https://youtu.be/1NxjU9c8-oQ?t=1069","channel 2")</f>
        <v>channel 2</v>
      </c>
    </row>
    <row r="249">
      <c r="B249" s="34" t="s">
        <v>3304</v>
      </c>
      <c r="C249" s="35" t="s">
        <v>22</v>
      </c>
      <c r="D249" s="32" t="s">
        <v>2411</v>
      </c>
      <c r="E249" s="11" t="str">
        <f>HYPERLINK("https://youtu.be/X6ntIHj4yDE?t=1948","channel 1")</f>
        <v>channel 1</v>
      </c>
    </row>
    <row r="250">
      <c r="B250" s="34" t="s">
        <v>3303</v>
      </c>
      <c r="C250" s="35" t="s">
        <v>20</v>
      </c>
      <c r="D250" s="34" t="s">
        <v>3302</v>
      </c>
      <c r="E250" s="11" t="str">
        <f>HYPERLINK("https://youtu.be/1NxjU9c8-oQ?t=2022","channel 2")</f>
        <v>channel 2</v>
      </c>
    </row>
    <row r="251">
      <c r="B251" s="34" t="s">
        <v>3304</v>
      </c>
      <c r="C251" s="35" t="s">
        <v>472</v>
      </c>
      <c r="D251" s="34" t="s">
        <v>2050</v>
      </c>
      <c r="E251" s="11" t="str">
        <f>HYPERLINK("https://youtu.be/X6ntIHj4yDE?t=2894","channel 1")</f>
        <v>channel 1</v>
      </c>
    </row>
    <row r="252">
      <c r="B252" s="32" t="s">
        <v>2411</v>
      </c>
      <c r="C252" s="35" t="s">
        <v>19</v>
      </c>
      <c r="D252" s="34" t="s">
        <v>3302</v>
      </c>
      <c r="E252" s="11" t="str">
        <f>HYPERLINK("https://youtu.be/1NxjU9c8-oQ?t=2994","channel 2")</f>
        <v>channel 2</v>
      </c>
    </row>
    <row r="253">
      <c r="B253" s="34" t="s">
        <v>3304</v>
      </c>
      <c r="C253" s="35" t="s">
        <v>201</v>
      </c>
      <c r="D253" s="34" t="s">
        <v>3303</v>
      </c>
      <c r="E253" s="11" t="str">
        <f>HYPERLINK("https://youtu.be/X6ntIHj4yDE?t=3884","channel 1")</f>
        <v>channel 1</v>
      </c>
    </row>
    <row r="254">
      <c r="B254" s="32" t="s">
        <v>2411</v>
      </c>
      <c r="C254" s="35" t="s">
        <v>570</v>
      </c>
      <c r="D254" s="34" t="s">
        <v>2050</v>
      </c>
      <c r="E254" s="11" t="str">
        <f>HYPERLINK("https://youtu.be/1NxjU9c8-oQ?t=3978","channel 2")</f>
        <v>channel 2</v>
      </c>
    </row>
    <row r="255">
      <c r="B255" s="34" t="s">
        <v>2050</v>
      </c>
      <c r="C255" s="35" t="s">
        <v>984</v>
      </c>
      <c r="D255" s="34" t="s">
        <v>3302</v>
      </c>
      <c r="E255" s="11" t="str">
        <f>HYPERLINK("https://youtu.be/X6ntIHj4yDE?t=4843","channel 1")</f>
        <v>channel 1</v>
      </c>
    </row>
    <row r="256">
      <c r="B256" s="32" t="s">
        <v>2411</v>
      </c>
      <c r="C256" s="35" t="s">
        <v>1602</v>
      </c>
      <c r="D256" s="34" t="s">
        <v>3303</v>
      </c>
      <c r="E256" s="11" t="str">
        <f>HYPERLINK("https://youtu.be/1NxjU9c8-oQ?t=4963","channel 2")</f>
        <v>channel 2</v>
      </c>
    </row>
    <row r="257">
      <c r="B257" s="34" t="s">
        <v>3302</v>
      </c>
      <c r="C257" s="35" t="s">
        <v>218</v>
      </c>
      <c r="D257" s="34" t="s">
        <v>3304</v>
      </c>
      <c r="E257" s="11" t="str">
        <f>HYPERLINK("https://youtu.be/X6ntIHj4yDE?t=5883","channel 1")</f>
        <v>channel 1</v>
      </c>
    </row>
    <row r="258">
      <c r="B258" s="34" t="s">
        <v>2050</v>
      </c>
      <c r="C258" s="35" t="s">
        <v>239</v>
      </c>
      <c r="D258" s="34" t="s">
        <v>3303</v>
      </c>
      <c r="E258" s="11" t="str">
        <f>HYPERLINK("https://youtu.be/1NxjU9c8-oQ?t=5939","channel 2")</f>
        <v>channel 2</v>
      </c>
    </row>
    <row r="259">
      <c r="B259" s="32" t="s">
        <v>2411</v>
      </c>
      <c r="C259" s="35" t="s">
        <v>68</v>
      </c>
      <c r="D259" s="34" t="s">
        <v>3304</v>
      </c>
      <c r="E259" s="11" t="str">
        <f>HYPERLINK("https://youtu.be/X6ntIHj4yDE?t=6765","channel 1")</f>
        <v>channel 1</v>
      </c>
    </row>
    <row r="260">
      <c r="B260" s="34" t="s">
        <v>3302</v>
      </c>
      <c r="C260" s="35" t="s">
        <v>25</v>
      </c>
      <c r="D260" s="34" t="s">
        <v>3303</v>
      </c>
      <c r="E260" s="11" t="str">
        <f>HYPERLINK("https://youtu.be/1NxjU9c8-oQ?t=6886","channel 2")</f>
        <v>channel 2</v>
      </c>
    </row>
    <row r="261">
      <c r="B261" s="34" t="s">
        <v>2050</v>
      </c>
      <c r="C261" s="35" t="s">
        <v>658</v>
      </c>
      <c r="D261" s="34" t="s">
        <v>3304</v>
      </c>
      <c r="E261" s="11" t="str">
        <f>HYPERLINK("https://youtu.be/X6ntIHj4yDE?t=7719","channel 1")</f>
        <v>channel 1</v>
      </c>
    </row>
    <row r="262">
      <c r="B262" s="34" t="s">
        <v>3302</v>
      </c>
      <c r="C262" s="35" t="s">
        <v>11</v>
      </c>
      <c r="D262" s="32" t="s">
        <v>2411</v>
      </c>
      <c r="E262" s="11" t="str">
        <f>HYPERLINK("https://youtu.be/1NxjU9c8-oQ?t=7783","channel 2")</f>
        <v>channel 2</v>
      </c>
    </row>
    <row r="263">
      <c r="B263" s="34" t="s">
        <v>3303</v>
      </c>
      <c r="C263" s="35" t="s">
        <v>16</v>
      </c>
      <c r="D263" s="34" t="s">
        <v>3304</v>
      </c>
      <c r="E263" s="11" t="str">
        <f>HYPERLINK("https://youtu.be/X6ntIHj4yDE?t=8689","channel 1")</f>
        <v>channel 1</v>
      </c>
    </row>
    <row r="264">
      <c r="B264" s="34" t="s">
        <v>2050</v>
      </c>
      <c r="C264" s="35" t="s">
        <v>69</v>
      </c>
      <c r="D264" s="32" t="s">
        <v>2411</v>
      </c>
      <c r="E264" s="11" t="str">
        <f>HYPERLINK("https://youtu.be/1NxjU9c8-oQ?t=8672","channel 2")</f>
        <v>channel 2</v>
      </c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/>
      <c r="B1" s="72" t="s">
        <v>2212</v>
      </c>
      <c r="C1" s="2"/>
      <c r="D1" s="3"/>
      <c r="E1" s="84"/>
    </row>
    <row r="2">
      <c r="A2" s="66"/>
      <c r="B2" s="85" t="s">
        <v>2</v>
      </c>
      <c r="C2" s="86" t="s">
        <v>3</v>
      </c>
      <c r="D2" s="86" t="s">
        <v>4</v>
      </c>
      <c r="E2" s="86" t="s">
        <v>5</v>
      </c>
    </row>
    <row r="3">
      <c r="A3" s="66"/>
      <c r="B3" s="34" t="s">
        <v>1999</v>
      </c>
      <c r="C3" s="52" t="s">
        <v>190</v>
      </c>
      <c r="D3" s="34" t="s">
        <v>3305</v>
      </c>
      <c r="E3" s="97" t="str">
        <f>HYPERLINK("https://youtu.be/v4c33SCgIfg","channel 1")</f>
        <v>channel 1</v>
      </c>
    </row>
    <row r="4">
      <c r="A4" s="66"/>
      <c r="B4" s="34" t="s">
        <v>1875</v>
      </c>
      <c r="C4" s="52" t="s">
        <v>587</v>
      </c>
      <c r="D4" s="32" t="s">
        <v>3306</v>
      </c>
      <c r="E4" s="97" t="str">
        <f>HYPERLINK("https://youtu.be/6NoYZnk-6ik","channel 2")</f>
        <v>channel 2</v>
      </c>
    </row>
    <row r="5">
      <c r="A5" s="66"/>
      <c r="B5" s="34" t="s">
        <v>3307</v>
      </c>
      <c r="C5" s="52" t="s">
        <v>22</v>
      </c>
      <c r="D5" s="34" t="s">
        <v>1999</v>
      </c>
      <c r="E5" s="97" t="str">
        <f>HYPERLINK("https://youtu.be/v4c33SCgIfg?t=1003","channel 1")</f>
        <v>channel 1</v>
      </c>
    </row>
    <row r="6">
      <c r="A6" s="66"/>
      <c r="B6" s="34" t="s">
        <v>1875</v>
      </c>
      <c r="C6" s="52" t="s">
        <v>1291</v>
      </c>
      <c r="D6" s="34" t="s">
        <v>3305</v>
      </c>
      <c r="E6" s="97" t="str">
        <f>HYPERLINK("https://youtu.be/6NoYZnk-6ik?t=1089","channel 2")</f>
        <v>channel 2</v>
      </c>
    </row>
    <row r="7">
      <c r="A7" s="66"/>
      <c r="B7" s="34" t="s">
        <v>3307</v>
      </c>
      <c r="C7" s="52" t="s">
        <v>658</v>
      </c>
      <c r="D7" s="32" t="s">
        <v>3306</v>
      </c>
      <c r="E7" s="97" t="str">
        <f>HYPERLINK("https://youtu.be/v4c33SCgIfg?t=1920","channel 1")</f>
        <v>channel 1</v>
      </c>
    </row>
    <row r="8">
      <c r="A8" s="66"/>
      <c r="B8" s="34" t="s">
        <v>1875</v>
      </c>
      <c r="C8" s="52" t="s">
        <v>842</v>
      </c>
      <c r="D8" s="34" t="s">
        <v>1999</v>
      </c>
      <c r="E8" s="97" t="str">
        <f>HYPERLINK("https://youtu.be/6NoYZnk-6ik?t=2016","channel 2")</f>
        <v>channel 2</v>
      </c>
    </row>
    <row r="9">
      <c r="A9" s="66"/>
      <c r="B9" s="34" t="s">
        <v>3307</v>
      </c>
      <c r="C9" s="55" t="s">
        <v>64</v>
      </c>
      <c r="D9" s="34" t="s">
        <v>3305</v>
      </c>
      <c r="E9" s="97" t="str">
        <f>HYPERLINK("https://youtu.be/v4c33SCgIfg?t=2828","channel 1")</f>
        <v>channel 1</v>
      </c>
    </row>
    <row r="10">
      <c r="A10" s="66"/>
      <c r="B10" s="32" t="s">
        <v>3306</v>
      </c>
      <c r="C10" s="55" t="s">
        <v>260</v>
      </c>
      <c r="D10" s="34" t="s">
        <v>1999</v>
      </c>
      <c r="E10" s="97" t="str">
        <f>HYPERLINK("https://youtu.be/6NoYZnk-6ik?t=2922","channel 2")</f>
        <v>channel 2</v>
      </c>
    </row>
    <row r="11">
      <c r="A11" s="66"/>
      <c r="B11" s="34" t="s">
        <v>3307</v>
      </c>
      <c r="C11" s="55" t="s">
        <v>7</v>
      </c>
      <c r="D11" s="34" t="s">
        <v>1875</v>
      </c>
      <c r="E11" s="97" t="str">
        <f>HYPERLINK("https://youtu.be/v4c33SCgIfg?t=3762","channel 1")</f>
        <v>channel 1</v>
      </c>
    </row>
    <row r="12">
      <c r="A12" s="66"/>
      <c r="B12" s="32" t="s">
        <v>3306</v>
      </c>
      <c r="C12" s="55" t="s">
        <v>196</v>
      </c>
      <c r="D12" s="34" t="s">
        <v>3305</v>
      </c>
      <c r="E12" s="97" t="str">
        <f>HYPERLINK("https://youtu.be/6NoYZnk-6ik?t=3854","channel 2")</f>
        <v>channel 2</v>
      </c>
    </row>
    <row r="13">
      <c r="A13" s="66"/>
      <c r="B13" s="34" t="s">
        <v>3305</v>
      </c>
      <c r="C13" s="55" t="s">
        <v>197</v>
      </c>
      <c r="D13" s="34" t="s">
        <v>1999</v>
      </c>
      <c r="E13" s="97" t="str">
        <f>HYPERLINK("https://youtu.be/v4c33SCgIfg?t=4722","channel 1")</f>
        <v>channel 1</v>
      </c>
    </row>
    <row r="14">
      <c r="A14" s="66"/>
      <c r="B14" s="32" t="s">
        <v>3306</v>
      </c>
      <c r="C14" s="55" t="s">
        <v>297</v>
      </c>
      <c r="D14" s="34" t="s">
        <v>1875</v>
      </c>
      <c r="E14" s="97" t="str">
        <f>HYPERLINK("https://youtu.be/6NoYZnk-6ik?t=4853","channel 2")</f>
        <v>channel 2</v>
      </c>
    </row>
    <row r="15">
      <c r="A15" s="66"/>
      <c r="B15" s="34" t="s">
        <v>1999</v>
      </c>
      <c r="C15" s="55" t="s">
        <v>284</v>
      </c>
      <c r="D15" s="34" t="s">
        <v>3307</v>
      </c>
      <c r="E15" s="97" t="str">
        <f>HYPERLINK("https://youtu.be/v4c33SCgIfg?t=5657","channel 1")</f>
        <v>channel 1</v>
      </c>
    </row>
    <row r="16">
      <c r="A16" s="66"/>
      <c r="B16" s="34" t="s">
        <v>3305</v>
      </c>
      <c r="C16" s="55" t="s">
        <v>378</v>
      </c>
      <c r="D16" s="34" t="s">
        <v>1875</v>
      </c>
      <c r="E16" s="97" t="str">
        <f>HYPERLINK("https://youtu.be/6NoYZnk-6ik?t=5751","channel 2")</f>
        <v>channel 2</v>
      </c>
    </row>
    <row r="17">
      <c r="A17" s="66"/>
      <c r="B17" s="32" t="s">
        <v>3306</v>
      </c>
      <c r="C17" s="55" t="s">
        <v>31</v>
      </c>
      <c r="D17" s="34" t="s">
        <v>3307</v>
      </c>
      <c r="E17" s="97" t="str">
        <f>HYPERLINK("https://youtu.be/v4c33SCgIfg?t=6556","channel 1")</f>
        <v>channel 1</v>
      </c>
    </row>
    <row r="18">
      <c r="A18" s="66"/>
      <c r="B18" s="34" t="s">
        <v>1999</v>
      </c>
      <c r="C18" s="55" t="s">
        <v>31</v>
      </c>
      <c r="D18" s="34" t="s">
        <v>1875</v>
      </c>
      <c r="E18" s="97" t="str">
        <f>HYPERLINK("https://youtu.be/6NoYZnk-6ik?t=6628","channel 2")</f>
        <v>channel 2</v>
      </c>
    </row>
    <row r="19">
      <c r="A19" s="66"/>
      <c r="B19" s="34" t="s">
        <v>3305</v>
      </c>
      <c r="C19" s="55" t="s">
        <v>403</v>
      </c>
      <c r="D19" s="34" t="s">
        <v>3307</v>
      </c>
      <c r="E19" s="97" t="str">
        <f>HYPERLINK("https://youtu.be/v4c33SCgIfg?t=7494","channel 1")</f>
        <v>channel 1</v>
      </c>
    </row>
    <row r="20">
      <c r="A20" s="66"/>
      <c r="B20" s="34" t="s">
        <v>1999</v>
      </c>
      <c r="C20" s="55" t="s">
        <v>193</v>
      </c>
      <c r="D20" s="32" t="s">
        <v>3306</v>
      </c>
      <c r="E20" s="97" t="str">
        <f>HYPERLINK("https://youtu.be/6NoYZnk-6ik?t=7512","channel 2")</f>
        <v>channel 2</v>
      </c>
    </row>
    <row r="21">
      <c r="A21" s="66"/>
      <c r="B21" s="34" t="s">
        <v>1875</v>
      </c>
      <c r="C21" s="55" t="s">
        <v>400</v>
      </c>
      <c r="D21" s="34" t="s">
        <v>3307</v>
      </c>
      <c r="E21" s="97" t="str">
        <f>HYPERLINK("https://youtu.be/v4c33SCgIfg?t=8391","channel 1")</f>
        <v>channel 1</v>
      </c>
    </row>
    <row r="22">
      <c r="A22" s="66"/>
      <c r="B22" s="34" t="s">
        <v>3305</v>
      </c>
      <c r="C22" s="55" t="s">
        <v>267</v>
      </c>
      <c r="D22" s="32" t="s">
        <v>3306</v>
      </c>
      <c r="E22" s="97" t="str">
        <f>HYPERLINK("https://youtu.be/6NoYZnk-6ik?t=8440","channel 2")</f>
        <v>channel 2</v>
      </c>
    </row>
    <row r="23">
      <c r="A23" s="66"/>
      <c r="B23" s="72" t="s">
        <v>2586</v>
      </c>
      <c r="C23" s="2"/>
      <c r="D23" s="3"/>
      <c r="E23" s="29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761</v>
      </c>
      <c r="C25" s="35" t="s">
        <v>286</v>
      </c>
      <c r="D25" s="34" t="s">
        <v>3308</v>
      </c>
      <c r="E25" s="11" t="str">
        <f>HYPERLINK("https://youtu.be/XSEspDv_Ebs","channel 1")</f>
        <v>channel 1</v>
      </c>
    </row>
    <row r="26">
      <c r="A26" s="66"/>
      <c r="B26" s="34" t="s">
        <v>1925</v>
      </c>
      <c r="C26" s="35" t="s">
        <v>43</v>
      </c>
      <c r="D26" s="32" t="s">
        <v>1755</v>
      </c>
      <c r="E26" s="11" t="str">
        <f>HYPERLINK("https://youtu.be/K3wmBuMjBKM","channel 2")</f>
        <v>channel 2</v>
      </c>
    </row>
    <row r="27">
      <c r="A27" s="66"/>
      <c r="B27" s="34" t="s">
        <v>3309</v>
      </c>
      <c r="C27" s="35" t="s">
        <v>14</v>
      </c>
      <c r="D27" s="34" t="s">
        <v>761</v>
      </c>
      <c r="E27" s="11" t="str">
        <f>HYPERLINK("https://youtu.be/XSEspDv_Ebs?t=809","channel 1")</f>
        <v>channel 1</v>
      </c>
    </row>
    <row r="28">
      <c r="A28" s="66"/>
      <c r="B28" s="34" t="s">
        <v>1925</v>
      </c>
      <c r="C28" s="35" t="s">
        <v>83</v>
      </c>
      <c r="D28" s="34" t="s">
        <v>3308</v>
      </c>
      <c r="E28" s="11" t="str">
        <f>HYPERLINK("https://youtu.be/K3wmBuMjBKM?t=897","channel 2")</f>
        <v>channel 2</v>
      </c>
    </row>
    <row r="29">
      <c r="A29" s="66"/>
      <c r="B29" s="34" t="s">
        <v>3309</v>
      </c>
      <c r="C29" s="35" t="s">
        <v>684</v>
      </c>
      <c r="D29" s="32" t="s">
        <v>1755</v>
      </c>
      <c r="E29" s="11" t="str">
        <f>HYPERLINK("https://youtu.be/XSEspDv_Ebs?t=1603","channel 1")</f>
        <v>channel 1</v>
      </c>
    </row>
    <row r="30">
      <c r="A30" s="66"/>
      <c r="B30" s="34" t="s">
        <v>1925</v>
      </c>
      <c r="C30" s="35" t="s">
        <v>251</v>
      </c>
      <c r="D30" s="34" t="s">
        <v>761</v>
      </c>
      <c r="E30" s="11" t="str">
        <f>HYPERLINK("https://youtu.be/K3wmBuMjBKM?t=1726","channel 2")</f>
        <v>channel 2</v>
      </c>
    </row>
    <row r="31">
      <c r="A31" s="66"/>
      <c r="B31" s="34" t="s">
        <v>3309</v>
      </c>
      <c r="C31" s="35" t="s">
        <v>68</v>
      </c>
      <c r="D31" s="34" t="s">
        <v>3308</v>
      </c>
      <c r="E31" s="11" t="str">
        <f>HYPERLINK("https://youtu.be/XSEspDv_Ebs?t=2399","channel 1")</f>
        <v>channel 1</v>
      </c>
    </row>
    <row r="32">
      <c r="A32" s="66"/>
      <c r="B32" s="32" t="s">
        <v>1755</v>
      </c>
      <c r="C32" s="35" t="s">
        <v>258</v>
      </c>
      <c r="D32" s="34" t="s">
        <v>761</v>
      </c>
      <c r="E32" s="11" t="str">
        <f>HYPERLINK("https://youtu.be/K3wmBuMjBKM?t=2506","channel 2")</f>
        <v>channel 2</v>
      </c>
    </row>
    <row r="33">
      <c r="A33" s="66"/>
      <c r="B33" s="34" t="s">
        <v>3309</v>
      </c>
      <c r="C33" s="35" t="s">
        <v>369</v>
      </c>
      <c r="D33" s="34" t="s">
        <v>1925</v>
      </c>
      <c r="E33" s="11" t="str">
        <f>HYPERLINK("https://youtu.be/XSEspDv_Ebs?t=3194","channel 1")</f>
        <v>channel 1</v>
      </c>
    </row>
    <row r="34">
      <c r="A34" s="66"/>
      <c r="B34" s="32" t="s">
        <v>1755</v>
      </c>
      <c r="C34" s="35" t="s">
        <v>193</v>
      </c>
      <c r="D34" s="34" t="s">
        <v>3308</v>
      </c>
      <c r="E34" s="11" t="str">
        <f>HYPERLINK("https://youtu.be/K3wmBuMjBKM?t=3321","channel 2")</f>
        <v>channel 2</v>
      </c>
    </row>
    <row r="35">
      <c r="A35" s="66"/>
      <c r="B35" s="34" t="s">
        <v>3308</v>
      </c>
      <c r="C35" s="35" t="s">
        <v>370</v>
      </c>
      <c r="D35" s="34" t="s">
        <v>761</v>
      </c>
      <c r="E35" s="11" t="str">
        <f>HYPERLINK("https://youtu.be/XSEspDv_Ebs?t=4013","channel 1")</f>
        <v>channel 1</v>
      </c>
    </row>
    <row r="36">
      <c r="A36" s="66"/>
      <c r="B36" s="32" t="s">
        <v>1755</v>
      </c>
      <c r="C36" s="35" t="s">
        <v>206</v>
      </c>
      <c r="D36" s="34" t="s">
        <v>1925</v>
      </c>
      <c r="E36" s="11" t="str">
        <f>HYPERLINK("https://youtu.be/K3wmBuMjBKM?t=4148","channel 2")</f>
        <v>channel 2</v>
      </c>
    </row>
    <row r="37">
      <c r="A37" s="66"/>
      <c r="B37" s="34" t="s">
        <v>761</v>
      </c>
      <c r="C37" s="35" t="s">
        <v>231</v>
      </c>
      <c r="D37" s="34" t="s">
        <v>3309</v>
      </c>
      <c r="E37" s="11" t="str">
        <f>HYPERLINK("https://youtu.be/XSEspDv_Ebs?t=4881","channel 1")</f>
        <v>channel 1</v>
      </c>
    </row>
    <row r="38">
      <c r="A38" s="66"/>
      <c r="B38" s="34" t="s">
        <v>3308</v>
      </c>
      <c r="C38" s="35" t="s">
        <v>18</v>
      </c>
      <c r="D38" s="34" t="s">
        <v>1925</v>
      </c>
      <c r="E38" s="11" t="str">
        <f>HYPERLINK("https://youtu.be/K3wmBuMjBKM?t=4956","channel 2")</f>
        <v>channel 2</v>
      </c>
    </row>
    <row r="39">
      <c r="A39" s="66"/>
      <c r="B39" s="32" t="s">
        <v>1755</v>
      </c>
      <c r="C39" s="35" t="s">
        <v>11</v>
      </c>
      <c r="D39" s="34" t="s">
        <v>3309</v>
      </c>
      <c r="E39" s="11" t="str">
        <f>HYPERLINK("https://youtu.be/XSEspDv_Ebs?t=5644","channel 1")</f>
        <v>channel 1</v>
      </c>
    </row>
    <row r="40">
      <c r="A40" s="66"/>
      <c r="B40" s="34" t="s">
        <v>761</v>
      </c>
      <c r="C40" s="35" t="s">
        <v>17</v>
      </c>
      <c r="D40" s="34" t="s">
        <v>1925</v>
      </c>
      <c r="E40" s="11" t="str">
        <f>HYPERLINK("https://youtu.be/K3wmBuMjBKM?t=5739","channel 2")</f>
        <v>channel 2</v>
      </c>
    </row>
    <row r="41">
      <c r="A41" s="66"/>
      <c r="B41" s="34" t="s">
        <v>3308</v>
      </c>
      <c r="C41" s="35" t="s">
        <v>46</v>
      </c>
      <c r="D41" s="34" t="s">
        <v>3309</v>
      </c>
      <c r="E41" s="11" t="str">
        <f>HYPERLINK("https://youtu.be/XSEspDv_Ebs?t=6454","channel 1")</f>
        <v>channel 1</v>
      </c>
    </row>
    <row r="42">
      <c r="A42" s="66"/>
      <c r="B42" s="34" t="s">
        <v>761</v>
      </c>
      <c r="C42" s="35" t="s">
        <v>52</v>
      </c>
      <c r="D42" s="32" t="s">
        <v>1755</v>
      </c>
      <c r="E42" s="11" t="str">
        <f>HYPERLINK("https://youtu.be/K3wmBuMjBKM?t=6528","channel 2")</f>
        <v>channel 2</v>
      </c>
    </row>
    <row r="43">
      <c r="A43" s="66"/>
      <c r="B43" s="34" t="s">
        <v>1925</v>
      </c>
      <c r="C43" s="35" t="s">
        <v>291</v>
      </c>
      <c r="D43" s="34" t="s">
        <v>3309</v>
      </c>
      <c r="E43" s="11" t="str">
        <f>HYPERLINK("https://youtu.be/XSEspDv_Ebs?t=7271","channel 1")</f>
        <v>channel 1</v>
      </c>
    </row>
    <row r="44">
      <c r="A44" s="67"/>
      <c r="B44" s="34" t="s">
        <v>3308</v>
      </c>
      <c r="C44" s="35" t="s">
        <v>414</v>
      </c>
      <c r="D44" s="32" t="s">
        <v>1755</v>
      </c>
      <c r="E44" s="11" t="str">
        <f>HYPERLINK("https://youtu.be/K3wmBuMjBKM?t=7340","channel 2")</f>
        <v>channel 2</v>
      </c>
    </row>
    <row r="45">
      <c r="B45" s="72" t="s">
        <v>3310</v>
      </c>
      <c r="C45" s="2"/>
      <c r="D45" s="3"/>
      <c r="E45" s="2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34" t="s">
        <v>3311</v>
      </c>
      <c r="C47" s="35" t="s">
        <v>837</v>
      </c>
      <c r="D47" s="34" t="s">
        <v>3312</v>
      </c>
      <c r="E47" s="11" t="str">
        <f>HYPERLINK("https://youtu.be/RXrej9nL7n4","channel 1")</f>
        <v>channel 1</v>
      </c>
    </row>
    <row r="48">
      <c r="B48" s="32" t="s">
        <v>1908</v>
      </c>
      <c r="C48" s="35" t="s">
        <v>20</v>
      </c>
      <c r="D48" s="34" t="s">
        <v>2309</v>
      </c>
      <c r="E48" s="11" t="str">
        <f>HYPERLINK("https://youtu.be/WTpgKKHeMX0","channel 2")</f>
        <v>channel 2</v>
      </c>
    </row>
    <row r="49">
      <c r="B49" s="34" t="s">
        <v>2309</v>
      </c>
      <c r="C49" s="35" t="s">
        <v>302</v>
      </c>
      <c r="D49" s="34" t="s">
        <v>2253</v>
      </c>
      <c r="E49" s="11" t="str">
        <f>HYPERLINK("https://youtu.be/RXrej9nL7n4?t=989","channel 1")</f>
        <v>channel 1</v>
      </c>
    </row>
    <row r="50">
      <c r="B50" s="32" t="s">
        <v>1908</v>
      </c>
      <c r="C50" s="35" t="s">
        <v>196</v>
      </c>
      <c r="D50" s="34" t="s">
        <v>3312</v>
      </c>
      <c r="E50" s="11" t="str">
        <f>HYPERLINK("https://youtu.be/WTpgKKHeMX0?t=1069","channel 2")</f>
        <v>channel 2</v>
      </c>
    </row>
    <row r="51">
      <c r="B51" s="34" t="s">
        <v>2253</v>
      </c>
      <c r="C51" s="35" t="s">
        <v>857</v>
      </c>
      <c r="D51" s="34" t="s">
        <v>3311</v>
      </c>
      <c r="E51" s="11" t="str">
        <f>HYPERLINK("https://youtu.be/RXrej9nL7n4?t=2052","channel 1")</f>
        <v>channel 1</v>
      </c>
    </row>
    <row r="52">
      <c r="B52" s="34" t="s">
        <v>2309</v>
      </c>
      <c r="C52" s="35" t="s">
        <v>330</v>
      </c>
      <c r="D52" s="34" t="s">
        <v>3312</v>
      </c>
      <c r="E52" s="11" t="str">
        <f>HYPERLINK("https://youtu.be/WTpgKKHeMX0?t=2062","channel 2")</f>
        <v>channel 2</v>
      </c>
    </row>
    <row r="53">
      <c r="B53" s="32" t="s">
        <v>1908</v>
      </c>
      <c r="C53" s="35" t="s">
        <v>87</v>
      </c>
      <c r="D53" s="34" t="s">
        <v>3311</v>
      </c>
      <c r="E53" s="11" t="str">
        <f>HYPERLINK("https://youtu.be/RXrej9nL7n4?t=2920","channel 1")</f>
        <v>channel 1</v>
      </c>
    </row>
    <row r="54">
      <c r="B54" s="34" t="s">
        <v>2253</v>
      </c>
      <c r="C54" s="35" t="s">
        <v>82</v>
      </c>
      <c r="D54" s="34" t="s">
        <v>3312</v>
      </c>
      <c r="E54" s="11" t="str">
        <f>HYPERLINK("https://youtu.be/WTpgKKHeMX0?t=2969","channel 2")</f>
        <v>channel 2</v>
      </c>
    </row>
    <row r="55">
      <c r="B55" s="34" t="s">
        <v>2309</v>
      </c>
      <c r="C55" s="35" t="s">
        <v>260</v>
      </c>
      <c r="D55" s="34" t="s">
        <v>3311</v>
      </c>
      <c r="E55" s="11" t="str">
        <f>HYPERLINK("https://youtu.be/RXrej9nL7n4?t=3849","channel 1")</f>
        <v>channel 1</v>
      </c>
    </row>
    <row r="56">
      <c r="B56" s="34" t="s">
        <v>2253</v>
      </c>
      <c r="C56" s="35" t="s">
        <v>28</v>
      </c>
      <c r="D56" s="32" t="s">
        <v>1908</v>
      </c>
      <c r="E56" s="11" t="str">
        <f>HYPERLINK("https://youtu.be/WTpgKKHeMX0?t=3876","channel 2")</f>
        <v>channel 2</v>
      </c>
    </row>
    <row r="57">
      <c r="B57" s="34" t="s">
        <v>3312</v>
      </c>
      <c r="C57" s="35" t="s">
        <v>190</v>
      </c>
      <c r="D57" s="34" t="s">
        <v>3311</v>
      </c>
      <c r="E57" s="11" t="str">
        <f>HYPERLINK("https://youtu.be/RXrej9nL7n4?t=4716","channel 1")</f>
        <v>channel 1</v>
      </c>
    </row>
    <row r="58">
      <c r="B58" s="34" t="s">
        <v>2309</v>
      </c>
      <c r="C58" s="35" t="s">
        <v>270</v>
      </c>
      <c r="D58" s="32" t="s">
        <v>1908</v>
      </c>
      <c r="E58" s="11" t="str">
        <f>HYPERLINK("https://youtu.be/WTpgKKHeMX0?t=4754","channel 2")</f>
        <v>channel 2</v>
      </c>
    </row>
    <row r="59">
      <c r="B59" s="72" t="s">
        <v>3313</v>
      </c>
      <c r="C59" s="2"/>
      <c r="D59" s="3"/>
      <c r="E59" s="29"/>
    </row>
    <row r="60">
      <c r="B60" s="6" t="s">
        <v>2</v>
      </c>
      <c r="C60" s="6" t="s">
        <v>3</v>
      </c>
      <c r="D60" s="6" t="s">
        <v>4</v>
      </c>
      <c r="E60" s="6" t="s">
        <v>5</v>
      </c>
    </row>
    <row r="61">
      <c r="B61" s="34" t="s">
        <v>3314</v>
      </c>
      <c r="C61" s="35" t="s">
        <v>201</v>
      </c>
      <c r="D61" s="34" t="s">
        <v>3315</v>
      </c>
      <c r="E61" s="11" t="str">
        <f>HYPERLINK("https://youtu.be/wMXK6WQ8HV8","channel 1")</f>
        <v>channel 1</v>
      </c>
    </row>
    <row r="62">
      <c r="B62" s="34" t="s">
        <v>3316</v>
      </c>
      <c r="C62" s="35" t="s">
        <v>88</v>
      </c>
      <c r="D62" s="32" t="s">
        <v>3317</v>
      </c>
      <c r="E62" s="11" t="str">
        <f>HYPERLINK("https://youtu.be/jstDKXkM6q0?t=174","channel 2")</f>
        <v>channel 2</v>
      </c>
    </row>
    <row r="63">
      <c r="B63" s="34" t="s">
        <v>3079</v>
      </c>
      <c r="C63" s="35" t="s">
        <v>239</v>
      </c>
      <c r="D63" s="34" t="s">
        <v>3314</v>
      </c>
      <c r="E63" s="11" t="str">
        <f>HYPERLINK("https://youtu.be/wMXK6WQ8HV8?t=941","channel 1")</f>
        <v>channel 1</v>
      </c>
    </row>
    <row r="64">
      <c r="B64" s="34" t="s">
        <v>3316</v>
      </c>
      <c r="C64" s="35" t="s">
        <v>472</v>
      </c>
      <c r="D64" s="34" t="s">
        <v>3315</v>
      </c>
      <c r="E64" s="11" t="str">
        <f>HYPERLINK("https://youtu.be/jstDKXkM6q0?t=1094","channel 2")</f>
        <v>channel 2</v>
      </c>
    </row>
    <row r="65">
      <c r="B65" s="34" t="s">
        <v>3079</v>
      </c>
      <c r="C65" s="35" t="s">
        <v>68</v>
      </c>
      <c r="D65" s="32" t="s">
        <v>3317</v>
      </c>
      <c r="E65" s="11" t="str">
        <f>HYPERLINK("https://youtu.be/wMXK6WQ8HV8?t=1963","channel 1")</f>
        <v>channel 1</v>
      </c>
    </row>
    <row r="66">
      <c r="B66" s="34" t="s">
        <v>3316</v>
      </c>
      <c r="C66" s="35" t="s">
        <v>1191</v>
      </c>
      <c r="D66" s="34" t="s">
        <v>3314</v>
      </c>
      <c r="E66" s="11" t="str">
        <f>HYPERLINK("https://youtu.be/jstDKXkM6q0?t=2144","channel 2")</f>
        <v>channel 2</v>
      </c>
    </row>
    <row r="67">
      <c r="B67" s="34" t="s">
        <v>3079</v>
      </c>
      <c r="C67" s="35" t="s">
        <v>87</v>
      </c>
      <c r="D67" s="34" t="s">
        <v>3315</v>
      </c>
      <c r="E67" s="11" t="str">
        <f>HYPERLINK("https://youtu.be/wMXK6WQ8HV8?t=2851","channel 1")</f>
        <v>channel 1</v>
      </c>
    </row>
    <row r="68">
      <c r="B68" s="32" t="s">
        <v>3317</v>
      </c>
      <c r="C68" s="35" t="s">
        <v>19</v>
      </c>
      <c r="D68" s="34" t="s">
        <v>3314</v>
      </c>
      <c r="E68" s="11" t="str">
        <f>HYPERLINK("https://youtu.be/jstDKXkM6q0?t=3064","channel 2")</f>
        <v>channel 2</v>
      </c>
    </row>
    <row r="69">
      <c r="B69" s="34" t="s">
        <v>3079</v>
      </c>
      <c r="C69" s="35" t="s">
        <v>48</v>
      </c>
      <c r="D69" s="34" t="s">
        <v>3316</v>
      </c>
      <c r="E69" s="11" t="str">
        <f>HYPERLINK("https://youtu.be/wMXK6WQ8HV8?t=3843","channel 1")</f>
        <v>channel 1</v>
      </c>
    </row>
    <row r="70">
      <c r="B70" s="32" t="s">
        <v>3317</v>
      </c>
      <c r="C70" s="35" t="s">
        <v>194</v>
      </c>
      <c r="D70" s="34" t="s">
        <v>3315</v>
      </c>
      <c r="E70" s="11" t="str">
        <f>HYPERLINK("https://youtu.be/jstDKXkM6q0?t=4014","channel 2")</f>
        <v>channel 2</v>
      </c>
    </row>
    <row r="71">
      <c r="B71" s="34" t="s">
        <v>3315</v>
      </c>
      <c r="C71" s="35" t="s">
        <v>196</v>
      </c>
      <c r="D71" s="34" t="s">
        <v>3314</v>
      </c>
      <c r="E71" s="11" t="str">
        <f>HYPERLINK("https://youtu.be/wMXK6WQ8HV8?t=4847","channel 1")</f>
        <v>channel 1</v>
      </c>
    </row>
    <row r="72">
      <c r="B72" s="32" t="s">
        <v>3317</v>
      </c>
      <c r="C72" s="35" t="s">
        <v>286</v>
      </c>
      <c r="D72" s="34" t="s">
        <v>3316</v>
      </c>
      <c r="E72" s="11" t="str">
        <f>HYPERLINK("https://youtu.be/jstDKXkM6q0?t=4986","channel 2")</f>
        <v>channel 2</v>
      </c>
    </row>
    <row r="73">
      <c r="B73" s="34" t="s">
        <v>3314</v>
      </c>
      <c r="C73" s="35" t="s">
        <v>22</v>
      </c>
      <c r="D73" s="34" t="s">
        <v>3079</v>
      </c>
      <c r="E73" s="11" t="str">
        <f>HYPERLINK("https://youtu.be/wMXK6WQ8HV8?t=5814","channel 1")</f>
        <v>channel 1</v>
      </c>
    </row>
    <row r="74">
      <c r="B74" s="34" t="s">
        <v>3315</v>
      </c>
      <c r="C74" s="35" t="s">
        <v>201</v>
      </c>
      <c r="D74" s="34" t="s">
        <v>3316</v>
      </c>
      <c r="E74" s="11" t="str">
        <f>HYPERLINK("https://youtu.be/jstDKXkM6q0?t=5945","channel 2")</f>
        <v>channel 2</v>
      </c>
    </row>
    <row r="75">
      <c r="B75" s="32" t="s">
        <v>3317</v>
      </c>
      <c r="C75" s="35" t="s">
        <v>16</v>
      </c>
      <c r="D75" s="34" t="s">
        <v>3079</v>
      </c>
      <c r="E75" s="11" t="str">
        <f>HYPERLINK("https://youtu.be/wMXK6WQ8HV8?t=6713","channel 1")</f>
        <v>channel 1</v>
      </c>
    </row>
    <row r="76">
      <c r="B76" s="34" t="s">
        <v>3314</v>
      </c>
      <c r="C76" s="35" t="s">
        <v>190</v>
      </c>
      <c r="D76" s="34" t="s">
        <v>3316</v>
      </c>
      <c r="E76" s="11" t="str">
        <f>HYPERLINK("https://youtu.be/jstDKXkM6q0?t=6859","channel 2")</f>
        <v>channel 2</v>
      </c>
    </row>
    <row r="77">
      <c r="B77" s="34" t="s">
        <v>3315</v>
      </c>
      <c r="C77" s="35" t="s">
        <v>87</v>
      </c>
      <c r="D77" s="34" t="s">
        <v>3079</v>
      </c>
      <c r="E77" s="11" t="str">
        <f>HYPERLINK("https://youtu.be/wMXK6WQ8HV8?t=8196","channel 1")</f>
        <v>channel 1</v>
      </c>
    </row>
    <row r="78">
      <c r="B78" s="34" t="s">
        <v>3314</v>
      </c>
      <c r="C78" s="35" t="s">
        <v>283</v>
      </c>
      <c r="D78" s="32" t="s">
        <v>3317</v>
      </c>
      <c r="E78" s="11" t="str">
        <f>HYPERLINK("https://youtu.be/jstDKXkM6q0?t=8323","channel 2")</f>
        <v>channel 2</v>
      </c>
    </row>
    <row r="79">
      <c r="B79" s="34" t="s">
        <v>3316</v>
      </c>
      <c r="C79" s="35" t="s">
        <v>195</v>
      </c>
      <c r="D79" s="34" t="s">
        <v>3079</v>
      </c>
      <c r="E79" s="11" t="str">
        <f>HYPERLINK("https://youtu.be/wMXK6WQ8HV8?t=9044","channel 1")</f>
        <v>channel 1</v>
      </c>
    </row>
    <row r="80">
      <c r="B80" s="34" t="s">
        <v>3315</v>
      </c>
      <c r="C80" s="35" t="s">
        <v>295</v>
      </c>
      <c r="D80" s="32" t="s">
        <v>3317</v>
      </c>
      <c r="E80" s="11" t="str">
        <f>HYPERLINK("https://youtu.be/jstDKXkM6q0?t=9197","channel 2")</f>
        <v>channel 2</v>
      </c>
    </row>
    <row r="81">
      <c r="B81" s="72" t="s">
        <v>3207</v>
      </c>
      <c r="C81" s="2"/>
      <c r="D81" s="3"/>
      <c r="E81" s="29"/>
    </row>
    <row r="82">
      <c r="B82" s="6" t="s">
        <v>2</v>
      </c>
      <c r="C82" s="6" t="s">
        <v>3</v>
      </c>
      <c r="D82" s="6" t="s">
        <v>4</v>
      </c>
      <c r="E82" s="6" t="s">
        <v>5</v>
      </c>
    </row>
    <row r="83">
      <c r="B83" s="34" t="s">
        <v>3038</v>
      </c>
      <c r="C83" s="35" t="s">
        <v>201</v>
      </c>
      <c r="D83" s="34" t="s">
        <v>3318</v>
      </c>
      <c r="E83" s="11" t="str">
        <f>HYPERLINK("https://youtu.be/o_HPqFD77FY","channel 3")</f>
        <v>channel 3</v>
      </c>
    </row>
    <row r="84">
      <c r="B84" s="34" t="s">
        <v>3319</v>
      </c>
      <c r="C84" s="35" t="s">
        <v>31</v>
      </c>
      <c r="D84" s="32" t="s">
        <v>3304</v>
      </c>
      <c r="E84" s="11" t="str">
        <f>HYPERLINK("https://youtu.be/4fTLNb_gQpY","channel 4")</f>
        <v>channel 4</v>
      </c>
    </row>
    <row r="85">
      <c r="B85" s="34" t="s">
        <v>2905</v>
      </c>
      <c r="C85" s="35" t="s">
        <v>38</v>
      </c>
      <c r="D85" s="34" t="s">
        <v>3038</v>
      </c>
      <c r="E85" s="11" t="str">
        <f>HYPERLINK("https://youtu.be/o_HPqFD77FY?t=954","channel 3")</f>
        <v>channel 3</v>
      </c>
    </row>
    <row r="86">
      <c r="B86" s="34" t="s">
        <v>3319</v>
      </c>
      <c r="C86" s="35" t="s">
        <v>43</v>
      </c>
      <c r="D86" s="34" t="s">
        <v>3318</v>
      </c>
      <c r="E86" s="11" t="str">
        <f>HYPERLINK("https://youtu.be/4fTLNb_gQpY?t=1049","channel 4")</f>
        <v>channel 4</v>
      </c>
    </row>
    <row r="87">
      <c r="B87" s="34" t="s">
        <v>2905</v>
      </c>
      <c r="C87" s="35" t="s">
        <v>325</v>
      </c>
      <c r="D87" s="32" t="s">
        <v>3304</v>
      </c>
      <c r="E87" s="11" t="str">
        <f>HYPERLINK("https://youtu.be/o_HPqFD77FY?t=1932","channel 3")</f>
        <v>channel 3</v>
      </c>
    </row>
    <row r="88">
      <c r="B88" s="34" t="s">
        <v>3319</v>
      </c>
      <c r="C88" s="35" t="s">
        <v>21</v>
      </c>
      <c r="D88" s="34" t="s">
        <v>3038</v>
      </c>
      <c r="E88" s="11" t="str">
        <f>HYPERLINK("https://youtu.be/4fTLNb_gQpY?t=1929","channel 4")</f>
        <v>channel 4</v>
      </c>
    </row>
    <row r="89">
      <c r="B89" s="34" t="s">
        <v>2905</v>
      </c>
      <c r="C89" s="35" t="s">
        <v>1338</v>
      </c>
      <c r="D89" s="34" t="s">
        <v>3318</v>
      </c>
      <c r="E89" s="11" t="str">
        <f>HYPERLINK("https://youtu.be/o_HPqFD77FY?t=2842","channel 3")</f>
        <v>channel 3</v>
      </c>
    </row>
    <row r="90">
      <c r="B90" s="32" t="s">
        <v>3304</v>
      </c>
      <c r="C90" s="35" t="s">
        <v>239</v>
      </c>
      <c r="D90" s="34" t="s">
        <v>3038</v>
      </c>
      <c r="E90" s="11" t="str">
        <f>HYPERLINK("https://youtu.be/4fTLNb_gQpY?t=2820","channel 4")</f>
        <v>channel 4</v>
      </c>
    </row>
    <row r="91">
      <c r="B91" s="34" t="s">
        <v>2905</v>
      </c>
      <c r="C91" s="57" t="s">
        <v>449</v>
      </c>
      <c r="D91" s="34" t="s">
        <v>3319</v>
      </c>
      <c r="E91" s="102" t="s">
        <v>33</v>
      </c>
    </row>
    <row r="92">
      <c r="B92" s="32" t="s">
        <v>3304</v>
      </c>
      <c r="C92" s="57" t="s">
        <v>449</v>
      </c>
      <c r="D92" s="34" t="s">
        <v>3318</v>
      </c>
      <c r="E92" s="102" t="s">
        <v>37</v>
      </c>
    </row>
    <row r="93">
      <c r="B93" s="34" t="s">
        <v>3318</v>
      </c>
      <c r="C93" s="35" t="s">
        <v>78</v>
      </c>
      <c r="D93" s="34" t="s">
        <v>3038</v>
      </c>
      <c r="E93" s="11" t="str">
        <f>HYPERLINK("https://youtu.be/o_HPqFD77FY?t=4909","channel 3")</f>
        <v>channel 3</v>
      </c>
    </row>
    <row r="94">
      <c r="B94" s="32" t="s">
        <v>3304</v>
      </c>
      <c r="C94" s="35" t="s">
        <v>195</v>
      </c>
      <c r="D94" s="34" t="s">
        <v>3319</v>
      </c>
      <c r="E94" s="11" t="str">
        <f>HYPERLINK("https://youtu.be/4fTLNb_gQpY?t=4528","channel 4")</f>
        <v>channel 4</v>
      </c>
    </row>
    <row r="95">
      <c r="B95" s="34" t="s">
        <v>3038</v>
      </c>
      <c r="C95" s="35" t="s">
        <v>66</v>
      </c>
      <c r="D95" s="34" t="s">
        <v>2905</v>
      </c>
      <c r="E95" s="11" t="str">
        <f>HYPERLINK("https://youtu.be/o_HPqFD77FY?t=5798","channel 3")</f>
        <v>channel 3</v>
      </c>
    </row>
    <row r="96">
      <c r="B96" s="34" t="s">
        <v>3318</v>
      </c>
      <c r="C96" s="35" t="s">
        <v>520</v>
      </c>
      <c r="D96" s="34" t="s">
        <v>3319</v>
      </c>
      <c r="E96" s="11" t="str">
        <f>HYPERLINK("https://youtu.be/4fTLNb_gQpY?t=5420","channel 4")</f>
        <v>channel 4</v>
      </c>
    </row>
    <row r="97">
      <c r="B97" s="32" t="s">
        <v>3304</v>
      </c>
      <c r="C97" s="35" t="s">
        <v>3320</v>
      </c>
      <c r="D97" s="34" t="s">
        <v>2905</v>
      </c>
      <c r="E97" s="11" t="str">
        <f>HYPERLINK("https://youtu.be/o_HPqFD77FY?t=6742","channel 3")</f>
        <v>channel 3</v>
      </c>
    </row>
    <row r="98">
      <c r="B98" s="34" t="s">
        <v>3038</v>
      </c>
      <c r="C98" s="35" t="s">
        <v>195</v>
      </c>
      <c r="D98" s="34" t="s">
        <v>3319</v>
      </c>
      <c r="E98" s="11" t="str">
        <f>HYPERLINK("https://youtu.be/4fTLNb_gQpY?t=6364","channel 4")</f>
        <v>channel 4</v>
      </c>
    </row>
    <row r="99">
      <c r="B99" s="34" t="s">
        <v>3318</v>
      </c>
      <c r="C99" s="35" t="s">
        <v>570</v>
      </c>
      <c r="D99" s="34" t="s">
        <v>2905</v>
      </c>
      <c r="E99" s="11" t="str">
        <f>HYPERLINK("https://youtu.be/o_HPqFD77FY?t=7692","channel 3")</f>
        <v>channel 3</v>
      </c>
    </row>
    <row r="100">
      <c r="B100" s="34" t="s">
        <v>3038</v>
      </c>
      <c r="C100" s="35" t="s">
        <v>306</v>
      </c>
      <c r="D100" s="32" t="s">
        <v>3304</v>
      </c>
      <c r="E100" s="11" t="str">
        <f>HYPERLINK("https://youtu.be/4fTLNb_gQpY?t=7337","channel 4")</f>
        <v>channel 4</v>
      </c>
    </row>
    <row r="101">
      <c r="B101" s="34" t="s">
        <v>3319</v>
      </c>
      <c r="C101" s="35" t="s">
        <v>64</v>
      </c>
      <c r="D101" s="34" t="s">
        <v>2905</v>
      </c>
      <c r="E101" s="11" t="str">
        <f>HYPERLINK("https://youtu.be/o_HPqFD77FY?t=8662","channel 3")</f>
        <v>channel 3</v>
      </c>
    </row>
    <row r="102">
      <c r="B102" s="34" t="s">
        <v>3318</v>
      </c>
      <c r="C102" s="35" t="s">
        <v>22</v>
      </c>
      <c r="D102" s="32" t="s">
        <v>3304</v>
      </c>
      <c r="E102" s="11" t="str">
        <f>HYPERLINK("https://youtu.be/4fTLNb_gQpY?t=8333","channel 4")</f>
        <v>channel 4</v>
      </c>
    </row>
    <row r="103">
      <c r="B103" s="72" t="s">
        <v>2646</v>
      </c>
      <c r="C103" s="2"/>
      <c r="D103" s="3"/>
      <c r="E103" s="29"/>
    </row>
    <row r="104">
      <c r="B104" s="6" t="s">
        <v>2</v>
      </c>
      <c r="C104" s="6" t="s">
        <v>3</v>
      </c>
      <c r="D104" s="6" t="s">
        <v>4</v>
      </c>
      <c r="E104" s="6" t="s">
        <v>5</v>
      </c>
    </row>
    <row r="105">
      <c r="B105" s="34" t="s">
        <v>3222</v>
      </c>
      <c r="C105" s="57" t="s">
        <v>449</v>
      </c>
      <c r="D105" s="34" t="s">
        <v>1162</v>
      </c>
      <c r="E105" s="102" t="str">
        <f>HYPERLINK("","channel 3")</f>
        <v>channel 3</v>
      </c>
    </row>
    <row r="106">
      <c r="B106" s="34" t="s">
        <v>3221</v>
      </c>
      <c r="C106" s="35" t="s">
        <v>88</v>
      </c>
      <c r="D106" s="32" t="s">
        <v>862</v>
      </c>
      <c r="E106" s="11" t="str">
        <f>HYPERLINK("https://youtu.be/OpuNrBhwvOk","channel 4")</f>
        <v>channel 4</v>
      </c>
    </row>
    <row r="107">
      <c r="B107" s="34" t="s">
        <v>1089</v>
      </c>
      <c r="C107" s="57" t="s">
        <v>449</v>
      </c>
      <c r="D107" s="34" t="s">
        <v>3222</v>
      </c>
      <c r="E107" s="102" t="s">
        <v>33</v>
      </c>
    </row>
    <row r="108">
      <c r="B108" s="34" t="s">
        <v>3221</v>
      </c>
      <c r="C108" s="35" t="s">
        <v>320</v>
      </c>
      <c r="D108" s="34" t="s">
        <v>1162</v>
      </c>
      <c r="E108" s="11" t="str">
        <f>HYPERLINK("https://youtu.be/OpuNrBhwvOk?t=1051","channel 4")</f>
        <v>channel 4</v>
      </c>
    </row>
    <row r="109">
      <c r="B109" s="34" t="s">
        <v>1089</v>
      </c>
      <c r="C109" s="35" t="s">
        <v>251</v>
      </c>
      <c r="D109" s="32" t="s">
        <v>862</v>
      </c>
      <c r="E109" s="11" t="str">
        <f>HYPERLINK("https://youtu.be/s5SEjE72ZCc?t=10","channel 3")</f>
        <v>channel 3</v>
      </c>
    </row>
    <row r="110">
      <c r="B110" s="34" t="s">
        <v>3221</v>
      </c>
      <c r="C110" s="57" t="s">
        <v>449</v>
      </c>
      <c r="D110" s="34" t="s">
        <v>3222</v>
      </c>
      <c r="E110" s="102" t="s">
        <v>37</v>
      </c>
    </row>
    <row r="111">
      <c r="B111" s="34" t="s">
        <v>1089</v>
      </c>
      <c r="C111" s="35" t="s">
        <v>614</v>
      </c>
      <c r="D111" s="34" t="s">
        <v>1162</v>
      </c>
      <c r="E111" s="11" t="str">
        <f>HYPERLINK("https://youtu.be/s5SEjE72ZCc?t=994","channel 3")</f>
        <v>channel 3</v>
      </c>
    </row>
    <row r="112">
      <c r="B112" s="32" t="s">
        <v>862</v>
      </c>
      <c r="C112" s="57" t="s">
        <v>449</v>
      </c>
      <c r="D112" s="34" t="s">
        <v>3222</v>
      </c>
      <c r="E112" s="102" t="s">
        <v>37</v>
      </c>
    </row>
    <row r="113">
      <c r="B113" s="34" t="s">
        <v>1089</v>
      </c>
      <c r="C113" s="35" t="s">
        <v>80</v>
      </c>
      <c r="D113" s="34" t="s">
        <v>3221</v>
      </c>
      <c r="E113" s="11" t="str">
        <f>HYPERLINK("https://youtu.be/s5SEjE72ZCc?t=2142","channel 3")</f>
        <v>channel 3</v>
      </c>
    </row>
    <row r="114">
      <c r="B114" s="32" t="s">
        <v>862</v>
      </c>
      <c r="C114" s="35" t="s">
        <v>1190</v>
      </c>
      <c r="D114" s="34" t="s">
        <v>1162</v>
      </c>
      <c r="E114" s="11" t="str">
        <f>HYPERLINK("https://youtu.be/OpuNrBhwvOk?t=3766","channel 4")</f>
        <v>channel 4</v>
      </c>
    </row>
    <row r="115">
      <c r="B115" s="34" t="s">
        <v>1162</v>
      </c>
      <c r="C115" s="57" t="s">
        <v>449</v>
      </c>
      <c r="D115" s="34" t="s">
        <v>3222</v>
      </c>
      <c r="E115" s="102" t="s">
        <v>33</v>
      </c>
    </row>
    <row r="116">
      <c r="B116" s="32" t="s">
        <v>862</v>
      </c>
      <c r="C116" s="35" t="s">
        <v>17</v>
      </c>
      <c r="D116" s="34" t="s">
        <v>3221</v>
      </c>
      <c r="E116" s="11" t="str">
        <f>HYPERLINK("https://youtu.be/OpuNrBhwvOk?t=4748","channel 4")</f>
        <v>channel 4</v>
      </c>
    </row>
    <row r="117">
      <c r="B117" s="34" t="s">
        <v>3222</v>
      </c>
      <c r="C117" s="57" t="s">
        <v>449</v>
      </c>
      <c r="D117" s="34" t="s">
        <v>1089</v>
      </c>
      <c r="E117" s="102" t="s">
        <v>33</v>
      </c>
    </row>
    <row r="118">
      <c r="B118" s="34" t="s">
        <v>1162</v>
      </c>
      <c r="C118" s="35" t="s">
        <v>23</v>
      </c>
      <c r="D118" s="34" t="s">
        <v>3221</v>
      </c>
      <c r="E118" s="11" t="str">
        <f>HYPERLINK("https://youtu.be/OpuNrBhwvOk?t=5831","channel 4")</f>
        <v>channel 4</v>
      </c>
    </row>
    <row r="119">
      <c r="B119" s="32" t="s">
        <v>862</v>
      </c>
      <c r="C119" s="35" t="s">
        <v>62</v>
      </c>
      <c r="D119" s="34" t="s">
        <v>1089</v>
      </c>
      <c r="E119" s="11" t="str">
        <f>HYPERLINK("https://youtu.be/s5SEjE72ZCc?t=4836","channel 3")</f>
        <v>channel 3</v>
      </c>
    </row>
    <row r="120">
      <c r="B120" s="34" t="s">
        <v>3222</v>
      </c>
      <c r="C120" s="57" t="s">
        <v>449</v>
      </c>
      <c r="D120" s="34" t="s">
        <v>3221</v>
      </c>
      <c r="E120" s="102" t="s">
        <v>37</v>
      </c>
    </row>
    <row r="121">
      <c r="B121" s="34" t="s">
        <v>1162</v>
      </c>
      <c r="C121" s="35" t="s">
        <v>3321</v>
      </c>
      <c r="D121" s="34" t="s">
        <v>1089</v>
      </c>
      <c r="E121" s="11" t="str">
        <f>HYPERLINK("https://youtu.be/s5SEjE72ZCc?t=5761","channel 3")</f>
        <v>channel 3</v>
      </c>
    </row>
    <row r="122">
      <c r="B122" s="34" t="s">
        <v>3222</v>
      </c>
      <c r="C122" s="57" t="s">
        <v>449</v>
      </c>
      <c r="D122" s="32" t="s">
        <v>862</v>
      </c>
      <c r="E122" s="102" t="s">
        <v>37</v>
      </c>
    </row>
    <row r="123">
      <c r="B123" s="34" t="s">
        <v>3221</v>
      </c>
      <c r="C123" s="35" t="s">
        <v>579</v>
      </c>
      <c r="D123" s="34" t="s">
        <v>1089</v>
      </c>
      <c r="E123" s="11" t="str">
        <f>HYPERLINK("https://youtu.be/s5SEjE72ZCc?t=6710","channel 3")</f>
        <v>channel 3</v>
      </c>
    </row>
    <row r="124">
      <c r="B124" s="34" t="s">
        <v>1162</v>
      </c>
      <c r="C124" s="35" t="s">
        <v>3322</v>
      </c>
      <c r="D124" s="32" t="s">
        <v>862</v>
      </c>
      <c r="E124" s="11" t="str">
        <f>HYPERLINK("https://youtu.be/OpuNrBhwvOk?t=8450","channel 4")</f>
        <v>channel 4</v>
      </c>
    </row>
    <row r="125">
      <c r="B125" s="72" t="s">
        <v>2382</v>
      </c>
      <c r="C125" s="2"/>
      <c r="D125" s="3"/>
      <c r="E125" s="29"/>
    </row>
    <row r="126">
      <c r="B126" s="6" t="s">
        <v>2</v>
      </c>
      <c r="C126" s="6" t="s">
        <v>3</v>
      </c>
      <c r="D126" s="6" t="s">
        <v>4</v>
      </c>
      <c r="E126" s="6" t="s">
        <v>5</v>
      </c>
    </row>
    <row r="127">
      <c r="B127" s="34" t="s">
        <v>3323</v>
      </c>
      <c r="C127" s="35" t="s">
        <v>250</v>
      </c>
      <c r="D127" s="34" t="s">
        <v>2659</v>
      </c>
      <c r="E127" s="11" t="str">
        <f>HYPERLINK("https://youtu.be/1Cb9HaMI5s0","channel 1")</f>
        <v>channel 1</v>
      </c>
    </row>
    <row r="128">
      <c r="B128" s="34" t="s">
        <v>3324</v>
      </c>
      <c r="C128" s="35" t="s">
        <v>239</v>
      </c>
      <c r="D128" s="32" t="s">
        <v>1438</v>
      </c>
      <c r="E128" s="11" t="str">
        <f>HYPERLINK("https://youtu.be/Wd2S7cGPtyc?t=76","channel 2")</f>
        <v>channel 2</v>
      </c>
    </row>
    <row r="129">
      <c r="B129" s="34" t="s">
        <v>2889</v>
      </c>
      <c r="C129" s="35" t="s">
        <v>21</v>
      </c>
      <c r="D129" s="34" t="s">
        <v>3323</v>
      </c>
      <c r="E129" s="11" t="str">
        <f>HYPERLINK("https://youtu.be/1Cb9HaMI5s0?t=980","channel 1")</f>
        <v>channel 1</v>
      </c>
    </row>
    <row r="130">
      <c r="B130" s="34" t="s">
        <v>3324</v>
      </c>
      <c r="C130" s="35" t="s">
        <v>55</v>
      </c>
      <c r="D130" s="34" t="s">
        <v>2659</v>
      </c>
      <c r="E130" s="11" t="str">
        <f>HYPERLINK("https://youtu.be/Wd2S7cGPtyc?t=1024","channel 2")</f>
        <v>channel 2</v>
      </c>
    </row>
    <row r="131">
      <c r="B131" s="34" t="s">
        <v>2889</v>
      </c>
      <c r="C131" s="35" t="s">
        <v>239</v>
      </c>
      <c r="D131" s="32" t="s">
        <v>1438</v>
      </c>
      <c r="E131" s="11" t="str">
        <f>HYPERLINK("https://youtu.be/1Cb9HaMI5s0?t=1919","channel 1")</f>
        <v>channel 1</v>
      </c>
    </row>
    <row r="132">
      <c r="B132" s="34" t="s">
        <v>3324</v>
      </c>
      <c r="C132" s="35" t="s">
        <v>71</v>
      </c>
      <c r="D132" s="34" t="s">
        <v>3323</v>
      </c>
      <c r="E132" s="11" t="str">
        <f>HYPERLINK("https://youtu.be/Wd2S7cGPtyc?t=2002","channel 2")</f>
        <v>channel 2</v>
      </c>
    </row>
    <row r="133">
      <c r="B133" s="34" t="s">
        <v>2889</v>
      </c>
      <c r="C133" s="35" t="s">
        <v>31</v>
      </c>
      <c r="D133" s="34" t="s">
        <v>2659</v>
      </c>
      <c r="E133" s="11" t="str">
        <f>HYPERLINK("https://youtu.be/1Cb9HaMI5s0?t=2834","channel 1")</f>
        <v>channel 1</v>
      </c>
    </row>
    <row r="134">
      <c r="B134" s="32" t="s">
        <v>1438</v>
      </c>
      <c r="C134" s="35" t="s">
        <v>19</v>
      </c>
      <c r="D134" s="34" t="s">
        <v>3323</v>
      </c>
      <c r="E134" s="11" t="str">
        <f>HYPERLINK("https://youtu.be/Wd2S7cGPtyc?t=2924","channel 2")</f>
        <v>channel 2</v>
      </c>
    </row>
    <row r="135">
      <c r="B135" s="34" t="s">
        <v>2889</v>
      </c>
      <c r="C135" s="35" t="s">
        <v>693</v>
      </c>
      <c r="D135" s="34" t="s">
        <v>3324</v>
      </c>
      <c r="E135" s="11" t="str">
        <f>HYPERLINK("https://youtu.be/1Cb9HaMI5s0?t=3938","channel 1")</f>
        <v>channel 1</v>
      </c>
    </row>
    <row r="136">
      <c r="B136" s="32" t="s">
        <v>1438</v>
      </c>
      <c r="C136" s="35" t="s">
        <v>81</v>
      </c>
      <c r="D136" s="34" t="s">
        <v>2659</v>
      </c>
      <c r="E136" s="11" t="str">
        <f>HYPERLINK("https://youtu.be/Wd2S7cGPtyc?t=3943","channel 2")</f>
        <v>channel 2</v>
      </c>
    </row>
    <row r="137">
      <c r="B137" s="34" t="s">
        <v>2659</v>
      </c>
      <c r="C137" s="35" t="s">
        <v>201</v>
      </c>
      <c r="D137" s="34" t="s">
        <v>3323</v>
      </c>
      <c r="E137" s="11" t="str">
        <f>HYPERLINK("https://youtu.be/1Cb9HaMI5s0?t=4797","channel 1")</f>
        <v>channel 1</v>
      </c>
    </row>
    <row r="138">
      <c r="B138" s="32" t="s">
        <v>1438</v>
      </c>
      <c r="C138" s="35" t="s">
        <v>76</v>
      </c>
      <c r="D138" s="34" t="s">
        <v>3324</v>
      </c>
      <c r="E138" s="11" t="str">
        <f>HYPERLINK("https://youtu.be/Wd2S7cGPtyc?t=4885","channel 2")</f>
        <v>channel 2</v>
      </c>
    </row>
    <row r="139">
      <c r="B139" s="34" t="s">
        <v>3323</v>
      </c>
      <c r="C139" s="35" t="s">
        <v>190</v>
      </c>
      <c r="D139" s="34" t="s">
        <v>2889</v>
      </c>
      <c r="E139" s="11" t="str">
        <f>HYPERLINK("https://youtu.be/1Cb9HaMI5s0?t=5750","channel 1")</f>
        <v>channel 1</v>
      </c>
    </row>
    <row r="140">
      <c r="B140" s="34" t="s">
        <v>2659</v>
      </c>
      <c r="C140" s="35" t="s">
        <v>325</v>
      </c>
      <c r="D140" s="34" t="s">
        <v>3324</v>
      </c>
      <c r="E140" s="11" t="str">
        <f>HYPERLINK("https://youtu.be/Wd2S7cGPtyc?t=5903","channel 2")</f>
        <v>channel 2</v>
      </c>
    </row>
    <row r="141">
      <c r="B141" s="32" t="s">
        <v>1438</v>
      </c>
      <c r="C141" s="35" t="s">
        <v>48</v>
      </c>
      <c r="D141" s="34" t="s">
        <v>2889</v>
      </c>
      <c r="E141" s="11" t="str">
        <f>HYPERLINK("https://youtu.be/1Cb9HaMI5s0?t=6663","channel 1")</f>
        <v>channel 1</v>
      </c>
    </row>
    <row r="142">
      <c r="B142" s="34" t="s">
        <v>3323</v>
      </c>
      <c r="C142" s="35" t="s">
        <v>193</v>
      </c>
      <c r="D142" s="34" t="s">
        <v>3324</v>
      </c>
      <c r="E142" s="11" t="str">
        <f>HYPERLINK("https://youtu.be/Wd2S7cGPtyc?t=6847","channel 2")</f>
        <v>channel 2</v>
      </c>
    </row>
    <row r="143">
      <c r="B143" s="34" t="s">
        <v>2659</v>
      </c>
      <c r="C143" s="35" t="s">
        <v>217</v>
      </c>
      <c r="D143" s="34" t="s">
        <v>2889</v>
      </c>
      <c r="E143" s="11" t="str">
        <f>HYPERLINK("https://youtu.be/1Cb9HaMI5s0?t=7563","channel 1")</f>
        <v>channel 1</v>
      </c>
    </row>
    <row r="144">
      <c r="B144" s="34" t="s">
        <v>3323</v>
      </c>
      <c r="C144" s="35" t="s">
        <v>190</v>
      </c>
      <c r="D144" s="32" t="s">
        <v>1438</v>
      </c>
      <c r="E144" s="11" t="str">
        <f>HYPERLINK("https://youtu.be/Wd2S7cGPtyc?t=7753","channel 2")</f>
        <v>channel 2</v>
      </c>
    </row>
    <row r="145">
      <c r="B145" s="34" t="s">
        <v>3324</v>
      </c>
      <c r="C145" s="35" t="s">
        <v>17</v>
      </c>
      <c r="D145" s="34" t="s">
        <v>2889</v>
      </c>
      <c r="E145" s="11" t="str">
        <f>HYPERLINK("https://youtu.be/1Cb9HaMI5s0?t=8472","channel 1")</f>
        <v>channel 1</v>
      </c>
    </row>
    <row r="146">
      <c r="B146" s="34" t="s">
        <v>2659</v>
      </c>
      <c r="C146" s="35" t="s">
        <v>71</v>
      </c>
      <c r="D146" s="32" t="s">
        <v>1438</v>
      </c>
      <c r="E146" s="11" t="str">
        <f>HYPERLINK("https://youtu.be/Wd2S7cGPtyc?t=8696","channel 2")</f>
        <v>channel 2</v>
      </c>
    </row>
    <row r="147">
      <c r="B147" s="72" t="s">
        <v>3325</v>
      </c>
      <c r="C147" s="2"/>
      <c r="D147" s="3"/>
      <c r="E147" s="29"/>
    </row>
    <row r="148">
      <c r="B148" s="6" t="s">
        <v>2</v>
      </c>
      <c r="C148" s="6" t="s">
        <v>3</v>
      </c>
      <c r="D148" s="6" t="s">
        <v>4</v>
      </c>
      <c r="E148" s="6" t="s">
        <v>5</v>
      </c>
    </row>
    <row r="149">
      <c r="B149" s="34" t="s">
        <v>3326</v>
      </c>
      <c r="C149" s="35" t="s">
        <v>378</v>
      </c>
      <c r="D149" s="34" t="s">
        <v>3327</v>
      </c>
      <c r="E149" s="11" t="str">
        <f>HYPERLINK("https://youtu.be/vdSpklfAjVU","channel 1")</f>
        <v>channel 1</v>
      </c>
    </row>
    <row r="150">
      <c r="B150" s="34" t="s">
        <v>3328</v>
      </c>
      <c r="C150" s="35" t="s">
        <v>195</v>
      </c>
      <c r="D150" s="32" t="s">
        <v>3329</v>
      </c>
      <c r="E150" s="11" t="str">
        <f>HYPERLINK("https://youtu.be/vI-7sTlSfAk?t=145","channel 2")</f>
        <v>channel 2</v>
      </c>
    </row>
    <row r="151">
      <c r="B151" s="34" t="s">
        <v>3330</v>
      </c>
      <c r="C151" s="35" t="s">
        <v>218</v>
      </c>
      <c r="D151" s="34" t="s">
        <v>3326</v>
      </c>
      <c r="E151" s="11" t="str">
        <f>HYPERLINK("https://youtu.be/vdSpklfAjVU?t=986","channel 1")</f>
        <v>channel 1</v>
      </c>
    </row>
    <row r="152">
      <c r="B152" s="34" t="s">
        <v>3328</v>
      </c>
      <c r="C152" s="35" t="s">
        <v>197</v>
      </c>
      <c r="D152" s="34" t="s">
        <v>3327</v>
      </c>
      <c r="E152" s="11" t="str">
        <f>HYPERLINK("https://youtu.be/vI-7sTlSfAk?t=1068","channel 2")</f>
        <v>channel 2</v>
      </c>
    </row>
    <row r="153">
      <c r="B153" s="34" t="s">
        <v>3330</v>
      </c>
      <c r="C153" s="35" t="s">
        <v>43</v>
      </c>
      <c r="D153" s="32" t="s">
        <v>3329</v>
      </c>
      <c r="E153" s="11" t="str">
        <f>HYPERLINK("https://youtu.be/vdSpklfAjVU?t=1922","channel 1")</f>
        <v>channel 1</v>
      </c>
    </row>
    <row r="154">
      <c r="B154" s="34" t="s">
        <v>3328</v>
      </c>
      <c r="C154" s="35" t="s">
        <v>215</v>
      </c>
      <c r="D154" s="34" t="s">
        <v>3326</v>
      </c>
      <c r="E154" s="11" t="str">
        <f>HYPERLINK("https://youtu.be/vI-7sTlSfAk?t=2006","channel 2")</f>
        <v>channel 2</v>
      </c>
    </row>
    <row r="155">
      <c r="B155" s="34" t="s">
        <v>3330</v>
      </c>
      <c r="C155" s="35" t="s">
        <v>251</v>
      </c>
      <c r="D155" s="34" t="s">
        <v>3327</v>
      </c>
      <c r="E155" s="11" t="str">
        <f>HYPERLINK("https://youtu.be/vdSpklfAjVU?t=2817","channel 1")</f>
        <v>channel 1</v>
      </c>
    </row>
    <row r="156">
      <c r="B156" s="32" t="s">
        <v>3329</v>
      </c>
      <c r="C156" s="35" t="s">
        <v>43</v>
      </c>
      <c r="D156" s="34" t="s">
        <v>3326</v>
      </c>
      <c r="E156" s="11" t="str">
        <f>HYPERLINK("https://youtu.be/vI-7sTlSfAk?t=2929","channel 2")</f>
        <v>channel 2</v>
      </c>
    </row>
    <row r="157">
      <c r="B157" s="34" t="s">
        <v>3330</v>
      </c>
      <c r="C157" s="35" t="s">
        <v>446</v>
      </c>
      <c r="D157" s="34" t="s">
        <v>3328</v>
      </c>
      <c r="E157" s="11" t="str">
        <f>HYPERLINK("https://youtu.be/vdSpklfAjVU?t=3734","channel 1")</f>
        <v>channel 1</v>
      </c>
    </row>
    <row r="158">
      <c r="B158" s="32" t="s">
        <v>3329</v>
      </c>
      <c r="C158" s="35" t="s">
        <v>404</v>
      </c>
      <c r="D158" s="34" t="s">
        <v>3327</v>
      </c>
      <c r="E158" s="11" t="str">
        <f>HYPERLINK("https://youtu.be/vI-7sTlSfAk?t=3832","channel 2")</f>
        <v>channel 2</v>
      </c>
    </row>
    <row r="159">
      <c r="B159" s="34" t="s">
        <v>3327</v>
      </c>
      <c r="C159" s="35" t="s">
        <v>286</v>
      </c>
      <c r="D159" s="34" t="s">
        <v>3326</v>
      </c>
      <c r="E159" s="11" t="str">
        <f>HYPERLINK("https://youtu.be/vdSpklfAjVU?t=4704","channel 1")</f>
        <v>channel 1</v>
      </c>
    </row>
    <row r="160">
      <c r="B160" s="32" t="s">
        <v>3329</v>
      </c>
      <c r="C160" s="35" t="s">
        <v>52</v>
      </c>
      <c r="D160" s="34" t="s">
        <v>3328</v>
      </c>
      <c r="E160" s="11" t="str">
        <f>HYPERLINK("https://youtu.be/vI-7sTlSfAk?t=4794","channel 2")</f>
        <v>channel 2</v>
      </c>
    </row>
    <row r="161">
      <c r="B161" s="34" t="s">
        <v>3326</v>
      </c>
      <c r="C161" s="35" t="s">
        <v>17</v>
      </c>
      <c r="D161" s="34" t="s">
        <v>3330</v>
      </c>
      <c r="E161" s="11" t="str">
        <f>HYPERLINK("https://youtu.be/vdSpklfAjVU?t=5650","channel 1")</f>
        <v>channel 1</v>
      </c>
    </row>
    <row r="162">
      <c r="B162" s="34" t="s">
        <v>3327</v>
      </c>
      <c r="C162" s="35" t="s">
        <v>27</v>
      </c>
      <c r="D162" s="34" t="s">
        <v>3328</v>
      </c>
      <c r="E162" s="11" t="str">
        <f>HYPERLINK("https://youtu.be/vI-7sTlSfAk?t=5798","channel 2")</f>
        <v>channel 2</v>
      </c>
    </row>
    <row r="163">
      <c r="B163" s="32" t="s">
        <v>3329</v>
      </c>
      <c r="C163" s="35" t="s">
        <v>28</v>
      </c>
      <c r="D163" s="34" t="s">
        <v>3330</v>
      </c>
      <c r="E163" s="11" t="str">
        <f>HYPERLINK("https://youtu.be/vdSpklfAjVU?t=6538","channel 1")</f>
        <v>channel 1</v>
      </c>
    </row>
    <row r="164">
      <c r="B164" s="34" t="s">
        <v>3326</v>
      </c>
      <c r="C164" s="35" t="s">
        <v>47</v>
      </c>
      <c r="D164" s="34" t="s">
        <v>3328</v>
      </c>
      <c r="E164" s="11" t="str">
        <f>HYPERLINK("https://youtu.be/vI-7sTlSfAk?t=6721","channel 2")</f>
        <v>channel 2</v>
      </c>
    </row>
    <row r="165">
      <c r="B165" s="34" t="s">
        <v>3327</v>
      </c>
      <c r="C165" s="35" t="s">
        <v>363</v>
      </c>
      <c r="D165" s="34" t="s">
        <v>3330</v>
      </c>
      <c r="E165" s="11" t="str">
        <f>HYPERLINK("https://youtu.be/vdSpklfAjVU?t=7493","channel 1")</f>
        <v>channel 1</v>
      </c>
    </row>
    <row r="166">
      <c r="B166" s="34" t="s">
        <v>3326</v>
      </c>
      <c r="C166" s="35" t="s">
        <v>201</v>
      </c>
      <c r="D166" s="32" t="s">
        <v>3329</v>
      </c>
      <c r="E166" s="11" t="str">
        <f>HYPERLINK("https://youtu.be/vI-7sTlSfAk?t=7644","channel 2")</f>
        <v>channel 2</v>
      </c>
    </row>
    <row r="167">
      <c r="B167" s="34" t="s">
        <v>3328</v>
      </c>
      <c r="C167" s="35" t="s">
        <v>35</v>
      </c>
      <c r="D167" s="34" t="s">
        <v>3330</v>
      </c>
      <c r="E167" s="11" t="str">
        <f>HYPERLINK("https://youtu.be/vdSpklfAjVU?t=8518","channel 1")</f>
        <v>channel 1</v>
      </c>
    </row>
    <row r="168">
      <c r="B168" s="34" t="s">
        <v>3327</v>
      </c>
      <c r="C168" s="35" t="s">
        <v>64</v>
      </c>
      <c r="D168" s="32" t="s">
        <v>3329</v>
      </c>
      <c r="E168" s="11" t="str">
        <f>HYPERLINK("https://youtu.be/vI-7sTlSfAk?t=8539","channel 2")</f>
        <v>channel 2</v>
      </c>
    </row>
    <row r="169">
      <c r="B169" s="72" t="s">
        <v>3331</v>
      </c>
      <c r="C169" s="2"/>
      <c r="D169" s="3"/>
      <c r="E169" s="29"/>
    </row>
    <row r="170">
      <c r="B170" s="6" t="s">
        <v>2</v>
      </c>
      <c r="C170" s="6" t="s">
        <v>3</v>
      </c>
      <c r="D170" s="6" t="s">
        <v>4</v>
      </c>
      <c r="E170" s="6" t="s">
        <v>5</v>
      </c>
    </row>
    <row r="171">
      <c r="B171" s="34" t="s">
        <v>3332</v>
      </c>
      <c r="C171" s="35" t="s">
        <v>411</v>
      </c>
      <c r="D171" s="34" t="s">
        <v>1820</v>
      </c>
      <c r="E171" s="11" t="str">
        <f>HYPERLINK("https://youtu.be/lAs-FnrW0wA","channel 3")</f>
        <v>channel 3</v>
      </c>
    </row>
    <row r="172">
      <c r="B172" s="34" t="s">
        <v>3333</v>
      </c>
      <c r="C172" s="35" t="s">
        <v>684</v>
      </c>
      <c r="D172" s="32" t="s">
        <v>2864</v>
      </c>
      <c r="E172" s="11" t="str">
        <f>HYPERLINK("https://youtu.be/43Od0Uiui30","channel 4")</f>
        <v>channel 4</v>
      </c>
    </row>
    <row r="173">
      <c r="B173" s="34" t="s">
        <v>2373</v>
      </c>
      <c r="C173" s="35" t="s">
        <v>71</v>
      </c>
      <c r="D173" s="34" t="s">
        <v>3332</v>
      </c>
      <c r="E173" s="11" t="str">
        <f>HYPERLINK("https://youtu.be/lAs-FnrW0wA?t=1011","channel 3")</f>
        <v>channel 3</v>
      </c>
    </row>
    <row r="174">
      <c r="B174" s="34" t="s">
        <v>3333</v>
      </c>
      <c r="C174" s="35" t="s">
        <v>45</v>
      </c>
      <c r="D174" s="34" t="s">
        <v>1820</v>
      </c>
      <c r="E174" s="11" t="str">
        <f>HYPERLINK("https://youtu.be/43Od0Uiui30?t=1061","channel 4")</f>
        <v>channel 4</v>
      </c>
    </row>
    <row r="175">
      <c r="B175" s="34" t="s">
        <v>2373</v>
      </c>
      <c r="C175" s="35" t="s">
        <v>68</v>
      </c>
      <c r="D175" s="32" t="s">
        <v>2864</v>
      </c>
      <c r="E175" s="11" t="str">
        <f>HYPERLINK("https://youtu.be/lAs-FnrW0wA?t=1982","channel 3")</f>
        <v>channel 3</v>
      </c>
    </row>
    <row r="176">
      <c r="B176" s="34" t="s">
        <v>3333</v>
      </c>
      <c r="C176" s="35" t="s">
        <v>88</v>
      </c>
      <c r="D176" s="34" t="s">
        <v>3332</v>
      </c>
      <c r="E176" s="11" t="str">
        <f>HYPERLINK("https://youtu.be/43Od0Uiui30?t=2007","channel 4")</f>
        <v>channel 4</v>
      </c>
    </row>
    <row r="177">
      <c r="B177" s="34" t="s">
        <v>2373</v>
      </c>
      <c r="C177" s="35" t="s">
        <v>947</v>
      </c>
      <c r="D177" s="34" t="s">
        <v>1820</v>
      </c>
      <c r="E177" s="11" t="str">
        <f>HYPERLINK("https://youtu.be/lAs-FnrW0wA?t=2866","channel 3")</f>
        <v>channel 3</v>
      </c>
    </row>
    <row r="178">
      <c r="B178" s="32" t="s">
        <v>2864</v>
      </c>
      <c r="C178" s="35" t="s">
        <v>11</v>
      </c>
      <c r="D178" s="34" t="s">
        <v>3332</v>
      </c>
      <c r="E178" s="11" t="str">
        <f>HYPERLINK("https://youtu.be/43Od0Uiui30?t=2902","channel 4")</f>
        <v>channel 4</v>
      </c>
    </row>
    <row r="179">
      <c r="B179" s="34" t="s">
        <v>2373</v>
      </c>
      <c r="C179" s="35" t="s">
        <v>249</v>
      </c>
      <c r="D179" s="34" t="s">
        <v>3333</v>
      </c>
      <c r="E179" s="11" t="str">
        <f>HYPERLINK("https://youtu.be/lAs-FnrW0wA?t=3775","channel 3")</f>
        <v>channel 3</v>
      </c>
    </row>
    <row r="180">
      <c r="B180" s="32" t="s">
        <v>2864</v>
      </c>
      <c r="C180" s="35" t="s">
        <v>239</v>
      </c>
      <c r="D180" s="34" t="s">
        <v>1820</v>
      </c>
      <c r="E180" s="11" t="str">
        <f>HYPERLINK("https://youtu.be/43Od0Uiui30?t=3835","channel 4")</f>
        <v>channel 4</v>
      </c>
    </row>
    <row r="181">
      <c r="B181" s="34" t="s">
        <v>1820</v>
      </c>
      <c r="C181" s="35" t="s">
        <v>58</v>
      </c>
      <c r="D181" s="34" t="s">
        <v>3332</v>
      </c>
      <c r="E181" s="11" t="str">
        <f>HYPERLINK("https://youtu.be/lAs-FnrW0wA?t=4679","channel 3")</f>
        <v>channel 3</v>
      </c>
    </row>
    <row r="182">
      <c r="B182" s="32" t="s">
        <v>2864</v>
      </c>
      <c r="C182" s="35" t="s">
        <v>18</v>
      </c>
      <c r="D182" s="34" t="s">
        <v>3333</v>
      </c>
      <c r="E182" s="11" t="str">
        <f>HYPERLINK("https://youtu.be/43Od0Uiui30?t=4725","channel 4")</f>
        <v>channel 4</v>
      </c>
    </row>
    <row r="183">
      <c r="B183" s="34" t="s">
        <v>3332</v>
      </c>
      <c r="C183" s="35" t="s">
        <v>535</v>
      </c>
      <c r="D183" s="34" t="s">
        <v>2373</v>
      </c>
      <c r="E183" s="11" t="str">
        <f>HYPERLINK("https://youtu.be/lAs-FnrW0wA?t=5594","channel 3")</f>
        <v>channel 3</v>
      </c>
    </row>
    <row r="184">
      <c r="B184" s="34" t="s">
        <v>1820</v>
      </c>
      <c r="C184" s="35" t="s">
        <v>389</v>
      </c>
      <c r="D184" s="34" t="s">
        <v>3333</v>
      </c>
      <c r="E184" s="11" t="str">
        <f>HYPERLINK("https://youtu.be/43Od0Uiui30?t=5634","channel 4")</f>
        <v>channel 4</v>
      </c>
    </row>
    <row r="185">
      <c r="B185" s="32" t="s">
        <v>2864</v>
      </c>
      <c r="C185" s="35" t="s">
        <v>52</v>
      </c>
      <c r="D185" s="34" t="s">
        <v>2373</v>
      </c>
      <c r="E185" s="11" t="str">
        <f>HYPERLINK("https://youtu.be/lAs-FnrW0wA?t=6508","channel 3")</f>
        <v>channel 3</v>
      </c>
    </row>
    <row r="186">
      <c r="B186" s="34" t="s">
        <v>3332</v>
      </c>
      <c r="C186" s="35" t="s">
        <v>201</v>
      </c>
      <c r="D186" s="34" t="s">
        <v>3333</v>
      </c>
      <c r="E186" s="11" t="str">
        <f>HYPERLINK("https://youtu.be/43Od0Uiui30?t=6548","channel 4")</f>
        <v>channel 4</v>
      </c>
    </row>
    <row r="187">
      <c r="B187" s="34" t="s">
        <v>1820</v>
      </c>
      <c r="C187" s="35" t="s">
        <v>369</v>
      </c>
      <c r="D187" s="34" t="s">
        <v>2373</v>
      </c>
      <c r="E187" s="11" t="str">
        <f>HYPERLINK("https://youtu.be/lAs-FnrW0wA?t=7414","channel 3")</f>
        <v>channel 3</v>
      </c>
    </row>
    <row r="188">
      <c r="B188" s="34" t="s">
        <v>3332</v>
      </c>
      <c r="C188" s="35" t="s">
        <v>190</v>
      </c>
      <c r="D188" s="32" t="s">
        <v>2864</v>
      </c>
      <c r="E188" s="11" t="str">
        <f>HYPERLINK("https://youtu.be/43Od0Uiui30?t=7469","channel 4")</f>
        <v>channel 4</v>
      </c>
    </row>
    <row r="189">
      <c r="B189" s="34" t="s">
        <v>3333</v>
      </c>
      <c r="C189" s="35" t="s">
        <v>285</v>
      </c>
      <c r="D189" s="34" t="s">
        <v>2373</v>
      </c>
      <c r="E189" s="11" t="str">
        <f>HYPERLINK("https://youtu.be/lAs-FnrW0wA?t=8325","channel 3")</f>
        <v>channel 3</v>
      </c>
    </row>
    <row r="190">
      <c r="B190" s="34" t="s">
        <v>1820</v>
      </c>
      <c r="C190" s="35" t="s">
        <v>354</v>
      </c>
      <c r="D190" s="32" t="s">
        <v>2864</v>
      </c>
      <c r="E190" s="11" t="str">
        <f>HYPERLINK("https://youtu.be/43Od0Uiui30?t=8356","channel 4")</f>
        <v>channel 4</v>
      </c>
    </row>
    <row r="191">
      <c r="B191" s="72" t="s">
        <v>2617</v>
      </c>
      <c r="C191" s="2"/>
      <c r="D191" s="3"/>
      <c r="E191" s="29"/>
    </row>
    <row r="192">
      <c r="B192" s="6" t="s">
        <v>2</v>
      </c>
      <c r="C192" s="6" t="s">
        <v>3</v>
      </c>
      <c r="D192" s="6" t="s">
        <v>4</v>
      </c>
      <c r="E192" s="6" t="s">
        <v>5</v>
      </c>
    </row>
    <row r="193">
      <c r="B193" s="34" t="s">
        <v>3334</v>
      </c>
      <c r="C193" s="35" t="s">
        <v>631</v>
      </c>
      <c r="D193" s="34" t="s">
        <v>3335</v>
      </c>
      <c r="E193" s="11" t="str">
        <f>HYPERLINK("https://youtu.be/-GWkMmMYuMk","channel 3")</f>
        <v>channel 3</v>
      </c>
    </row>
    <row r="194">
      <c r="B194" s="34" t="s">
        <v>3336</v>
      </c>
      <c r="C194" s="35" t="s">
        <v>21</v>
      </c>
      <c r="D194" s="32" t="s">
        <v>3337</v>
      </c>
      <c r="E194" s="11" t="str">
        <f>HYPERLINK("https://youtu.be/xKzyO-3CupI","channel 4")</f>
        <v>channel 4</v>
      </c>
    </row>
    <row r="195">
      <c r="B195" s="34" t="s">
        <v>3338</v>
      </c>
      <c r="C195" s="35" t="s">
        <v>556</v>
      </c>
      <c r="D195" s="34" t="s">
        <v>3334</v>
      </c>
      <c r="E195" s="11" t="str">
        <f>HYPERLINK("https://youtu.be/-GWkMmMYuMk?t=964","channel 3")</f>
        <v>channel 3</v>
      </c>
    </row>
    <row r="196">
      <c r="B196" s="34" t="s">
        <v>3336</v>
      </c>
      <c r="C196" s="35" t="s">
        <v>48</v>
      </c>
      <c r="D196" s="34" t="s">
        <v>3335</v>
      </c>
      <c r="E196" s="11" t="str">
        <f>HYPERLINK("https://youtu.be/xKzyO-3CupI?t=674","channel 4")</f>
        <v>channel 4</v>
      </c>
    </row>
    <row r="197">
      <c r="B197" s="34" t="s">
        <v>3338</v>
      </c>
      <c r="C197" s="35" t="s">
        <v>321</v>
      </c>
      <c r="D197" s="32" t="s">
        <v>3337</v>
      </c>
      <c r="E197" s="11" t="str">
        <f>HYPERLINK("https://youtu.be/-GWkMmMYuMk?t=1857","channel 3")</f>
        <v>channel 3</v>
      </c>
    </row>
    <row r="198">
      <c r="B198" s="34" t="s">
        <v>3336</v>
      </c>
      <c r="C198" s="35" t="s">
        <v>47</v>
      </c>
      <c r="D198" s="34" t="s">
        <v>3334</v>
      </c>
      <c r="E198" s="11" t="str">
        <f>HYPERLINK("https://youtu.be/xKzyO-3CupI?t=1626","channel 4")</f>
        <v>channel 4</v>
      </c>
    </row>
    <row r="199">
      <c r="B199" s="34" t="s">
        <v>3338</v>
      </c>
      <c r="C199" s="35" t="s">
        <v>58</v>
      </c>
      <c r="D199" s="34" t="s">
        <v>3335</v>
      </c>
      <c r="E199" s="11" t="str">
        <f>HYPERLINK("https://youtu.be/-GWkMmMYuMk?t=2761","channel 3")</f>
        <v>channel 3</v>
      </c>
    </row>
    <row r="200">
      <c r="B200" s="32" t="s">
        <v>3337</v>
      </c>
      <c r="C200" s="35" t="s">
        <v>509</v>
      </c>
      <c r="D200" s="34" t="s">
        <v>3334</v>
      </c>
      <c r="E200" s="11" t="str">
        <f>HYPERLINK("https://youtu.be/xKzyO-3CupI?t=2572","channel 4")</f>
        <v>channel 4</v>
      </c>
    </row>
    <row r="201">
      <c r="B201" s="34" t="s">
        <v>3338</v>
      </c>
      <c r="C201" s="35" t="s">
        <v>72</v>
      </c>
      <c r="D201" s="34" t="s">
        <v>3336</v>
      </c>
      <c r="E201" s="11" t="str">
        <f>HYPERLINK("https://youtu.be/-GWkMmMYuMk?t=3711","channel 3")</f>
        <v>channel 3</v>
      </c>
    </row>
    <row r="202">
      <c r="B202" s="32" t="s">
        <v>3337</v>
      </c>
      <c r="C202" s="35" t="s">
        <v>815</v>
      </c>
      <c r="D202" s="34" t="s">
        <v>3335</v>
      </c>
      <c r="E202" s="11" t="str">
        <f>HYPERLINK("https://youtu.be/xKzyO-3CupI?t=3563","channel 4")</f>
        <v>channel 4</v>
      </c>
    </row>
    <row r="203">
      <c r="B203" s="34" t="s">
        <v>3335</v>
      </c>
      <c r="C203" s="35" t="s">
        <v>65</v>
      </c>
      <c r="D203" s="34" t="s">
        <v>3334</v>
      </c>
      <c r="E203" s="11" t="str">
        <f>HYPERLINK("https://youtu.be/-GWkMmMYuMk?t=4782","channel 3")</f>
        <v>channel 3</v>
      </c>
    </row>
    <row r="204">
      <c r="B204" s="32" t="s">
        <v>3337</v>
      </c>
      <c r="C204" s="35" t="s">
        <v>285</v>
      </c>
      <c r="D204" s="34" t="s">
        <v>3336</v>
      </c>
      <c r="E204" s="11" t="str">
        <f>HYPERLINK("https://youtu.be/xKzyO-3CupI?t=4514","channel 4")</f>
        <v>channel 4</v>
      </c>
    </row>
    <row r="205">
      <c r="B205" s="34" t="s">
        <v>3334</v>
      </c>
      <c r="C205" s="35" t="s">
        <v>412</v>
      </c>
      <c r="D205" s="34" t="s">
        <v>3338</v>
      </c>
      <c r="E205" s="11" t="str">
        <f>HYPERLINK("https://youtu.be/-GWkMmMYuMk?t=5727","channel 3")</f>
        <v>channel 3</v>
      </c>
    </row>
    <row r="206">
      <c r="B206" s="34" t="s">
        <v>3335</v>
      </c>
      <c r="C206" s="35" t="s">
        <v>55</v>
      </c>
      <c r="D206" s="34" t="s">
        <v>3336</v>
      </c>
      <c r="E206" s="11" t="str">
        <f>HYPERLINK("https://youtu.be/xKzyO-3CupI?t=5448","channel 4")</f>
        <v>channel 4</v>
      </c>
    </row>
    <row r="207">
      <c r="B207" s="32" t="s">
        <v>3337</v>
      </c>
      <c r="C207" s="35" t="s">
        <v>291</v>
      </c>
      <c r="D207" s="34" t="s">
        <v>3338</v>
      </c>
      <c r="E207" s="11" t="str">
        <f>HYPERLINK("https://youtu.be/-GWkMmMYuMk?t=6643","channel 3")</f>
        <v>channel 3</v>
      </c>
    </row>
    <row r="208">
      <c r="B208" s="34" t="s">
        <v>3334</v>
      </c>
      <c r="C208" s="35" t="s">
        <v>218</v>
      </c>
      <c r="D208" s="34" t="s">
        <v>3336</v>
      </c>
      <c r="E208" s="11" t="str">
        <f>HYPERLINK("https://youtu.be/xKzyO-3CupI?t=6393","channel 4")</f>
        <v>channel 4</v>
      </c>
    </row>
    <row r="209">
      <c r="B209" s="34" t="s">
        <v>3335</v>
      </c>
      <c r="C209" s="35" t="s">
        <v>282</v>
      </c>
      <c r="D209" s="34" t="s">
        <v>3338</v>
      </c>
      <c r="E209" s="11" t="str">
        <f>HYPERLINK("https://youtu.be/-GWkMmMYuMk?t=7545","channel 3")</f>
        <v>channel 3</v>
      </c>
    </row>
    <row r="210">
      <c r="B210" s="34" t="s">
        <v>3334</v>
      </c>
      <c r="C210" s="35" t="s">
        <v>38</v>
      </c>
      <c r="D210" s="32" t="s">
        <v>3337</v>
      </c>
      <c r="E210" s="11" t="str">
        <f>HYPERLINK("https://youtu.be/xKzyO-3CupI?t=7322","channel 4")</f>
        <v>channel 4</v>
      </c>
    </row>
    <row r="211">
      <c r="B211" s="34" t="s">
        <v>3336</v>
      </c>
      <c r="C211" s="35" t="s">
        <v>41</v>
      </c>
      <c r="D211" s="34" t="s">
        <v>3338</v>
      </c>
      <c r="E211" s="11" t="str">
        <f>HYPERLINK("https://youtu.be/-GWkMmMYuMk?t=8454","channel 3")</f>
        <v>channel 3</v>
      </c>
    </row>
    <row r="212">
      <c r="B212" s="34" t="s">
        <v>3335</v>
      </c>
      <c r="C212" s="35" t="s">
        <v>3339</v>
      </c>
      <c r="D212" s="32" t="s">
        <v>3337</v>
      </c>
      <c r="E212" s="11" t="str">
        <f>HYPERLINK("https://youtu.be/xKzyO-3CupI?t=8252","channel 4")</f>
        <v>channel 4</v>
      </c>
    </row>
    <row r="213">
      <c r="B213" s="72" t="s">
        <v>2974</v>
      </c>
      <c r="C213" s="2"/>
      <c r="D213" s="3"/>
      <c r="E213" s="29"/>
    </row>
    <row r="214">
      <c r="B214" s="6" t="s">
        <v>2</v>
      </c>
      <c r="C214" s="6" t="s">
        <v>3</v>
      </c>
      <c r="D214" s="6" t="s">
        <v>4</v>
      </c>
      <c r="E214" s="6" t="s">
        <v>5</v>
      </c>
    </row>
    <row r="215">
      <c r="B215" s="34" t="s">
        <v>1710</v>
      </c>
      <c r="C215" s="35" t="s">
        <v>687</v>
      </c>
      <c r="D215" s="34" t="s">
        <v>3340</v>
      </c>
      <c r="E215" s="11" t="str">
        <f>HYPERLINK("https://youtu.be/NnV1ab5J71o","channel 1")</f>
        <v>channel 1</v>
      </c>
    </row>
    <row r="216">
      <c r="B216" s="34" t="s">
        <v>3341</v>
      </c>
      <c r="C216" s="35" t="s">
        <v>21</v>
      </c>
      <c r="D216" s="32" t="s">
        <v>3342</v>
      </c>
      <c r="E216" s="11" t="str">
        <f>HYPERLINK("https://youtu.be/oBne2qYIP1o","channel 2")</f>
        <v>channel 2</v>
      </c>
    </row>
    <row r="217">
      <c r="B217" s="34" t="s">
        <v>3343</v>
      </c>
      <c r="C217" s="35" t="s">
        <v>194</v>
      </c>
      <c r="D217" s="34" t="s">
        <v>1710</v>
      </c>
      <c r="E217" s="11" t="str">
        <f>HYPERLINK("https://youtu.be/NnV1ab5J71o?t=901","channel 1")</f>
        <v>channel 1</v>
      </c>
    </row>
    <row r="218">
      <c r="B218" s="34" t="s">
        <v>3341</v>
      </c>
      <c r="C218" s="35" t="s">
        <v>68</v>
      </c>
      <c r="D218" s="34" t="s">
        <v>3340</v>
      </c>
      <c r="E218" s="11" t="str">
        <f>HYPERLINK("https://youtu.be/oBne2qYIP1o?t=956","channel 2")</f>
        <v>channel 2</v>
      </c>
    </row>
    <row r="219">
      <c r="B219" s="34" t="s">
        <v>3343</v>
      </c>
      <c r="C219" s="35" t="s">
        <v>19</v>
      </c>
      <c r="D219" s="32" t="s">
        <v>3342</v>
      </c>
      <c r="E219" s="11" t="str">
        <f>HYPERLINK("https://youtu.be/NnV1ab5J71o?t=1722","channel 1")</f>
        <v>channel 1</v>
      </c>
    </row>
    <row r="220">
      <c r="B220" s="34" t="s">
        <v>3341</v>
      </c>
      <c r="C220" s="35" t="s">
        <v>28</v>
      </c>
      <c r="D220" s="34" t="s">
        <v>1710</v>
      </c>
      <c r="E220" s="11" t="str">
        <f>HYPERLINK("https://youtu.be/oBne2qYIP1o?t=1790","channel 2")</f>
        <v>channel 2</v>
      </c>
    </row>
    <row r="221">
      <c r="B221" s="34" t="s">
        <v>3343</v>
      </c>
      <c r="C221" s="35" t="s">
        <v>195</v>
      </c>
      <c r="D221" s="34" t="s">
        <v>3340</v>
      </c>
      <c r="E221" s="11" t="str">
        <f>HYPERLINK("https://youtu.be/NnV1ab5J71o?t=2591","channel 1")</f>
        <v>channel 1</v>
      </c>
    </row>
    <row r="222">
      <c r="B222" s="32" t="s">
        <v>3342</v>
      </c>
      <c r="C222" s="35" t="s">
        <v>82</v>
      </c>
      <c r="D222" s="34" t="s">
        <v>1710</v>
      </c>
      <c r="E222" s="11" t="str">
        <f>HYPERLINK("https://youtu.be/oBne2qYIP1o?t=2643","channel 2")</f>
        <v>channel 2</v>
      </c>
    </row>
    <row r="223">
      <c r="B223" s="34" t="s">
        <v>3343</v>
      </c>
      <c r="C223" s="35" t="s">
        <v>14</v>
      </c>
      <c r="D223" s="34" t="s">
        <v>3341</v>
      </c>
      <c r="E223" s="11" t="str">
        <f>HYPERLINK("https://youtu.be/NnV1ab5J71o?t=3437","channel 1")</f>
        <v>channel 1</v>
      </c>
    </row>
    <row r="224">
      <c r="B224" s="32" t="s">
        <v>3342</v>
      </c>
      <c r="C224" s="35" t="s">
        <v>201</v>
      </c>
      <c r="D224" s="34" t="s">
        <v>3340</v>
      </c>
      <c r="E224" s="11" t="str">
        <f>HYPERLINK("https://youtu.be/oBne2qYIP1o?t=3483","channel 2")</f>
        <v>channel 2</v>
      </c>
    </row>
    <row r="225">
      <c r="B225" s="34" t="s">
        <v>3340</v>
      </c>
      <c r="C225" s="35" t="s">
        <v>68</v>
      </c>
      <c r="D225" s="34" t="s">
        <v>1710</v>
      </c>
      <c r="E225" s="11" t="str">
        <f>HYPERLINK("https://youtu.be/NnV1ab5J71o?t=4352","channel 1")</f>
        <v>channel 1</v>
      </c>
    </row>
    <row r="226">
      <c r="B226" s="32" t="s">
        <v>3342</v>
      </c>
      <c r="C226" s="35" t="s">
        <v>201</v>
      </c>
      <c r="D226" s="34" t="s">
        <v>3341</v>
      </c>
      <c r="E226" s="11" t="str">
        <f>HYPERLINK("https://youtu.be/oBne2qYIP1o?t=4374","channel 2")</f>
        <v>channel 2</v>
      </c>
    </row>
    <row r="227">
      <c r="B227" s="34" t="s">
        <v>1710</v>
      </c>
      <c r="C227" s="35" t="s">
        <v>64</v>
      </c>
      <c r="D227" s="34" t="s">
        <v>3343</v>
      </c>
      <c r="E227" s="11" t="str">
        <f>HYPERLINK("https://youtu.be/NnV1ab5J71o?t=5184","channel 1")</f>
        <v>channel 1</v>
      </c>
    </row>
    <row r="228">
      <c r="B228" s="34" t="s">
        <v>3340</v>
      </c>
      <c r="C228" s="35" t="s">
        <v>220</v>
      </c>
      <c r="D228" s="34" t="s">
        <v>3341</v>
      </c>
      <c r="E228" s="11" t="str">
        <f>HYPERLINK("https://youtu.be/oBne2qYIP1o?t=5240","channel 2")</f>
        <v>channel 2</v>
      </c>
    </row>
    <row r="229">
      <c r="B229" s="32" t="s">
        <v>3342</v>
      </c>
      <c r="C229" s="35" t="s">
        <v>193</v>
      </c>
      <c r="D229" s="34" t="s">
        <v>3343</v>
      </c>
      <c r="E229" s="11" t="str">
        <f>HYPERLINK("https://youtu.be/NnV1ab5J71o?t=6125","channel 1")</f>
        <v>channel 1</v>
      </c>
    </row>
    <row r="230">
      <c r="B230" s="34" t="s">
        <v>1710</v>
      </c>
      <c r="C230" s="35" t="s">
        <v>362</v>
      </c>
      <c r="D230" s="34" t="s">
        <v>3341</v>
      </c>
      <c r="E230" s="11" t="str">
        <f>HYPERLINK("https://youtu.be/oBne2qYIP1o?t=6216","channel 2")</f>
        <v>channel 2</v>
      </c>
    </row>
    <row r="231">
      <c r="B231" s="34" t="s">
        <v>3340</v>
      </c>
      <c r="C231" s="35" t="s">
        <v>201</v>
      </c>
      <c r="D231" s="34" t="s">
        <v>3343</v>
      </c>
      <c r="E231" s="11" t="str">
        <f>HYPERLINK("https://youtu.be/NnV1ab5J71o?t=7040","channel 1")</f>
        <v>channel 1</v>
      </c>
    </row>
    <row r="232">
      <c r="B232" s="34" t="s">
        <v>1710</v>
      </c>
      <c r="C232" s="35" t="s">
        <v>21</v>
      </c>
      <c r="D232" s="32" t="s">
        <v>3342</v>
      </c>
      <c r="E232" s="11" t="str">
        <f>HYPERLINK("https://youtu.be/oBne2qYIP1o?t=7096","channel 2")</f>
        <v>channel 2</v>
      </c>
    </row>
    <row r="233">
      <c r="B233" s="34" t="s">
        <v>3341</v>
      </c>
      <c r="C233" s="35" t="s">
        <v>196</v>
      </c>
      <c r="D233" s="34" t="s">
        <v>3343</v>
      </c>
      <c r="E233" s="11" t="str">
        <f>HYPERLINK("https://youtu.be/NnV1ab5J71o?t=7920","channel 1")</f>
        <v>channel 1</v>
      </c>
    </row>
    <row r="234">
      <c r="B234" s="34" t="s">
        <v>3340</v>
      </c>
      <c r="C234" s="35" t="s">
        <v>195</v>
      </c>
      <c r="D234" s="32" t="s">
        <v>3342</v>
      </c>
      <c r="E234" s="11" t="str">
        <f>HYPERLINK("https://youtu.be/oBne2qYIP1o?t=7999","channel 2")</f>
        <v>channel 2</v>
      </c>
    </row>
    <row r="235">
      <c r="B235" s="72" t="s">
        <v>2464</v>
      </c>
      <c r="C235" s="2"/>
      <c r="D235" s="3"/>
      <c r="E235" s="29"/>
    </row>
    <row r="236">
      <c r="B236" s="6" t="s">
        <v>2</v>
      </c>
      <c r="C236" s="6" t="s">
        <v>3</v>
      </c>
      <c r="D236" s="6" t="s">
        <v>4</v>
      </c>
      <c r="E236" s="6" t="s">
        <v>5</v>
      </c>
    </row>
    <row r="237">
      <c r="B237" s="34" t="s">
        <v>705</v>
      </c>
      <c r="C237" s="35" t="s">
        <v>2461</v>
      </c>
      <c r="D237" s="34" t="s">
        <v>2622</v>
      </c>
      <c r="E237" s="11" t="str">
        <f>HYPERLINK("https://youtu.be/tDbkAUp8eG4","channel 1")</f>
        <v>channel 1</v>
      </c>
    </row>
    <row r="238">
      <c r="B238" s="34" t="s">
        <v>1519</v>
      </c>
      <c r="C238" s="35" t="s">
        <v>48</v>
      </c>
      <c r="D238" s="32" t="s">
        <v>2371</v>
      </c>
      <c r="E238" s="11" t="str">
        <f>HYPERLINK("https://youtu.be/jLA87tHPJIw","channel 2")</f>
        <v>channel 2</v>
      </c>
    </row>
    <row r="239">
      <c r="B239" s="34" t="s">
        <v>3344</v>
      </c>
      <c r="C239" s="35" t="s">
        <v>88</v>
      </c>
      <c r="D239" s="34" t="s">
        <v>705</v>
      </c>
      <c r="E239" s="11" t="str">
        <f>HYPERLINK("https://youtu.be/tDbkAUp8eG4?t=964","channel 1")</f>
        <v>channel 1</v>
      </c>
    </row>
    <row r="240">
      <c r="B240" s="34" t="s">
        <v>1519</v>
      </c>
      <c r="C240" s="35" t="s">
        <v>45</v>
      </c>
      <c r="D240" s="34" t="s">
        <v>2622</v>
      </c>
      <c r="E240" s="11" t="str">
        <f>HYPERLINK("https://youtu.be/jLA87tHPJIw?t=1078","channel 2")</f>
        <v>channel 2</v>
      </c>
    </row>
    <row r="241">
      <c r="B241" s="34" t="s">
        <v>3344</v>
      </c>
      <c r="C241" s="35" t="s">
        <v>21</v>
      </c>
      <c r="D241" s="32" t="s">
        <v>2371</v>
      </c>
      <c r="E241" s="11" t="str">
        <f>HYPERLINK("https://youtu.be/tDbkAUp8eG4?t=1894","channel 1")</f>
        <v>channel 1</v>
      </c>
    </row>
    <row r="242">
      <c r="B242" s="34" t="s">
        <v>1519</v>
      </c>
      <c r="C242" s="35" t="s">
        <v>88</v>
      </c>
      <c r="D242" s="34" t="s">
        <v>705</v>
      </c>
      <c r="E242" s="11" t="str">
        <f>HYPERLINK("https://youtu.be/jLA87tHPJIw?t=1992","channel 2")</f>
        <v>channel 2</v>
      </c>
    </row>
    <row r="243">
      <c r="B243" s="34" t="s">
        <v>3344</v>
      </c>
      <c r="C243" s="35" t="s">
        <v>369</v>
      </c>
      <c r="D243" s="34" t="s">
        <v>2622</v>
      </c>
      <c r="E243" s="11" t="str">
        <f>HYPERLINK("https://youtu.be/tDbkAUp8eG4?t=2878","channel 1")</f>
        <v>channel 1</v>
      </c>
    </row>
    <row r="244">
      <c r="B244" s="32" t="s">
        <v>2371</v>
      </c>
      <c r="C244" s="35" t="s">
        <v>293</v>
      </c>
      <c r="D244" s="34" t="s">
        <v>705</v>
      </c>
      <c r="E244" s="11" t="str">
        <f>HYPERLINK("https://youtu.be/jLA87tHPJIw?t=2964","channel 2")</f>
        <v>channel 2</v>
      </c>
    </row>
    <row r="245">
      <c r="B245" s="34" t="s">
        <v>3344</v>
      </c>
      <c r="C245" s="35" t="s">
        <v>411</v>
      </c>
      <c r="D245" s="34" t="s">
        <v>1519</v>
      </c>
      <c r="E245" s="11" t="str">
        <f>HYPERLINK("https://youtu.be/tDbkAUp8eG4?t=3832","channel 1")</f>
        <v>channel 1</v>
      </c>
    </row>
    <row r="246">
      <c r="B246" s="32" t="s">
        <v>2371</v>
      </c>
      <c r="C246" s="35" t="s">
        <v>87</v>
      </c>
      <c r="D246" s="34" t="s">
        <v>2622</v>
      </c>
      <c r="E246" s="11" t="str">
        <f>HYPERLINK("https://youtu.be/jLA87tHPJIw?t=3885","channel 2")</f>
        <v>channel 2</v>
      </c>
    </row>
    <row r="247">
      <c r="B247" s="34" t="s">
        <v>2622</v>
      </c>
      <c r="C247" s="35" t="s">
        <v>258</v>
      </c>
      <c r="D247" s="34" t="s">
        <v>705</v>
      </c>
      <c r="E247" s="11" t="str">
        <f>HYPERLINK("https://youtu.be/tDbkAUp8eG4?t=4782","channel 1")</f>
        <v>channel 1</v>
      </c>
    </row>
    <row r="248">
      <c r="B248" s="32" t="s">
        <v>2371</v>
      </c>
      <c r="C248" s="35" t="s">
        <v>35</v>
      </c>
      <c r="D248" s="34" t="s">
        <v>1519</v>
      </c>
      <c r="E248" s="11" t="str">
        <f>HYPERLINK("https://youtu.be/jLA87tHPJIw?t=4802","channel 2")</f>
        <v>channel 2</v>
      </c>
    </row>
    <row r="249">
      <c r="B249" s="34" t="s">
        <v>705</v>
      </c>
      <c r="C249" s="35" t="s">
        <v>87</v>
      </c>
      <c r="D249" s="34" t="s">
        <v>3344</v>
      </c>
      <c r="E249" s="11" t="str">
        <f>HYPERLINK("https://youtu.be/tDbkAUp8eG4?t=5718","channel 1")</f>
        <v>channel 1</v>
      </c>
    </row>
    <row r="250">
      <c r="B250" s="34" t="s">
        <v>2622</v>
      </c>
      <c r="C250" s="35" t="s">
        <v>259</v>
      </c>
      <c r="D250" s="34" t="s">
        <v>1519</v>
      </c>
      <c r="E250" s="11" t="str">
        <f>HYPERLINK("https://youtu.be/jLA87tHPJIw?t=5784","channel 2")</f>
        <v>channel 2</v>
      </c>
    </row>
    <row r="251">
      <c r="B251" s="32" t="s">
        <v>2371</v>
      </c>
      <c r="C251" s="35" t="s">
        <v>291</v>
      </c>
      <c r="D251" s="34" t="s">
        <v>3344</v>
      </c>
      <c r="E251" s="11" t="str">
        <f>HYPERLINK("https://youtu.be/tDbkAUp8eG4?t=6655","channel 1")</f>
        <v>channel 1</v>
      </c>
    </row>
    <row r="252">
      <c r="B252" s="34" t="s">
        <v>705</v>
      </c>
      <c r="C252" s="35" t="s">
        <v>47</v>
      </c>
      <c r="D252" s="34" t="s">
        <v>1519</v>
      </c>
      <c r="E252" s="11" t="str">
        <f>HYPERLINK("https://youtu.be/jLA87tHPJIw?t=6703","channel 2")</f>
        <v>channel 2</v>
      </c>
    </row>
    <row r="253">
      <c r="B253" s="34" t="s">
        <v>2622</v>
      </c>
      <c r="C253" s="35" t="s">
        <v>81</v>
      </c>
      <c r="D253" s="34" t="s">
        <v>3344</v>
      </c>
      <c r="E253" s="11" t="str">
        <f>HYPERLINK("https://youtu.be/tDbkAUp8eG4?t=7603","channel 1")</f>
        <v>channel 1</v>
      </c>
    </row>
    <row r="254">
      <c r="B254" s="34" t="s">
        <v>705</v>
      </c>
      <c r="C254" s="35" t="s">
        <v>62</v>
      </c>
      <c r="D254" s="32" t="s">
        <v>2371</v>
      </c>
      <c r="E254" s="11" t="str">
        <f>HYPERLINK("https://youtu.be/jLA87tHPJIw?t=7750","channel 2")</f>
        <v>channel 2</v>
      </c>
    </row>
    <row r="255">
      <c r="B255" s="34" t="s">
        <v>1519</v>
      </c>
      <c r="C255" s="35" t="s">
        <v>19</v>
      </c>
      <c r="D255" s="34" t="s">
        <v>3344</v>
      </c>
      <c r="E255" s="11" t="str">
        <f>HYPERLINK("https://youtu.be/tDbkAUp8eG4?t=8608","channel 1")</f>
        <v>channel 1</v>
      </c>
    </row>
    <row r="256">
      <c r="B256" s="34" t="s">
        <v>2622</v>
      </c>
      <c r="C256" s="35" t="s">
        <v>218</v>
      </c>
      <c r="D256" s="32" t="s">
        <v>2371</v>
      </c>
      <c r="E256" s="11" t="str">
        <f>HYPERLINK("https://youtu.be/jLA87tHPJIw?t=8661","channel 2")</f>
        <v>channel 2</v>
      </c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</sheetData>
  <mergeCells count="15">
    <mergeCell ref="B125:D125"/>
    <mergeCell ref="B147:D147"/>
    <mergeCell ref="B169:D169"/>
    <mergeCell ref="B191:D191"/>
    <mergeCell ref="B213:D213"/>
    <mergeCell ref="B235:D235"/>
    <mergeCell ref="B281:D281"/>
    <mergeCell ref="B303:D303"/>
    <mergeCell ref="A1:A44"/>
    <mergeCell ref="B1:D1"/>
    <mergeCell ref="B23:D23"/>
    <mergeCell ref="B45:D45"/>
    <mergeCell ref="B59:D59"/>
    <mergeCell ref="B81:D81"/>
    <mergeCell ref="B103:D103"/>
  </mergeCells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/>
      <c r="B1" s="72" t="s">
        <v>2143</v>
      </c>
      <c r="C1" s="2"/>
      <c r="D1" s="3"/>
      <c r="E1" s="84"/>
    </row>
    <row r="2">
      <c r="A2" s="66"/>
      <c r="B2" s="85" t="s">
        <v>2</v>
      </c>
      <c r="C2" s="86" t="s">
        <v>3</v>
      </c>
      <c r="D2" s="86" t="s">
        <v>4</v>
      </c>
      <c r="E2" s="86" t="s">
        <v>5</v>
      </c>
    </row>
    <row r="3">
      <c r="A3" s="66"/>
      <c r="B3" s="34" t="s">
        <v>3147</v>
      </c>
      <c r="C3" s="35" t="s">
        <v>566</v>
      </c>
      <c r="D3" s="34" t="s">
        <v>1469</v>
      </c>
      <c r="E3" s="97" t="str">
        <f>HYPERLINK("https://youtu.be/hUbqy3-r64E","channel 1")</f>
        <v>channel 1</v>
      </c>
    </row>
    <row r="4">
      <c r="A4" s="66"/>
      <c r="B4" s="34" t="s">
        <v>1757</v>
      </c>
      <c r="C4" s="35" t="s">
        <v>48</v>
      </c>
      <c r="D4" s="8" t="s">
        <v>3345</v>
      </c>
      <c r="E4" s="97" t="str">
        <f>HYPERLINK("https://youtu.be/1lWmEzPps8I","channel 2")</f>
        <v>channel 2</v>
      </c>
    </row>
    <row r="5">
      <c r="A5" s="66"/>
      <c r="B5" s="34" t="s">
        <v>2067</v>
      </c>
      <c r="C5" s="35" t="s">
        <v>797</v>
      </c>
      <c r="D5" s="34" t="s">
        <v>3147</v>
      </c>
      <c r="E5" s="97" t="str">
        <f>HYPERLINK("https://youtu.be/hUbqy3-r64E?t=827","channel 1")</f>
        <v>channel 1</v>
      </c>
    </row>
    <row r="6">
      <c r="A6" s="66"/>
      <c r="B6" s="34" t="s">
        <v>1757</v>
      </c>
      <c r="C6" s="35" t="s">
        <v>404</v>
      </c>
      <c r="D6" s="34" t="s">
        <v>1469</v>
      </c>
      <c r="E6" s="97" t="str">
        <f>HYPERLINK("https://youtu.be/1lWmEzPps8I?t=978","channel 2")</f>
        <v>channel 2</v>
      </c>
    </row>
    <row r="7">
      <c r="A7" s="66"/>
      <c r="B7" s="34" t="s">
        <v>2067</v>
      </c>
      <c r="C7" s="35" t="s">
        <v>17</v>
      </c>
      <c r="D7" s="8" t="s">
        <v>3345</v>
      </c>
      <c r="E7" s="97" t="str">
        <f>HYPERLINK("https://youtu.be/hUbqy3-r64E?t=1755","channel 1")</f>
        <v>channel 1</v>
      </c>
    </row>
    <row r="8">
      <c r="A8" s="66"/>
      <c r="B8" s="34" t="s">
        <v>1757</v>
      </c>
      <c r="C8" s="35" t="s">
        <v>533</v>
      </c>
      <c r="D8" s="34" t="s">
        <v>3147</v>
      </c>
      <c r="E8" s="97" t="str">
        <f>HYPERLINK("https://youtu.be/1lWmEzPps8I?t=1931","channel 2")</f>
        <v>channel 2</v>
      </c>
    </row>
    <row r="9">
      <c r="A9" s="66"/>
      <c r="B9" s="34" t="s">
        <v>2067</v>
      </c>
      <c r="C9" s="35" t="s">
        <v>273</v>
      </c>
      <c r="D9" s="34" t="s">
        <v>1469</v>
      </c>
      <c r="E9" s="97" t="str">
        <f>HYPERLINK("https://youtu.be/hUbqy3-r64E?t=2717","channel 1")</f>
        <v>channel 1</v>
      </c>
    </row>
    <row r="10">
      <c r="A10" s="66"/>
      <c r="B10" s="8" t="s">
        <v>3345</v>
      </c>
      <c r="C10" s="35" t="s">
        <v>1067</v>
      </c>
      <c r="D10" s="34" t="s">
        <v>3147</v>
      </c>
      <c r="E10" s="97" t="str">
        <f>HYPERLINK("https://youtu.be/1lWmEzPps8I?t=2884","channel 2")</f>
        <v>channel 2</v>
      </c>
    </row>
    <row r="11">
      <c r="A11" s="66"/>
      <c r="B11" s="34" t="s">
        <v>2067</v>
      </c>
      <c r="C11" s="35" t="s">
        <v>23</v>
      </c>
      <c r="D11" s="34" t="s">
        <v>1757</v>
      </c>
      <c r="E11" s="97" t="str">
        <f>HYPERLINK("https://youtu.be/hUbqy3-r64E?t=3641","channel 1")</f>
        <v>channel 1</v>
      </c>
    </row>
    <row r="12">
      <c r="A12" s="66"/>
      <c r="B12" s="8" t="s">
        <v>3345</v>
      </c>
      <c r="C12" s="35" t="s">
        <v>81</v>
      </c>
      <c r="D12" s="34" t="s">
        <v>1469</v>
      </c>
      <c r="E12" s="97" t="str">
        <f>HYPERLINK("https://youtu.be/1lWmEzPps8I?t=3792","channel 2")</f>
        <v>channel 2</v>
      </c>
    </row>
    <row r="13">
      <c r="A13" s="66"/>
      <c r="B13" s="34" t="s">
        <v>1469</v>
      </c>
      <c r="C13" s="35" t="s">
        <v>22</v>
      </c>
      <c r="D13" s="34" t="s">
        <v>3147</v>
      </c>
      <c r="E13" s="97" t="str">
        <f>HYPERLINK("https://youtu.be/hUbqy3-r64E?t=4549","channel 1")</f>
        <v>channel 1</v>
      </c>
    </row>
    <row r="14">
      <c r="A14" s="66"/>
      <c r="B14" s="8" t="s">
        <v>3345</v>
      </c>
      <c r="C14" s="35" t="s">
        <v>465</v>
      </c>
      <c r="D14" s="34" t="s">
        <v>1757</v>
      </c>
      <c r="E14" s="97" t="str">
        <f>HYPERLINK("https://youtu.be/1lWmEzPps8I?t=4675","channel 2")</f>
        <v>channel 2</v>
      </c>
    </row>
    <row r="15">
      <c r="A15" s="66"/>
      <c r="B15" s="34" t="s">
        <v>3147</v>
      </c>
      <c r="C15" s="35" t="s">
        <v>68</v>
      </c>
      <c r="D15" s="34" t="s">
        <v>2067</v>
      </c>
      <c r="E15" s="97" t="str">
        <f>HYPERLINK("https://youtu.be/hUbqy3-r64E?t=5471","channel 1")</f>
        <v>channel 1</v>
      </c>
    </row>
    <row r="16">
      <c r="A16" s="66"/>
      <c r="B16" s="34" t="s">
        <v>1469</v>
      </c>
      <c r="C16" s="35" t="s">
        <v>28</v>
      </c>
      <c r="D16" s="34" t="s">
        <v>1757</v>
      </c>
      <c r="E16" s="97" t="str">
        <f>HYPERLINK("https://youtu.be/1lWmEzPps8I?t=5667","channel 2")</f>
        <v>channel 2</v>
      </c>
    </row>
    <row r="17">
      <c r="A17" s="66"/>
      <c r="B17" s="8" t="s">
        <v>3345</v>
      </c>
      <c r="C17" s="35" t="s">
        <v>232</v>
      </c>
      <c r="D17" s="34" t="s">
        <v>2067</v>
      </c>
      <c r="E17" s="97" t="str">
        <f>HYPERLINK("https://youtu.be/hUbqy3-r64E?t=6409","channel 1")</f>
        <v>channel 1</v>
      </c>
    </row>
    <row r="18">
      <c r="A18" s="66"/>
      <c r="B18" s="34" t="s">
        <v>3147</v>
      </c>
      <c r="C18" s="35" t="s">
        <v>1704</v>
      </c>
      <c r="D18" s="34" t="s">
        <v>1757</v>
      </c>
      <c r="E18" s="97" t="str">
        <f>HYPERLINK("https://youtu.be/1lWmEzPps8I?t=6598","channel 2")</f>
        <v>channel 2</v>
      </c>
    </row>
    <row r="19">
      <c r="A19" s="66"/>
      <c r="B19" s="34" t="s">
        <v>1469</v>
      </c>
      <c r="C19" s="35" t="s">
        <v>83</v>
      </c>
      <c r="D19" s="34" t="s">
        <v>2067</v>
      </c>
      <c r="E19" s="97" t="str">
        <f>HYPERLINK("https://youtu.be/hUbqy3-r64E?t=7404","channel 1")</f>
        <v>channel 1</v>
      </c>
    </row>
    <row r="20">
      <c r="A20" s="66"/>
      <c r="B20" s="34" t="s">
        <v>3147</v>
      </c>
      <c r="C20" s="35" t="s">
        <v>201</v>
      </c>
      <c r="D20" s="8" t="s">
        <v>3345</v>
      </c>
      <c r="E20" s="97" t="str">
        <f>HYPERLINK("https://youtu.be/1lWmEzPps8I?t=7558","channel 2")</f>
        <v>channel 2</v>
      </c>
    </row>
    <row r="21">
      <c r="A21" s="66"/>
      <c r="B21" s="34" t="s">
        <v>1757</v>
      </c>
      <c r="C21" s="35" t="s">
        <v>25</v>
      </c>
      <c r="D21" s="34" t="s">
        <v>2067</v>
      </c>
      <c r="E21" s="97" t="str">
        <f>HYPERLINK("https://youtu.be/hUbqy3-r64E?t=8363","channel 1")</f>
        <v>channel 1</v>
      </c>
    </row>
    <row r="22">
      <c r="A22" s="66"/>
      <c r="B22" s="34" t="s">
        <v>1469</v>
      </c>
      <c r="C22" s="35" t="s">
        <v>45</v>
      </c>
      <c r="D22" s="8" t="s">
        <v>3345</v>
      </c>
      <c r="E22" s="97" t="str">
        <f>HYPERLINK("https://youtu.be/1lWmEzPps8I?t=8574","channel 2")</f>
        <v>channel 2</v>
      </c>
    </row>
    <row r="23">
      <c r="A23" s="66"/>
      <c r="B23" s="72" t="s">
        <v>1331</v>
      </c>
      <c r="C23" s="2"/>
      <c r="D23" s="3"/>
      <c r="E23" s="29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3096</v>
      </c>
      <c r="C25" s="33" t="s">
        <v>25</v>
      </c>
      <c r="D25" s="34" t="s">
        <v>1706</v>
      </c>
      <c r="E25" s="11" t="str">
        <f>HYPERLINK("https://youtu.be/g7_AQXrHarc","channel 1")</f>
        <v>channel 1</v>
      </c>
    </row>
    <row r="26">
      <c r="A26" s="66"/>
      <c r="B26" s="34" t="s">
        <v>1780</v>
      </c>
      <c r="C26" s="33" t="s">
        <v>190</v>
      </c>
      <c r="D26" s="8" t="s">
        <v>3346</v>
      </c>
      <c r="E26" s="11" t="str">
        <f>HYPERLINK("https://youtu.be/odZGuyiJikI","channel 2")</f>
        <v>channel 2</v>
      </c>
    </row>
    <row r="27">
      <c r="A27" s="66"/>
      <c r="B27" s="34" t="s">
        <v>2936</v>
      </c>
      <c r="C27" s="33" t="s">
        <v>270</v>
      </c>
      <c r="D27" s="34" t="s">
        <v>3096</v>
      </c>
      <c r="E27" s="11" t="str">
        <f>HYPERLINK("https://youtu.be/g7_AQXrHarc?t=950","channel 1")</f>
        <v>channel 1</v>
      </c>
    </row>
    <row r="28">
      <c r="A28" s="66"/>
      <c r="B28" s="34" t="s">
        <v>1780</v>
      </c>
      <c r="C28" s="33" t="s">
        <v>7</v>
      </c>
      <c r="D28" s="34" t="s">
        <v>1706</v>
      </c>
      <c r="E28" s="11" t="str">
        <f>HYPERLINK("https://youtu.be/odZGuyiJikI?t=1001","channel 2")</f>
        <v>channel 2</v>
      </c>
    </row>
    <row r="29">
      <c r="A29" s="66"/>
      <c r="B29" s="34" t="s">
        <v>2936</v>
      </c>
      <c r="C29" s="33" t="s">
        <v>17</v>
      </c>
      <c r="D29" s="8" t="s">
        <v>3346</v>
      </c>
      <c r="E29" s="11" t="str">
        <f>HYPERLINK("https://youtu.be/g7_AQXrHarc?t=1915","channel 1")</f>
        <v>channel 1</v>
      </c>
    </row>
    <row r="30">
      <c r="A30" s="66"/>
      <c r="B30" s="34" t="s">
        <v>1780</v>
      </c>
      <c r="C30" s="33" t="s">
        <v>26</v>
      </c>
      <c r="D30" s="34" t="s">
        <v>3096</v>
      </c>
      <c r="E30" s="11" t="str">
        <f>HYPERLINK("https://youtu.be/odZGuyiJikI?t=1904","channel 2")</f>
        <v>channel 2</v>
      </c>
    </row>
    <row r="31">
      <c r="A31" s="66"/>
      <c r="B31" s="34" t="s">
        <v>2936</v>
      </c>
      <c r="C31" s="33" t="s">
        <v>31</v>
      </c>
      <c r="D31" s="34" t="s">
        <v>1706</v>
      </c>
      <c r="E31" s="11" t="str">
        <f>HYPERLINK("https://youtu.be/g7_AQXrHarc?t=2843","channel 1")</f>
        <v>channel 1</v>
      </c>
    </row>
    <row r="32">
      <c r="A32" s="66"/>
      <c r="B32" s="8" t="s">
        <v>3346</v>
      </c>
      <c r="C32" s="33" t="s">
        <v>187</v>
      </c>
      <c r="D32" s="34" t="s">
        <v>3096</v>
      </c>
      <c r="E32" s="11" t="str">
        <f>HYPERLINK("https://youtu.be/odZGuyiJikI?t=2883","channel 2")</f>
        <v>channel 2</v>
      </c>
    </row>
    <row r="33">
      <c r="A33" s="66"/>
      <c r="B33" s="34" t="s">
        <v>2936</v>
      </c>
      <c r="C33" s="33" t="s">
        <v>283</v>
      </c>
      <c r="D33" s="34" t="s">
        <v>1780</v>
      </c>
      <c r="E33" s="11" t="str">
        <f>HYPERLINK("https://youtu.be/g7_AQXrHarc?t=3787","channel 1")</f>
        <v>channel 1</v>
      </c>
    </row>
    <row r="34">
      <c r="A34" s="66"/>
      <c r="B34" s="8" t="s">
        <v>3346</v>
      </c>
      <c r="C34" s="33" t="s">
        <v>64</v>
      </c>
      <c r="D34" s="34" t="s">
        <v>1706</v>
      </c>
      <c r="E34" s="11" t="str">
        <f>HYPERLINK("https://youtu.be/odZGuyiJikI?t=3830","channel 2")</f>
        <v>channel 2</v>
      </c>
    </row>
    <row r="35">
      <c r="A35" s="66"/>
      <c r="B35" s="34" t="s">
        <v>1706</v>
      </c>
      <c r="C35" s="33" t="s">
        <v>48</v>
      </c>
      <c r="D35" s="34" t="s">
        <v>3096</v>
      </c>
      <c r="E35" s="11" t="str">
        <f>HYPERLINK("https://youtu.be/g7_AQXrHarc?t=4717","channel 1")</f>
        <v>channel 1</v>
      </c>
    </row>
    <row r="36">
      <c r="A36" s="66"/>
      <c r="B36" s="8" t="s">
        <v>3346</v>
      </c>
      <c r="C36" s="33" t="s">
        <v>195</v>
      </c>
      <c r="D36" s="34" t="s">
        <v>1780</v>
      </c>
      <c r="E36" s="11" t="str">
        <f>HYPERLINK("https://youtu.be/odZGuyiJikI?t=4734","channel 2")</f>
        <v>channel 2</v>
      </c>
    </row>
    <row r="37">
      <c r="A37" s="66"/>
      <c r="B37" s="34" t="s">
        <v>3096</v>
      </c>
      <c r="C37" s="35" t="s">
        <v>1748</v>
      </c>
      <c r="D37" s="34" t="s">
        <v>2936</v>
      </c>
      <c r="E37" s="11" t="str">
        <f>HYPERLINK("https://youtu.be/g7_AQXrHarc?t=5702","channel 1")</f>
        <v>channel 1</v>
      </c>
    </row>
    <row r="38">
      <c r="A38" s="66"/>
      <c r="B38" s="34" t="s">
        <v>1706</v>
      </c>
      <c r="C38" s="35" t="s">
        <v>88</v>
      </c>
      <c r="D38" s="34" t="s">
        <v>1780</v>
      </c>
      <c r="E38" s="11" t="str">
        <f>HYPERLINK("https://youtu.be/odZGuyiJikI?t=5726","channel 2")</f>
        <v>channel 2</v>
      </c>
    </row>
    <row r="39">
      <c r="A39" s="66"/>
      <c r="B39" s="8" t="s">
        <v>3346</v>
      </c>
      <c r="C39" s="35" t="s">
        <v>71</v>
      </c>
      <c r="D39" s="34" t="s">
        <v>2936</v>
      </c>
      <c r="E39" s="11" t="str">
        <f>HYPERLINK("https://youtu.be/g7_AQXrHarc?t=6670","channel 1")</f>
        <v>channel 1</v>
      </c>
    </row>
    <row r="40">
      <c r="A40" s="66"/>
      <c r="B40" s="34" t="s">
        <v>3096</v>
      </c>
      <c r="C40" s="35" t="s">
        <v>426</v>
      </c>
      <c r="D40" s="34" t="s">
        <v>1780</v>
      </c>
      <c r="E40" s="11" t="str">
        <f>HYPERLINK("https://youtu.be/odZGuyiJikI?t=6689","channel 2")</f>
        <v>channel 2</v>
      </c>
    </row>
    <row r="41">
      <c r="A41" s="66"/>
      <c r="B41" s="34" t="s">
        <v>1706</v>
      </c>
      <c r="C41" s="35" t="s">
        <v>82</v>
      </c>
      <c r="D41" s="34" t="s">
        <v>2936</v>
      </c>
      <c r="E41" s="11" t="str">
        <f>HYPERLINK("https://youtu.be/g7_AQXrHarc?t=7640","channel 1")</f>
        <v>channel 1</v>
      </c>
    </row>
    <row r="42">
      <c r="A42" s="66"/>
      <c r="B42" s="34" t="s">
        <v>3096</v>
      </c>
      <c r="C42" s="35" t="s">
        <v>67</v>
      </c>
      <c r="D42" s="8" t="s">
        <v>3346</v>
      </c>
      <c r="E42" s="11" t="str">
        <f>HYPERLINK("https://youtu.be/odZGuyiJikI?t=7642","channel 2")</f>
        <v>channel 2</v>
      </c>
    </row>
    <row r="43">
      <c r="A43" s="66"/>
      <c r="B43" s="34" t="s">
        <v>1780</v>
      </c>
      <c r="C43" s="35" t="s">
        <v>218</v>
      </c>
      <c r="D43" s="34" t="s">
        <v>2936</v>
      </c>
      <c r="E43" s="11" t="str">
        <f>HYPERLINK("https://youtu.be/g7_AQXrHarc?t=8535","channel 1")</f>
        <v>channel 1</v>
      </c>
    </row>
    <row r="44">
      <c r="A44" s="67"/>
      <c r="B44" s="34" t="s">
        <v>1706</v>
      </c>
      <c r="C44" s="35" t="s">
        <v>578</v>
      </c>
      <c r="D44" s="8" t="s">
        <v>3346</v>
      </c>
      <c r="E44" s="11" t="str">
        <f>HYPERLINK("https://youtu.be/odZGuyiJikI?t=8619","channel 2")</f>
        <v>channel 2</v>
      </c>
    </row>
    <row r="45">
      <c r="B45" s="72" t="s">
        <v>3347</v>
      </c>
      <c r="C45" s="2"/>
      <c r="D45" s="3"/>
      <c r="E45" s="2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34" t="s">
        <v>3348</v>
      </c>
      <c r="C47" s="33" t="s">
        <v>488</v>
      </c>
      <c r="D47" s="34" t="s">
        <v>2438</v>
      </c>
      <c r="E47" s="11" t="str">
        <f>HYPERLINK("https://youtu.be/NemgdXXl-2U","channel 1")</f>
        <v>channel 1</v>
      </c>
    </row>
    <row r="48">
      <c r="B48" s="34" t="s">
        <v>3349</v>
      </c>
      <c r="C48" s="33" t="s">
        <v>297</v>
      </c>
      <c r="D48" s="32" t="s">
        <v>869</v>
      </c>
      <c r="E48" s="11" t="str">
        <f>HYPERLINK("https://youtu.be/hpIfV-DOnTU","channel 2")</f>
        <v>channel 2</v>
      </c>
    </row>
    <row r="49">
      <c r="B49" s="34" t="s">
        <v>3350</v>
      </c>
      <c r="C49" s="33" t="s">
        <v>261</v>
      </c>
      <c r="D49" s="34" t="s">
        <v>3348</v>
      </c>
      <c r="E49" s="11" t="str">
        <f>HYPERLINK("https://youtu.be/NemgdXXl-2U?t=924","channel 1")</f>
        <v>channel 1</v>
      </c>
    </row>
    <row r="50">
      <c r="B50" s="34" t="s">
        <v>3349</v>
      </c>
      <c r="C50" s="33" t="s">
        <v>25</v>
      </c>
      <c r="D50" s="34" t="s">
        <v>2438</v>
      </c>
      <c r="E50" s="11" t="str">
        <f>HYPERLINK("https://youtu.be/hpIfV-DOnTU?t=1100","channel 2")</f>
        <v>channel 2</v>
      </c>
    </row>
    <row r="51">
      <c r="B51" s="34" t="s">
        <v>3350</v>
      </c>
      <c r="C51" s="33" t="s">
        <v>55</v>
      </c>
      <c r="D51" s="32" t="s">
        <v>869</v>
      </c>
      <c r="E51" s="11" t="str">
        <f>HYPERLINK("https://youtu.be/NemgdXXl-2U?t=1874","channel 1")</f>
        <v>channel 1</v>
      </c>
    </row>
    <row r="52">
      <c r="B52" s="34" t="s">
        <v>3349</v>
      </c>
      <c r="C52" s="33" t="s">
        <v>190</v>
      </c>
      <c r="D52" s="34" t="s">
        <v>3348</v>
      </c>
      <c r="E52" s="11" t="str">
        <f>HYPERLINK("https://youtu.be/hpIfV-DOnTU?t=2008","channel 2")</f>
        <v>channel 2</v>
      </c>
    </row>
    <row r="53">
      <c r="B53" s="34" t="s">
        <v>3350</v>
      </c>
      <c r="C53" s="33" t="s">
        <v>197</v>
      </c>
      <c r="D53" s="34" t="s">
        <v>2438</v>
      </c>
      <c r="E53" s="11" t="str">
        <f>HYPERLINK("https://youtu.be/NemgdXXl-2U?t=2738","channel 1")</f>
        <v>channel 1</v>
      </c>
    </row>
    <row r="54">
      <c r="B54" s="32" t="s">
        <v>869</v>
      </c>
      <c r="C54" s="33" t="s">
        <v>70</v>
      </c>
      <c r="D54" s="34" t="s">
        <v>3348</v>
      </c>
      <c r="E54" s="11" t="str">
        <f>HYPERLINK("https://youtu.be/hpIfV-DOnTU?t=2869","channel 2")</f>
        <v>channel 2</v>
      </c>
    </row>
    <row r="55">
      <c r="B55" s="34" t="s">
        <v>3350</v>
      </c>
      <c r="C55" s="33" t="s">
        <v>426</v>
      </c>
      <c r="D55" s="34" t="s">
        <v>3349</v>
      </c>
      <c r="E55" s="11" t="str">
        <f>HYPERLINK("https://youtu.be/NemgdXXl-2U?t=3670","channel 1")</f>
        <v>channel 1</v>
      </c>
    </row>
    <row r="56">
      <c r="B56" s="32" t="s">
        <v>869</v>
      </c>
      <c r="C56" s="33" t="s">
        <v>1068</v>
      </c>
      <c r="D56" s="34" t="s">
        <v>2438</v>
      </c>
      <c r="E56" s="11" t="str">
        <f>HYPERLINK("https://youtu.be/hpIfV-DOnTU?t=3786","channel 2")</f>
        <v>channel 2</v>
      </c>
    </row>
    <row r="57">
      <c r="B57" s="34" t="s">
        <v>2438</v>
      </c>
      <c r="C57" s="33" t="s">
        <v>72</v>
      </c>
      <c r="D57" s="34" t="s">
        <v>3348</v>
      </c>
      <c r="E57" s="11" t="str">
        <f>HYPERLINK("https://youtu.be/NemgdXXl-2U?t=4642","channel 1")</f>
        <v>channel 1</v>
      </c>
    </row>
    <row r="58">
      <c r="B58" s="32" t="s">
        <v>869</v>
      </c>
      <c r="C58" s="57" t="s">
        <v>449</v>
      </c>
      <c r="D58" s="34" t="s">
        <v>3349</v>
      </c>
      <c r="E58" s="99" t="s">
        <v>13</v>
      </c>
    </row>
    <row r="59">
      <c r="B59" s="34" t="s">
        <v>3348</v>
      </c>
      <c r="C59" s="35" t="s">
        <v>72</v>
      </c>
      <c r="D59" s="34" t="s">
        <v>3350</v>
      </c>
      <c r="E59" s="11" t="str">
        <f>HYPERLINK("https://youtu.be/NemgdXXl-2U?t=5522","channel 1")</f>
        <v>channel 1</v>
      </c>
    </row>
    <row r="60">
      <c r="B60" s="34" t="s">
        <v>2438</v>
      </c>
      <c r="C60" s="57" t="s">
        <v>449</v>
      </c>
      <c r="D60" s="34" t="s">
        <v>3349</v>
      </c>
      <c r="E60" s="99" t="s">
        <v>13</v>
      </c>
    </row>
    <row r="61">
      <c r="B61" s="32" t="s">
        <v>869</v>
      </c>
      <c r="C61" s="35" t="s">
        <v>390</v>
      </c>
      <c r="D61" s="34" t="s">
        <v>3350</v>
      </c>
      <c r="E61" s="11" t="str">
        <f>HYPERLINK("https://youtu.be/NemgdXXl-2U?t=6426","channel 1")</f>
        <v>channel 1</v>
      </c>
    </row>
    <row r="62">
      <c r="B62" s="34" t="s">
        <v>3348</v>
      </c>
      <c r="C62" s="57" t="s">
        <v>449</v>
      </c>
      <c r="D62" s="34" t="s">
        <v>3349</v>
      </c>
      <c r="E62" s="99" t="s">
        <v>13</v>
      </c>
    </row>
    <row r="63">
      <c r="B63" s="34" t="s">
        <v>2438</v>
      </c>
      <c r="C63" s="35" t="s">
        <v>267</v>
      </c>
      <c r="D63" s="34" t="s">
        <v>3350</v>
      </c>
      <c r="E63" s="11" t="str">
        <f>HYPERLINK("https://youtu.be/NemgdXXl-2U?t=7306","channel 1")</f>
        <v>channel 1</v>
      </c>
    </row>
    <row r="64">
      <c r="B64" s="34" t="s">
        <v>3348</v>
      </c>
      <c r="C64" s="35" t="s">
        <v>286</v>
      </c>
      <c r="D64" s="32" t="s">
        <v>869</v>
      </c>
      <c r="E64" s="11" t="str">
        <f>HYPERLINK("https://youtu.be/hpIfV-DOnTU?t=7469","channel 2")</f>
        <v>channel 2</v>
      </c>
    </row>
    <row r="65">
      <c r="B65" s="34" t="s">
        <v>3349</v>
      </c>
      <c r="C65" s="57" t="s">
        <v>449</v>
      </c>
      <c r="D65" s="34" t="s">
        <v>3350</v>
      </c>
      <c r="E65" s="99" t="s">
        <v>9</v>
      </c>
    </row>
    <row r="66">
      <c r="B66" s="34" t="s">
        <v>2438</v>
      </c>
      <c r="C66" s="35" t="s">
        <v>70</v>
      </c>
      <c r="D66" s="32" t="s">
        <v>869</v>
      </c>
      <c r="E66" s="11" t="str">
        <f>HYPERLINK("https://youtu.be/hpIfV-DOnTU?t=8321","channel 2")</f>
        <v>channel 2</v>
      </c>
    </row>
    <row r="67">
      <c r="B67" s="72" t="s">
        <v>2308</v>
      </c>
      <c r="C67" s="2"/>
      <c r="D67" s="3"/>
      <c r="E67" s="29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34" t="s">
        <v>3351</v>
      </c>
      <c r="C69" s="33" t="s">
        <v>435</v>
      </c>
      <c r="D69" s="34" t="s">
        <v>1479</v>
      </c>
      <c r="E69" s="11" t="str">
        <f>HYPERLINK("https://youtu.be/tG3zan3jmOE","channel 1")</f>
        <v>channel 1</v>
      </c>
    </row>
    <row r="70">
      <c r="B70" s="34" t="s">
        <v>3352</v>
      </c>
      <c r="C70" s="57" t="s">
        <v>449</v>
      </c>
      <c r="D70" s="32" t="s">
        <v>3353</v>
      </c>
      <c r="E70" s="99" t="s">
        <v>13</v>
      </c>
    </row>
    <row r="71">
      <c r="B71" s="34" t="s">
        <v>3354</v>
      </c>
      <c r="C71" s="33" t="s">
        <v>218</v>
      </c>
      <c r="D71" s="34" t="s">
        <v>3351</v>
      </c>
      <c r="E71" s="11" t="str">
        <f>HYPERLINK("https://youtu.be/tG3zan3jmOE?t=1097","channel 1")</f>
        <v>channel 1</v>
      </c>
    </row>
    <row r="72">
      <c r="B72" s="34" t="s">
        <v>3352</v>
      </c>
      <c r="C72" s="57" t="s">
        <v>449</v>
      </c>
      <c r="D72" s="34" t="s">
        <v>1479</v>
      </c>
      <c r="E72" s="99" t="s">
        <v>13</v>
      </c>
    </row>
    <row r="73">
      <c r="B73" s="34" t="s">
        <v>3354</v>
      </c>
      <c r="C73" s="33" t="s">
        <v>282</v>
      </c>
      <c r="D73" s="32" t="s">
        <v>3353</v>
      </c>
      <c r="E73" s="11" t="str">
        <f>HYPERLINK("https://youtu.be/tG3zan3jmOE?t=2003","channel 1")</f>
        <v>channel 1</v>
      </c>
    </row>
    <row r="74">
      <c r="B74" s="34" t="s">
        <v>3352</v>
      </c>
      <c r="C74" s="57" t="s">
        <v>449</v>
      </c>
      <c r="D74" s="34" t="s">
        <v>3351</v>
      </c>
      <c r="E74" s="99" t="s">
        <v>13</v>
      </c>
    </row>
    <row r="75">
      <c r="B75" s="34" t="s">
        <v>3354</v>
      </c>
      <c r="C75" s="33" t="s">
        <v>472</v>
      </c>
      <c r="D75" s="34" t="s">
        <v>1479</v>
      </c>
      <c r="E75" s="11" t="str">
        <f>HYPERLINK("https://youtu.be/tG3zan3jmOE?t=2889","channel 1")</f>
        <v>channel 1</v>
      </c>
    </row>
    <row r="76">
      <c r="B76" s="32" t="s">
        <v>3353</v>
      </c>
      <c r="C76" s="35" t="s">
        <v>312</v>
      </c>
      <c r="D76" s="34" t="s">
        <v>3351</v>
      </c>
      <c r="E76" s="11" t="str">
        <f>HYPERLINK("https://youtu.be/1r9u3DSKOlc","channel 2")</f>
        <v>channel 2</v>
      </c>
    </row>
    <row r="77">
      <c r="B77" s="34" t="s">
        <v>3354</v>
      </c>
      <c r="C77" s="57" t="s">
        <v>449</v>
      </c>
      <c r="D77" s="34" t="s">
        <v>3352</v>
      </c>
      <c r="E77" s="99" t="s">
        <v>9</v>
      </c>
    </row>
    <row r="78">
      <c r="B78" s="32" t="s">
        <v>3353</v>
      </c>
      <c r="C78" s="35" t="s">
        <v>220</v>
      </c>
      <c r="D78" s="34" t="s">
        <v>1479</v>
      </c>
      <c r="E78" s="11" t="str">
        <f>HYPERLINK("https://youtu.be/1r9u3DSKOlc?t=949","channel 2")</f>
        <v>channel 2</v>
      </c>
    </row>
    <row r="79">
      <c r="B79" s="34" t="s">
        <v>1479</v>
      </c>
      <c r="C79" s="35" t="s">
        <v>239</v>
      </c>
      <c r="D79" s="34" t="s">
        <v>3351</v>
      </c>
      <c r="E79" s="11" t="str">
        <f>HYPERLINK("https://youtu.be/tG3zan3jmOE?t=4715","channel 1")</f>
        <v>channel 1</v>
      </c>
    </row>
    <row r="80">
      <c r="B80" s="32" t="s">
        <v>3353</v>
      </c>
      <c r="C80" s="35" t="s">
        <v>64</v>
      </c>
      <c r="D80" s="34" t="s">
        <v>3352</v>
      </c>
      <c r="E80" s="11" t="str">
        <f>HYPERLINK("https://youtu.be/1r9u3DSKOlc?t=1886","channel 2")</f>
        <v>channel 2</v>
      </c>
    </row>
    <row r="81">
      <c r="B81" s="34" t="s">
        <v>3351</v>
      </c>
      <c r="C81" s="35" t="s">
        <v>239</v>
      </c>
      <c r="D81" s="34" t="s">
        <v>3354</v>
      </c>
      <c r="E81" s="11" t="str">
        <f>HYPERLINK("https://youtu.be/tG3zan3jmOE?t=5647","channel 1")</f>
        <v>channel 1</v>
      </c>
    </row>
    <row r="82">
      <c r="B82" s="34" t="s">
        <v>1479</v>
      </c>
      <c r="C82" s="35" t="s">
        <v>488</v>
      </c>
      <c r="D82" s="34" t="s">
        <v>3352</v>
      </c>
      <c r="E82" s="11" t="str">
        <f>HYPERLINK("https://youtu.be/1r9u3DSKOlc?t=2806","channel 2")</f>
        <v>channel 2</v>
      </c>
    </row>
    <row r="83">
      <c r="B83" s="32" t="s">
        <v>3353</v>
      </c>
      <c r="C83" s="35" t="s">
        <v>14</v>
      </c>
      <c r="D83" s="34" t="s">
        <v>3354</v>
      </c>
      <c r="E83" s="11" t="str">
        <f>HYPERLINK("https://youtu.be/tG3zan3jmOE?t=6564","channel 1")</f>
        <v>channel 1</v>
      </c>
    </row>
    <row r="84">
      <c r="B84" s="34" t="s">
        <v>3351</v>
      </c>
      <c r="C84" s="35" t="s">
        <v>1953</v>
      </c>
      <c r="D84" s="34" t="s">
        <v>3352</v>
      </c>
      <c r="E84" s="11" t="str">
        <f>HYPERLINK("https://youtu.be/1r9u3DSKOlc?t=3685","channel 2")</f>
        <v>channel 2</v>
      </c>
    </row>
    <row r="85">
      <c r="B85" s="34" t="s">
        <v>1479</v>
      </c>
      <c r="C85" s="35" t="s">
        <v>551</v>
      </c>
      <c r="D85" s="34" t="s">
        <v>3354</v>
      </c>
      <c r="E85" s="11" t="str">
        <f>HYPERLINK("https://youtu.be/tG3zan3jmOE?t=7456","channel 1")</f>
        <v>channel 1</v>
      </c>
    </row>
    <row r="86">
      <c r="B86" s="34" t="s">
        <v>3351</v>
      </c>
      <c r="C86" s="35" t="s">
        <v>21</v>
      </c>
      <c r="D86" s="32" t="s">
        <v>3353</v>
      </c>
      <c r="E86" s="11" t="str">
        <f>HYPERLINK("https://youtu.be/1r9u3DSKOlc?t=4697","channel 2")</f>
        <v>channel 2</v>
      </c>
    </row>
    <row r="87">
      <c r="B87" s="34" t="s">
        <v>3352</v>
      </c>
      <c r="C87" s="35" t="s">
        <v>83</v>
      </c>
      <c r="D87" s="34" t="s">
        <v>3354</v>
      </c>
      <c r="E87" s="11" t="str">
        <f>HYPERLINK("https://youtu.be/tG3zan3jmOE?t=8395","channel 1")</f>
        <v>channel 1</v>
      </c>
    </row>
    <row r="88">
      <c r="B88" s="34" t="s">
        <v>1479</v>
      </c>
      <c r="C88" s="35" t="s">
        <v>11</v>
      </c>
      <c r="D88" s="32" t="s">
        <v>3353</v>
      </c>
      <c r="E88" s="11" t="str">
        <f>HYPERLINK("https://youtu.be/1r9u3DSKOlc?t=5583","channel 2")</f>
        <v>channel 2</v>
      </c>
    </row>
    <row r="89">
      <c r="B89" s="72" t="s">
        <v>2597</v>
      </c>
      <c r="C89" s="2"/>
      <c r="D89" s="3"/>
      <c r="E89" s="29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34" t="s">
        <v>3132</v>
      </c>
      <c r="C91" s="35" t="s">
        <v>319</v>
      </c>
      <c r="D91" s="34" t="s">
        <v>1530</v>
      </c>
      <c r="E91" s="11" t="str">
        <f>HYPERLINK("https://youtu.be/h4UXtG0fmrc","channel 3")</f>
        <v>channel 3</v>
      </c>
    </row>
    <row r="92">
      <c r="B92" s="34" t="s">
        <v>3225</v>
      </c>
      <c r="C92" s="35" t="s">
        <v>18</v>
      </c>
      <c r="D92" s="32" t="s">
        <v>3291</v>
      </c>
      <c r="E92" s="11" t="str">
        <f>HYPERLINK("https://youtu.be/mQzLDqa_tjY","channel 4")</f>
        <v>channel 4</v>
      </c>
    </row>
    <row r="93">
      <c r="B93" s="34" t="s">
        <v>2926</v>
      </c>
      <c r="C93" s="35" t="s">
        <v>285</v>
      </c>
      <c r="D93" s="34" t="s">
        <v>3132</v>
      </c>
      <c r="E93" s="11" t="str">
        <f>HYPERLINK("https://youtu.be/h4UXtG0fmrc?t=1025","channel 3")</f>
        <v>channel 3</v>
      </c>
    </row>
    <row r="94">
      <c r="B94" s="34" t="s">
        <v>3225</v>
      </c>
      <c r="C94" s="35" t="s">
        <v>3355</v>
      </c>
      <c r="D94" s="34" t="s">
        <v>1530</v>
      </c>
      <c r="E94" s="11" t="str">
        <f>HYPERLINK("https://youtu.be/mQzLDqa_tjY?t=1236","channel 4")</f>
        <v>channel 4</v>
      </c>
    </row>
    <row r="95">
      <c r="B95" s="34" t="s">
        <v>2926</v>
      </c>
      <c r="C95" s="35" t="s">
        <v>217</v>
      </c>
      <c r="D95" s="32" t="s">
        <v>3291</v>
      </c>
      <c r="E95" s="11" t="str">
        <f>HYPERLINK("https://youtu.be/h4UXtG0fmrc?t=1923","channel 3")</f>
        <v>channel 3</v>
      </c>
    </row>
    <row r="96">
      <c r="B96" s="34" t="s">
        <v>3225</v>
      </c>
      <c r="C96" s="35" t="s">
        <v>18</v>
      </c>
      <c r="D96" s="34" t="s">
        <v>3132</v>
      </c>
      <c r="E96" s="11" t="str">
        <f>HYPERLINK("https://youtu.be/mQzLDqa_tjY?t=2230","channel 4")</f>
        <v>channel 4</v>
      </c>
    </row>
    <row r="97">
      <c r="B97" s="34" t="s">
        <v>2926</v>
      </c>
      <c r="C97" s="35" t="s">
        <v>378</v>
      </c>
      <c r="D97" s="34" t="s">
        <v>1530</v>
      </c>
      <c r="E97" s="11" t="str">
        <f>HYPERLINK("https://youtu.be/h4UXtG0fmrc?t=2950","channel 3")</f>
        <v>channel 3</v>
      </c>
    </row>
    <row r="98">
      <c r="B98" s="32" t="s">
        <v>3291</v>
      </c>
      <c r="C98" s="35" t="s">
        <v>44</v>
      </c>
      <c r="D98" s="34" t="s">
        <v>3132</v>
      </c>
      <c r="E98" s="11" t="str">
        <f>HYPERLINK("https://youtu.be/mQzLDqa_tjY?t=3157","channel 4")</f>
        <v>channel 4</v>
      </c>
    </row>
    <row r="99">
      <c r="B99" s="34" t="s">
        <v>2926</v>
      </c>
      <c r="C99" s="35" t="s">
        <v>66</v>
      </c>
      <c r="D99" s="34" t="s">
        <v>3225</v>
      </c>
      <c r="E99" s="11" t="str">
        <f>HYPERLINK("https://youtu.be/h4UXtG0fmrc?t=3877","channel 3")</f>
        <v>channel 3</v>
      </c>
    </row>
    <row r="100">
      <c r="B100" s="32" t="s">
        <v>3291</v>
      </c>
      <c r="C100" s="35" t="s">
        <v>1392</v>
      </c>
      <c r="D100" s="34" t="s">
        <v>1530</v>
      </c>
      <c r="E100" s="11" t="str">
        <f>HYPERLINK("https://youtu.be/mQzLDqa_tjY?t=4055","channel 4")</f>
        <v>channel 4</v>
      </c>
    </row>
    <row r="101">
      <c r="B101" s="34" t="s">
        <v>1530</v>
      </c>
      <c r="C101" s="35" t="s">
        <v>212</v>
      </c>
      <c r="D101" s="34" t="s">
        <v>3132</v>
      </c>
      <c r="E101" s="11" t="str">
        <f>HYPERLINK("https://youtu.be/h4UXtG0fmrc?t=4810","channel 3")</f>
        <v>channel 3</v>
      </c>
    </row>
    <row r="102">
      <c r="B102" s="32" t="s">
        <v>3291</v>
      </c>
      <c r="C102" s="35" t="s">
        <v>190</v>
      </c>
      <c r="D102" s="34" t="s">
        <v>3225</v>
      </c>
      <c r="E102" s="11" t="str">
        <f>HYPERLINK("https://youtu.be/mQzLDqa_tjY?t=4982","channel 4")</f>
        <v>channel 4</v>
      </c>
    </row>
    <row r="103">
      <c r="B103" s="34" t="s">
        <v>3132</v>
      </c>
      <c r="C103" s="35" t="s">
        <v>414</v>
      </c>
      <c r="D103" s="34" t="s">
        <v>2926</v>
      </c>
      <c r="E103" s="11" t="str">
        <f>HYPERLINK("https://youtu.be/h4UXtG0fmrc?t=5710","channel 3")</f>
        <v>channel 3</v>
      </c>
    </row>
    <row r="104">
      <c r="B104" s="34" t="s">
        <v>1530</v>
      </c>
      <c r="C104" s="35" t="s">
        <v>42</v>
      </c>
      <c r="D104" s="34" t="s">
        <v>3225</v>
      </c>
      <c r="E104" s="11" t="str">
        <f>HYPERLINK("https://youtu.be/mQzLDqa_tjY?t=5878","channel 4")</f>
        <v>channel 4</v>
      </c>
    </row>
    <row r="105">
      <c r="B105" s="32" t="s">
        <v>3291</v>
      </c>
      <c r="C105" s="35" t="s">
        <v>466</v>
      </c>
      <c r="D105" s="34" t="s">
        <v>2926</v>
      </c>
      <c r="E105" s="11" t="str">
        <f>HYPERLINK("https://youtu.be/h4UXtG0fmrc?t=6643","channel 3")</f>
        <v>channel 3</v>
      </c>
    </row>
    <row r="106">
      <c r="B106" s="34" t="s">
        <v>3132</v>
      </c>
      <c r="C106" s="35" t="s">
        <v>260</v>
      </c>
      <c r="D106" s="34" t="s">
        <v>3225</v>
      </c>
      <c r="E106" s="11" t="str">
        <f>HYPERLINK("https://youtu.be/mQzLDqa_tjY?t=6851","channel 4")</f>
        <v>channel 4</v>
      </c>
    </row>
    <row r="107">
      <c r="B107" s="34" t="s">
        <v>1530</v>
      </c>
      <c r="C107" s="35" t="s">
        <v>19</v>
      </c>
      <c r="D107" s="34" t="s">
        <v>2926</v>
      </c>
      <c r="E107" s="11" t="str">
        <f>HYPERLINK("https://youtu.be/h4UXtG0fmrc?t=7563","channel 3")</f>
        <v>channel 3</v>
      </c>
    </row>
    <row r="108">
      <c r="B108" s="34" t="s">
        <v>3132</v>
      </c>
      <c r="C108" s="35" t="s">
        <v>197</v>
      </c>
      <c r="D108" s="32" t="s">
        <v>3291</v>
      </c>
      <c r="E108" s="11" t="str">
        <f>HYPERLINK("https://youtu.be/mQzLDqa_tjY?t=7765","channel 4")</f>
        <v>channel 4</v>
      </c>
    </row>
    <row r="109">
      <c r="B109" s="34" t="s">
        <v>3225</v>
      </c>
      <c r="C109" s="35" t="s">
        <v>1953</v>
      </c>
      <c r="D109" s="34" t="s">
        <v>2926</v>
      </c>
      <c r="E109" s="11" t="str">
        <f>HYPERLINK("https://youtu.be/h4UXtG0fmrc?t=8489","channel 3")</f>
        <v>channel 3</v>
      </c>
    </row>
    <row r="110">
      <c r="B110" s="34" t="s">
        <v>1530</v>
      </c>
      <c r="C110" s="35" t="s">
        <v>947</v>
      </c>
      <c r="D110" s="32" t="s">
        <v>3291</v>
      </c>
      <c r="E110" s="11" t="str">
        <f>HYPERLINK("https://youtu.be/mQzLDqa_tjY?t=8693","channel 4")</f>
        <v>channel 4</v>
      </c>
    </row>
    <row r="111">
      <c r="B111" s="72" t="s">
        <v>2861</v>
      </c>
      <c r="C111" s="2"/>
      <c r="D111" s="3"/>
      <c r="E111" s="29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34" t="s">
        <v>3356</v>
      </c>
      <c r="C113" s="33" t="s">
        <v>83</v>
      </c>
      <c r="D113" s="34" t="s">
        <v>2722</v>
      </c>
      <c r="E113" s="103" t="str">
        <f>HYPERLINK("https://youtu.be/JhZb9Hm72gU","channel 3")</f>
        <v>channel 3</v>
      </c>
    </row>
    <row r="114">
      <c r="B114" s="34" t="s">
        <v>474</v>
      </c>
      <c r="C114" s="33" t="s">
        <v>614</v>
      </c>
      <c r="D114" s="32" t="s">
        <v>2011</v>
      </c>
      <c r="E114" s="104" t="str">
        <f>HYPERLINK("https://youtu.be/o1GHNorN8CM?t=15","channel 4")</f>
        <v>channel 4</v>
      </c>
    </row>
    <row r="115">
      <c r="B115" s="34" t="s">
        <v>1104</v>
      </c>
      <c r="C115" s="33" t="s">
        <v>481</v>
      </c>
      <c r="D115" s="34" t="s">
        <v>3356</v>
      </c>
      <c r="E115" s="11" t="str">
        <f>HYPERLINK("https://youtu.be/JhZb9Hm72gU?t=968","channel 3")</f>
        <v>channel 3</v>
      </c>
    </row>
    <row r="116">
      <c r="B116" s="34" t="s">
        <v>474</v>
      </c>
      <c r="C116" s="33" t="s">
        <v>82</v>
      </c>
      <c r="D116" s="34" t="s">
        <v>2722</v>
      </c>
      <c r="E116" s="11" t="str">
        <f>HYPERLINK("https://youtu.be/o1GHNorN8CM?t=935","channel 4")</f>
        <v>channel 4</v>
      </c>
    </row>
    <row r="117">
      <c r="B117" s="34" t="s">
        <v>1104</v>
      </c>
      <c r="C117" s="33" t="s">
        <v>488</v>
      </c>
      <c r="D117" s="32" t="s">
        <v>2011</v>
      </c>
      <c r="E117" s="11" t="str">
        <f>HYPERLINK("https://youtu.be/JhZb9Hm72gU?t=1913","channel 3")</f>
        <v>channel 3</v>
      </c>
    </row>
    <row r="118">
      <c r="B118" s="34" t="s">
        <v>474</v>
      </c>
      <c r="C118" s="33" t="s">
        <v>285</v>
      </c>
      <c r="D118" s="34" t="s">
        <v>3356</v>
      </c>
      <c r="E118" s="11" t="str">
        <f>HYPERLINK("https://youtu.be/o1GHNorN8CM?t=1868","channel 4")</f>
        <v>channel 4</v>
      </c>
    </row>
    <row r="119">
      <c r="B119" s="34" t="s">
        <v>1104</v>
      </c>
      <c r="C119" s="33" t="s">
        <v>45</v>
      </c>
      <c r="D119" s="34" t="s">
        <v>2722</v>
      </c>
      <c r="E119" s="11" t="str">
        <f>HYPERLINK("https://youtu.be/JhZb9Hm72gU?t=2815","channel 3")</f>
        <v>channel 3</v>
      </c>
    </row>
    <row r="120">
      <c r="B120" s="32" t="s">
        <v>2011</v>
      </c>
      <c r="C120" s="33" t="s">
        <v>352</v>
      </c>
      <c r="D120" s="34" t="s">
        <v>3356</v>
      </c>
      <c r="E120" s="11" t="str">
        <f>HYPERLINK("https://youtu.be/o1GHNorN8CM?t=2722","channel 4")</f>
        <v>channel 4</v>
      </c>
    </row>
    <row r="121">
      <c r="B121" s="34" t="s">
        <v>1104</v>
      </c>
      <c r="C121" s="33" t="s">
        <v>88</v>
      </c>
      <c r="D121" s="34" t="s">
        <v>474</v>
      </c>
      <c r="E121" s="11" t="str">
        <f>HYPERLINK("https://youtu.be/JhZb9Hm72gU?t=3757","channel 3")</f>
        <v>channel 3</v>
      </c>
    </row>
    <row r="122">
      <c r="B122" s="32" t="s">
        <v>2011</v>
      </c>
      <c r="C122" s="33" t="s">
        <v>284</v>
      </c>
      <c r="D122" s="34" t="s">
        <v>2722</v>
      </c>
      <c r="E122" s="11" t="str">
        <f>HYPERLINK("https://youtu.be/o1GHNorN8CM?t=3585","channel 4")</f>
        <v>channel 4</v>
      </c>
    </row>
    <row r="123">
      <c r="B123" s="34" t="s">
        <v>2722</v>
      </c>
      <c r="C123" s="33" t="s">
        <v>58</v>
      </c>
      <c r="D123" s="34" t="s">
        <v>3356</v>
      </c>
      <c r="E123" s="11" t="str">
        <f>HYPERLINK("https://youtu.be/JhZb9Hm72gU?t=4690","channel 3")</f>
        <v>channel 3</v>
      </c>
    </row>
    <row r="124">
      <c r="B124" s="32" t="s">
        <v>2011</v>
      </c>
      <c r="C124" s="33" t="s">
        <v>23</v>
      </c>
      <c r="D124" s="34" t="s">
        <v>474</v>
      </c>
      <c r="E124" s="11" t="str">
        <f>HYPERLINK("https://youtu.be/o1GHNorN8CM?t=4574","channel 4")</f>
        <v>channel 4</v>
      </c>
    </row>
    <row r="125">
      <c r="B125" s="34" t="s">
        <v>3356</v>
      </c>
      <c r="C125" s="35" t="s">
        <v>82</v>
      </c>
      <c r="D125" s="34" t="s">
        <v>1104</v>
      </c>
      <c r="E125" s="11" t="str">
        <f>HYPERLINK("https://youtu.be/JhZb9Hm72gU?t=5616","channel 3")</f>
        <v>channel 3</v>
      </c>
    </row>
    <row r="126">
      <c r="B126" s="34" t="s">
        <v>2722</v>
      </c>
      <c r="C126" s="35" t="s">
        <v>83</v>
      </c>
      <c r="D126" s="34" t="s">
        <v>474</v>
      </c>
      <c r="E126" s="11" t="str">
        <f>HYPERLINK("https://youtu.be/o1GHNorN8CM?t=5531","channel 4")</f>
        <v>channel 4</v>
      </c>
    </row>
    <row r="127">
      <c r="B127" s="32" t="s">
        <v>2011</v>
      </c>
      <c r="C127" s="35" t="s">
        <v>534</v>
      </c>
      <c r="D127" s="34" t="s">
        <v>1104</v>
      </c>
      <c r="E127" s="11" t="str">
        <f>HYPERLINK("https://youtu.be/JhZb9Hm72gU?t=6543","channel 3")</f>
        <v>channel 3</v>
      </c>
    </row>
    <row r="128">
      <c r="B128" s="34" t="s">
        <v>3356</v>
      </c>
      <c r="C128" s="35" t="s">
        <v>357</v>
      </c>
      <c r="D128" s="34" t="s">
        <v>474</v>
      </c>
      <c r="E128" s="11" t="str">
        <f>HYPERLINK("https://youtu.be/o1GHNorN8CM?t=6467","channel 4")</f>
        <v>channel 4</v>
      </c>
    </row>
    <row r="129">
      <c r="B129" s="34" t="s">
        <v>2722</v>
      </c>
      <c r="C129" s="35" t="s">
        <v>25</v>
      </c>
      <c r="D129" s="34" t="s">
        <v>1104</v>
      </c>
      <c r="E129" s="11" t="str">
        <f>HYPERLINK("https://youtu.be/JhZb9Hm72gU?t=7519","channel 3")</f>
        <v>channel 3</v>
      </c>
    </row>
    <row r="130">
      <c r="B130" s="34" t="s">
        <v>3356</v>
      </c>
      <c r="C130" s="35" t="s">
        <v>370</v>
      </c>
      <c r="D130" s="32" t="s">
        <v>2011</v>
      </c>
      <c r="E130" s="11" t="str">
        <f>HYPERLINK("https://youtu.be/o1GHNorN8CM?t=7384","channel 4")</f>
        <v>channel 4</v>
      </c>
    </row>
    <row r="131">
      <c r="B131" s="34" t="s">
        <v>474</v>
      </c>
      <c r="C131" s="35" t="s">
        <v>42</v>
      </c>
      <c r="D131" s="34" t="s">
        <v>1104</v>
      </c>
      <c r="E131" s="11" t="str">
        <f>HYPERLINK("https://youtu.be/JhZb9Hm72gU?t=8505","channel 3")</f>
        <v>channel 3</v>
      </c>
    </row>
    <row r="132">
      <c r="B132" s="34" t="s">
        <v>2722</v>
      </c>
      <c r="C132" s="35" t="s">
        <v>187</v>
      </c>
      <c r="D132" s="32" t="s">
        <v>2011</v>
      </c>
      <c r="E132" s="11" t="str">
        <f>HYPERLINK("https://youtu.be/o1GHNorN8CM?t=8278","channel 4")</f>
        <v>channel 4</v>
      </c>
    </row>
    <row r="133">
      <c r="B133" s="72" t="s">
        <v>3019</v>
      </c>
      <c r="C133" s="2"/>
      <c r="D133" s="3"/>
      <c r="E133" s="2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34" t="s">
        <v>3357</v>
      </c>
      <c r="C135" s="35" t="s">
        <v>25</v>
      </c>
      <c r="D135" s="34" t="s">
        <v>3358</v>
      </c>
      <c r="E135" s="11" t="str">
        <f>HYPERLINK("https://youtu.be/h7_Ry9UWtXQ","channel 1")</f>
        <v>channel 1</v>
      </c>
    </row>
    <row r="136">
      <c r="B136" s="34" t="s">
        <v>1995</v>
      </c>
      <c r="C136" s="35" t="s">
        <v>201</v>
      </c>
      <c r="D136" s="32" t="s">
        <v>1852</v>
      </c>
      <c r="E136" s="11" t="str">
        <f>HYPERLINK("https://youtu.be/Ov_RUiYKZow","channel 2")</f>
        <v>channel 2</v>
      </c>
    </row>
    <row r="137">
      <c r="B137" s="34" t="s">
        <v>3359</v>
      </c>
      <c r="C137" s="35" t="s">
        <v>24</v>
      </c>
      <c r="D137" s="34" t="s">
        <v>3357</v>
      </c>
      <c r="E137" s="11" t="str">
        <f>HYPERLINK("https://youtu.be/h7_Ry9UWtXQ?t=658","channel 1")</f>
        <v>channel 1</v>
      </c>
    </row>
    <row r="138">
      <c r="B138" s="34" t="s">
        <v>1995</v>
      </c>
      <c r="C138" s="35" t="s">
        <v>70</v>
      </c>
      <c r="D138" s="34" t="s">
        <v>3358</v>
      </c>
      <c r="E138" s="11" t="str">
        <f>HYPERLINK("https://youtu.be/Ov_RUiYKZow?t=1037","channel 2")</f>
        <v>channel 2</v>
      </c>
    </row>
    <row r="139">
      <c r="B139" s="34" t="s">
        <v>3359</v>
      </c>
      <c r="C139" s="35" t="s">
        <v>64</v>
      </c>
      <c r="D139" s="32" t="s">
        <v>1852</v>
      </c>
      <c r="E139" s="11" t="str">
        <f>HYPERLINK("https://youtu.be/h7_Ry9UWtXQ?t=1550","channel 1")</f>
        <v>channel 1</v>
      </c>
    </row>
    <row r="140">
      <c r="B140" s="34" t="s">
        <v>1995</v>
      </c>
      <c r="C140" s="35" t="s">
        <v>28</v>
      </c>
      <c r="D140" s="34" t="s">
        <v>3357</v>
      </c>
      <c r="E140" s="11" t="str">
        <f>HYPERLINK("https://youtu.be/Ov_RUiYKZow?t=2106","channel 2")</f>
        <v>channel 2</v>
      </c>
    </row>
    <row r="141">
      <c r="B141" s="34" t="s">
        <v>3359</v>
      </c>
      <c r="C141" s="35" t="s">
        <v>68</v>
      </c>
      <c r="D141" s="34" t="s">
        <v>3358</v>
      </c>
      <c r="E141" s="11" t="str">
        <f>HYPERLINK("https://youtu.be/h7_Ry9UWtXQ?t=2529","channel 1")</f>
        <v>channel 1</v>
      </c>
    </row>
    <row r="142">
      <c r="B142" s="32" t="s">
        <v>1852</v>
      </c>
      <c r="C142" s="35" t="s">
        <v>16</v>
      </c>
      <c r="D142" s="34" t="s">
        <v>3357</v>
      </c>
      <c r="E142" s="11" t="str">
        <f>HYPERLINK("https://youtu.be/Ov_RUiYKZow?t=2994","channel 2")</f>
        <v>channel 2</v>
      </c>
    </row>
    <row r="143">
      <c r="B143" s="34" t="s">
        <v>3359</v>
      </c>
      <c r="C143" s="35" t="s">
        <v>282</v>
      </c>
      <c r="D143" s="34" t="s">
        <v>1995</v>
      </c>
      <c r="E143" s="11" t="str">
        <f>HYPERLINK("https://youtu.be/h7_Ry9UWtXQ?t=3561","channel 1")</f>
        <v>channel 1</v>
      </c>
    </row>
    <row r="144">
      <c r="B144" s="32" t="s">
        <v>1852</v>
      </c>
      <c r="C144" s="35" t="s">
        <v>58</v>
      </c>
      <c r="D144" s="34" t="s">
        <v>3358</v>
      </c>
      <c r="E144" s="11" t="str">
        <f>HYPERLINK("https://youtu.be/Ov_RUiYKZow?t=3964","channel 2")</f>
        <v>channel 2</v>
      </c>
    </row>
    <row r="145">
      <c r="B145" s="34" t="s">
        <v>3358</v>
      </c>
      <c r="C145" s="35" t="s">
        <v>352</v>
      </c>
      <c r="D145" s="34" t="s">
        <v>3357</v>
      </c>
      <c r="E145" s="11" t="str">
        <f>HYPERLINK("https://youtu.be/h7_Ry9UWtXQ?t=4365","channel 1")</f>
        <v>channel 1</v>
      </c>
    </row>
    <row r="146">
      <c r="B146" s="32" t="s">
        <v>1852</v>
      </c>
      <c r="C146" s="35" t="s">
        <v>28</v>
      </c>
      <c r="D146" s="34" t="s">
        <v>1995</v>
      </c>
      <c r="E146" s="11" t="str">
        <f>HYPERLINK("https://youtu.be/Ov_RUiYKZow?t=4897","channel 2")</f>
        <v>channel 2</v>
      </c>
    </row>
    <row r="147">
      <c r="B147" s="34" t="s">
        <v>3357</v>
      </c>
      <c r="C147" s="35" t="s">
        <v>412</v>
      </c>
      <c r="D147" s="34" t="s">
        <v>3359</v>
      </c>
      <c r="E147" s="11" t="str">
        <f>HYPERLINK("https://youtu.be/h7_Ry9UWtXQ?t=5345","channel 1")</f>
        <v>channel 1</v>
      </c>
    </row>
    <row r="148">
      <c r="B148" s="34" t="s">
        <v>3358</v>
      </c>
      <c r="C148" s="35" t="s">
        <v>494</v>
      </c>
      <c r="D148" s="34" t="s">
        <v>1995</v>
      </c>
      <c r="E148" s="11" t="str">
        <f>HYPERLINK("https://youtu.be/Ov_RUiYKZow?t=5850","channel 2")</f>
        <v>channel 2</v>
      </c>
    </row>
    <row r="149">
      <c r="B149" s="32" t="s">
        <v>1852</v>
      </c>
      <c r="C149" s="35" t="s">
        <v>70</v>
      </c>
      <c r="D149" s="34" t="s">
        <v>3359</v>
      </c>
      <c r="E149" s="11" t="str">
        <f>HYPERLINK("https://youtu.be/h7_Ry9UWtXQ?t=6289","channel 1")</f>
        <v>channel 1</v>
      </c>
    </row>
    <row r="150">
      <c r="B150" s="34" t="s">
        <v>3357</v>
      </c>
      <c r="C150" s="35" t="s">
        <v>260</v>
      </c>
      <c r="D150" s="34" t="s">
        <v>1995</v>
      </c>
      <c r="E150" s="11" t="str">
        <f>HYPERLINK("https://youtu.be/Ov_RUiYKZow?t=6737","channel 2")</f>
        <v>channel 2</v>
      </c>
    </row>
    <row r="151">
      <c r="B151" s="34" t="s">
        <v>3358</v>
      </c>
      <c r="C151" s="35" t="s">
        <v>83</v>
      </c>
      <c r="D151" s="34" t="s">
        <v>3359</v>
      </c>
      <c r="E151" s="11" t="str">
        <f>HYPERLINK("https://youtu.be/h7_Ry9UWtXQ?t=7088","channel 1")</f>
        <v>channel 1</v>
      </c>
    </row>
    <row r="152">
      <c r="B152" s="34" t="s">
        <v>3357</v>
      </c>
      <c r="C152" s="35" t="s">
        <v>35</v>
      </c>
      <c r="D152" s="32" t="s">
        <v>1852</v>
      </c>
      <c r="E152" s="11" t="str">
        <f>HYPERLINK("https://youtu.be/Ov_RUiYKZow?t=7639","channel 2")</f>
        <v>channel 2</v>
      </c>
    </row>
    <row r="153">
      <c r="B153" s="34" t="s">
        <v>1995</v>
      </c>
      <c r="C153" s="35" t="s">
        <v>544</v>
      </c>
      <c r="D153" s="34" t="s">
        <v>3359</v>
      </c>
      <c r="E153" s="11" t="str">
        <f>HYPERLINK("https://youtu.be/h7_Ry9UWtXQ?t=8032","channel 1")</f>
        <v>channel 1</v>
      </c>
    </row>
    <row r="154">
      <c r="B154" s="34" t="s">
        <v>3358</v>
      </c>
      <c r="C154" s="35" t="s">
        <v>455</v>
      </c>
      <c r="D154" s="32" t="s">
        <v>1852</v>
      </c>
      <c r="E154" s="11" t="str">
        <f>HYPERLINK("https://youtu.be/Ov_RUiYKZow?t=8557","channel 2")</f>
        <v>channel 2</v>
      </c>
    </row>
    <row r="155">
      <c r="B155" s="72" t="s">
        <v>3022</v>
      </c>
      <c r="C155" s="2"/>
      <c r="D155" s="3"/>
      <c r="E155" s="2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34" t="s">
        <v>3360</v>
      </c>
      <c r="C157" s="35" t="s">
        <v>614</v>
      </c>
      <c r="D157" s="34" t="s">
        <v>3361</v>
      </c>
      <c r="E157" s="11" t="str">
        <f>HYPERLINK("https://youtu.be/MrlIudXcB6w","channel 1")</f>
        <v>channel 1</v>
      </c>
    </row>
    <row r="158">
      <c r="B158" s="34" t="s">
        <v>895</v>
      </c>
      <c r="C158" s="35" t="s">
        <v>45</v>
      </c>
      <c r="D158" s="32" t="s">
        <v>2866</v>
      </c>
      <c r="E158" s="11" t="str">
        <f>HYPERLINK("https://youtu.be/Rgo8DrbVxq4","channel 2")</f>
        <v>channel 2</v>
      </c>
    </row>
    <row r="159">
      <c r="B159" s="34" t="s">
        <v>3362</v>
      </c>
      <c r="C159" s="35" t="s">
        <v>68</v>
      </c>
      <c r="D159" s="34" t="s">
        <v>3360</v>
      </c>
      <c r="E159" s="11" t="str">
        <f>HYPERLINK("https://youtu.be/MrlIudXcB6w?t=830","channel 1")</f>
        <v>channel 1</v>
      </c>
    </row>
    <row r="160">
      <c r="B160" s="34" t="s">
        <v>895</v>
      </c>
      <c r="C160" s="35" t="s">
        <v>193</v>
      </c>
      <c r="D160" s="34" t="s">
        <v>3361</v>
      </c>
      <c r="E160" s="11" t="str">
        <f>HYPERLINK("https://youtu.be/Rgo8DrbVxq4?t=1050","channel 2")</f>
        <v>channel 2</v>
      </c>
    </row>
    <row r="161">
      <c r="B161" s="34" t="s">
        <v>3362</v>
      </c>
      <c r="C161" s="105" t="s">
        <v>449</v>
      </c>
      <c r="D161" s="32" t="s">
        <v>2866</v>
      </c>
      <c r="E161" s="99" t="s">
        <v>9</v>
      </c>
    </row>
    <row r="162">
      <c r="B162" s="34" t="s">
        <v>895</v>
      </c>
      <c r="C162" s="35" t="s">
        <v>1102</v>
      </c>
      <c r="D162" s="34" t="s">
        <v>3360</v>
      </c>
      <c r="E162" s="11" t="str">
        <f>HYPERLINK("https://youtu.be/Rgo8DrbVxq4?t=1970","channel 2")</f>
        <v>channel 2</v>
      </c>
    </row>
    <row r="163">
      <c r="B163" s="34" t="s">
        <v>3362</v>
      </c>
      <c r="C163" s="105" t="s">
        <v>449</v>
      </c>
      <c r="D163" s="34" t="s">
        <v>3361</v>
      </c>
      <c r="E163" s="99" t="s">
        <v>9</v>
      </c>
    </row>
    <row r="164">
      <c r="B164" s="32" t="s">
        <v>2866</v>
      </c>
      <c r="C164" s="35" t="s">
        <v>3363</v>
      </c>
      <c r="D164" s="34" t="s">
        <v>3360</v>
      </c>
      <c r="E164" s="11" t="str">
        <f>HYPERLINK("https://youtu.be/Rgo8DrbVxq4?t=2912","channel 2")</f>
        <v>channel 2</v>
      </c>
    </row>
    <row r="165">
      <c r="B165" s="34" t="s">
        <v>3362</v>
      </c>
      <c r="C165" s="105" t="s">
        <v>449</v>
      </c>
      <c r="D165" s="34" t="s">
        <v>895</v>
      </c>
      <c r="E165" s="99" t="s">
        <v>9</v>
      </c>
    </row>
    <row r="166">
      <c r="B166" s="32" t="s">
        <v>2866</v>
      </c>
      <c r="C166" s="35" t="s">
        <v>87</v>
      </c>
      <c r="D166" s="34" t="s">
        <v>3361</v>
      </c>
      <c r="E166" s="11" t="str">
        <f>HYPERLINK("https://youtu.be/Rgo8DrbVxq4?t=3829","channel 2")</f>
        <v>channel 2</v>
      </c>
    </row>
    <row r="167">
      <c r="B167" s="34" t="s">
        <v>3361</v>
      </c>
      <c r="C167" s="35" t="s">
        <v>81</v>
      </c>
      <c r="D167" s="34" t="s">
        <v>3360</v>
      </c>
      <c r="E167" s="11" t="str">
        <f>HYPERLINK("https://youtu.be/MrlIudXcB6w?t=4512","channel 1")</f>
        <v>channel 1</v>
      </c>
    </row>
    <row r="168">
      <c r="B168" s="32" t="s">
        <v>2866</v>
      </c>
      <c r="C168" s="35" t="s">
        <v>226</v>
      </c>
      <c r="D168" s="34" t="s">
        <v>895</v>
      </c>
      <c r="E168" s="11" t="str">
        <f>HYPERLINK("https://youtu.be/Rgo8DrbVxq4?t=4749","channel 2")</f>
        <v>channel 2</v>
      </c>
    </row>
    <row r="169">
      <c r="B169" s="34" t="s">
        <v>3360</v>
      </c>
      <c r="C169" s="105" t="s">
        <v>449</v>
      </c>
      <c r="D169" s="34" t="s">
        <v>3362</v>
      </c>
      <c r="E169" s="99" t="s">
        <v>9</v>
      </c>
    </row>
    <row r="170">
      <c r="B170" s="34" t="s">
        <v>3361</v>
      </c>
      <c r="C170" s="35" t="s">
        <v>62</v>
      </c>
      <c r="D170" s="34" t="s">
        <v>895</v>
      </c>
      <c r="E170" s="11" t="str">
        <f>HYPERLINK("https://youtu.be/Rgo8DrbVxq4?t=5637","channel 2")</f>
        <v>channel 2</v>
      </c>
    </row>
    <row r="171">
      <c r="B171" s="32" t="s">
        <v>2866</v>
      </c>
      <c r="C171" s="105" t="s">
        <v>449</v>
      </c>
      <c r="D171" s="34" t="s">
        <v>3362</v>
      </c>
      <c r="E171" s="99" t="s">
        <v>9</v>
      </c>
    </row>
    <row r="172">
      <c r="B172" s="34" t="s">
        <v>3360</v>
      </c>
      <c r="C172" s="35" t="s">
        <v>22</v>
      </c>
      <c r="D172" s="34" t="s">
        <v>895</v>
      </c>
      <c r="E172" s="11" t="str">
        <f>HYPERLINK("https://youtu.be/Rgo8DrbVxq4?t=6583","channel 2")</f>
        <v>channel 2</v>
      </c>
    </row>
    <row r="173">
      <c r="B173" s="34" t="s">
        <v>3361</v>
      </c>
      <c r="C173" s="105" t="s">
        <v>449</v>
      </c>
      <c r="D173" s="34" t="s">
        <v>3362</v>
      </c>
      <c r="E173" s="99" t="s">
        <v>9</v>
      </c>
    </row>
    <row r="174">
      <c r="B174" s="34" t="s">
        <v>3360</v>
      </c>
      <c r="C174" s="35" t="s">
        <v>18</v>
      </c>
      <c r="D174" s="32" t="s">
        <v>2866</v>
      </c>
      <c r="E174" s="11" t="str">
        <f>HYPERLINK("https://youtu.be/Rgo8DrbVxq4?t=7543","channel 2")</f>
        <v>channel 2</v>
      </c>
    </row>
    <row r="175">
      <c r="B175" s="34" t="s">
        <v>895</v>
      </c>
      <c r="C175" s="105" t="s">
        <v>449</v>
      </c>
      <c r="D175" s="34" t="s">
        <v>3362</v>
      </c>
      <c r="E175" s="99" t="s">
        <v>9</v>
      </c>
    </row>
    <row r="176">
      <c r="B176" s="34" t="s">
        <v>3361</v>
      </c>
      <c r="C176" s="35" t="s">
        <v>218</v>
      </c>
      <c r="D176" s="32" t="s">
        <v>2866</v>
      </c>
      <c r="E176" s="11" t="str">
        <f>HYPERLINK("https://youtu.be/Rgo8DrbVxq4?t=8505","channel 2")</f>
        <v>channel 2</v>
      </c>
    </row>
    <row r="177">
      <c r="B177" s="72" t="s">
        <v>2614</v>
      </c>
      <c r="C177" s="2"/>
      <c r="D177" s="3"/>
      <c r="E177" s="2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34" t="s">
        <v>3364</v>
      </c>
      <c r="C179" s="35" t="s">
        <v>306</v>
      </c>
      <c r="D179" s="34" t="s">
        <v>1350</v>
      </c>
      <c r="E179" s="11" t="str">
        <f>HYPERLINK("https://youtu.be/dq0uzyYB-oQ","channel 3")</f>
        <v>channel 3</v>
      </c>
    </row>
    <row r="180">
      <c r="B180" s="34" t="s">
        <v>3365</v>
      </c>
      <c r="C180" s="35" t="s">
        <v>197</v>
      </c>
      <c r="D180" s="32" t="s">
        <v>721</v>
      </c>
      <c r="E180" s="11" t="str">
        <f>HYPERLINK("https://youtu.be/PM8SJJyLcew","channel 4")</f>
        <v>channel 4</v>
      </c>
    </row>
    <row r="181">
      <c r="B181" s="34" t="s">
        <v>1747</v>
      </c>
      <c r="C181" s="35" t="s">
        <v>14</v>
      </c>
      <c r="D181" s="34" t="s">
        <v>3364</v>
      </c>
      <c r="E181" s="11" t="str">
        <f>HYPERLINK("https://youtu.be/dq0uzyYB-oQ?t=981","channel 3")</f>
        <v>channel 3</v>
      </c>
    </row>
    <row r="182">
      <c r="B182" s="34" t="s">
        <v>3365</v>
      </c>
      <c r="C182" s="35" t="s">
        <v>201</v>
      </c>
      <c r="D182" s="34" t="s">
        <v>1350</v>
      </c>
      <c r="E182" s="11" t="str">
        <f>HYPERLINK("https://youtu.be/PM8SJJyLcew?t=909","channel 4")</f>
        <v>channel 4</v>
      </c>
    </row>
    <row r="183">
      <c r="B183" s="34" t="s">
        <v>1747</v>
      </c>
      <c r="C183" s="35" t="s">
        <v>443</v>
      </c>
      <c r="D183" s="32" t="s">
        <v>721</v>
      </c>
      <c r="E183" s="11" t="str">
        <f>HYPERLINK("https://youtu.be/dq0uzyYB-oQ?t=1885","channel 3")</f>
        <v>channel 3</v>
      </c>
    </row>
    <row r="184">
      <c r="B184" s="34" t="s">
        <v>3365</v>
      </c>
      <c r="C184" s="35" t="s">
        <v>286</v>
      </c>
      <c r="D184" s="34" t="s">
        <v>3364</v>
      </c>
      <c r="E184" s="11" t="str">
        <f>HYPERLINK("https://youtu.be/PM8SJJyLcew?t=1854","channel 4")</f>
        <v>channel 4</v>
      </c>
    </row>
    <row r="185">
      <c r="B185" s="34" t="s">
        <v>1747</v>
      </c>
      <c r="C185" s="35" t="s">
        <v>35</v>
      </c>
      <c r="D185" s="34" t="s">
        <v>1350</v>
      </c>
      <c r="E185" s="11" t="str">
        <f>HYPERLINK("https://youtu.be/dq0uzyYB-oQ?t=2834","channel 3")</f>
        <v>channel 3</v>
      </c>
    </row>
    <row r="186">
      <c r="B186" s="32" t="s">
        <v>721</v>
      </c>
      <c r="C186" s="35" t="s">
        <v>243</v>
      </c>
      <c r="D186" s="34" t="s">
        <v>3364</v>
      </c>
      <c r="E186" s="11" t="str">
        <f>HYPERLINK("https://youtu.be/PM8SJJyLcew?t=2755","channel 4")</f>
        <v>channel 4</v>
      </c>
    </row>
    <row r="187">
      <c r="B187" s="34" t="s">
        <v>1747</v>
      </c>
      <c r="C187" s="35" t="s">
        <v>836</v>
      </c>
      <c r="D187" s="34" t="s">
        <v>3365</v>
      </c>
      <c r="E187" s="11" t="str">
        <f>HYPERLINK("https://youtu.be/dq0uzyYB-oQ?t=3760","channel 3")</f>
        <v>channel 3</v>
      </c>
    </row>
    <row r="188">
      <c r="B188" s="32" t="s">
        <v>721</v>
      </c>
      <c r="C188" s="35" t="s">
        <v>17</v>
      </c>
      <c r="D188" s="34" t="s">
        <v>1350</v>
      </c>
      <c r="E188" s="11" t="str">
        <f>HYPERLINK("https://youtu.be/PM8SJJyLcew?t=3703","channel 4")</f>
        <v>channel 4</v>
      </c>
    </row>
    <row r="189">
      <c r="B189" s="34" t="s">
        <v>1350</v>
      </c>
      <c r="C189" s="35" t="s">
        <v>273</v>
      </c>
      <c r="D189" s="34" t="s">
        <v>3364</v>
      </c>
      <c r="E189" s="11" t="str">
        <f>HYPERLINK("https://youtu.be/dq0uzyYB-oQ?t=4720","channel 3")</f>
        <v>channel 3</v>
      </c>
    </row>
    <row r="190">
      <c r="B190" s="32" t="s">
        <v>721</v>
      </c>
      <c r="C190" s="35" t="s">
        <v>38</v>
      </c>
      <c r="D190" s="34" t="s">
        <v>3365</v>
      </c>
      <c r="E190" s="11" t="str">
        <f>HYPERLINK("https://youtu.be/PM8SJJyLcew?t=4649","channel 4")</f>
        <v>channel 4</v>
      </c>
    </row>
    <row r="191">
      <c r="B191" s="34" t="s">
        <v>3364</v>
      </c>
      <c r="C191" s="35" t="s">
        <v>400</v>
      </c>
      <c r="D191" s="34" t="s">
        <v>1747</v>
      </c>
      <c r="E191" s="11" t="str">
        <f>HYPERLINK("https://youtu.be/dq0uzyYB-oQ?t=6042","channel 3")</f>
        <v>channel 3</v>
      </c>
    </row>
    <row r="192">
      <c r="B192" s="34" t="s">
        <v>1350</v>
      </c>
      <c r="C192" s="35" t="s">
        <v>14</v>
      </c>
      <c r="D192" s="34" t="s">
        <v>3365</v>
      </c>
      <c r="E192" s="11" t="str">
        <f>HYPERLINK("https://youtu.be/PM8SJJyLcew?t=5872","channel 4")</f>
        <v>channel 4</v>
      </c>
    </row>
    <row r="193">
      <c r="B193" s="32" t="s">
        <v>721</v>
      </c>
      <c r="C193" s="35" t="s">
        <v>193</v>
      </c>
      <c r="D193" s="34" t="s">
        <v>1747</v>
      </c>
      <c r="E193" s="11" t="str">
        <f>HYPERLINK("https://youtu.be/dq0uzyYB-oQ?t=6995","channel 3")</f>
        <v>channel 3</v>
      </c>
    </row>
    <row r="194">
      <c r="B194" s="34" t="s">
        <v>3364</v>
      </c>
      <c r="C194" s="35" t="s">
        <v>239</v>
      </c>
      <c r="D194" s="34" t="s">
        <v>3365</v>
      </c>
      <c r="E194" s="11" t="str">
        <f>HYPERLINK("https://youtu.be/PM8SJJyLcew?t=6781","channel 4")</f>
        <v>channel 4</v>
      </c>
    </row>
    <row r="195">
      <c r="B195" s="34" t="s">
        <v>1350</v>
      </c>
      <c r="C195" s="35" t="s">
        <v>41</v>
      </c>
      <c r="D195" s="34" t="s">
        <v>1747</v>
      </c>
      <c r="E195" s="11" t="str">
        <f>HYPERLINK("https://youtu.be/dq0uzyYB-oQ?t=7923","channel 3")</f>
        <v>channel 3</v>
      </c>
    </row>
    <row r="196">
      <c r="B196" s="34" t="s">
        <v>3364</v>
      </c>
      <c r="C196" s="35" t="s">
        <v>71</v>
      </c>
      <c r="D196" s="32" t="s">
        <v>721</v>
      </c>
      <c r="E196" s="11" t="str">
        <f>HYPERLINK("https://youtu.be/PM8SJJyLcew?t=7734","channel 4")</f>
        <v>channel 4</v>
      </c>
    </row>
    <row r="197">
      <c r="B197" s="34" t="s">
        <v>3365</v>
      </c>
      <c r="C197" s="35" t="s">
        <v>62</v>
      </c>
      <c r="D197" s="34" t="s">
        <v>1747</v>
      </c>
      <c r="E197" s="11" t="str">
        <f>HYPERLINK("https://youtu.be/dq0uzyYB-oQ?t=8860","channel 3")</f>
        <v>channel 3</v>
      </c>
    </row>
    <row r="198">
      <c r="B198" s="34" t="s">
        <v>1350</v>
      </c>
      <c r="C198" s="35" t="s">
        <v>412</v>
      </c>
      <c r="D198" s="32" t="s">
        <v>721</v>
      </c>
      <c r="E198" s="11" t="str">
        <f>HYPERLINK("https://youtu.be/PM8SJJyLcew?t=8764","channel 4")</f>
        <v>channel 4</v>
      </c>
    </row>
    <row r="199">
      <c r="B199" s="72" t="s">
        <v>2902</v>
      </c>
      <c r="C199" s="2"/>
      <c r="D199" s="3"/>
      <c r="E199" s="2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34" t="s">
        <v>2984</v>
      </c>
      <c r="C201" s="35" t="s">
        <v>1025</v>
      </c>
      <c r="D201" s="34" t="s">
        <v>3051</v>
      </c>
      <c r="E201" s="103" t="str">
        <f>HYPERLINK("https://youtu.be/8idYbKtvo30","channel 3")</f>
        <v>channel 3</v>
      </c>
    </row>
    <row r="202">
      <c r="B202" s="34" t="s">
        <v>3366</v>
      </c>
      <c r="C202" s="33" t="s">
        <v>306</v>
      </c>
      <c r="D202" s="32" t="s">
        <v>3367</v>
      </c>
      <c r="E202" s="11" t="str">
        <f>HYPERLINK("https://youtu.be/O6Pz40eFGW4","channel 4")</f>
        <v>channel 4</v>
      </c>
    </row>
    <row r="203">
      <c r="B203" s="34" t="s">
        <v>192</v>
      </c>
      <c r="C203" s="33" t="s">
        <v>726</v>
      </c>
      <c r="D203" s="34" t="s">
        <v>2984</v>
      </c>
      <c r="E203" s="11" t="str">
        <f>HYPERLINK("https://youtu.be/8idYbKtvo30?t=999","channel 3")</f>
        <v>channel 3</v>
      </c>
    </row>
    <row r="204">
      <c r="B204" s="34" t="s">
        <v>3366</v>
      </c>
      <c r="C204" s="33" t="s">
        <v>38</v>
      </c>
      <c r="D204" s="34" t="s">
        <v>3051</v>
      </c>
      <c r="E204" s="11" t="str">
        <f>HYPERLINK("https://youtu.be/O6Pz40eFGW4?t=935","channel 4")</f>
        <v>channel 4</v>
      </c>
    </row>
    <row r="205">
      <c r="B205" s="34" t="s">
        <v>192</v>
      </c>
      <c r="C205" s="33" t="s">
        <v>282</v>
      </c>
      <c r="D205" s="32" t="s">
        <v>3367</v>
      </c>
      <c r="E205" s="11" t="str">
        <f>HYPERLINK("https://youtu.be/8idYbKtvo30?t=1945","channel 3")</f>
        <v>channel 3</v>
      </c>
    </row>
    <row r="206">
      <c r="B206" s="34" t="s">
        <v>3366</v>
      </c>
      <c r="C206" s="33" t="s">
        <v>218</v>
      </c>
      <c r="D206" s="34" t="s">
        <v>2984</v>
      </c>
      <c r="E206" s="11" t="str">
        <f>HYPERLINK("https://youtu.be/O6Pz40eFGW4?t=1848","channel 4")</f>
        <v>channel 4</v>
      </c>
    </row>
    <row r="207">
      <c r="B207" s="34" t="s">
        <v>192</v>
      </c>
      <c r="C207" s="33" t="s">
        <v>494</v>
      </c>
      <c r="D207" s="34" t="s">
        <v>3051</v>
      </c>
      <c r="E207" s="11" t="str">
        <f>HYPERLINK("https://youtu.be/8idYbKtvo30?t=2896","channel 3")</f>
        <v>channel 3</v>
      </c>
    </row>
    <row r="208">
      <c r="B208" s="32" t="s">
        <v>3367</v>
      </c>
      <c r="C208" s="33" t="s">
        <v>291</v>
      </c>
      <c r="D208" s="34" t="s">
        <v>2984</v>
      </c>
      <c r="E208" s="11" t="str">
        <f>HYPERLINK("https://youtu.be/O6Pz40eFGW4?t=2797","channel 4")</f>
        <v>channel 4</v>
      </c>
    </row>
    <row r="209">
      <c r="B209" s="34" t="s">
        <v>192</v>
      </c>
      <c r="C209" s="33" t="s">
        <v>190</v>
      </c>
      <c r="D209" s="34" t="s">
        <v>3366</v>
      </c>
      <c r="E209" s="11" t="str">
        <f>HYPERLINK("https://youtu.be/8idYbKtvo30?t=3824","channel 3")</f>
        <v>channel 3</v>
      </c>
    </row>
    <row r="210">
      <c r="B210" s="32" t="s">
        <v>3367</v>
      </c>
      <c r="C210" s="33" t="s">
        <v>872</v>
      </c>
      <c r="D210" s="34" t="s">
        <v>3051</v>
      </c>
      <c r="E210" s="11" t="str">
        <f>HYPERLINK("https://youtu.be/O6Pz40eFGW4?t=3753","channel 4")</f>
        <v>channel 4</v>
      </c>
    </row>
    <row r="211">
      <c r="B211" s="34" t="s">
        <v>3051</v>
      </c>
      <c r="C211" s="33" t="s">
        <v>857</v>
      </c>
      <c r="D211" s="34" t="s">
        <v>2984</v>
      </c>
      <c r="E211" s="11" t="str">
        <f>HYPERLINK("https://youtu.be/8idYbKtvo30?t=4733","channel 3")</f>
        <v>channel 3</v>
      </c>
    </row>
    <row r="212">
      <c r="B212" s="32" t="s">
        <v>3367</v>
      </c>
      <c r="C212" s="33" t="s">
        <v>273</v>
      </c>
      <c r="D212" s="34" t="s">
        <v>3366</v>
      </c>
      <c r="E212" s="11" t="str">
        <f>HYPERLINK("https://youtu.be/O6Pz40eFGW4?t=4752","channel 4")</f>
        <v>channel 4</v>
      </c>
    </row>
    <row r="213">
      <c r="B213" s="34" t="s">
        <v>2984</v>
      </c>
      <c r="C213" s="35" t="s">
        <v>400</v>
      </c>
      <c r="D213" s="34" t="s">
        <v>192</v>
      </c>
      <c r="E213" s="11" t="str">
        <f>HYPERLINK("https://youtu.be/8idYbKtvo30?t=5644","channel 3")</f>
        <v>channel 3</v>
      </c>
    </row>
    <row r="214">
      <c r="B214" s="34" t="s">
        <v>3051</v>
      </c>
      <c r="C214" s="35" t="s">
        <v>285</v>
      </c>
      <c r="D214" s="34" t="s">
        <v>3366</v>
      </c>
      <c r="E214" s="11" t="str">
        <f>HYPERLINK("https://youtu.be/O6Pz40eFGW4?t=5662","channel 4")</f>
        <v>channel 4</v>
      </c>
    </row>
    <row r="215">
      <c r="B215" s="32" t="s">
        <v>3367</v>
      </c>
      <c r="C215" s="35" t="s">
        <v>793</v>
      </c>
      <c r="D215" s="34" t="s">
        <v>192</v>
      </c>
      <c r="E215" s="11" t="str">
        <f>HYPERLINK("https://youtu.be/8idYbKtvo30?t=6679","channel 3")</f>
        <v>channel 3</v>
      </c>
    </row>
    <row r="216">
      <c r="B216" s="34" t="s">
        <v>2984</v>
      </c>
      <c r="C216" s="35" t="s">
        <v>413</v>
      </c>
      <c r="D216" s="34" t="s">
        <v>3366</v>
      </c>
      <c r="E216" s="11" t="str">
        <f>HYPERLINK("https://youtu.be/O6Pz40eFGW4?t=6588","channel 4")</f>
        <v>channel 4</v>
      </c>
    </row>
    <row r="217">
      <c r="B217" s="34" t="s">
        <v>3051</v>
      </c>
      <c r="C217" s="35" t="s">
        <v>1477</v>
      </c>
      <c r="D217" s="34" t="s">
        <v>192</v>
      </c>
      <c r="E217" s="11" t="str">
        <f>HYPERLINK("https://youtu.be/8idYbKtvo30?t=7580","channel 3")</f>
        <v>channel 3</v>
      </c>
    </row>
    <row r="218">
      <c r="B218" s="34" t="s">
        <v>2984</v>
      </c>
      <c r="C218" s="35" t="s">
        <v>304</v>
      </c>
      <c r="D218" s="32" t="s">
        <v>3367</v>
      </c>
      <c r="E218" s="11" t="str">
        <f>HYPERLINK("https://youtu.be/O6Pz40eFGW4?t=7450","channel 4")</f>
        <v>channel 4</v>
      </c>
    </row>
    <row r="219">
      <c r="B219" s="34" t="s">
        <v>3366</v>
      </c>
      <c r="C219" s="35" t="s">
        <v>193</v>
      </c>
      <c r="D219" s="34" t="s">
        <v>192</v>
      </c>
      <c r="E219" s="11" t="str">
        <f>HYPERLINK("https://youtu.be/8idYbKtvo30?t=8546","channel 3")</f>
        <v>channel 3</v>
      </c>
    </row>
    <row r="220">
      <c r="B220" s="34" t="s">
        <v>3051</v>
      </c>
      <c r="C220" s="35" t="s">
        <v>319</v>
      </c>
      <c r="D220" s="32" t="s">
        <v>3367</v>
      </c>
      <c r="E220" s="11" t="str">
        <f>HYPERLINK("https://youtu.be/O6Pz40eFGW4?t=8411","channel 4")</f>
        <v>channel 4</v>
      </c>
    </row>
    <row r="221">
      <c r="B221" s="72" t="s">
        <v>2055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34" t="s">
        <v>1988</v>
      </c>
      <c r="C223" s="33" t="s">
        <v>16</v>
      </c>
      <c r="D223" s="34" t="s">
        <v>3368</v>
      </c>
      <c r="E223" s="11" t="str">
        <f>HYPERLINK("https://youtu.be/6DlfRgQb_UA","channel 1")</f>
        <v>channel 1</v>
      </c>
    </row>
    <row r="224">
      <c r="B224" s="34" t="s">
        <v>3369</v>
      </c>
      <c r="C224" s="33" t="s">
        <v>544</v>
      </c>
      <c r="D224" s="32" t="s">
        <v>2703</v>
      </c>
      <c r="E224" s="11" t="str">
        <f>HYPERLINK("https://youtu.be/7B_nAE9k4Sc","channel 2")</f>
        <v>channel 2</v>
      </c>
    </row>
    <row r="225">
      <c r="B225" s="34" t="s">
        <v>3370</v>
      </c>
      <c r="C225" s="33" t="s">
        <v>66</v>
      </c>
      <c r="D225" s="34" t="s">
        <v>1988</v>
      </c>
      <c r="E225" s="11" t="str">
        <f>HYPERLINK("https://youtu.be/6DlfRgQb_UA?t=687","channel 1")</f>
        <v>channel 1</v>
      </c>
    </row>
    <row r="226">
      <c r="B226" s="34" t="s">
        <v>3369</v>
      </c>
      <c r="C226" s="33" t="s">
        <v>80</v>
      </c>
      <c r="D226" s="34" t="s">
        <v>3368</v>
      </c>
      <c r="E226" s="11" t="str">
        <f>HYPERLINK("https://youtu.be/7B_nAE9k4Sc?t=1097","channel 2")</f>
        <v>channel 2</v>
      </c>
    </row>
    <row r="227">
      <c r="B227" s="34" t="s">
        <v>3370</v>
      </c>
      <c r="C227" s="33" t="s">
        <v>195</v>
      </c>
      <c r="D227" s="32" t="s">
        <v>2703</v>
      </c>
      <c r="E227" s="11" t="str">
        <f>HYPERLINK("https://youtu.be/6DlfRgQb_UA?t=1617","channel 1")</f>
        <v>channel 1</v>
      </c>
    </row>
    <row r="228">
      <c r="B228" s="34" t="s">
        <v>3369</v>
      </c>
      <c r="C228" s="33" t="s">
        <v>270</v>
      </c>
      <c r="D228" s="34" t="s">
        <v>1988</v>
      </c>
      <c r="E228" s="11" t="str">
        <f>HYPERLINK("https://youtu.be/7B_nAE9k4Sc?t=2043","channel 2")</f>
        <v>channel 2</v>
      </c>
    </row>
    <row r="229">
      <c r="B229" s="34" t="s">
        <v>3370</v>
      </c>
      <c r="C229" s="33" t="s">
        <v>249</v>
      </c>
      <c r="D229" s="34" t="s">
        <v>3368</v>
      </c>
      <c r="E229" s="11" t="str">
        <f>HYPERLINK("https://youtu.be/6DlfRgQb_UA?t=2602","channel 1")</f>
        <v>channel 1</v>
      </c>
    </row>
    <row r="230">
      <c r="B230" s="32" t="s">
        <v>2703</v>
      </c>
      <c r="C230" s="33" t="s">
        <v>196</v>
      </c>
      <c r="D230" s="34" t="s">
        <v>1988</v>
      </c>
      <c r="E230" s="11" t="str">
        <f>HYPERLINK("https://youtu.be/7B_nAE9k4Sc?t=3028","channel 2")</f>
        <v>channel 2</v>
      </c>
    </row>
    <row r="231">
      <c r="B231" s="34" t="s">
        <v>3370</v>
      </c>
      <c r="C231" s="33" t="s">
        <v>83</v>
      </c>
      <c r="D231" s="34" t="s">
        <v>3369</v>
      </c>
      <c r="E231" s="11" t="str">
        <f>HYPERLINK("https://youtu.be/6DlfRgQb_UA?t=3606","channel 1")</f>
        <v>channel 1</v>
      </c>
    </row>
    <row r="232">
      <c r="B232" s="32" t="s">
        <v>2703</v>
      </c>
      <c r="C232" s="33" t="s">
        <v>273</v>
      </c>
      <c r="D232" s="34" t="s">
        <v>3368</v>
      </c>
      <c r="E232" s="11" t="str">
        <f>HYPERLINK("https://youtu.be/7B_nAE9k4Sc?t=4031","channel 2")</f>
        <v>channel 2</v>
      </c>
    </row>
    <row r="233">
      <c r="B233" s="34" t="s">
        <v>3368</v>
      </c>
      <c r="C233" s="33" t="s">
        <v>194</v>
      </c>
      <c r="D233" s="34" t="s">
        <v>1988</v>
      </c>
      <c r="E233" s="11" t="str">
        <f>HYPERLINK("https://youtu.be/6DlfRgQb_UA?t=4519","channel 1")</f>
        <v>channel 1</v>
      </c>
    </row>
    <row r="234">
      <c r="B234" s="32" t="s">
        <v>2703</v>
      </c>
      <c r="C234" s="33" t="s">
        <v>488</v>
      </c>
      <c r="D234" s="34" t="s">
        <v>3369</v>
      </c>
      <c r="E234" s="11" t="str">
        <f>HYPERLINK("https://youtu.be/7B_nAE9k4Sc?t=4963","channel 2")</f>
        <v>channel 2</v>
      </c>
    </row>
    <row r="235">
      <c r="B235" s="34" t="s">
        <v>1988</v>
      </c>
      <c r="C235" s="35" t="s">
        <v>196</v>
      </c>
      <c r="D235" s="34" t="s">
        <v>3370</v>
      </c>
      <c r="E235" s="11" t="str">
        <f>HYPERLINK("https://youtu.be/6DlfRgQb_UA?t=5510","channel 1")</f>
        <v>channel 1</v>
      </c>
    </row>
    <row r="236">
      <c r="B236" s="34" t="s">
        <v>3368</v>
      </c>
      <c r="C236" s="35" t="s">
        <v>245</v>
      </c>
      <c r="D236" s="34" t="s">
        <v>3369</v>
      </c>
      <c r="E236" s="11" t="str">
        <f>HYPERLINK("https://youtu.be/7B_nAE9k4Sc?t=5955","channel 2")</f>
        <v>channel 2</v>
      </c>
    </row>
    <row r="237">
      <c r="B237" s="32" t="s">
        <v>2703</v>
      </c>
      <c r="C237" s="35" t="s">
        <v>68</v>
      </c>
      <c r="D237" s="34" t="s">
        <v>3370</v>
      </c>
      <c r="E237" s="11" t="str">
        <f>HYPERLINK("https://youtu.be/6DlfRgQb_UA?t=6441","channel 1")</f>
        <v>channel 1</v>
      </c>
    </row>
    <row r="238">
      <c r="B238" s="34" t="s">
        <v>1988</v>
      </c>
      <c r="C238" s="35" t="s">
        <v>190</v>
      </c>
      <c r="D238" s="34" t="s">
        <v>3369</v>
      </c>
      <c r="E238" s="11" t="str">
        <f>HYPERLINK("https://youtu.be/7B_nAE9k4Sc?t=6858","channel 2")</f>
        <v>channel 2</v>
      </c>
    </row>
    <row r="239">
      <c r="B239" s="34" t="s">
        <v>3368</v>
      </c>
      <c r="C239" s="35" t="s">
        <v>197</v>
      </c>
      <c r="D239" s="34" t="s">
        <v>3370</v>
      </c>
      <c r="E239" s="11" t="str">
        <f>HYPERLINK("https://youtu.be/6DlfRgQb_UA?t=7384","channel 1")</f>
        <v>channel 1</v>
      </c>
    </row>
    <row r="240">
      <c r="B240" s="34" t="s">
        <v>1988</v>
      </c>
      <c r="C240" s="35" t="s">
        <v>201</v>
      </c>
      <c r="D240" s="32" t="s">
        <v>2703</v>
      </c>
      <c r="E240" s="11" t="str">
        <f>HYPERLINK("https://youtu.be/7B_nAE9k4Sc?t=7771","channel 2")</f>
        <v>channel 2</v>
      </c>
    </row>
    <row r="241">
      <c r="B241" s="34" t="s">
        <v>3369</v>
      </c>
      <c r="C241" s="35" t="s">
        <v>354</v>
      </c>
      <c r="D241" s="34" t="s">
        <v>3370</v>
      </c>
      <c r="E241" s="11" t="str">
        <f>HYPERLINK("https://youtu.be/6DlfRgQb_UA?t=8268","channel 1")</f>
        <v>channel 1</v>
      </c>
    </row>
    <row r="242">
      <c r="B242" s="34" t="s">
        <v>3368</v>
      </c>
      <c r="C242" s="35" t="s">
        <v>81</v>
      </c>
      <c r="D242" s="32" t="s">
        <v>2703</v>
      </c>
      <c r="E242" s="11" t="str">
        <f>HYPERLINK("https://youtu.be/7B_nAE9k4Sc?t=8680","channel 2")</f>
        <v>channel 2</v>
      </c>
    </row>
    <row r="243">
      <c r="B243" s="72" t="s">
        <v>2819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34" t="s">
        <v>604</v>
      </c>
      <c r="C245" s="33" t="s">
        <v>244</v>
      </c>
      <c r="D245" s="34" t="s">
        <v>3371</v>
      </c>
      <c r="E245" s="11" t="str">
        <f>HYPERLINK("https://youtu.be/MPSWTK6arpY","channel 1")</f>
        <v>channel 1</v>
      </c>
    </row>
    <row r="246">
      <c r="B246" s="34" t="s">
        <v>2218</v>
      </c>
      <c r="C246" s="33" t="s">
        <v>48</v>
      </c>
      <c r="D246" s="32" t="s">
        <v>1765</v>
      </c>
      <c r="E246" s="11" t="str">
        <f>HYPERLINK("https://youtu.be/zFNV2Hh4Aw0","channel 2")</f>
        <v>channel 2</v>
      </c>
    </row>
    <row r="247">
      <c r="B247" s="34" t="s">
        <v>3372</v>
      </c>
      <c r="C247" s="33" t="s">
        <v>22</v>
      </c>
      <c r="D247" s="34" t="s">
        <v>604</v>
      </c>
      <c r="E247" s="11" t="str">
        <f>HYPERLINK("https://youtu.be/MPSWTK6arpY?t=981","channel 1")</f>
        <v>channel 1</v>
      </c>
    </row>
    <row r="248">
      <c r="B248" s="34" t="s">
        <v>2218</v>
      </c>
      <c r="C248" s="33" t="s">
        <v>687</v>
      </c>
      <c r="D248" s="34" t="s">
        <v>3371</v>
      </c>
      <c r="E248" s="11" t="str">
        <f>HYPERLINK("https://youtu.be/zFNV2Hh4Aw0?t=1046","channel 2")</f>
        <v>channel 2</v>
      </c>
    </row>
    <row r="249">
      <c r="B249" s="34" t="s">
        <v>3372</v>
      </c>
      <c r="C249" s="33" t="s">
        <v>72</v>
      </c>
      <c r="D249" s="32" t="s">
        <v>1765</v>
      </c>
      <c r="E249" s="11" t="str">
        <f>HYPERLINK("https://youtu.be/MPSWTK6arpY?t=1939","channel 1")</f>
        <v>channel 1</v>
      </c>
    </row>
    <row r="250">
      <c r="B250" s="34" t="s">
        <v>2218</v>
      </c>
      <c r="C250" s="33" t="s">
        <v>658</v>
      </c>
      <c r="D250" s="34" t="s">
        <v>604</v>
      </c>
      <c r="E250" s="11" t="str">
        <f>HYPERLINK("https://youtu.be/zFNV2Hh4Aw0?t=2020","channel 2")</f>
        <v>channel 2</v>
      </c>
    </row>
    <row r="251">
      <c r="B251" s="34" t="s">
        <v>3372</v>
      </c>
      <c r="C251" s="33" t="s">
        <v>304</v>
      </c>
      <c r="D251" s="34" t="s">
        <v>3371</v>
      </c>
      <c r="E251" s="11" t="str">
        <f>HYPERLINK("https://youtu.be/MPSWTK6arpY?t=2889","channel 1")</f>
        <v>channel 1</v>
      </c>
    </row>
    <row r="252">
      <c r="B252" s="32" t="s">
        <v>1765</v>
      </c>
      <c r="C252" s="33" t="s">
        <v>363</v>
      </c>
      <c r="D252" s="34" t="s">
        <v>604</v>
      </c>
      <c r="E252" s="11" t="str">
        <f>HYPERLINK("https://youtu.be/zFNV2Hh4Aw0?t=2979","channel 2")</f>
        <v>channel 2</v>
      </c>
    </row>
    <row r="253">
      <c r="B253" s="34" t="s">
        <v>3372</v>
      </c>
      <c r="C253" s="33" t="s">
        <v>460</v>
      </c>
      <c r="D253" s="34" t="s">
        <v>2218</v>
      </c>
      <c r="E253" s="11" t="str">
        <f>HYPERLINK("https://youtu.be/MPSWTK6arpY?t=3906","channel 1")</f>
        <v>channel 1</v>
      </c>
    </row>
    <row r="254">
      <c r="B254" s="32" t="s">
        <v>1765</v>
      </c>
      <c r="C254" s="33" t="s">
        <v>62</v>
      </c>
      <c r="D254" s="34" t="s">
        <v>3371</v>
      </c>
      <c r="E254" s="11" t="str">
        <f>HYPERLINK("https://youtu.be/zFNV2Hh4Aw0?t=3991","channel 2")</f>
        <v>channel 2</v>
      </c>
    </row>
    <row r="255">
      <c r="B255" s="34" t="s">
        <v>3371</v>
      </c>
      <c r="C255" s="33" t="s">
        <v>3373</v>
      </c>
      <c r="D255" s="34" t="s">
        <v>604</v>
      </c>
      <c r="E255" s="11" t="str">
        <f>HYPERLINK("https://youtu.be/MPSWTK6arpY?t=4851","channel 1")</f>
        <v>channel 1</v>
      </c>
    </row>
    <row r="256">
      <c r="B256" s="32" t="s">
        <v>1765</v>
      </c>
      <c r="C256" s="33" t="s">
        <v>260</v>
      </c>
      <c r="D256" s="34" t="s">
        <v>2218</v>
      </c>
      <c r="E256" s="11" t="str">
        <f>HYPERLINK("https://youtu.be/zFNV2Hh4Aw0?t=4941","channel 2")</f>
        <v>channel 2</v>
      </c>
    </row>
    <row r="257">
      <c r="B257" s="34" t="s">
        <v>604</v>
      </c>
      <c r="C257" s="35" t="s">
        <v>1112</v>
      </c>
      <c r="D257" s="34" t="s">
        <v>3372</v>
      </c>
      <c r="E257" s="11" t="str">
        <f>HYPERLINK("https://youtu.be/MPSWTK6arpY?t=5803","channel 1")</f>
        <v>channel 1</v>
      </c>
    </row>
    <row r="258">
      <c r="B258" s="34" t="s">
        <v>3371</v>
      </c>
      <c r="C258" s="35" t="s">
        <v>337</v>
      </c>
      <c r="D258" s="34" t="s">
        <v>2218</v>
      </c>
      <c r="E258" s="11" t="str">
        <f>HYPERLINK("https://youtu.be/zFNV2Hh4Aw0?t=5863","channel 2")</f>
        <v>channel 2</v>
      </c>
    </row>
    <row r="259">
      <c r="B259" s="32" t="s">
        <v>1765</v>
      </c>
      <c r="C259" s="35" t="s">
        <v>64</v>
      </c>
      <c r="D259" s="34" t="s">
        <v>3372</v>
      </c>
      <c r="E259" s="11" t="str">
        <f>HYPERLINK("https://youtu.be/MPSWTK6arpY?t=6746","channel 1")</f>
        <v>channel 1</v>
      </c>
    </row>
    <row r="260">
      <c r="B260" s="34" t="s">
        <v>604</v>
      </c>
      <c r="C260" s="35" t="s">
        <v>249</v>
      </c>
      <c r="D260" s="34" t="s">
        <v>2218</v>
      </c>
      <c r="E260" s="11" t="str">
        <f>HYPERLINK("https://youtu.be/zFNV2Hh4Aw0?t=6796","channel 2")</f>
        <v>channel 2</v>
      </c>
    </row>
    <row r="261">
      <c r="B261" s="34" t="s">
        <v>3371</v>
      </c>
      <c r="C261" s="35" t="s">
        <v>196</v>
      </c>
      <c r="D261" s="34" t="s">
        <v>3372</v>
      </c>
      <c r="E261" s="11" t="str">
        <f>HYPERLINK("https://youtu.be/MPSWTK6arpY?t=7632","channel 1")</f>
        <v>channel 1</v>
      </c>
    </row>
    <row r="262">
      <c r="B262" s="34" t="s">
        <v>604</v>
      </c>
      <c r="C262" s="35" t="s">
        <v>286</v>
      </c>
      <c r="D262" s="32" t="s">
        <v>1765</v>
      </c>
      <c r="E262" s="11" t="str">
        <f>HYPERLINK("https://youtu.be/zFNV2Hh4Aw0?t=7672","channel 2")</f>
        <v>channel 2</v>
      </c>
    </row>
    <row r="263">
      <c r="B263" s="34" t="s">
        <v>2218</v>
      </c>
      <c r="C263" s="35" t="s">
        <v>218</v>
      </c>
      <c r="D263" s="34" t="s">
        <v>3372</v>
      </c>
      <c r="E263" s="11" t="str">
        <f>HYPERLINK("https://youtu.be/MPSWTK6arpY?t=8553","channel 1")</f>
        <v>channel 1</v>
      </c>
    </row>
    <row r="264">
      <c r="B264" s="34" t="s">
        <v>3371</v>
      </c>
      <c r="C264" s="35" t="s">
        <v>1025</v>
      </c>
      <c r="D264" s="32" t="s">
        <v>1765</v>
      </c>
      <c r="E264" s="11" t="str">
        <f>HYPERLINK("https://youtu.be/zFNV2Hh4Aw0?t=8599","channel 2")</f>
        <v>channel 2</v>
      </c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/>
      <c r="B1" s="72" t="s">
        <v>2953</v>
      </c>
      <c r="C1" s="2"/>
      <c r="D1" s="3"/>
      <c r="E1" s="29"/>
    </row>
    <row r="2">
      <c r="A2" s="66"/>
      <c r="B2" s="6" t="s">
        <v>2</v>
      </c>
      <c r="C2" s="6" t="s">
        <v>3</v>
      </c>
      <c r="D2" s="6" t="s">
        <v>4</v>
      </c>
      <c r="E2" s="6" t="s">
        <v>5</v>
      </c>
    </row>
    <row r="3">
      <c r="A3" s="66"/>
      <c r="B3" s="34" t="s">
        <v>3374</v>
      </c>
      <c r="C3" s="33" t="s">
        <v>195</v>
      </c>
      <c r="D3" s="32" t="s">
        <v>3375</v>
      </c>
      <c r="E3" s="11" t="str">
        <f>HYPERLINK("https://youtu.be/WFZdQ1pV2sw","channel 1")</f>
        <v>channel 1</v>
      </c>
    </row>
    <row r="4">
      <c r="A4" s="66"/>
      <c r="B4" s="106" t="s">
        <v>3376</v>
      </c>
      <c r="C4" s="33" t="s">
        <v>17</v>
      </c>
      <c r="D4" s="34" t="s">
        <v>3377</v>
      </c>
      <c r="E4" s="11" t="str">
        <f>HYPERLINK("https://youtu.be/hSl6eGPJKfo","channel 2")</f>
        <v>channel 2</v>
      </c>
    </row>
    <row r="5">
      <c r="A5" s="66"/>
      <c r="B5" s="34" t="s">
        <v>3378</v>
      </c>
      <c r="C5" s="33" t="s">
        <v>64</v>
      </c>
      <c r="D5" s="34" t="s">
        <v>3374</v>
      </c>
      <c r="E5" s="11" t="str">
        <f>HYPERLINK("https://youtu.be/WFZdQ1pV2sw?t=967","channel 1")</f>
        <v>channel 1</v>
      </c>
    </row>
    <row r="6">
      <c r="A6" s="66"/>
      <c r="B6" s="106" t="s">
        <v>3376</v>
      </c>
      <c r="C6" s="33" t="s">
        <v>81</v>
      </c>
      <c r="D6" s="32" t="s">
        <v>3375</v>
      </c>
      <c r="E6" s="11" t="str">
        <f>HYPERLINK("https://youtu.be/hSl6eGPJKfo?t=1216","channel 2")</f>
        <v>channel 2</v>
      </c>
    </row>
    <row r="7">
      <c r="A7" s="66"/>
      <c r="B7" s="34" t="s">
        <v>3378</v>
      </c>
      <c r="C7" s="33" t="s">
        <v>270</v>
      </c>
      <c r="D7" s="34" t="s">
        <v>3377</v>
      </c>
      <c r="E7" s="11" t="str">
        <f>HYPERLINK("https://youtu.be/WFZdQ1pV2sw?t=1945","channel 1")</f>
        <v>channel 1</v>
      </c>
    </row>
    <row r="8">
      <c r="A8" s="66"/>
      <c r="B8" s="106" t="s">
        <v>3376</v>
      </c>
      <c r="C8" s="33" t="s">
        <v>297</v>
      </c>
      <c r="D8" s="34" t="s">
        <v>3374</v>
      </c>
      <c r="E8" s="11" t="str">
        <f>HYPERLINK("https://youtu.be/hSl6eGPJKfo?t=2181","channel 2")</f>
        <v>channel 2</v>
      </c>
    </row>
    <row r="9">
      <c r="A9" s="66"/>
      <c r="B9" s="34" t="s">
        <v>3378</v>
      </c>
      <c r="C9" s="33" t="s">
        <v>78</v>
      </c>
      <c r="D9" s="32" t="s">
        <v>3375</v>
      </c>
      <c r="E9" s="11" t="str">
        <f>HYPERLINK("https://youtu.be/WFZdQ1pV2sw?t=2925","channel 1")</f>
        <v>channel 1</v>
      </c>
    </row>
    <row r="10">
      <c r="A10" s="66"/>
      <c r="B10" s="34" t="s">
        <v>3377</v>
      </c>
      <c r="C10" s="33" t="s">
        <v>66</v>
      </c>
      <c r="D10" s="34" t="s">
        <v>3374</v>
      </c>
      <c r="E10" s="11" t="str">
        <f>HYPERLINK("https://youtu.be/hSl6eGPJKfo?t=3115","channel 2")</f>
        <v>channel 2</v>
      </c>
    </row>
    <row r="11">
      <c r="A11" s="66"/>
      <c r="B11" s="34" t="s">
        <v>3378</v>
      </c>
      <c r="C11" s="33" t="s">
        <v>43</v>
      </c>
      <c r="D11" s="106" t="s">
        <v>3376</v>
      </c>
      <c r="E11" s="11" t="str">
        <f>HYPERLINK("https://youtu.be/WFZdQ1pV2sw?t=3890","channel 1")</f>
        <v>channel 1</v>
      </c>
    </row>
    <row r="12">
      <c r="A12" s="66"/>
      <c r="B12" s="34" t="s">
        <v>3377</v>
      </c>
      <c r="C12" s="33" t="s">
        <v>260</v>
      </c>
      <c r="D12" s="32" t="s">
        <v>3375</v>
      </c>
      <c r="E12" s="11" t="str">
        <f>HYPERLINK("https://youtu.be/hSl6eGPJKfo?t=4184","channel 2")</f>
        <v>channel 2</v>
      </c>
    </row>
    <row r="13">
      <c r="A13" s="66"/>
      <c r="B13" s="32" t="s">
        <v>3375</v>
      </c>
      <c r="C13" s="33" t="s">
        <v>3379</v>
      </c>
      <c r="D13" s="34" t="s">
        <v>3374</v>
      </c>
      <c r="E13" s="11" t="str">
        <f>HYPERLINK("https://youtu.be/WFZdQ1pV2sw?t=4895","channel 1")</f>
        <v>channel 1</v>
      </c>
    </row>
    <row r="14">
      <c r="A14" s="66"/>
      <c r="B14" s="34" t="s">
        <v>3377</v>
      </c>
      <c r="C14" s="33" t="s">
        <v>239</v>
      </c>
      <c r="D14" s="106" t="s">
        <v>3376</v>
      </c>
      <c r="E14" s="11" t="str">
        <f>HYPERLINK("https://youtu.be/hSl6eGPJKfo?t=5178","channel 2")</f>
        <v>channel 2</v>
      </c>
    </row>
    <row r="15">
      <c r="A15" s="66"/>
      <c r="B15" s="34" t="s">
        <v>3374</v>
      </c>
      <c r="C15" s="33" t="s">
        <v>3380</v>
      </c>
      <c r="D15" s="34" t="s">
        <v>3378</v>
      </c>
      <c r="E15" s="11" t="str">
        <f>HYPERLINK("https://youtu.be/WFZdQ1pV2sw?t=5777","channel 1")</f>
        <v>channel 1</v>
      </c>
    </row>
    <row r="16">
      <c r="A16" s="66"/>
      <c r="B16" s="32" t="s">
        <v>3375</v>
      </c>
      <c r="C16" s="35" t="s">
        <v>3381</v>
      </c>
      <c r="D16" s="106" t="s">
        <v>3376</v>
      </c>
      <c r="E16" s="11" t="str">
        <f>HYPERLINK("https://youtu.be/hSl6eGPJKfo?t=6141","channel 2")</f>
        <v>channel 2</v>
      </c>
    </row>
    <row r="17">
      <c r="A17" s="66"/>
      <c r="B17" s="34" t="s">
        <v>3377</v>
      </c>
      <c r="C17" s="35" t="s">
        <v>232</v>
      </c>
      <c r="D17" s="34" t="s">
        <v>3378</v>
      </c>
      <c r="E17" s="11" t="str">
        <f>HYPERLINK("https://youtu.be/WFZdQ1pV2sw?t=6678","channel 1")</f>
        <v>channel 1</v>
      </c>
    </row>
    <row r="18">
      <c r="A18" s="66"/>
      <c r="B18" s="34" t="s">
        <v>3374</v>
      </c>
      <c r="C18" s="33" t="s">
        <v>62</v>
      </c>
      <c r="D18" s="106" t="s">
        <v>3376</v>
      </c>
      <c r="E18" s="11" t="str">
        <f>HYPERLINK("https://youtu.be/hSl6eGPJKfo?t=6996","channel 2")</f>
        <v>channel 2</v>
      </c>
    </row>
    <row r="19">
      <c r="A19" s="66"/>
      <c r="B19" s="32" t="s">
        <v>3375</v>
      </c>
      <c r="C19" s="35" t="s">
        <v>3382</v>
      </c>
      <c r="D19" s="34" t="s">
        <v>3378</v>
      </c>
      <c r="E19" s="11" t="str">
        <f>HYPERLINK("https://youtu.be/WFZdQ1pV2sw?t=7564","channel 1")</f>
        <v>channel 1</v>
      </c>
    </row>
    <row r="20">
      <c r="A20" s="66"/>
      <c r="B20" s="34" t="s">
        <v>3374</v>
      </c>
      <c r="C20" s="33" t="s">
        <v>45</v>
      </c>
      <c r="D20" s="34" t="s">
        <v>3377</v>
      </c>
      <c r="E20" s="11" t="str">
        <f>HYPERLINK("https://youtu.be/hSl6eGPJKfo?t=7859","channel 2")</f>
        <v>channel 2</v>
      </c>
    </row>
    <row r="21">
      <c r="A21" s="66"/>
      <c r="B21" s="106" t="s">
        <v>3376</v>
      </c>
      <c r="C21" s="35" t="s">
        <v>19</v>
      </c>
      <c r="D21" s="34" t="s">
        <v>3378</v>
      </c>
      <c r="E21" s="11" t="str">
        <f>HYPERLINK("https://youtu.be/WFZdQ1pV2sw?t=8493","channel 1")</f>
        <v>channel 1</v>
      </c>
    </row>
    <row r="22">
      <c r="A22" s="66"/>
      <c r="B22" s="32" t="s">
        <v>3375</v>
      </c>
      <c r="C22" s="35" t="s">
        <v>83</v>
      </c>
      <c r="D22" s="34" t="s">
        <v>3377</v>
      </c>
      <c r="E22" s="11" t="str">
        <f>HYPERLINK("https://youtu.be/hSl6eGPJKfo?t=8750","channel 2")</f>
        <v>channel 2</v>
      </c>
    </row>
    <row r="23">
      <c r="A23" s="66"/>
      <c r="B23" s="72" t="s">
        <v>2308</v>
      </c>
      <c r="C23" s="2"/>
      <c r="D23" s="3"/>
      <c r="E23" s="29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2589</v>
      </c>
      <c r="C25" s="52" t="s">
        <v>64</v>
      </c>
      <c r="D25" s="32" t="s">
        <v>3255</v>
      </c>
      <c r="E25" s="11" t="str">
        <f>HYPERLINK("https://youtu.be/qLbulwwYh1E","channel 1")</f>
        <v>channel 1</v>
      </c>
    </row>
    <row r="26">
      <c r="A26" s="66"/>
      <c r="B26" s="34" t="s">
        <v>3383</v>
      </c>
      <c r="C26" s="52" t="s">
        <v>20</v>
      </c>
      <c r="D26" s="34" t="s">
        <v>3189</v>
      </c>
      <c r="E26" s="11" t="str">
        <f>HYPERLINK("https://youtu.be/Zv9ZDTCyHcI?t=186","channel 2")</f>
        <v>channel 2</v>
      </c>
    </row>
    <row r="27">
      <c r="A27" s="66"/>
      <c r="B27" s="34" t="s">
        <v>3384</v>
      </c>
      <c r="C27" s="52" t="s">
        <v>261</v>
      </c>
      <c r="D27" s="34" t="s">
        <v>2589</v>
      </c>
      <c r="E27" s="11" t="str">
        <f>HYPERLINK("https://youtu.be/qLbulwwYh1E?t=1014","channel 1")</f>
        <v>channel 1</v>
      </c>
    </row>
    <row r="28">
      <c r="A28" s="66"/>
      <c r="B28" s="34" t="s">
        <v>3383</v>
      </c>
      <c r="C28" s="52" t="s">
        <v>260</v>
      </c>
      <c r="D28" s="32" t="s">
        <v>3255</v>
      </c>
      <c r="E28" s="11" t="str">
        <f>HYPERLINK("https://youtu.be/Zv9ZDTCyHcI?t=1146","channel 2")</f>
        <v>channel 2</v>
      </c>
    </row>
    <row r="29">
      <c r="A29" s="66"/>
      <c r="B29" s="34" t="s">
        <v>3384</v>
      </c>
      <c r="C29" s="52" t="s">
        <v>872</v>
      </c>
      <c r="D29" s="34" t="s">
        <v>3189</v>
      </c>
      <c r="E29" s="11" t="str">
        <f>HYPERLINK("https://youtu.be/qLbulwwYh1E?t=1968","channel 1")</f>
        <v>channel 1</v>
      </c>
    </row>
    <row r="30">
      <c r="A30" s="66"/>
      <c r="B30" s="34" t="s">
        <v>3383</v>
      </c>
      <c r="C30" s="52" t="s">
        <v>26</v>
      </c>
      <c r="D30" s="34" t="s">
        <v>2589</v>
      </c>
      <c r="E30" s="11" t="str">
        <f>HYPERLINK("https://youtu.be/Zv9ZDTCyHcI?t=2077","channel 2")</f>
        <v>channel 2</v>
      </c>
    </row>
    <row r="31">
      <c r="A31" s="66"/>
      <c r="B31" s="34" t="s">
        <v>3384</v>
      </c>
      <c r="C31" s="52" t="s">
        <v>428</v>
      </c>
      <c r="D31" s="32" t="s">
        <v>3255</v>
      </c>
      <c r="E31" s="11" t="str">
        <f>HYPERLINK("https://youtu.be/qLbulwwYh1E?t=2937","channel 1")</f>
        <v>channel 1</v>
      </c>
    </row>
    <row r="32">
      <c r="A32" s="66"/>
      <c r="B32" s="34" t="s">
        <v>3189</v>
      </c>
      <c r="C32" s="52" t="s">
        <v>187</v>
      </c>
      <c r="D32" s="34" t="s">
        <v>2589</v>
      </c>
      <c r="E32" s="11" t="str">
        <f>HYPERLINK("https://youtu.be/Zv9ZDTCyHcI?t=3027","channel 2")</f>
        <v>channel 2</v>
      </c>
    </row>
    <row r="33">
      <c r="A33" s="66"/>
      <c r="B33" s="34" t="s">
        <v>3384</v>
      </c>
      <c r="C33" s="52" t="s">
        <v>83</v>
      </c>
      <c r="D33" s="34" t="s">
        <v>3383</v>
      </c>
      <c r="E33" s="11" t="str">
        <f>HYPERLINK("https://youtu.be/qLbulwwYh1E?t=3853","channel 1")</f>
        <v>channel 1</v>
      </c>
    </row>
    <row r="34">
      <c r="A34" s="66"/>
      <c r="B34" s="34" t="s">
        <v>3189</v>
      </c>
      <c r="C34" s="52" t="s">
        <v>218</v>
      </c>
      <c r="D34" s="32" t="s">
        <v>3255</v>
      </c>
      <c r="E34" s="11" t="str">
        <f>HYPERLINK("https://youtu.be/Zv9ZDTCyHcI?t=4011","channel 2")</f>
        <v>channel 2</v>
      </c>
    </row>
    <row r="35">
      <c r="A35" s="66"/>
      <c r="B35" s="32" t="s">
        <v>3255</v>
      </c>
      <c r="C35" s="52" t="s">
        <v>17</v>
      </c>
      <c r="D35" s="34" t="s">
        <v>2589</v>
      </c>
      <c r="E35" s="11" t="str">
        <f>HYPERLINK("https://youtu.be/qLbulwwYh1E?t=4830","channel 1")</f>
        <v>channel 1</v>
      </c>
    </row>
    <row r="36">
      <c r="A36" s="66"/>
      <c r="B36" s="34" t="s">
        <v>3189</v>
      </c>
      <c r="C36" s="52" t="s">
        <v>363</v>
      </c>
      <c r="D36" s="34" t="s">
        <v>3383</v>
      </c>
      <c r="E36" s="11" t="str">
        <f>HYPERLINK("https://youtu.be/Zv9ZDTCyHcI?t=5049","channel 2")</f>
        <v>channel 2</v>
      </c>
    </row>
    <row r="37">
      <c r="A37" s="66"/>
      <c r="B37" s="34" t="s">
        <v>2589</v>
      </c>
      <c r="C37" s="52" t="s">
        <v>18</v>
      </c>
      <c r="D37" s="34" t="s">
        <v>3384</v>
      </c>
      <c r="E37" s="11" t="str">
        <f>HYPERLINK("https://youtu.be/qLbulwwYh1E?t=5710","channel 1")</f>
        <v>channel 1</v>
      </c>
    </row>
    <row r="38">
      <c r="A38" s="66"/>
      <c r="B38" s="32" t="s">
        <v>3255</v>
      </c>
      <c r="C38" s="55" t="s">
        <v>55</v>
      </c>
      <c r="D38" s="34" t="s">
        <v>3383</v>
      </c>
      <c r="E38" s="11" t="str">
        <f>HYPERLINK("https://youtu.be/Zv9ZDTCyHcI?t=5952","channel 2")</f>
        <v>channel 2</v>
      </c>
    </row>
    <row r="39">
      <c r="A39" s="66"/>
      <c r="B39" s="34" t="s">
        <v>3189</v>
      </c>
      <c r="C39" s="55" t="s">
        <v>64</v>
      </c>
      <c r="D39" s="34" t="s">
        <v>3384</v>
      </c>
      <c r="E39" s="11" t="str">
        <f>HYPERLINK("https://youtu.be/qLbulwwYh1E?t=6602","channel 1")</f>
        <v>channel 1</v>
      </c>
    </row>
    <row r="40">
      <c r="A40" s="66"/>
      <c r="B40" s="34" t="s">
        <v>2589</v>
      </c>
      <c r="C40" s="52" t="s">
        <v>45</v>
      </c>
      <c r="D40" s="34" t="s">
        <v>3383</v>
      </c>
      <c r="E40" s="11" t="str">
        <f>HYPERLINK("https://youtu.be/Zv9ZDTCyHcI?t=6842","channel 2")</f>
        <v>channel 2</v>
      </c>
    </row>
    <row r="41">
      <c r="A41" s="66"/>
      <c r="B41" s="32" t="s">
        <v>3255</v>
      </c>
      <c r="C41" s="55" t="s">
        <v>45</v>
      </c>
      <c r="D41" s="34" t="s">
        <v>3384</v>
      </c>
      <c r="E41" s="11" t="str">
        <f>HYPERLINK("https://youtu.be/qLbulwwYh1E?t=7511","channel 1")</f>
        <v>channel 1</v>
      </c>
    </row>
    <row r="42">
      <c r="A42" s="66"/>
      <c r="B42" s="34" t="s">
        <v>2589</v>
      </c>
      <c r="C42" s="52" t="s">
        <v>21</v>
      </c>
      <c r="D42" s="34" t="s">
        <v>3189</v>
      </c>
      <c r="E42" s="11" t="str">
        <f>HYPERLINK("https://youtu.be/Zv9ZDTCyHcI?t=7737","channel 2")</f>
        <v>channel 2</v>
      </c>
    </row>
    <row r="43">
      <c r="A43" s="66"/>
      <c r="B43" s="34" t="s">
        <v>3383</v>
      </c>
      <c r="C43" s="55" t="s">
        <v>71</v>
      </c>
      <c r="D43" s="34" t="s">
        <v>3384</v>
      </c>
      <c r="E43" s="11" t="str">
        <f>HYPERLINK("https://youtu.be/qLbulwwYh1E?t=8403","channel 1")</f>
        <v>channel 1</v>
      </c>
    </row>
    <row r="44">
      <c r="A44" s="67"/>
      <c r="B44" s="32" t="s">
        <v>3255</v>
      </c>
      <c r="C44" s="55" t="s">
        <v>35</v>
      </c>
      <c r="D44" s="34" t="s">
        <v>3189</v>
      </c>
      <c r="E44" s="11" t="str">
        <f>HYPERLINK("https://youtu.be/Zv9ZDTCyHcI?t=8659","channel 2")</f>
        <v>channel 2</v>
      </c>
    </row>
    <row r="45">
      <c r="B45" s="72" t="s">
        <v>3175</v>
      </c>
      <c r="C45" s="2"/>
      <c r="D45" s="3"/>
      <c r="E45" s="4"/>
    </row>
    <row r="46">
      <c r="B46" s="16" t="s">
        <v>2</v>
      </c>
      <c r="C46" s="16" t="s">
        <v>3</v>
      </c>
      <c r="D46" s="16" t="s">
        <v>4</v>
      </c>
      <c r="E46" s="6" t="s">
        <v>5</v>
      </c>
    </row>
    <row r="47">
      <c r="B47" s="32" t="s">
        <v>3102</v>
      </c>
      <c r="C47" s="70" t="s">
        <v>1412</v>
      </c>
      <c r="D47" s="32" t="s">
        <v>2643</v>
      </c>
      <c r="E47" s="11" t="str">
        <f>HYPERLINK("https://youtu.be/8t-gYHUQIXQ","channel 3")</f>
        <v>channel 3</v>
      </c>
    </row>
    <row r="48">
      <c r="B48" s="32" t="s">
        <v>1788</v>
      </c>
      <c r="C48" s="70" t="s">
        <v>43</v>
      </c>
      <c r="D48" s="32" t="s">
        <v>2399</v>
      </c>
      <c r="E48" s="11" t="str">
        <f>HYPERLINK("https://youtu.be/74sn_lafux0","channel 4")</f>
        <v>channel 4</v>
      </c>
    </row>
    <row r="49">
      <c r="B49" s="32" t="s">
        <v>2089</v>
      </c>
      <c r="C49" s="70" t="s">
        <v>7</v>
      </c>
      <c r="D49" s="32" t="s">
        <v>3102</v>
      </c>
      <c r="E49" s="11" t="str">
        <f>HYPERLINK("https://youtu.be/8t-gYHUQIXQ?t=982","channel 3")</f>
        <v>channel 3</v>
      </c>
    </row>
    <row r="50">
      <c r="B50" s="32" t="s">
        <v>1788</v>
      </c>
      <c r="C50" s="70" t="s">
        <v>196</v>
      </c>
      <c r="D50" s="32" t="s">
        <v>2643</v>
      </c>
      <c r="E50" s="11" t="str">
        <f>HYPERLINK("https://youtu.be/74sn_lafux0?t=902","channel 4")</f>
        <v>channel 4</v>
      </c>
    </row>
    <row r="51">
      <c r="B51" s="32" t="s">
        <v>2089</v>
      </c>
      <c r="C51" s="70" t="s">
        <v>196</v>
      </c>
      <c r="D51" s="32" t="s">
        <v>2399</v>
      </c>
      <c r="E51" s="11" t="str">
        <f>HYPERLINK("https://youtu.be/8t-gYHUQIXQ?t=1929","channel 3")</f>
        <v>channel 3</v>
      </c>
    </row>
    <row r="52">
      <c r="B52" s="91" t="s">
        <v>1788</v>
      </c>
      <c r="C52" s="70" t="s">
        <v>481</v>
      </c>
      <c r="D52" s="91" t="s">
        <v>3102</v>
      </c>
      <c r="E52" s="11" t="str">
        <f>HYPERLINK("https://youtu.be/74sn_lafux0?t=1883","channel 4")</f>
        <v>channel 4</v>
      </c>
    </row>
    <row r="53">
      <c r="B53" s="32" t="s">
        <v>2089</v>
      </c>
      <c r="C53" s="70" t="s">
        <v>719</v>
      </c>
      <c r="D53" s="32" t="s">
        <v>2643</v>
      </c>
      <c r="E53" s="11" t="str">
        <f>HYPERLINK("https://youtu.be/8t-gYHUQIXQ?t=2887","channel 3")</f>
        <v>channel 3</v>
      </c>
    </row>
    <row r="54">
      <c r="B54" s="91" t="s">
        <v>2399</v>
      </c>
      <c r="C54" s="70" t="s">
        <v>35</v>
      </c>
      <c r="D54" s="91" t="s">
        <v>3102</v>
      </c>
      <c r="E54" s="11" t="str">
        <f>HYPERLINK("https://youtu.be/74sn_lafux0?t=2793","channel 4")</f>
        <v>channel 4</v>
      </c>
    </row>
    <row r="55">
      <c r="B55" s="32" t="s">
        <v>2089</v>
      </c>
      <c r="C55" s="70" t="s">
        <v>240</v>
      </c>
      <c r="D55" s="32" t="s">
        <v>1788</v>
      </c>
      <c r="E55" s="11" t="str">
        <f>HYPERLINK("https://youtu.be/8t-gYHUQIXQ?t=3846","channel 3")</f>
        <v>channel 3</v>
      </c>
    </row>
    <row r="56">
      <c r="B56" s="32" t="s">
        <v>2399</v>
      </c>
      <c r="C56" s="70" t="s">
        <v>488</v>
      </c>
      <c r="D56" s="32" t="s">
        <v>2643</v>
      </c>
      <c r="E56" s="11" t="str">
        <f>HYPERLINK("https://youtu.be/74sn_lafux0?t=3651","channel 4")</f>
        <v>channel 4</v>
      </c>
    </row>
    <row r="57">
      <c r="B57" s="32" t="s">
        <v>2643</v>
      </c>
      <c r="C57" s="70" t="s">
        <v>16</v>
      </c>
      <c r="D57" s="32" t="s">
        <v>3102</v>
      </c>
      <c r="E57" s="11" t="str">
        <f>HYPERLINK("https://youtu.be/8t-gYHUQIXQ?t=4785","channel 3")</f>
        <v>channel 3</v>
      </c>
    </row>
    <row r="58">
      <c r="B58" s="91" t="s">
        <v>2399</v>
      </c>
      <c r="C58" s="70" t="s">
        <v>626</v>
      </c>
      <c r="D58" s="91" t="s">
        <v>1788</v>
      </c>
      <c r="E58" s="11" t="str">
        <f>HYPERLINK("https://youtu.be/74sn_lafux0?t=4591","channel 4")</f>
        <v>channel 4</v>
      </c>
    </row>
    <row r="59">
      <c r="B59" s="32" t="s">
        <v>3102</v>
      </c>
      <c r="C59" s="70" t="s">
        <v>481</v>
      </c>
      <c r="D59" s="32" t="s">
        <v>2089</v>
      </c>
      <c r="E59" s="11" t="str">
        <f>HYPERLINK("https://youtu.be/8t-gYHUQIXQ?t=5697","channel 3")</f>
        <v>channel 3</v>
      </c>
    </row>
    <row r="60">
      <c r="B60" s="32" t="s">
        <v>2643</v>
      </c>
      <c r="C60" s="70" t="s">
        <v>699</v>
      </c>
      <c r="D60" s="32" t="s">
        <v>1788</v>
      </c>
      <c r="E60" s="11" t="str">
        <f>HYPERLINK("https://youtu.be/74sn_lafux0?t=5604","channel 4")</f>
        <v>channel 4</v>
      </c>
    </row>
    <row r="61">
      <c r="B61" s="32" t="s">
        <v>2399</v>
      </c>
      <c r="C61" s="70" t="s">
        <v>328</v>
      </c>
      <c r="D61" s="32" t="s">
        <v>2089</v>
      </c>
      <c r="E61" s="11" t="str">
        <f>HYPERLINK("https://youtu.be/8t-gYHUQIXQ?t=6641","channel 3")</f>
        <v>channel 3</v>
      </c>
    </row>
    <row r="62">
      <c r="B62" s="32" t="s">
        <v>3102</v>
      </c>
      <c r="C62" s="70" t="s">
        <v>217</v>
      </c>
      <c r="D62" s="32" t="s">
        <v>1788</v>
      </c>
      <c r="E62" s="11" t="str">
        <f>HYPERLINK("https://youtu.be/74sn_lafux0?t=6507","channel 4")</f>
        <v>channel 4</v>
      </c>
    </row>
    <row r="63">
      <c r="B63" s="32" t="s">
        <v>2643</v>
      </c>
      <c r="C63" s="70" t="s">
        <v>48</v>
      </c>
      <c r="D63" s="32" t="s">
        <v>2089</v>
      </c>
      <c r="E63" s="11" t="str">
        <f>HYPERLINK("https://youtu.be/8t-gYHUQIXQ?t=7599","channel 3")</f>
        <v>channel 3</v>
      </c>
    </row>
    <row r="64">
      <c r="B64" s="32" t="s">
        <v>3102</v>
      </c>
      <c r="C64" s="70" t="s">
        <v>218</v>
      </c>
      <c r="D64" s="32" t="s">
        <v>2399</v>
      </c>
      <c r="E64" s="11" t="str">
        <f>HYPERLINK("https://youtu.be/74sn_lafux0?t=7465","channel 4")</f>
        <v>channel 4</v>
      </c>
    </row>
    <row r="65">
      <c r="B65" s="32" t="s">
        <v>1788</v>
      </c>
      <c r="C65" s="70" t="s">
        <v>937</v>
      </c>
      <c r="D65" s="32" t="s">
        <v>2089</v>
      </c>
      <c r="E65" s="11" t="str">
        <f>HYPERLINK("https://youtu.be/8t-gYHUQIXQ?t=8544","channel 3")</f>
        <v>channel 3</v>
      </c>
    </row>
    <row r="66">
      <c r="B66" s="32" t="s">
        <v>2643</v>
      </c>
      <c r="C66" s="70" t="s">
        <v>2699</v>
      </c>
      <c r="D66" s="32" t="s">
        <v>2399</v>
      </c>
      <c r="E66" s="11" t="str">
        <f>HYPERLINK("https://youtu.be/74sn_lafux0?t=8402","channel 4")</f>
        <v>channel 4</v>
      </c>
    </row>
    <row r="67">
      <c r="B67" s="72" t="s">
        <v>2646</v>
      </c>
      <c r="C67" s="2"/>
      <c r="D67" s="3"/>
      <c r="E67" s="4"/>
    </row>
    <row r="68">
      <c r="B68" s="16" t="s">
        <v>2</v>
      </c>
      <c r="C68" s="16" t="s">
        <v>3</v>
      </c>
      <c r="D68" s="16" t="s">
        <v>4</v>
      </c>
      <c r="E68" s="6" t="s">
        <v>5</v>
      </c>
    </row>
    <row r="69">
      <c r="B69" s="32" t="s">
        <v>3334</v>
      </c>
      <c r="C69" s="70" t="s">
        <v>212</v>
      </c>
      <c r="D69" s="32" t="s">
        <v>1840</v>
      </c>
      <c r="E69" s="11" t="str">
        <f>HYPERLINK("https://youtu.be/2KC1OyCfgLw","channel 3")</f>
        <v>channel 3</v>
      </c>
    </row>
    <row r="70">
      <c r="B70" s="32" t="s">
        <v>2758</v>
      </c>
      <c r="C70" s="70" t="s">
        <v>81</v>
      </c>
      <c r="D70" s="32" t="s">
        <v>1948</v>
      </c>
      <c r="E70" s="11" t="str">
        <f>HYPERLINK("https://youtu.be/1FLIiEj6N90","channel 4")</f>
        <v>channel 4</v>
      </c>
    </row>
    <row r="71">
      <c r="B71" s="32" t="s">
        <v>3385</v>
      </c>
      <c r="C71" s="70" t="s">
        <v>217</v>
      </c>
      <c r="D71" s="32" t="s">
        <v>3334</v>
      </c>
      <c r="E71" s="11" t="str">
        <f>HYPERLINK("https://youtu.be/2KC1OyCfgLw?t=968","channel 3")</f>
        <v>channel 3</v>
      </c>
    </row>
    <row r="72">
      <c r="B72" s="32" t="s">
        <v>2758</v>
      </c>
      <c r="C72" s="70" t="s">
        <v>58</v>
      </c>
      <c r="D72" s="32" t="s">
        <v>1840</v>
      </c>
      <c r="E72" s="11" t="str">
        <f>HYPERLINK("https://youtu.be/1FLIiEj6N90?t=1007","channel 4")</f>
        <v>channel 4</v>
      </c>
    </row>
    <row r="73">
      <c r="B73" s="32" t="s">
        <v>3385</v>
      </c>
      <c r="C73" s="70" t="s">
        <v>251</v>
      </c>
      <c r="D73" s="32" t="s">
        <v>1948</v>
      </c>
      <c r="E73" s="11" t="str">
        <f>HYPERLINK("https://youtu.be/2KC1OyCfgLw?t=1917","channel 3")</f>
        <v>channel 3</v>
      </c>
    </row>
    <row r="74">
      <c r="B74" s="91" t="s">
        <v>2758</v>
      </c>
      <c r="C74" s="57" t="s">
        <v>449</v>
      </c>
      <c r="D74" s="91" t="s">
        <v>3334</v>
      </c>
      <c r="E74" s="102" t="s">
        <v>37</v>
      </c>
    </row>
    <row r="75">
      <c r="B75" s="32" t="s">
        <v>3385</v>
      </c>
      <c r="C75" s="70" t="s">
        <v>319</v>
      </c>
      <c r="D75" s="32" t="s">
        <v>1840</v>
      </c>
      <c r="E75" s="11" t="str">
        <f>HYPERLINK("https://youtu.be/2KC1OyCfgLw?t=2927","channel 3")</f>
        <v>channel 3</v>
      </c>
    </row>
    <row r="76">
      <c r="B76" s="91" t="s">
        <v>1948</v>
      </c>
      <c r="C76" s="70" t="s">
        <v>41</v>
      </c>
      <c r="D76" s="91" t="s">
        <v>3334</v>
      </c>
      <c r="E76" s="11" t="str">
        <f>HYPERLINK("https://youtu.be/1FLIiEj6N90?t=2977","channel 4")</f>
        <v>channel 4</v>
      </c>
    </row>
    <row r="77">
      <c r="B77" s="32" t="s">
        <v>3385</v>
      </c>
      <c r="C77" s="57" t="s">
        <v>449</v>
      </c>
      <c r="D77" s="32" t="s">
        <v>2758</v>
      </c>
      <c r="E77" s="102" t="s">
        <v>33</v>
      </c>
    </row>
    <row r="78">
      <c r="B78" s="32" t="s">
        <v>1948</v>
      </c>
      <c r="C78" s="57" t="s">
        <v>449</v>
      </c>
      <c r="D78" s="32" t="s">
        <v>1840</v>
      </c>
      <c r="E78" s="102" t="s">
        <v>37</v>
      </c>
    </row>
    <row r="79">
      <c r="B79" s="32" t="s">
        <v>1840</v>
      </c>
      <c r="C79" s="57" t="s">
        <v>449</v>
      </c>
      <c r="D79" s="32" t="s">
        <v>3334</v>
      </c>
      <c r="E79" s="102" t="s">
        <v>33</v>
      </c>
    </row>
    <row r="80">
      <c r="B80" s="91" t="s">
        <v>1948</v>
      </c>
      <c r="C80" s="57" t="s">
        <v>449</v>
      </c>
      <c r="D80" s="91" t="s">
        <v>2758</v>
      </c>
      <c r="E80" s="102" t="s">
        <v>37</v>
      </c>
    </row>
    <row r="81">
      <c r="B81" s="32" t="s">
        <v>3334</v>
      </c>
      <c r="C81" s="57" t="s">
        <v>449</v>
      </c>
      <c r="D81" s="32" t="s">
        <v>3385</v>
      </c>
      <c r="E81" s="102" t="s">
        <v>33</v>
      </c>
    </row>
    <row r="82">
      <c r="B82" s="32" t="s">
        <v>1840</v>
      </c>
      <c r="C82" s="57" t="s">
        <v>449</v>
      </c>
      <c r="D82" s="32" t="s">
        <v>2758</v>
      </c>
      <c r="E82" s="102" t="s">
        <v>37</v>
      </c>
    </row>
    <row r="83">
      <c r="B83" s="32" t="s">
        <v>1948</v>
      </c>
      <c r="C83" s="70" t="s">
        <v>190</v>
      </c>
      <c r="D83" s="32" t="s">
        <v>3385</v>
      </c>
      <c r="E83" s="11" t="str">
        <f>HYPERLINK("https://youtu.be/2KC1OyCfgLw?t=6615","channel 3")</f>
        <v>channel 3</v>
      </c>
    </row>
    <row r="84">
      <c r="B84" s="32" t="s">
        <v>3334</v>
      </c>
      <c r="C84" s="57" t="s">
        <v>449</v>
      </c>
      <c r="D84" s="32" t="s">
        <v>2758</v>
      </c>
      <c r="E84" s="102" t="s">
        <v>37</v>
      </c>
    </row>
    <row r="85">
      <c r="B85" s="32" t="s">
        <v>1840</v>
      </c>
      <c r="C85" s="70" t="s">
        <v>45</v>
      </c>
      <c r="D85" s="32" t="s">
        <v>3385</v>
      </c>
      <c r="E85" s="11" t="str">
        <f>HYPERLINK("https://youtu.be/2KC1OyCfgLw?t=7536","channel 3")</f>
        <v>channel 3</v>
      </c>
    </row>
    <row r="86">
      <c r="B86" s="32" t="s">
        <v>3334</v>
      </c>
      <c r="C86" s="70" t="s">
        <v>239</v>
      </c>
      <c r="D86" s="32" t="s">
        <v>1948</v>
      </c>
      <c r="E86" s="11" t="str">
        <f>HYPERLINK("https://youtu.be/1FLIiEj6N90?t=7650","channel 4")</f>
        <v>channel 4</v>
      </c>
    </row>
    <row r="87">
      <c r="B87" s="32" t="s">
        <v>2758</v>
      </c>
      <c r="C87" s="57" t="s">
        <v>449</v>
      </c>
      <c r="D87" s="32" t="s">
        <v>3385</v>
      </c>
      <c r="E87" s="102" t="s">
        <v>33</v>
      </c>
    </row>
    <row r="88">
      <c r="B88" s="32" t="s">
        <v>1840</v>
      </c>
      <c r="C88" s="70" t="s">
        <v>196</v>
      </c>
      <c r="D88" s="32" t="s">
        <v>1948</v>
      </c>
      <c r="E88" s="11" t="str">
        <f>HYPERLINK("https://youtu.be/1FLIiEj6N90?t=8580","channel 4")</f>
        <v>channel 4</v>
      </c>
    </row>
    <row r="89">
      <c r="B89" s="72" t="s">
        <v>1419</v>
      </c>
      <c r="C89" s="2"/>
      <c r="D89" s="3"/>
      <c r="E89" s="29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07" t="s">
        <v>3386</v>
      </c>
      <c r="C91" s="33" t="s">
        <v>312</v>
      </c>
      <c r="D91" s="32" t="s">
        <v>136</v>
      </c>
      <c r="E91" s="11" t="str">
        <f>HYPERLINK("https://youtu.be/uTjzdNJOCYY","channel 1")</f>
        <v>channel 1</v>
      </c>
    </row>
    <row r="92">
      <c r="B92" s="34" t="s">
        <v>3182</v>
      </c>
      <c r="C92" s="33" t="s">
        <v>362</v>
      </c>
      <c r="D92" s="32" t="s">
        <v>3387</v>
      </c>
      <c r="E92" s="11" t="str">
        <f>HYPERLINK("https://youtu.be/0gdpipYHry8","channel 2")</f>
        <v>channel 2</v>
      </c>
    </row>
    <row r="93">
      <c r="B93" s="34" t="s">
        <v>3388</v>
      </c>
      <c r="C93" s="33" t="s">
        <v>286</v>
      </c>
      <c r="D93" s="34" t="s">
        <v>3386</v>
      </c>
      <c r="E93" s="11" t="str">
        <f>HYPERLINK("https://youtu.be/uTjzdNJOCYY?t=1054","channel 1")</f>
        <v>channel 1</v>
      </c>
    </row>
    <row r="94">
      <c r="B94" s="34" t="s">
        <v>3182</v>
      </c>
      <c r="C94" s="33" t="s">
        <v>18</v>
      </c>
      <c r="D94" s="32" t="s">
        <v>136</v>
      </c>
      <c r="E94" s="11" t="str">
        <f>HYPERLINK("https://youtu.be/0gdpipYHry8?t=906","channel 2")</f>
        <v>channel 2</v>
      </c>
    </row>
    <row r="95">
      <c r="B95" s="34" t="s">
        <v>3388</v>
      </c>
      <c r="C95" s="33" t="s">
        <v>984</v>
      </c>
      <c r="D95" s="32" t="s">
        <v>3387</v>
      </c>
      <c r="E95" s="11" t="str">
        <f>HYPERLINK("https://youtu.be/uTjzdNJOCYY?t=2000","channel 1")</f>
        <v>channel 1</v>
      </c>
    </row>
    <row r="96">
      <c r="B96" s="34" t="s">
        <v>3182</v>
      </c>
      <c r="C96" s="33" t="s">
        <v>270</v>
      </c>
      <c r="D96" s="34" t="s">
        <v>3386</v>
      </c>
      <c r="E96" s="11" t="str">
        <f>HYPERLINK("https://youtu.be/0gdpipYHry8?t=1857","channel 2")</f>
        <v>channel 2</v>
      </c>
    </row>
    <row r="97">
      <c r="B97" s="34" t="s">
        <v>3388</v>
      </c>
      <c r="C97" s="33" t="s">
        <v>231</v>
      </c>
      <c r="D97" s="32" t="s">
        <v>136</v>
      </c>
      <c r="E97" s="11" t="str">
        <f>HYPERLINK("https://youtu.be/uTjzdNJOCYY?t=2931","channel 1")</f>
        <v>channel 1</v>
      </c>
    </row>
    <row r="98">
      <c r="B98" s="32" t="s">
        <v>3387</v>
      </c>
      <c r="C98" s="33" t="s">
        <v>544</v>
      </c>
      <c r="D98" s="34" t="s">
        <v>3386</v>
      </c>
      <c r="E98" s="11" t="str">
        <f>HYPERLINK("https://youtu.be/0gdpipYHry8?t=2782","channel 2")</f>
        <v>channel 2</v>
      </c>
    </row>
    <row r="99">
      <c r="B99" s="34" t="s">
        <v>3388</v>
      </c>
      <c r="C99" s="33" t="s">
        <v>197</v>
      </c>
      <c r="D99" s="34" t="s">
        <v>3182</v>
      </c>
      <c r="E99" s="11" t="str">
        <f>HYPERLINK("https://youtu.be/uTjzdNJOCYY?t=3920","channel 1")</f>
        <v>channel 1</v>
      </c>
    </row>
    <row r="100">
      <c r="B100" s="32" t="s">
        <v>3387</v>
      </c>
      <c r="C100" s="33" t="s">
        <v>78</v>
      </c>
      <c r="D100" s="32" t="s">
        <v>136</v>
      </c>
      <c r="E100" s="11" t="str">
        <f>HYPERLINK("https://youtu.be/0gdpipYHry8?t=3715","channel 2")</f>
        <v>channel 2</v>
      </c>
    </row>
    <row r="101">
      <c r="B101" s="32" t="s">
        <v>136</v>
      </c>
      <c r="C101" s="33" t="s">
        <v>534</v>
      </c>
      <c r="D101" s="34" t="s">
        <v>3386</v>
      </c>
      <c r="E101" s="11" t="str">
        <f>HYPERLINK("https://youtu.be/uTjzdNJOCYY?t=4909","channel 1")</f>
        <v>channel 1</v>
      </c>
    </row>
    <row r="102">
      <c r="B102" s="32" t="s">
        <v>3387</v>
      </c>
      <c r="C102" s="33" t="s">
        <v>260</v>
      </c>
      <c r="D102" s="34" t="s">
        <v>3182</v>
      </c>
      <c r="E102" s="11" t="str">
        <f>HYPERLINK("https://youtu.be/0gdpipYHry8?t=4737","channel 2")</f>
        <v>channel 2</v>
      </c>
    </row>
    <row r="103">
      <c r="B103" s="34" t="s">
        <v>3386</v>
      </c>
      <c r="C103" s="35" t="s">
        <v>87</v>
      </c>
      <c r="D103" s="34" t="s">
        <v>3388</v>
      </c>
      <c r="E103" s="11" t="str">
        <f>HYPERLINK("https://youtu.be/uTjzdNJOCYY?t=5924","channel 1")</f>
        <v>channel 1</v>
      </c>
    </row>
    <row r="104">
      <c r="B104" s="32" t="s">
        <v>136</v>
      </c>
      <c r="C104" s="35" t="s">
        <v>68</v>
      </c>
      <c r="D104" s="34" t="s">
        <v>3182</v>
      </c>
      <c r="E104" s="11" t="str">
        <f>HYPERLINK("https://youtu.be/0gdpipYHry8?t=5644","channel 2")</f>
        <v>channel 2</v>
      </c>
    </row>
    <row r="105">
      <c r="B105" s="32" t="s">
        <v>3387</v>
      </c>
      <c r="C105" s="108" t="s">
        <v>449</v>
      </c>
      <c r="D105" s="34" t="s">
        <v>3388</v>
      </c>
      <c r="E105" s="99" t="s">
        <v>9</v>
      </c>
    </row>
    <row r="106">
      <c r="B106" s="34" t="s">
        <v>3386</v>
      </c>
      <c r="C106" s="57" t="s">
        <v>449</v>
      </c>
      <c r="D106" s="34" t="s">
        <v>3182</v>
      </c>
      <c r="E106" s="99" t="s">
        <v>13</v>
      </c>
    </row>
    <row r="107">
      <c r="B107" s="32" t="s">
        <v>136</v>
      </c>
      <c r="C107" s="108" t="s">
        <v>449</v>
      </c>
      <c r="D107" s="34" t="s">
        <v>3388</v>
      </c>
      <c r="E107" s="99" t="s">
        <v>9</v>
      </c>
    </row>
    <row r="108">
      <c r="B108" s="34" t="s">
        <v>3386</v>
      </c>
      <c r="C108" s="57" t="s">
        <v>449</v>
      </c>
      <c r="D108" s="32" t="s">
        <v>3387</v>
      </c>
      <c r="E108" s="99" t="s">
        <v>13</v>
      </c>
    </row>
    <row r="109">
      <c r="B109" s="34" t="s">
        <v>3182</v>
      </c>
      <c r="C109" s="108" t="s">
        <v>449</v>
      </c>
      <c r="D109" s="34" t="s">
        <v>3388</v>
      </c>
      <c r="E109" s="99" t="s">
        <v>9</v>
      </c>
    </row>
    <row r="110">
      <c r="B110" s="32" t="s">
        <v>136</v>
      </c>
      <c r="C110" s="109" t="s">
        <v>449</v>
      </c>
      <c r="D110" s="32" t="s">
        <v>3387</v>
      </c>
      <c r="E110" s="99" t="s">
        <v>13</v>
      </c>
    </row>
    <row r="111">
      <c r="B111" s="72" t="s">
        <v>1685</v>
      </c>
      <c r="C111" s="2"/>
      <c r="D111" s="3"/>
      <c r="E111" s="29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34" t="s">
        <v>3389</v>
      </c>
      <c r="C113" s="33" t="s">
        <v>212</v>
      </c>
      <c r="D113" s="32" t="s">
        <v>3390</v>
      </c>
      <c r="E113" s="11" t="str">
        <f>HYPERLINK("https://youtu.be/zQWEt6JK7IQ","channel 1")</f>
        <v>channel 1</v>
      </c>
    </row>
    <row r="114">
      <c r="B114" s="34" t="s">
        <v>549</v>
      </c>
      <c r="C114" s="33" t="s">
        <v>62</v>
      </c>
      <c r="D114" s="32" t="s">
        <v>3358</v>
      </c>
      <c r="E114" s="11" t="str">
        <f>HYPERLINK("https://youtu.be/TRg5-Ok08tg","channel 2")</f>
        <v>channel 2</v>
      </c>
    </row>
    <row r="115">
      <c r="B115" s="34" t="s">
        <v>3391</v>
      </c>
      <c r="C115" s="33" t="s">
        <v>83</v>
      </c>
      <c r="D115" s="34" t="s">
        <v>3389</v>
      </c>
      <c r="E115" s="11" t="str">
        <f>HYPERLINK("https://youtu.be/zQWEt6JK7IQ?t=1605","channel 1")</f>
        <v>channel 1</v>
      </c>
    </row>
    <row r="116">
      <c r="B116" s="34" t="s">
        <v>549</v>
      </c>
      <c r="C116" s="33" t="s">
        <v>82</v>
      </c>
      <c r="D116" s="32" t="s">
        <v>3390</v>
      </c>
      <c r="E116" s="11" t="str">
        <f>HYPERLINK("https://youtu.be/TRg5-Ok08tg?t=832","channel 2")</f>
        <v>channel 2</v>
      </c>
    </row>
    <row r="117">
      <c r="B117" s="34" t="s">
        <v>3391</v>
      </c>
      <c r="C117" s="33" t="s">
        <v>722</v>
      </c>
      <c r="D117" s="32" t="s">
        <v>3358</v>
      </c>
      <c r="E117" s="11" t="str">
        <f>HYPERLINK("https://youtu.be/zQWEt6JK7IQ?t=2620","channel 1")</f>
        <v>channel 1</v>
      </c>
    </row>
    <row r="118">
      <c r="B118" s="34" t="s">
        <v>549</v>
      </c>
      <c r="C118" s="33" t="s">
        <v>87</v>
      </c>
      <c r="D118" s="34" t="s">
        <v>3389</v>
      </c>
      <c r="E118" s="11" t="str">
        <f>HYPERLINK("https://youtu.be/TRg5-Ok08tg?t=1749","channel 2")</f>
        <v>channel 2</v>
      </c>
    </row>
    <row r="119">
      <c r="B119" s="34" t="s">
        <v>3391</v>
      </c>
      <c r="C119" s="33" t="s">
        <v>226</v>
      </c>
      <c r="D119" s="32" t="s">
        <v>3390</v>
      </c>
      <c r="E119" s="11" t="str">
        <f>HYPERLINK("https://youtu.be/zQWEt6JK7IQ?t=3546","channel 1")</f>
        <v>channel 1</v>
      </c>
    </row>
    <row r="120">
      <c r="B120" s="32" t="s">
        <v>3358</v>
      </c>
      <c r="C120" s="33" t="s">
        <v>193</v>
      </c>
      <c r="D120" s="34" t="s">
        <v>3389</v>
      </c>
      <c r="E120" s="11" t="str">
        <f>HYPERLINK("https://youtu.be/TRg5-Ok08tg?t=2698","channel 2")</f>
        <v>channel 2</v>
      </c>
    </row>
    <row r="121">
      <c r="B121" s="34" t="s">
        <v>3391</v>
      </c>
      <c r="C121" s="33" t="s">
        <v>1021</v>
      </c>
      <c r="D121" s="34" t="s">
        <v>549</v>
      </c>
      <c r="E121" s="11" t="str">
        <f>HYPERLINK("https://youtu.be/zQWEt6JK7IQ?t=4427","channel 1")</f>
        <v>channel 1</v>
      </c>
    </row>
    <row r="122">
      <c r="B122" s="32" t="s">
        <v>3358</v>
      </c>
      <c r="C122" s="33" t="s">
        <v>260</v>
      </c>
      <c r="D122" s="32" t="s">
        <v>3390</v>
      </c>
      <c r="E122" s="11" t="str">
        <f>HYPERLINK("https://youtu.be/TRg5-Ok08tg?t=3740","channel 2")</f>
        <v>channel 2</v>
      </c>
    </row>
    <row r="123">
      <c r="B123" s="32" t="s">
        <v>3390</v>
      </c>
      <c r="C123" s="33" t="s">
        <v>11</v>
      </c>
      <c r="D123" s="34" t="s">
        <v>3389</v>
      </c>
      <c r="E123" s="11" t="str">
        <f>HYPERLINK("https://youtu.be/zQWEt6JK7IQ?t=5360","channel 1")</f>
        <v>channel 1</v>
      </c>
    </row>
    <row r="124">
      <c r="B124" s="32" t="s">
        <v>3358</v>
      </c>
      <c r="C124" s="33" t="s">
        <v>195</v>
      </c>
      <c r="D124" s="34" t="s">
        <v>549</v>
      </c>
      <c r="E124" s="11" t="str">
        <f>HYPERLINK("https://youtu.be/TRg5-Ok08tg?t=4605","channel 2")</f>
        <v>channel 2</v>
      </c>
    </row>
    <row r="125">
      <c r="B125" s="34" t="s">
        <v>3389</v>
      </c>
      <c r="C125" s="35" t="s">
        <v>215</v>
      </c>
      <c r="D125" s="34" t="s">
        <v>3391</v>
      </c>
      <c r="E125" s="11" t="str">
        <f>HYPERLINK("https://youtu.be/zQWEt6JK7IQ?t=6323","channel 1")</f>
        <v>channel 1</v>
      </c>
    </row>
    <row r="126">
      <c r="B126" s="32" t="s">
        <v>3390</v>
      </c>
      <c r="C126" s="35" t="s">
        <v>17</v>
      </c>
      <c r="D126" s="34" t="s">
        <v>549</v>
      </c>
      <c r="E126" s="11" t="str">
        <f>HYPERLINK("https://youtu.be/TRg5-Ok08tg?t=5614","channel 2")</f>
        <v>channel 2</v>
      </c>
    </row>
    <row r="127">
      <c r="B127" s="32" t="s">
        <v>3358</v>
      </c>
      <c r="C127" s="35" t="s">
        <v>1025</v>
      </c>
      <c r="D127" s="34" t="s">
        <v>3391</v>
      </c>
      <c r="E127" s="11" t="str">
        <f>HYPERLINK("https://youtu.be/zQWEt6JK7IQ?t=7272","channel 1")</f>
        <v>channel 1</v>
      </c>
    </row>
    <row r="128">
      <c r="B128" s="34" t="s">
        <v>3389</v>
      </c>
      <c r="C128" s="35" t="s">
        <v>297</v>
      </c>
      <c r="D128" s="34" t="s">
        <v>549</v>
      </c>
      <c r="E128" s="11" t="str">
        <f>HYPERLINK("https://youtu.be/TRg5-Ok08tg?t=6527","channel 2")</f>
        <v>channel 2</v>
      </c>
    </row>
    <row r="129">
      <c r="B129" s="32" t="s">
        <v>3390</v>
      </c>
      <c r="C129" s="35" t="s">
        <v>82</v>
      </c>
      <c r="D129" s="34" t="s">
        <v>3391</v>
      </c>
      <c r="E129" s="11" t="str">
        <f>HYPERLINK("https://youtu.be/zQWEt6JK7IQ?t=8242","channel 1")</f>
        <v>channel 1</v>
      </c>
    </row>
    <row r="130">
      <c r="B130" s="34" t="s">
        <v>3389</v>
      </c>
      <c r="C130" s="35" t="s">
        <v>66</v>
      </c>
      <c r="D130" s="32" t="s">
        <v>3358</v>
      </c>
      <c r="E130" s="11" t="str">
        <f>HYPERLINK("https://youtu.be/TRg5-Ok08tg?t=7561","channel 2")</f>
        <v>channel 2</v>
      </c>
    </row>
    <row r="131">
      <c r="B131" s="34" t="s">
        <v>549</v>
      </c>
      <c r="C131" s="35" t="s">
        <v>201</v>
      </c>
      <c r="D131" s="34" t="s">
        <v>3391</v>
      </c>
      <c r="E131" s="11" t="str">
        <f>HYPERLINK("https://youtu.be/zQWEt6JK7IQ?t=9228","channel 1")</f>
        <v>channel 1</v>
      </c>
    </row>
    <row r="132">
      <c r="B132" s="32" t="s">
        <v>3390</v>
      </c>
      <c r="C132" s="35" t="s">
        <v>244</v>
      </c>
      <c r="D132" s="32" t="s">
        <v>3358</v>
      </c>
      <c r="E132" s="11" t="str">
        <f>HYPERLINK("https://youtu.be/TRg5-Ok08tg?t=8398","channel 2")</f>
        <v>channel 2</v>
      </c>
    </row>
    <row r="133">
      <c r="B133" s="72" t="s">
        <v>3392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6" t="s">
        <v>5</v>
      </c>
    </row>
    <row r="135">
      <c r="B135" s="32" t="s">
        <v>2778</v>
      </c>
      <c r="C135" s="70" t="s">
        <v>687</v>
      </c>
      <c r="D135" s="32" t="s">
        <v>3393</v>
      </c>
      <c r="E135" s="11" t="str">
        <f>HYPERLINK("https://youtu.be/eowXakwVvyk","channel 3")</f>
        <v>channel 3</v>
      </c>
    </row>
    <row r="136">
      <c r="B136" s="32" t="s">
        <v>2113</v>
      </c>
      <c r="C136" s="70" t="s">
        <v>58</v>
      </c>
      <c r="D136" s="32" t="s">
        <v>1361</v>
      </c>
      <c r="E136" s="11" t="str">
        <f>HYPERLINK("https://youtu.be/FYILdZ_IkeQ","channel 4")</f>
        <v>channel 4</v>
      </c>
    </row>
    <row r="137">
      <c r="B137" s="32" t="s">
        <v>3394</v>
      </c>
      <c r="C137" s="70" t="s">
        <v>412</v>
      </c>
      <c r="D137" s="32" t="s">
        <v>2778</v>
      </c>
      <c r="E137" s="11" t="str">
        <f>HYPERLINK("https://youtu.be/eowXakwVvyk?t=1046","channel 3")</f>
        <v>channel 3</v>
      </c>
    </row>
    <row r="138">
      <c r="B138" s="32" t="s">
        <v>2113</v>
      </c>
      <c r="C138" s="109" t="s">
        <v>449</v>
      </c>
      <c r="D138" s="32" t="s">
        <v>3393</v>
      </c>
      <c r="E138" s="102" t="s">
        <v>37</v>
      </c>
    </row>
    <row r="139">
      <c r="B139" s="32" t="s">
        <v>3394</v>
      </c>
      <c r="C139" s="70" t="s">
        <v>17</v>
      </c>
      <c r="D139" s="32" t="s">
        <v>1361</v>
      </c>
      <c r="E139" s="11" t="str">
        <f>HYPERLINK("https://youtu.be/eowXakwVvyk?t=1993","channel 3")</f>
        <v>channel 3</v>
      </c>
    </row>
    <row r="140">
      <c r="B140" s="91" t="s">
        <v>2113</v>
      </c>
      <c r="C140" s="70" t="s">
        <v>570</v>
      </c>
      <c r="D140" s="91" t="s">
        <v>2778</v>
      </c>
      <c r="E140" s="11" t="str">
        <f>HYPERLINK("https://youtu.be/FYILdZ_IkeQ?t=2275","channel 4")</f>
        <v>channel 4</v>
      </c>
    </row>
    <row r="141">
      <c r="B141" s="32" t="s">
        <v>3394</v>
      </c>
      <c r="C141" s="70" t="s">
        <v>18</v>
      </c>
      <c r="D141" s="32" t="s">
        <v>3393</v>
      </c>
      <c r="E141" s="11" t="str">
        <f>HYPERLINK("https://youtu.be/eowXakwVvyk?t=2963","channel 3")</f>
        <v>channel 3</v>
      </c>
    </row>
    <row r="142">
      <c r="B142" s="91" t="s">
        <v>1361</v>
      </c>
      <c r="C142" s="70" t="s">
        <v>197</v>
      </c>
      <c r="D142" s="91" t="s">
        <v>2778</v>
      </c>
      <c r="E142" s="11" t="str">
        <f>HYPERLINK("https://youtu.be/FYILdZ_IkeQ?t=3156","channel 4")</f>
        <v>channel 4</v>
      </c>
    </row>
    <row r="143">
      <c r="B143" s="32" t="s">
        <v>3394</v>
      </c>
      <c r="C143" s="70" t="s">
        <v>71</v>
      </c>
      <c r="D143" s="32" t="s">
        <v>2113</v>
      </c>
      <c r="E143" s="11" t="str">
        <f>HYPERLINK("https://youtu.be/eowXakwVvyk?t=3925","channel 3")</f>
        <v>channel 3</v>
      </c>
    </row>
    <row r="144">
      <c r="B144" s="32" t="s">
        <v>1361</v>
      </c>
      <c r="C144" s="70" t="s">
        <v>16</v>
      </c>
      <c r="D144" s="32" t="s">
        <v>3393</v>
      </c>
      <c r="E144" s="11" t="str">
        <f>HYPERLINK("https://youtu.be/FYILdZ_IkeQ?t=4025","channel 4")</f>
        <v>channel 4</v>
      </c>
    </row>
    <row r="145">
      <c r="B145" s="32" t="s">
        <v>3393</v>
      </c>
      <c r="C145" s="70" t="s">
        <v>363</v>
      </c>
      <c r="D145" s="32" t="s">
        <v>2778</v>
      </c>
      <c r="E145" s="11" t="str">
        <f>HYPERLINK("https://youtu.be/eowXakwVvyk?t=4899","channel 3")</f>
        <v>channel 3</v>
      </c>
    </row>
    <row r="146">
      <c r="B146" s="91" t="s">
        <v>1361</v>
      </c>
      <c r="C146" s="70" t="s">
        <v>250</v>
      </c>
      <c r="D146" s="91" t="s">
        <v>2113</v>
      </c>
      <c r="E146" s="11" t="str">
        <f>HYPERLINK("https://youtu.be/FYILdZ_IkeQ?t=4880","channel 4")</f>
        <v>channel 4</v>
      </c>
    </row>
    <row r="147">
      <c r="B147" s="32" t="s">
        <v>2778</v>
      </c>
      <c r="C147" s="70" t="s">
        <v>208</v>
      </c>
      <c r="D147" s="32" t="s">
        <v>3394</v>
      </c>
      <c r="E147" s="11" t="str">
        <f>HYPERLINK("https://youtu.be/eowXakwVvyk?t=5831","channel 3")</f>
        <v>channel 3</v>
      </c>
    </row>
    <row r="148">
      <c r="B148" s="32" t="s">
        <v>3393</v>
      </c>
      <c r="C148" s="70" t="s">
        <v>416</v>
      </c>
      <c r="D148" s="32" t="s">
        <v>2113</v>
      </c>
      <c r="E148" s="11" t="str">
        <f>HYPERLINK("https://youtu.be/FYILdZ_IkeQ?t=5872","channel 4")</f>
        <v>channel 4</v>
      </c>
    </row>
    <row r="149">
      <c r="B149" s="32" t="s">
        <v>1361</v>
      </c>
      <c r="C149" s="70" t="s">
        <v>88</v>
      </c>
      <c r="D149" s="32" t="s">
        <v>3394</v>
      </c>
      <c r="E149" s="11" t="str">
        <f>HYPERLINK("https://youtu.be/eowXakwVvyk?t=6747","channel 3")</f>
        <v>channel 3</v>
      </c>
    </row>
    <row r="150">
      <c r="B150" s="32" t="s">
        <v>2778</v>
      </c>
      <c r="C150" s="70" t="s">
        <v>950</v>
      </c>
      <c r="D150" s="32" t="s">
        <v>2113</v>
      </c>
      <c r="E150" s="11" t="str">
        <f>HYPERLINK("https://youtu.be/FYILdZ_IkeQ?t=6853","channel 4")</f>
        <v>channel 4</v>
      </c>
    </row>
    <row r="151">
      <c r="B151" s="32" t="s">
        <v>3393</v>
      </c>
      <c r="C151" s="70" t="s">
        <v>28</v>
      </c>
      <c r="D151" s="32" t="s">
        <v>3394</v>
      </c>
      <c r="E151" s="11" t="str">
        <f>HYPERLINK("https://youtu.be/eowXakwVvyk?t=7664","channel 3")</f>
        <v>channel 3</v>
      </c>
    </row>
    <row r="152">
      <c r="B152" s="32" t="s">
        <v>2778</v>
      </c>
      <c r="C152" s="70" t="s">
        <v>26</v>
      </c>
      <c r="D152" s="32" t="s">
        <v>1361</v>
      </c>
      <c r="E152" s="11" t="str">
        <f>HYPERLINK("https://youtu.be/FYILdZ_IkeQ?t=7759","channel 4")</f>
        <v>channel 4</v>
      </c>
    </row>
    <row r="153">
      <c r="B153" s="32" t="s">
        <v>2113</v>
      </c>
      <c r="C153" s="70" t="s">
        <v>317</v>
      </c>
      <c r="D153" s="32" t="s">
        <v>3394</v>
      </c>
      <c r="E153" s="11" t="str">
        <f>HYPERLINK("https://youtu.be/eowXakwVvyk?t=8553","channel 3")</f>
        <v>channel 3</v>
      </c>
    </row>
    <row r="154">
      <c r="B154" s="32" t="s">
        <v>3393</v>
      </c>
      <c r="C154" s="70" t="s">
        <v>3395</v>
      </c>
      <c r="D154" s="32" t="s">
        <v>1361</v>
      </c>
      <c r="E154" s="11" t="str">
        <f>HYPERLINK("https://youtu.be/FYILdZ_IkeQ?t=8656","channel 4")</f>
        <v>channel 4</v>
      </c>
    </row>
    <row r="155">
      <c r="B155" s="72" t="s">
        <v>2928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6" t="s">
        <v>5</v>
      </c>
    </row>
    <row r="157">
      <c r="B157" s="32" t="s">
        <v>3396</v>
      </c>
      <c r="C157" s="70" t="s">
        <v>2325</v>
      </c>
      <c r="D157" s="32" t="s">
        <v>2513</v>
      </c>
      <c r="E157" s="11" t="str">
        <f>HYPERLINK("https://youtu.be/W4YGTL8c1pU","channel 3")</f>
        <v>channel 3</v>
      </c>
    </row>
    <row r="158">
      <c r="B158" s="32" t="s">
        <v>2873</v>
      </c>
      <c r="C158" s="70" t="s">
        <v>64</v>
      </c>
      <c r="D158" s="32" t="s">
        <v>2139</v>
      </c>
      <c r="E158" s="11" t="str">
        <f>HYPERLINK("https://youtu.be/PU8c3rikJQI","channel 4")</f>
        <v>channel 4</v>
      </c>
    </row>
    <row r="159">
      <c r="B159" s="32" t="s">
        <v>3397</v>
      </c>
      <c r="C159" s="70" t="s">
        <v>88</v>
      </c>
      <c r="D159" s="32" t="s">
        <v>3396</v>
      </c>
      <c r="E159" s="11" t="str">
        <f>HYPERLINK("https://youtu.be/W4YGTL8c1pU?t=962","channel 3")</f>
        <v>channel 3</v>
      </c>
    </row>
    <row r="160">
      <c r="B160" s="32" t="s">
        <v>2873</v>
      </c>
      <c r="C160" s="70" t="s">
        <v>355</v>
      </c>
      <c r="D160" s="32" t="s">
        <v>2513</v>
      </c>
      <c r="E160" s="11" t="str">
        <f>HYPERLINK("https://youtu.be/PU8c3rikJQI?t=952","channel 4")</f>
        <v>channel 4</v>
      </c>
    </row>
    <row r="161">
      <c r="B161" s="32" t="s">
        <v>3397</v>
      </c>
      <c r="C161" s="70" t="s">
        <v>719</v>
      </c>
      <c r="D161" s="32" t="s">
        <v>2139</v>
      </c>
      <c r="E161" s="11" t="str">
        <f>HYPERLINK("https://youtu.be/W4YGTL8c1pU?t=1871","channel 3")</f>
        <v>channel 3</v>
      </c>
    </row>
    <row r="162">
      <c r="B162" s="91" t="s">
        <v>2873</v>
      </c>
      <c r="C162" s="70" t="s">
        <v>1952</v>
      </c>
      <c r="D162" s="91" t="s">
        <v>3396</v>
      </c>
      <c r="E162" s="11" t="str">
        <f>HYPERLINK("https://youtu.be/PU8c3rikJQI?t=1867","channel 4")</f>
        <v>channel 4</v>
      </c>
    </row>
    <row r="163">
      <c r="B163" s="32" t="s">
        <v>3397</v>
      </c>
      <c r="C163" s="70" t="s">
        <v>195</v>
      </c>
      <c r="D163" s="32" t="s">
        <v>2513</v>
      </c>
      <c r="E163" s="11" t="str">
        <f>HYPERLINK("https://youtu.be/W4YGTL8c1pU?t=2787","channel 3")</f>
        <v>channel 3</v>
      </c>
    </row>
    <row r="164">
      <c r="B164" s="91" t="s">
        <v>2139</v>
      </c>
      <c r="C164" s="70" t="s">
        <v>365</v>
      </c>
      <c r="D164" s="91" t="s">
        <v>3396</v>
      </c>
      <c r="E164" s="11" t="str">
        <f>HYPERLINK("https://youtu.be/PU8c3rikJQI?t=2815","channel 4")</f>
        <v>channel 4</v>
      </c>
    </row>
    <row r="165">
      <c r="B165" s="32" t="s">
        <v>3397</v>
      </c>
      <c r="C165" s="70" t="s">
        <v>55</v>
      </c>
      <c r="D165" s="32" t="s">
        <v>2873</v>
      </c>
      <c r="E165" s="11" t="str">
        <f>HYPERLINK("https://youtu.be/W4YGTL8c1pU?t=3725","channel 3")</f>
        <v>channel 3</v>
      </c>
    </row>
    <row r="166">
      <c r="B166" s="32" t="s">
        <v>2139</v>
      </c>
      <c r="C166" s="70" t="s">
        <v>797</v>
      </c>
      <c r="D166" s="32" t="s">
        <v>2513</v>
      </c>
      <c r="E166" s="11" t="str">
        <f>HYPERLINK("https://youtu.be/PU8c3rikJQI?t=3710","channel 4")</f>
        <v>channel 4</v>
      </c>
    </row>
    <row r="167">
      <c r="B167" s="32" t="s">
        <v>2513</v>
      </c>
      <c r="C167" s="70" t="s">
        <v>80</v>
      </c>
      <c r="D167" s="32" t="s">
        <v>3396</v>
      </c>
      <c r="E167" s="11" t="str">
        <f>HYPERLINK("https://youtu.be/W4YGTL8c1pU?t=4636","channel 3")</f>
        <v>channel 3</v>
      </c>
    </row>
    <row r="168">
      <c r="B168" s="91" t="s">
        <v>2139</v>
      </c>
      <c r="C168" s="70" t="s">
        <v>80</v>
      </c>
      <c r="D168" s="91" t="s">
        <v>2873</v>
      </c>
      <c r="E168" s="11" t="str">
        <f>HYPERLINK("https://youtu.be/PU8c3rikJQI?t=4647","channel 4")</f>
        <v>channel 4</v>
      </c>
    </row>
    <row r="169">
      <c r="B169" s="32" t="s">
        <v>3396</v>
      </c>
      <c r="C169" s="70" t="s">
        <v>284</v>
      </c>
      <c r="D169" s="32" t="s">
        <v>3397</v>
      </c>
      <c r="E169" s="11" t="str">
        <f>HYPERLINK("https://youtu.be/W4YGTL8c1pU?t=5538","channel 3")</f>
        <v>channel 3</v>
      </c>
    </row>
    <row r="170">
      <c r="B170" s="32" t="s">
        <v>2513</v>
      </c>
      <c r="C170" s="70" t="s">
        <v>52</v>
      </c>
      <c r="D170" s="32" t="s">
        <v>2873</v>
      </c>
      <c r="E170" s="11" t="str">
        <f>HYPERLINK("https://youtu.be/PU8c3rikJQI?t=5576","channel 4")</f>
        <v>channel 4</v>
      </c>
    </row>
    <row r="171">
      <c r="B171" s="32" t="s">
        <v>2139</v>
      </c>
      <c r="C171" s="70" t="s">
        <v>72</v>
      </c>
      <c r="D171" s="32" t="s">
        <v>3397</v>
      </c>
      <c r="E171" s="11" t="str">
        <f>HYPERLINK("https://youtu.be/W4YGTL8c1pU?t=6475","channel 3")</f>
        <v>channel 3</v>
      </c>
    </row>
    <row r="172">
      <c r="B172" s="32" t="s">
        <v>3396</v>
      </c>
      <c r="C172" s="70" t="s">
        <v>25</v>
      </c>
      <c r="D172" s="32" t="s">
        <v>2873</v>
      </c>
      <c r="E172" s="11" t="str">
        <f>HYPERLINK("https://youtu.be/PU8c3rikJQI?t=6547","channel 4")</f>
        <v>channel 4</v>
      </c>
    </row>
    <row r="173">
      <c r="B173" s="32" t="s">
        <v>2513</v>
      </c>
      <c r="C173" s="70" t="s">
        <v>67</v>
      </c>
      <c r="D173" s="32" t="s">
        <v>3397</v>
      </c>
      <c r="E173" s="11" t="str">
        <f>HYPERLINK("https://youtu.be/W4YGTL8c1pU?t=7388","channel 3")</f>
        <v>channel 3</v>
      </c>
    </row>
    <row r="174">
      <c r="B174" s="32" t="s">
        <v>3396</v>
      </c>
      <c r="C174" s="70" t="s">
        <v>220</v>
      </c>
      <c r="D174" s="32" t="s">
        <v>2139</v>
      </c>
      <c r="E174" s="11" t="str">
        <f>HYPERLINK("https://youtu.be/PU8c3rikJQI?t=7460","channel 4")</f>
        <v>channel 4</v>
      </c>
    </row>
    <row r="175">
      <c r="B175" s="32" t="s">
        <v>2873</v>
      </c>
      <c r="C175" s="70" t="s">
        <v>488</v>
      </c>
      <c r="D175" s="32" t="s">
        <v>3397</v>
      </c>
      <c r="E175" s="11" t="str">
        <f>HYPERLINK("https://youtu.be/W4YGTL8c1pU?t=8302","channel 3")</f>
        <v>channel 3</v>
      </c>
    </row>
    <row r="176">
      <c r="B176" s="32" t="s">
        <v>2513</v>
      </c>
      <c r="C176" s="70" t="s">
        <v>28</v>
      </c>
      <c r="D176" s="32" t="s">
        <v>2139</v>
      </c>
      <c r="E176" s="11" t="str">
        <f>HYPERLINK("https://youtu.be/PU8c3rikJQI?t=8364","channel 4")</f>
        <v>channel 4</v>
      </c>
    </row>
    <row r="177">
      <c r="B177" s="72" t="s">
        <v>2507</v>
      </c>
      <c r="C177" s="2"/>
      <c r="D177" s="3"/>
      <c r="E177" s="2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34" t="s">
        <v>3398</v>
      </c>
      <c r="C179" s="33" t="s">
        <v>797</v>
      </c>
      <c r="D179" s="34" t="s">
        <v>3399</v>
      </c>
      <c r="E179" s="11" t="str">
        <f>HYPERLINK("https://youtu.be/GMsLOec1l2Y","channel 1")</f>
        <v>channel 1</v>
      </c>
    </row>
    <row r="180">
      <c r="B180" s="34" t="s">
        <v>2982</v>
      </c>
      <c r="C180" s="33" t="s">
        <v>22</v>
      </c>
      <c r="D180" s="34" t="s">
        <v>2035</v>
      </c>
      <c r="E180" s="11" t="str">
        <f>HYPERLINK("https://youtu.be/9qKVq8Bwo2s","channel 2")</f>
        <v>channel 2</v>
      </c>
    </row>
    <row r="181">
      <c r="B181" s="34" t="s">
        <v>2264</v>
      </c>
      <c r="C181" s="33" t="s">
        <v>201</v>
      </c>
      <c r="D181" s="34" t="s">
        <v>3398</v>
      </c>
      <c r="E181" s="11" t="str">
        <f>HYPERLINK("https://youtu.be/GMsLOec1l2Y?t=975","channel 1")</f>
        <v>channel 1</v>
      </c>
    </row>
    <row r="182">
      <c r="B182" s="34" t="s">
        <v>2982</v>
      </c>
      <c r="C182" s="33" t="s">
        <v>7</v>
      </c>
      <c r="D182" s="34" t="s">
        <v>3399</v>
      </c>
      <c r="E182" s="11" t="str">
        <f>HYPERLINK("https://youtu.be/9qKVq8Bwo2s?t=973","channel 2")</f>
        <v>channel 2</v>
      </c>
    </row>
    <row r="183">
      <c r="B183" s="34" t="s">
        <v>2264</v>
      </c>
      <c r="C183" s="33" t="s">
        <v>68</v>
      </c>
      <c r="D183" s="34" t="s">
        <v>2035</v>
      </c>
      <c r="E183" s="11" t="str">
        <f>HYPERLINK("https://youtu.be/GMsLOec1l2Y?t=1927","channel 1")</f>
        <v>channel 1</v>
      </c>
    </row>
    <row r="184">
      <c r="B184" s="34" t="s">
        <v>2982</v>
      </c>
      <c r="C184" s="33" t="s">
        <v>699</v>
      </c>
      <c r="D184" s="34" t="s">
        <v>3398</v>
      </c>
      <c r="E184" s="11" t="str">
        <f>HYPERLINK("https://youtu.be/9qKVq8Bwo2s?t=1983","channel 2")</f>
        <v>channel 2</v>
      </c>
    </row>
    <row r="185">
      <c r="B185" s="34" t="s">
        <v>2264</v>
      </c>
      <c r="C185" s="33" t="s">
        <v>2461</v>
      </c>
      <c r="D185" s="34" t="s">
        <v>3399</v>
      </c>
      <c r="E185" s="11" t="str">
        <f>HYPERLINK("https://youtu.be/GMsLOec1l2Y?t=2858","channel 1")</f>
        <v>channel 1</v>
      </c>
    </row>
    <row r="186">
      <c r="B186" s="34" t="s">
        <v>2035</v>
      </c>
      <c r="C186" s="33" t="s">
        <v>201</v>
      </c>
      <c r="D186" s="34" t="s">
        <v>3398</v>
      </c>
      <c r="E186" s="11" t="str">
        <f>HYPERLINK("https://youtu.be/9qKVq8Bwo2s?t=2923","channel 2")</f>
        <v>channel 2</v>
      </c>
    </row>
    <row r="187">
      <c r="B187" s="34" t="s">
        <v>2264</v>
      </c>
      <c r="C187" s="33" t="s">
        <v>196</v>
      </c>
      <c r="D187" s="34" t="s">
        <v>2982</v>
      </c>
      <c r="E187" s="11" t="str">
        <f>HYPERLINK("https://youtu.be/GMsLOec1l2Y?t=3776","channel 1")</f>
        <v>channel 1</v>
      </c>
    </row>
    <row r="188">
      <c r="B188" s="34" t="s">
        <v>2035</v>
      </c>
      <c r="C188" s="33" t="s">
        <v>72</v>
      </c>
      <c r="D188" s="34" t="s">
        <v>3399</v>
      </c>
      <c r="E188" s="11" t="str">
        <f>HYPERLINK("https://youtu.be/9qKVq8Bwo2s?t=3814","channel 2")</f>
        <v>channel 2</v>
      </c>
    </row>
    <row r="189">
      <c r="B189" s="34" t="s">
        <v>3399</v>
      </c>
      <c r="C189" s="33" t="s">
        <v>289</v>
      </c>
      <c r="D189" s="34" t="s">
        <v>3398</v>
      </c>
      <c r="E189" s="11" t="str">
        <f>HYPERLINK("https://youtu.be/GMsLOec1l2Y?t=4640","channel 1")</f>
        <v>channel 1</v>
      </c>
    </row>
    <row r="190">
      <c r="B190" s="34" t="s">
        <v>2035</v>
      </c>
      <c r="C190" s="33" t="s">
        <v>239</v>
      </c>
      <c r="D190" s="34" t="s">
        <v>2982</v>
      </c>
      <c r="E190" s="11" t="str">
        <f>HYPERLINK("https://youtu.be/9qKVq8Bwo2s?t=4706","channel 2")</f>
        <v>channel 2</v>
      </c>
    </row>
    <row r="191">
      <c r="B191" s="34" t="s">
        <v>3398</v>
      </c>
      <c r="C191" s="35" t="s">
        <v>43</v>
      </c>
      <c r="D191" s="34" t="s">
        <v>2264</v>
      </c>
      <c r="E191" s="11" t="str">
        <f>HYPERLINK("https://youtu.be/GMsLOec1l2Y?t=5541","channel 1")</f>
        <v>channel 1</v>
      </c>
    </row>
    <row r="192">
      <c r="B192" s="34" t="s">
        <v>3399</v>
      </c>
      <c r="C192" s="35" t="s">
        <v>231</v>
      </c>
      <c r="D192" s="34" t="s">
        <v>2982</v>
      </c>
      <c r="E192" s="11" t="str">
        <f>HYPERLINK("https://youtu.be/9qKVq8Bwo2s?t=5609","channel 2")</f>
        <v>channel 2</v>
      </c>
    </row>
    <row r="193">
      <c r="B193" s="34" t="s">
        <v>2035</v>
      </c>
      <c r="C193" s="35" t="s">
        <v>11</v>
      </c>
      <c r="D193" s="34" t="s">
        <v>2264</v>
      </c>
      <c r="E193" s="11" t="str">
        <f>HYPERLINK("https://youtu.be/GMsLOec1l2Y?t=6472","channel 1")</f>
        <v>channel 1</v>
      </c>
    </row>
    <row r="194">
      <c r="B194" s="34" t="s">
        <v>3398</v>
      </c>
      <c r="C194" s="35" t="s">
        <v>72</v>
      </c>
      <c r="D194" s="34" t="s">
        <v>2982</v>
      </c>
      <c r="E194" s="11" t="str">
        <f>HYPERLINK("https://youtu.be/9qKVq8Bwo2s?t=6475","channel 2")</f>
        <v>channel 2</v>
      </c>
    </row>
    <row r="195">
      <c r="B195" s="34" t="s">
        <v>3399</v>
      </c>
      <c r="C195" s="35" t="s">
        <v>289</v>
      </c>
      <c r="D195" s="34" t="s">
        <v>2264</v>
      </c>
      <c r="E195" s="11" t="str">
        <f>HYPERLINK("https://youtu.be/GMsLOec1l2Y?t=7346","channel 1")</f>
        <v>channel 1</v>
      </c>
    </row>
    <row r="196">
      <c r="B196" s="34" t="s">
        <v>3398</v>
      </c>
      <c r="C196" s="35" t="s">
        <v>21</v>
      </c>
      <c r="D196" s="34" t="s">
        <v>2035</v>
      </c>
      <c r="E196" s="11" t="str">
        <f>HYPERLINK("https://youtu.be/9qKVq8Bwo2s?t=7388","channel 2")</f>
        <v>channel 2</v>
      </c>
    </row>
    <row r="197">
      <c r="B197" s="34" t="s">
        <v>2982</v>
      </c>
      <c r="C197" s="35" t="s">
        <v>7</v>
      </c>
      <c r="D197" s="34" t="s">
        <v>2264</v>
      </c>
      <c r="E197" s="11" t="str">
        <f>HYPERLINK("https://youtu.be/GMsLOec1l2Y?t=8243","channel 1")</f>
        <v>channel 1</v>
      </c>
    </row>
    <row r="198">
      <c r="B198" s="34" t="s">
        <v>3399</v>
      </c>
      <c r="C198" s="35" t="s">
        <v>260</v>
      </c>
      <c r="D198" s="34" t="s">
        <v>2035</v>
      </c>
      <c r="E198" s="11" t="str">
        <f>HYPERLINK("https://youtu.be/9qKVq8Bwo2s?t=8284","channel 2")</f>
        <v>channel 2</v>
      </c>
    </row>
    <row r="199">
      <c r="B199" s="72" t="s">
        <v>2272</v>
      </c>
      <c r="C199" s="2"/>
      <c r="D199" s="3"/>
      <c r="E199" s="2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34" t="s">
        <v>12</v>
      </c>
      <c r="C201" s="33" t="s">
        <v>308</v>
      </c>
      <c r="D201" s="34" t="s">
        <v>3400</v>
      </c>
      <c r="E201" s="11" t="str">
        <f>HYPERLINK("https://youtu.be/IzocV7X5mKU","channel 1")</f>
        <v>channel 1</v>
      </c>
    </row>
    <row r="202">
      <c r="B202" s="34" t="s">
        <v>2786</v>
      </c>
      <c r="C202" s="33" t="s">
        <v>18</v>
      </c>
      <c r="D202" s="34" t="s">
        <v>2108</v>
      </c>
      <c r="E202" s="11" t="str">
        <f>HYPERLINK("https://youtu.be/SDbrVkY9dSw","channel 2")</f>
        <v>channel 2</v>
      </c>
    </row>
    <row r="203">
      <c r="B203" s="34" t="s">
        <v>2660</v>
      </c>
      <c r="C203" s="33" t="s">
        <v>62</v>
      </c>
      <c r="D203" s="34" t="s">
        <v>12</v>
      </c>
      <c r="E203" s="11" t="str">
        <f>HYPERLINK("https://youtu.be/IzocV7X5mKU?t=1072","channel 1")</f>
        <v>channel 1</v>
      </c>
    </row>
    <row r="204">
      <c r="B204" s="34" t="s">
        <v>2786</v>
      </c>
      <c r="C204" s="33" t="s">
        <v>270</v>
      </c>
      <c r="D204" s="34" t="s">
        <v>3400</v>
      </c>
      <c r="E204" s="11" t="str">
        <f>HYPERLINK("https://youtu.be/SDbrVkY9dSw?t=1091","channel 2")</f>
        <v>channel 2</v>
      </c>
    </row>
    <row r="205">
      <c r="B205" s="34" t="s">
        <v>2660</v>
      </c>
      <c r="C205" s="33" t="s">
        <v>270</v>
      </c>
      <c r="D205" s="34" t="s">
        <v>2108</v>
      </c>
      <c r="E205" s="11" t="str">
        <f>HYPERLINK("https://youtu.be/IzocV7X5mKU?t=1981","channel 1")</f>
        <v>channel 1</v>
      </c>
    </row>
    <row r="206">
      <c r="B206" s="34" t="s">
        <v>2786</v>
      </c>
      <c r="C206" s="33" t="s">
        <v>937</v>
      </c>
      <c r="D206" s="34" t="s">
        <v>12</v>
      </c>
      <c r="E206" s="11" t="str">
        <f>HYPERLINK("https://youtu.be/SDbrVkY9dSw?t=2028","channel 2")</f>
        <v>channel 2</v>
      </c>
    </row>
    <row r="207">
      <c r="B207" s="34" t="s">
        <v>2660</v>
      </c>
      <c r="C207" s="33" t="s">
        <v>67</v>
      </c>
      <c r="D207" s="34" t="s">
        <v>3400</v>
      </c>
      <c r="E207" s="11" t="str">
        <f>HYPERLINK("https://youtu.be/IzocV7X5mKU?t=2900","channel 1")</f>
        <v>channel 1</v>
      </c>
    </row>
    <row r="208">
      <c r="B208" s="34" t="s">
        <v>2108</v>
      </c>
      <c r="C208" s="33" t="s">
        <v>218</v>
      </c>
      <c r="D208" s="34" t="s">
        <v>12</v>
      </c>
      <c r="E208" s="11" t="str">
        <f>HYPERLINK("https://youtu.be/SDbrVkY9dSw?t=2924","channel 2")</f>
        <v>channel 2</v>
      </c>
    </row>
    <row r="209">
      <c r="B209" s="34" t="s">
        <v>2660</v>
      </c>
      <c r="C209" s="33" t="s">
        <v>190</v>
      </c>
      <c r="D209" s="34" t="s">
        <v>2786</v>
      </c>
      <c r="E209" s="11" t="str">
        <f>HYPERLINK("https://youtu.be/IzocV7X5mKU?t=3848","channel 1")</f>
        <v>channel 1</v>
      </c>
    </row>
    <row r="210">
      <c r="B210" s="34" t="s">
        <v>2108</v>
      </c>
      <c r="C210" s="33" t="s">
        <v>68</v>
      </c>
      <c r="D210" s="34" t="s">
        <v>3400</v>
      </c>
      <c r="E210" s="11" t="str">
        <f>HYPERLINK("https://youtu.be/SDbrVkY9dSw?t=3869","channel 2")</f>
        <v>channel 2</v>
      </c>
    </row>
    <row r="211">
      <c r="B211" s="34" t="s">
        <v>3400</v>
      </c>
      <c r="C211" s="33" t="s">
        <v>482</v>
      </c>
      <c r="D211" s="34" t="s">
        <v>12</v>
      </c>
      <c r="E211" s="11" t="str">
        <f>HYPERLINK("https://youtu.be/IzocV7X5mKU?t=4713","channel 1")</f>
        <v>channel 1</v>
      </c>
    </row>
    <row r="212">
      <c r="B212" s="34" t="s">
        <v>2108</v>
      </c>
      <c r="C212" s="33" t="s">
        <v>80</v>
      </c>
      <c r="D212" s="34" t="s">
        <v>2786</v>
      </c>
      <c r="E212" s="11" t="str">
        <f>HYPERLINK("https://youtu.be/SDbrVkY9dSw?t=4814","channel 2")</f>
        <v>channel 2</v>
      </c>
    </row>
    <row r="213">
      <c r="B213" s="34" t="s">
        <v>12</v>
      </c>
      <c r="C213" s="35" t="s">
        <v>86</v>
      </c>
      <c r="D213" s="34" t="s">
        <v>2660</v>
      </c>
      <c r="E213" s="11" t="str">
        <f>HYPERLINK("https://youtu.be/IzocV7X5mKU?t=5642","channel 1")</f>
        <v>channel 1</v>
      </c>
    </row>
    <row r="214">
      <c r="B214" s="34" t="s">
        <v>3400</v>
      </c>
      <c r="C214" s="35" t="s">
        <v>506</v>
      </c>
      <c r="D214" s="34" t="s">
        <v>2786</v>
      </c>
      <c r="E214" s="11" t="str">
        <f>HYPERLINK("https://youtu.be/SDbrVkY9dSw?t=5694","channel 2")</f>
        <v>channel 2</v>
      </c>
    </row>
    <row r="215">
      <c r="B215" s="34" t="s">
        <v>2108</v>
      </c>
      <c r="C215" s="35" t="s">
        <v>201</v>
      </c>
      <c r="D215" s="34" t="s">
        <v>2660</v>
      </c>
      <c r="E215" s="11" t="str">
        <f>HYPERLINK("https://youtu.be/IzocV7X5mKU?t=6581","channel 1")</f>
        <v>channel 1</v>
      </c>
    </row>
    <row r="216">
      <c r="B216" s="34" t="s">
        <v>12</v>
      </c>
      <c r="C216" s="35" t="s">
        <v>426</v>
      </c>
      <c r="D216" s="34" t="s">
        <v>2786</v>
      </c>
      <c r="E216" s="11" t="str">
        <f>HYPERLINK("https://youtu.be/SDbrVkY9dSw?t=6666","channel 2")</f>
        <v>channel 2</v>
      </c>
    </row>
    <row r="217">
      <c r="B217" s="34" t="s">
        <v>3400</v>
      </c>
      <c r="C217" s="35" t="s">
        <v>488</v>
      </c>
      <c r="D217" s="34" t="s">
        <v>2660</v>
      </c>
      <c r="E217" s="11" t="str">
        <f>HYPERLINK("https://youtu.be/IzocV7X5mKU?t=7535","channel 1")</f>
        <v>channel 1</v>
      </c>
    </row>
    <row r="218">
      <c r="B218" s="34" t="s">
        <v>12</v>
      </c>
      <c r="C218" s="35" t="s">
        <v>285</v>
      </c>
      <c r="D218" s="34" t="s">
        <v>2108</v>
      </c>
      <c r="E218" s="11" t="str">
        <f>HYPERLINK("https://youtu.be/SDbrVkY9dSw?t=7622","channel 2")</f>
        <v>channel 2</v>
      </c>
    </row>
    <row r="219">
      <c r="B219" s="34" t="s">
        <v>2786</v>
      </c>
      <c r="C219" s="35" t="s">
        <v>81</v>
      </c>
      <c r="D219" s="34" t="s">
        <v>2660</v>
      </c>
      <c r="E219" s="11" t="str">
        <f>HYPERLINK("https://youtu.be/IzocV7X5mKU?t=8462","channel 1")</f>
        <v>channel 1</v>
      </c>
    </row>
    <row r="220">
      <c r="B220" s="34" t="s">
        <v>3400</v>
      </c>
      <c r="C220" s="35" t="s">
        <v>289</v>
      </c>
      <c r="D220" s="34" t="s">
        <v>2108</v>
      </c>
      <c r="E220" s="11" t="str">
        <f>HYPERLINK("https://youtu.be/SDbrVkY9dSw?t=8548","channel 2")</f>
        <v>channel 2</v>
      </c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</sheetData>
  <mergeCells count="14">
    <mergeCell ref="B133:D133"/>
    <mergeCell ref="B155:D155"/>
    <mergeCell ref="B177:D177"/>
    <mergeCell ref="B199:D199"/>
    <mergeCell ref="B223:D223"/>
    <mergeCell ref="B245:D245"/>
    <mergeCell ref="B267:D267"/>
    <mergeCell ref="A1:A44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/>
      <c r="B1" s="72" t="s">
        <v>2212</v>
      </c>
      <c r="C1" s="2"/>
      <c r="D1" s="3"/>
      <c r="E1" s="84"/>
    </row>
    <row r="2">
      <c r="A2" s="66"/>
      <c r="B2" s="85" t="s">
        <v>2</v>
      </c>
      <c r="C2" s="86" t="s">
        <v>3</v>
      </c>
      <c r="D2" s="86" t="s">
        <v>4</v>
      </c>
      <c r="E2" s="86" t="s">
        <v>5</v>
      </c>
    </row>
    <row r="3">
      <c r="A3" s="66"/>
      <c r="B3" s="34" t="s">
        <v>3195</v>
      </c>
      <c r="C3" s="35" t="s">
        <v>273</v>
      </c>
      <c r="D3" s="34" t="s">
        <v>2028</v>
      </c>
      <c r="E3" s="97" t="str">
        <f>HYPERLINK("https://youtu.be/tOB-jsga3k8","channel 1")</f>
        <v>channel 1</v>
      </c>
    </row>
    <row r="4">
      <c r="A4" s="66"/>
      <c r="B4" s="34" t="s">
        <v>3401</v>
      </c>
      <c r="C4" s="35" t="s">
        <v>193</v>
      </c>
      <c r="D4" s="34" t="s">
        <v>1875</v>
      </c>
      <c r="E4" s="97" t="str">
        <f>HYPERLINK("https://youtu.be/sZXVpxxO7s0","channel 2")</f>
        <v>channel 2</v>
      </c>
    </row>
    <row r="5">
      <c r="A5" s="66"/>
      <c r="B5" s="34" t="s">
        <v>3402</v>
      </c>
      <c r="C5" s="35" t="s">
        <v>20</v>
      </c>
      <c r="D5" s="34" t="s">
        <v>3195</v>
      </c>
      <c r="E5" s="97" t="str">
        <f>HYPERLINK("https://youtu.be/tOB-jsga3k8?t=916","channel 1")</f>
        <v>channel 1</v>
      </c>
    </row>
    <row r="6">
      <c r="A6" s="66"/>
      <c r="B6" s="34" t="s">
        <v>3401</v>
      </c>
      <c r="C6" s="35" t="s">
        <v>27</v>
      </c>
      <c r="D6" s="34" t="s">
        <v>2028</v>
      </c>
      <c r="E6" s="97" t="str">
        <f>HYPERLINK("https://youtu.be/sZXVpxxO7s0?t=984","channel 2")</f>
        <v>channel 2</v>
      </c>
    </row>
    <row r="7">
      <c r="A7" s="66"/>
      <c r="B7" s="34" t="s">
        <v>3402</v>
      </c>
      <c r="C7" s="35" t="s">
        <v>83</v>
      </c>
      <c r="D7" s="34" t="s">
        <v>1875</v>
      </c>
      <c r="E7" s="97" t="str">
        <f>HYPERLINK("https://youtu.be/tOB-jsga3k8?t=1873","channel 1")</f>
        <v>channel 1</v>
      </c>
    </row>
    <row r="8">
      <c r="A8" s="66"/>
      <c r="B8" s="34" t="s">
        <v>3401</v>
      </c>
      <c r="C8" s="35" t="s">
        <v>45</v>
      </c>
      <c r="D8" s="34" t="s">
        <v>3195</v>
      </c>
      <c r="E8" s="97" t="str">
        <f>HYPERLINK("https://youtu.be/sZXVpxxO7s0?t=1919","channel 2")</f>
        <v>channel 2</v>
      </c>
    </row>
    <row r="9">
      <c r="A9" s="66"/>
      <c r="B9" s="34" t="s">
        <v>3402</v>
      </c>
      <c r="C9" s="35" t="s">
        <v>195</v>
      </c>
      <c r="D9" s="34" t="s">
        <v>2028</v>
      </c>
      <c r="E9" s="97" t="str">
        <f>HYPERLINK("https://youtu.be/tOB-jsga3k8?t=2794","channel 1")</f>
        <v>channel 1</v>
      </c>
    </row>
    <row r="10">
      <c r="A10" s="66"/>
      <c r="B10" s="34" t="s">
        <v>1875</v>
      </c>
      <c r="C10" s="35" t="s">
        <v>378</v>
      </c>
      <c r="D10" s="34" t="s">
        <v>3195</v>
      </c>
      <c r="E10" s="97" t="str">
        <f>HYPERLINK("https://youtu.be/sZXVpxxO7s0?t=2803","channel 2")</f>
        <v>channel 2</v>
      </c>
    </row>
    <row r="11">
      <c r="A11" s="66"/>
      <c r="B11" s="34" t="s">
        <v>3402</v>
      </c>
      <c r="C11" s="35" t="s">
        <v>22</v>
      </c>
      <c r="D11" s="34" t="s">
        <v>3401</v>
      </c>
      <c r="E11" s="97" t="str">
        <f>HYPERLINK("https://youtu.be/tOB-jsga3k8?t=3751","channel 1")</f>
        <v>channel 1</v>
      </c>
    </row>
    <row r="12">
      <c r="A12" s="66"/>
      <c r="B12" s="34" t="s">
        <v>1875</v>
      </c>
      <c r="C12" s="35" t="s">
        <v>1342</v>
      </c>
      <c r="D12" s="34" t="s">
        <v>2028</v>
      </c>
      <c r="E12" s="97" t="str">
        <f>HYPERLINK("https://youtu.be/sZXVpxxO7s0?t=3770","channel 2")</f>
        <v>channel 2</v>
      </c>
    </row>
    <row r="13">
      <c r="A13" s="66"/>
      <c r="B13" s="34" t="s">
        <v>2028</v>
      </c>
      <c r="C13" s="35" t="s">
        <v>201</v>
      </c>
      <c r="D13" s="34" t="s">
        <v>3195</v>
      </c>
      <c r="E13" s="97" t="str">
        <f>HYPERLINK("https://youtu.be/tOB-jsga3k8?t=4698","channel 1")</f>
        <v>channel 1</v>
      </c>
    </row>
    <row r="14">
      <c r="A14" s="66"/>
      <c r="B14" s="34" t="s">
        <v>1875</v>
      </c>
      <c r="C14" s="35" t="s">
        <v>194</v>
      </c>
      <c r="D14" s="34" t="s">
        <v>3401</v>
      </c>
      <c r="E14" s="97" t="str">
        <f>HYPERLINK("https://youtu.be/sZXVpxxO7s0?t=4743","channel 2")</f>
        <v>channel 2</v>
      </c>
    </row>
    <row r="15">
      <c r="A15" s="66"/>
      <c r="B15" s="34" t="s">
        <v>3195</v>
      </c>
      <c r="C15" s="35" t="s">
        <v>886</v>
      </c>
      <c r="D15" s="34" t="s">
        <v>3402</v>
      </c>
      <c r="E15" s="97" t="str">
        <f>HYPERLINK("https://youtu.be/tOB-jsga3k8?t=5732","channel 1")</f>
        <v>channel 1</v>
      </c>
    </row>
    <row r="16">
      <c r="A16" s="66"/>
      <c r="B16" s="34" t="s">
        <v>2028</v>
      </c>
      <c r="C16" s="35" t="s">
        <v>260</v>
      </c>
      <c r="D16" s="34" t="s">
        <v>3401</v>
      </c>
      <c r="E16" s="97" t="str">
        <f>HYPERLINK("https://youtu.be/sZXVpxxO7s0?t=5745","channel 2")</f>
        <v>channel 2</v>
      </c>
    </row>
    <row r="17">
      <c r="A17" s="66"/>
      <c r="B17" s="34" t="s">
        <v>1875</v>
      </c>
      <c r="C17" s="35" t="s">
        <v>58</v>
      </c>
      <c r="D17" s="34" t="s">
        <v>3402</v>
      </c>
      <c r="E17" s="97" t="str">
        <f>HYPERLINK("https://youtu.be/tOB-jsga3k8?t=6659","channel 1")</f>
        <v>channel 1</v>
      </c>
    </row>
    <row r="18">
      <c r="A18" s="66"/>
      <c r="B18" s="34" t="s">
        <v>3195</v>
      </c>
      <c r="C18" s="35" t="s">
        <v>1953</v>
      </c>
      <c r="D18" s="34" t="s">
        <v>3401</v>
      </c>
      <c r="E18" s="97" t="str">
        <f>HYPERLINK("https://youtu.be/sZXVpxxO7s0?t=6672","channel 2")</f>
        <v>channel 2</v>
      </c>
    </row>
    <row r="19">
      <c r="A19" s="66"/>
      <c r="B19" s="34" t="s">
        <v>2028</v>
      </c>
      <c r="C19" s="35" t="s">
        <v>338</v>
      </c>
      <c r="D19" s="34" t="s">
        <v>3402</v>
      </c>
      <c r="E19" s="97" t="str">
        <f>HYPERLINK("https://youtu.be/tOB-jsga3k8?t=7553","channel 1")</f>
        <v>channel 1</v>
      </c>
    </row>
    <row r="20">
      <c r="A20" s="66"/>
      <c r="B20" s="34" t="s">
        <v>3195</v>
      </c>
      <c r="C20" s="35" t="s">
        <v>758</v>
      </c>
      <c r="D20" s="34" t="s">
        <v>1875</v>
      </c>
      <c r="E20" s="97" t="str">
        <f>HYPERLINK("https://youtu.be/sZXVpxxO7s0?t=7565","channel 2")</f>
        <v>channel 2</v>
      </c>
    </row>
    <row r="21">
      <c r="A21" s="66"/>
      <c r="B21" s="34" t="s">
        <v>3401</v>
      </c>
      <c r="C21" s="35" t="s">
        <v>190</v>
      </c>
      <c r="D21" s="34" t="s">
        <v>3402</v>
      </c>
      <c r="E21" s="97" t="str">
        <f>HYPERLINK("https://youtu.be/tOB-jsga3k8?t=8497","channel 1")</f>
        <v>channel 1</v>
      </c>
    </row>
    <row r="22">
      <c r="A22" s="66"/>
      <c r="B22" s="34" t="s">
        <v>2028</v>
      </c>
      <c r="C22" s="35" t="s">
        <v>297</v>
      </c>
      <c r="D22" s="34" t="s">
        <v>1875</v>
      </c>
      <c r="E22" s="97" t="str">
        <f>HYPERLINK("https://youtu.be/sZXVpxxO7s0?t=8433","channel 2")</f>
        <v>channel 2</v>
      </c>
    </row>
    <row r="23">
      <c r="A23" s="66"/>
      <c r="B23" s="72" t="s">
        <v>2093</v>
      </c>
      <c r="C23" s="2"/>
      <c r="D23" s="3"/>
      <c r="E23" s="29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2687</v>
      </c>
      <c r="C25" s="33" t="s">
        <v>267</v>
      </c>
      <c r="D25" s="34" t="s">
        <v>1714</v>
      </c>
      <c r="E25" s="11" t="str">
        <f>HYPERLINK("https://youtu.be/Hk6hxH_HdQM","channel 1")</f>
        <v>channel 1</v>
      </c>
    </row>
    <row r="26">
      <c r="A26" s="66"/>
      <c r="B26" s="34" t="s">
        <v>3153</v>
      </c>
      <c r="C26" s="33" t="s">
        <v>687</v>
      </c>
      <c r="D26" s="34" t="s">
        <v>1838</v>
      </c>
      <c r="E26" s="11" t="str">
        <f>HYPERLINK("https://youtu.be/2CTNeXEs5v4","channel 2")</f>
        <v>channel 2</v>
      </c>
    </row>
    <row r="27">
      <c r="A27" s="66"/>
      <c r="B27" s="34" t="s">
        <v>3309</v>
      </c>
      <c r="C27" s="33" t="s">
        <v>64</v>
      </c>
      <c r="D27" s="34" t="s">
        <v>2687</v>
      </c>
      <c r="E27" s="11" t="str">
        <f>HYPERLINK("https://youtu.be/Hk6hxH_HdQM?t=1070","channel 1")</f>
        <v>channel 1</v>
      </c>
    </row>
    <row r="28">
      <c r="A28" s="66"/>
      <c r="B28" s="34" t="s">
        <v>3153</v>
      </c>
      <c r="C28" s="33" t="s">
        <v>62</v>
      </c>
      <c r="D28" s="34" t="s">
        <v>1714</v>
      </c>
      <c r="E28" s="11" t="str">
        <f>HYPERLINK("https://youtu.be/2CTNeXEs5v4?t=1058","channel 2")</f>
        <v>channel 2</v>
      </c>
    </row>
    <row r="29">
      <c r="A29" s="66"/>
      <c r="B29" s="34" t="s">
        <v>3309</v>
      </c>
      <c r="C29" s="33" t="s">
        <v>207</v>
      </c>
      <c r="D29" s="34" t="s">
        <v>1838</v>
      </c>
      <c r="E29" s="11" t="str">
        <f>HYPERLINK("https://youtu.be/Hk6hxH_HdQM?t=1978","channel 1")</f>
        <v>channel 1</v>
      </c>
    </row>
    <row r="30">
      <c r="A30" s="66"/>
      <c r="B30" s="34" t="s">
        <v>3153</v>
      </c>
      <c r="C30" s="33" t="s">
        <v>267</v>
      </c>
      <c r="D30" s="34" t="s">
        <v>2687</v>
      </c>
      <c r="E30" s="11" t="str">
        <f>HYPERLINK("https://youtu.be/2CTNeXEs5v4?t=1996","channel 2")</f>
        <v>channel 2</v>
      </c>
    </row>
    <row r="31">
      <c r="A31" s="66"/>
      <c r="B31" s="34" t="s">
        <v>3309</v>
      </c>
      <c r="C31" s="33" t="s">
        <v>217</v>
      </c>
      <c r="D31" s="34" t="s">
        <v>1714</v>
      </c>
      <c r="E31" s="11" t="str">
        <f>HYPERLINK("https://youtu.be/Hk6hxH_HdQM?t=3004","channel 1")</f>
        <v>channel 1</v>
      </c>
    </row>
    <row r="32">
      <c r="A32" s="66"/>
      <c r="B32" s="34" t="s">
        <v>1838</v>
      </c>
      <c r="C32" s="33" t="s">
        <v>297</v>
      </c>
      <c r="D32" s="34" t="s">
        <v>2687</v>
      </c>
      <c r="E32" s="11" t="str">
        <f>HYPERLINK("https://youtu.be/2CTNeXEs5v4?t=2994","channel 2")</f>
        <v>channel 2</v>
      </c>
    </row>
    <row r="33">
      <c r="A33" s="66"/>
      <c r="B33" s="34" t="s">
        <v>3309</v>
      </c>
      <c r="C33" s="33" t="s">
        <v>232</v>
      </c>
      <c r="D33" s="34" t="s">
        <v>3153</v>
      </c>
      <c r="E33" s="11" t="str">
        <f>HYPERLINK("https://youtu.be/Hk6hxH_HdQM?t=3910","channel 1")</f>
        <v>channel 1</v>
      </c>
    </row>
    <row r="34">
      <c r="A34" s="66"/>
      <c r="B34" s="34" t="s">
        <v>1838</v>
      </c>
      <c r="C34" s="33" t="s">
        <v>62</v>
      </c>
      <c r="D34" s="34" t="s">
        <v>1714</v>
      </c>
      <c r="E34" s="11" t="str">
        <f>HYPERLINK("https://youtu.be/2CTNeXEs5v4?t=3912","channel 2")</f>
        <v>channel 2</v>
      </c>
    </row>
    <row r="35">
      <c r="A35" s="66"/>
      <c r="B35" s="34" t="s">
        <v>1714</v>
      </c>
      <c r="C35" s="33" t="s">
        <v>947</v>
      </c>
      <c r="D35" s="34" t="s">
        <v>2687</v>
      </c>
      <c r="E35" s="11" t="str">
        <f>HYPERLINK("https://youtu.be/Hk6hxH_HdQM?t=4846","channel 1")</f>
        <v>channel 1</v>
      </c>
    </row>
    <row r="36">
      <c r="A36" s="66"/>
      <c r="B36" s="34" t="s">
        <v>1838</v>
      </c>
      <c r="C36" s="33" t="s">
        <v>82</v>
      </c>
      <c r="D36" s="34" t="s">
        <v>3153</v>
      </c>
      <c r="E36" s="11" t="str">
        <f>HYPERLINK("https://youtu.be/2CTNeXEs5v4?t=4806","channel 2")</f>
        <v>channel 2</v>
      </c>
    </row>
    <row r="37">
      <c r="A37" s="66"/>
      <c r="B37" s="34" t="s">
        <v>2687</v>
      </c>
      <c r="C37" s="33" t="s">
        <v>726</v>
      </c>
      <c r="D37" s="34" t="s">
        <v>3309</v>
      </c>
      <c r="E37" s="11" t="str">
        <f>HYPERLINK("https://youtu.be/Hk6hxH_HdQM?t=5891","channel 1")</f>
        <v>channel 1</v>
      </c>
    </row>
    <row r="38">
      <c r="A38" s="66"/>
      <c r="B38" s="34" t="s">
        <v>1714</v>
      </c>
      <c r="C38" s="33" t="s">
        <v>11</v>
      </c>
      <c r="D38" s="34" t="s">
        <v>3153</v>
      </c>
      <c r="E38" s="11" t="str">
        <f>HYPERLINK("https://youtu.be/2CTNeXEs5v4?t=5850","channel 2")</f>
        <v>channel 2</v>
      </c>
    </row>
    <row r="39">
      <c r="A39" s="66"/>
      <c r="B39" s="34" t="s">
        <v>1838</v>
      </c>
      <c r="C39" s="33" t="s">
        <v>43</v>
      </c>
      <c r="D39" s="34" t="s">
        <v>3309</v>
      </c>
      <c r="E39" s="11" t="str">
        <f>HYPERLINK("https://youtu.be/Hk6hxH_HdQM?t=6812","channel 1")</f>
        <v>channel 1</v>
      </c>
    </row>
    <row r="40">
      <c r="A40" s="66"/>
      <c r="B40" s="34" t="s">
        <v>2687</v>
      </c>
      <c r="C40" s="33" t="s">
        <v>82</v>
      </c>
      <c r="D40" s="34" t="s">
        <v>3153</v>
      </c>
      <c r="E40" s="11" t="str">
        <f>HYPERLINK("https://youtu.be/2CTNeXEs5v4?t=6744","channel 2")</f>
        <v>channel 2</v>
      </c>
    </row>
    <row r="41">
      <c r="A41" s="66"/>
      <c r="B41" s="34" t="s">
        <v>1714</v>
      </c>
      <c r="C41" s="33" t="s">
        <v>82</v>
      </c>
      <c r="D41" s="34" t="s">
        <v>3309</v>
      </c>
      <c r="E41" s="11" t="str">
        <f>HYPERLINK("https://youtu.be/Hk6hxH_HdQM?t=7768","channel 1")</f>
        <v>channel 1</v>
      </c>
    </row>
    <row r="42">
      <c r="A42" s="66"/>
      <c r="B42" s="34" t="s">
        <v>2687</v>
      </c>
      <c r="C42" s="33" t="s">
        <v>400</v>
      </c>
      <c r="D42" s="34" t="s">
        <v>1838</v>
      </c>
      <c r="E42" s="11" t="str">
        <f>HYPERLINK("https://youtu.be/2CTNeXEs5v4?t=7666","channel 2")</f>
        <v>channel 2</v>
      </c>
    </row>
    <row r="43">
      <c r="A43" s="66"/>
      <c r="B43" s="34" t="s">
        <v>3153</v>
      </c>
      <c r="C43" s="33" t="s">
        <v>218</v>
      </c>
      <c r="D43" s="34" t="s">
        <v>3309</v>
      </c>
      <c r="E43" s="11" t="str">
        <f>HYPERLINK("https://youtu.be/Hk6hxH_HdQM?t=8719","channel 1")</f>
        <v>channel 1</v>
      </c>
    </row>
    <row r="44">
      <c r="A44" s="67"/>
      <c r="B44" s="34" t="s">
        <v>1714</v>
      </c>
      <c r="C44" s="33" t="s">
        <v>17</v>
      </c>
      <c r="D44" s="34" t="s">
        <v>1838</v>
      </c>
      <c r="E44" s="11" t="str">
        <f>HYPERLINK("https://youtu.be/2CTNeXEs5v4?t=8670","channel 2")</f>
        <v>channel 2</v>
      </c>
    </row>
    <row r="45">
      <c r="B45" s="72" t="s">
        <v>3011</v>
      </c>
      <c r="C45" s="2"/>
      <c r="D45" s="3"/>
      <c r="E45" s="2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34" t="s">
        <v>3403</v>
      </c>
      <c r="C47" s="52" t="s">
        <v>27</v>
      </c>
      <c r="D47" s="32" t="s">
        <v>3404</v>
      </c>
      <c r="E47" s="11" t="str">
        <f>HYPERLINK("https://youtu.be/GixNFrGOKIo","channel 1")</f>
        <v>channel 1</v>
      </c>
    </row>
    <row r="48">
      <c r="B48" s="34" t="s">
        <v>3405</v>
      </c>
      <c r="C48" s="33" t="s">
        <v>260</v>
      </c>
      <c r="D48" s="34" t="s">
        <v>516</v>
      </c>
      <c r="E48" s="11" t="str">
        <f>HYPERLINK("https://youtu.be/3wo7rvFHqRU","channel 2")</f>
        <v>channel 2</v>
      </c>
    </row>
    <row r="49">
      <c r="B49" s="34" t="s">
        <v>3406</v>
      </c>
      <c r="C49" s="52" t="s">
        <v>27</v>
      </c>
      <c r="D49" s="34" t="s">
        <v>3403</v>
      </c>
      <c r="E49" s="11" t="str">
        <f>HYPERLINK("https://youtu.be/GixNFrGOKIo?t=994","channel 1")</f>
        <v>channel 1</v>
      </c>
    </row>
    <row r="50">
      <c r="B50" s="34" t="s">
        <v>3405</v>
      </c>
      <c r="C50" s="33" t="s">
        <v>370</v>
      </c>
      <c r="D50" s="32" t="s">
        <v>3404</v>
      </c>
      <c r="E50" s="11" t="str">
        <f>HYPERLINK("https://youtu.be/3wo7rvFHqRU?t=1011","channel 2")</f>
        <v>channel 2</v>
      </c>
    </row>
    <row r="51">
      <c r="B51" s="110" t="s">
        <v>3406</v>
      </c>
      <c r="C51" s="70" t="s">
        <v>488</v>
      </c>
      <c r="D51" s="110" t="s">
        <v>516</v>
      </c>
      <c r="E51" s="11" t="str">
        <f>HYPERLINK("https://youtu.be/GixNFrGOKIo?t=1884","channel 1")</f>
        <v>channel 1</v>
      </c>
    </row>
    <row r="52">
      <c r="B52" s="34" t="s">
        <v>3405</v>
      </c>
      <c r="C52" s="52" t="s">
        <v>249</v>
      </c>
      <c r="D52" s="34" t="s">
        <v>3403</v>
      </c>
      <c r="E52" s="11" t="str">
        <f>HYPERLINK("https://youtu.be/3wo7rvFHqRU?t=1889","channel 2")</f>
        <v>channel 2</v>
      </c>
    </row>
    <row r="53">
      <c r="B53" s="110" t="s">
        <v>3406</v>
      </c>
      <c r="C53" s="70" t="s">
        <v>23</v>
      </c>
      <c r="D53" s="91" t="s">
        <v>3404</v>
      </c>
      <c r="E53" s="11" t="str">
        <f>HYPERLINK("https://youtu.be/GixNFrGOKIo?t=2835","channel 1")</f>
        <v>channel 1</v>
      </c>
    </row>
    <row r="54">
      <c r="B54" s="34" t="s">
        <v>516</v>
      </c>
      <c r="C54" s="52" t="s">
        <v>201</v>
      </c>
      <c r="D54" s="34" t="s">
        <v>3403</v>
      </c>
      <c r="E54" s="11" t="str">
        <f>HYPERLINK("https://youtu.be/3wo7rvFHqRU?t=2936","channel 2")</f>
        <v>channel 2</v>
      </c>
    </row>
    <row r="55">
      <c r="B55" s="110" t="s">
        <v>3406</v>
      </c>
      <c r="C55" s="70" t="s">
        <v>412</v>
      </c>
      <c r="D55" s="110" t="s">
        <v>3405</v>
      </c>
      <c r="E55" s="11" t="str">
        <f>HYPERLINK("https://youtu.be/GixNFrGOKIo?t=3777","channel 1")</f>
        <v>channel 1</v>
      </c>
    </row>
    <row r="56">
      <c r="B56" s="34" t="s">
        <v>516</v>
      </c>
      <c r="C56" s="33" t="s">
        <v>45</v>
      </c>
      <c r="D56" s="32" t="s">
        <v>3404</v>
      </c>
      <c r="E56" s="11" t="str">
        <f>HYPERLINK("https://youtu.be/3wo7rvFHqRU?t=3887","channel 2")</f>
        <v>channel 2</v>
      </c>
    </row>
    <row r="57">
      <c r="B57" s="91" t="s">
        <v>3404</v>
      </c>
      <c r="C57" s="111" t="s">
        <v>330</v>
      </c>
      <c r="D57" s="110" t="s">
        <v>3403</v>
      </c>
      <c r="E57" s="11" t="str">
        <f>HYPERLINK("https://youtu.be/GixNFrGOKIo?t=4675","channel 1")</f>
        <v>channel 1</v>
      </c>
    </row>
    <row r="58">
      <c r="B58" s="34" t="s">
        <v>516</v>
      </c>
      <c r="C58" s="33" t="s">
        <v>270</v>
      </c>
      <c r="D58" s="34" t="s">
        <v>3405</v>
      </c>
      <c r="E58" s="11" t="str">
        <f>HYPERLINK("https://youtu.be/3wo7rvFHqRU?t=4725","channel 2")</f>
        <v>channel 2</v>
      </c>
    </row>
    <row r="59">
      <c r="B59" s="110" t="s">
        <v>3403</v>
      </c>
      <c r="C59" s="111" t="s">
        <v>26</v>
      </c>
      <c r="D59" s="110" t="s">
        <v>3406</v>
      </c>
      <c r="E59" s="11" t="str">
        <f>HYPERLINK("https://youtu.be/GixNFrGOKIo?t=5548","channel 1")</f>
        <v>channel 1</v>
      </c>
    </row>
    <row r="60">
      <c r="B60" s="32" t="s">
        <v>3404</v>
      </c>
      <c r="C60" s="35" t="s">
        <v>400</v>
      </c>
      <c r="D60" s="34" t="s">
        <v>3405</v>
      </c>
      <c r="E60" s="11" t="str">
        <f>HYPERLINK("https://youtu.be/3wo7rvFHqRU?t=5604","channel 2")</f>
        <v>channel 2</v>
      </c>
    </row>
    <row r="61">
      <c r="B61" s="34" t="s">
        <v>516</v>
      </c>
      <c r="C61" s="55" t="s">
        <v>201</v>
      </c>
      <c r="D61" s="34" t="s">
        <v>3406</v>
      </c>
      <c r="E61" s="11" t="str">
        <f>HYPERLINK("https://youtu.be/GixNFrGOKIo?t=6516","channel 1")</f>
        <v>channel 1</v>
      </c>
    </row>
    <row r="62">
      <c r="B62" s="34" t="s">
        <v>3403</v>
      </c>
      <c r="C62" s="52" t="s">
        <v>17</v>
      </c>
      <c r="D62" s="34" t="s">
        <v>3405</v>
      </c>
      <c r="E62" s="11" t="str">
        <f>HYPERLINK("https://youtu.be/3wo7rvFHqRU?t=6493","channel 2")</f>
        <v>channel 2</v>
      </c>
    </row>
    <row r="63">
      <c r="B63" s="32" t="s">
        <v>3404</v>
      </c>
      <c r="C63" s="55" t="s">
        <v>404</v>
      </c>
      <c r="D63" s="34" t="s">
        <v>3406</v>
      </c>
      <c r="E63" s="11" t="str">
        <f>HYPERLINK("https://youtu.be/GixNFrGOKIo?t=7432","channel 1")</f>
        <v>channel 1</v>
      </c>
    </row>
    <row r="64">
      <c r="B64" s="34" t="s">
        <v>3403</v>
      </c>
      <c r="C64" s="52" t="s">
        <v>370</v>
      </c>
      <c r="D64" s="34" t="s">
        <v>516</v>
      </c>
      <c r="E64" s="11" t="str">
        <f>HYPERLINK("https://youtu.be/3wo7rvFHqRU?t=7483","channel 2")</f>
        <v>channel 2</v>
      </c>
    </row>
    <row r="65">
      <c r="B65" s="34" t="s">
        <v>3405</v>
      </c>
      <c r="C65" s="55" t="s">
        <v>45</v>
      </c>
      <c r="D65" s="34" t="s">
        <v>3406</v>
      </c>
      <c r="E65" s="11" t="str">
        <f>HYPERLINK("https://youtu.be/GixNFrGOKIo?t=8339","channel 1")</f>
        <v>channel 1</v>
      </c>
    </row>
    <row r="66">
      <c r="B66" s="32" t="s">
        <v>3404</v>
      </c>
      <c r="C66" s="55" t="s">
        <v>14</v>
      </c>
      <c r="D66" s="34" t="s">
        <v>516</v>
      </c>
      <c r="E66" s="11" t="str">
        <f>HYPERLINK("https://youtu.be/3wo7rvFHqRU?t=8425","channel 2")</f>
        <v>channel 2</v>
      </c>
    </row>
    <row r="67">
      <c r="B67" s="72" t="s">
        <v>2231</v>
      </c>
      <c r="C67" s="2"/>
      <c r="D67" s="3"/>
      <c r="E67" s="29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34" t="s">
        <v>3407</v>
      </c>
      <c r="C69" s="52" t="s">
        <v>719</v>
      </c>
      <c r="D69" s="32" t="s">
        <v>3408</v>
      </c>
      <c r="E69" s="11" t="str">
        <f>HYPERLINK("https://youtu.be/K7QVCEAwMYw","channel 1")</f>
        <v>channel 1</v>
      </c>
    </row>
    <row r="70">
      <c r="B70" s="34" t="s">
        <v>1206</v>
      </c>
      <c r="C70" s="52" t="s">
        <v>829</v>
      </c>
      <c r="D70" s="34" t="s">
        <v>3409</v>
      </c>
      <c r="E70" s="11" t="str">
        <f>HYPERLINK("https://youtu.be/pbAcc3rVSeA?t=64","channel 2")</f>
        <v>channel 2</v>
      </c>
    </row>
    <row r="71">
      <c r="B71" s="34" t="s">
        <v>3410</v>
      </c>
      <c r="C71" s="52" t="s">
        <v>193</v>
      </c>
      <c r="D71" s="34" t="s">
        <v>3407</v>
      </c>
      <c r="E71" s="11" t="str">
        <f>HYPERLINK("https://youtu.be/K7QVCEAwMYw?t=1620","channel 1")</f>
        <v>channel 1</v>
      </c>
    </row>
    <row r="72">
      <c r="B72" s="34" t="s">
        <v>1206</v>
      </c>
      <c r="C72" s="52" t="s">
        <v>836</v>
      </c>
      <c r="D72" s="32" t="s">
        <v>3408</v>
      </c>
      <c r="E72" s="11" t="str">
        <f>HYPERLINK("https://youtu.be/pbAcc3rVSeA?t=1041","channel 2")</f>
        <v>channel 2</v>
      </c>
    </row>
    <row r="73">
      <c r="B73" s="34" t="s">
        <v>3410</v>
      </c>
      <c r="C73" s="52" t="s">
        <v>400</v>
      </c>
      <c r="D73" s="34" t="s">
        <v>3409</v>
      </c>
      <c r="E73" s="11" t="str">
        <f>HYPERLINK("https://youtu.be/K7QVCEAwMYw?t=2670","channel 1")</f>
        <v>channel 1</v>
      </c>
    </row>
    <row r="74">
      <c r="B74" s="34" t="s">
        <v>1206</v>
      </c>
      <c r="C74" s="52" t="s">
        <v>16</v>
      </c>
      <c r="D74" s="34" t="s">
        <v>3407</v>
      </c>
      <c r="E74" s="11" t="str">
        <f>HYPERLINK("https://youtu.be/pbAcc3rVSeA?t=2033","channel 2")</f>
        <v>channel 2</v>
      </c>
    </row>
    <row r="75">
      <c r="B75" s="34" t="s">
        <v>3410</v>
      </c>
      <c r="C75" s="52" t="s">
        <v>239</v>
      </c>
      <c r="D75" s="32" t="s">
        <v>3408</v>
      </c>
      <c r="E75" s="11" t="str">
        <f>HYPERLINK("https://youtu.be/K7QVCEAwMYw?t=3595","channel 1")</f>
        <v>channel 1</v>
      </c>
    </row>
    <row r="76">
      <c r="B76" s="34" t="s">
        <v>3409</v>
      </c>
      <c r="C76" s="52" t="s">
        <v>3411</v>
      </c>
      <c r="D76" s="34" t="s">
        <v>3407</v>
      </c>
      <c r="E76" s="11" t="str">
        <f>HYPERLINK("https://youtu.be/pbAcc3rVSeA?t=3129","channel 2")</f>
        <v>channel 2</v>
      </c>
    </row>
    <row r="77">
      <c r="B77" s="34" t="s">
        <v>3410</v>
      </c>
      <c r="C77" s="52" t="s">
        <v>11</v>
      </c>
      <c r="D77" s="34" t="s">
        <v>1206</v>
      </c>
      <c r="E77" s="11" t="str">
        <f>HYPERLINK("https://youtu.be/K7QVCEAwMYw?t=4490","channel 1")</f>
        <v>channel 1</v>
      </c>
    </row>
    <row r="78">
      <c r="B78" s="34" t="s">
        <v>3409</v>
      </c>
      <c r="C78" s="52" t="s">
        <v>286</v>
      </c>
      <c r="D78" s="32" t="s">
        <v>3408</v>
      </c>
      <c r="E78" s="11" t="str">
        <f>HYPERLINK("https://youtu.be/pbAcc3rVSeA?t=3996","channel 2")</f>
        <v>channel 2</v>
      </c>
    </row>
    <row r="79">
      <c r="B79" s="32" t="s">
        <v>3408</v>
      </c>
      <c r="C79" s="52" t="s">
        <v>72</v>
      </c>
      <c r="D79" s="34" t="s">
        <v>3407</v>
      </c>
      <c r="E79" s="11" t="str">
        <f>HYPERLINK("https://youtu.be/K7QVCEAwMYw?t=5430","channel 1")</f>
        <v>channel 1</v>
      </c>
    </row>
    <row r="80">
      <c r="B80" s="34" t="s">
        <v>3409</v>
      </c>
      <c r="C80" s="52" t="s">
        <v>67</v>
      </c>
      <c r="D80" s="34" t="s">
        <v>1206</v>
      </c>
      <c r="E80" s="11" t="str">
        <f>HYPERLINK("https://youtu.be/pbAcc3rVSeA?t=4913","channel 2")</f>
        <v>channel 2</v>
      </c>
    </row>
    <row r="81">
      <c r="B81" s="34" t="s">
        <v>3407</v>
      </c>
      <c r="C81" s="52" t="s">
        <v>306</v>
      </c>
      <c r="D81" s="34" t="s">
        <v>3410</v>
      </c>
      <c r="E81" s="11" t="str">
        <f>HYPERLINK("https://youtu.be/K7QVCEAwMYw?t=6419","channel 1")</f>
        <v>channel 1</v>
      </c>
    </row>
    <row r="82">
      <c r="B82" s="32" t="s">
        <v>3408</v>
      </c>
      <c r="C82" s="55" t="s">
        <v>24</v>
      </c>
      <c r="D82" s="34" t="s">
        <v>1206</v>
      </c>
      <c r="E82" s="11" t="str">
        <f>HYPERLINK("https://youtu.be/pbAcc3rVSeA?t=5801","channel 2")</f>
        <v>channel 2</v>
      </c>
    </row>
    <row r="83">
      <c r="B83" s="34" t="s">
        <v>3409</v>
      </c>
      <c r="C83" s="55" t="s">
        <v>232</v>
      </c>
      <c r="D83" s="34" t="s">
        <v>3410</v>
      </c>
      <c r="E83" s="11" t="str">
        <f>HYPERLINK("https://youtu.be/K7QVCEAwMYw?t=7379","channel 1")</f>
        <v>channel 1</v>
      </c>
    </row>
    <row r="84">
      <c r="B84" s="34" t="s">
        <v>3407</v>
      </c>
      <c r="C84" s="52" t="s">
        <v>733</v>
      </c>
      <c r="D84" s="34" t="s">
        <v>1206</v>
      </c>
      <c r="E84" s="11" t="str">
        <f>HYPERLINK("https://youtu.be/pbAcc3rVSeA?t=6782","channel 2")</f>
        <v>channel 2</v>
      </c>
    </row>
    <row r="85">
      <c r="B85" s="32" t="s">
        <v>3408</v>
      </c>
      <c r="C85" s="55" t="s">
        <v>566</v>
      </c>
      <c r="D85" s="34" t="s">
        <v>3410</v>
      </c>
      <c r="E85" s="11" t="str">
        <f>HYPERLINK("https://youtu.be/K7QVCEAwMYw?t=8310","channel 1")</f>
        <v>channel 1</v>
      </c>
    </row>
    <row r="86">
      <c r="B86" s="34" t="s">
        <v>3407</v>
      </c>
      <c r="C86" s="52" t="s">
        <v>370</v>
      </c>
      <c r="D86" s="34" t="s">
        <v>3409</v>
      </c>
      <c r="E86" s="11" t="str">
        <f>HYPERLINK("https://youtu.be/pbAcc3rVSeA?t=7700","channel 2")</f>
        <v>channel 2</v>
      </c>
    </row>
    <row r="87">
      <c r="B87" s="34" t="s">
        <v>1206</v>
      </c>
      <c r="C87" s="55" t="s">
        <v>81</v>
      </c>
      <c r="D87" s="34" t="s">
        <v>3410</v>
      </c>
      <c r="E87" s="11" t="str">
        <f>HYPERLINK("https://youtu.be/K7QVCEAwMYw?t=9270","channel 1")</f>
        <v>channel 1</v>
      </c>
    </row>
    <row r="88">
      <c r="B88" s="32" t="s">
        <v>3408</v>
      </c>
      <c r="C88" s="55" t="s">
        <v>260</v>
      </c>
      <c r="D88" s="34" t="s">
        <v>3409</v>
      </c>
      <c r="E88" s="11" t="str">
        <f>HYPERLINK("https://youtu.be/pbAcc3rVSeA?t=8731","channel 2")</f>
        <v>channel 2</v>
      </c>
    </row>
    <row r="89">
      <c r="B89" s="72" t="s">
        <v>2828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6" t="s">
        <v>5</v>
      </c>
    </row>
    <row r="91">
      <c r="B91" s="32" t="s">
        <v>659</v>
      </c>
      <c r="C91" s="70" t="s">
        <v>1252</v>
      </c>
      <c r="D91" s="32" t="s">
        <v>1309</v>
      </c>
      <c r="E91" s="11" t="str">
        <f>HYPERLINK("https://youtu.be/LvRifJGfze4","channel 3")</f>
        <v>channel 3</v>
      </c>
    </row>
    <row r="92">
      <c r="B92" s="32" t="s">
        <v>3284</v>
      </c>
      <c r="C92" s="70" t="s">
        <v>81</v>
      </c>
      <c r="D92" s="32" t="s">
        <v>660</v>
      </c>
      <c r="E92" s="11" t="str">
        <f>HYPERLINK("https://youtu.be/SkMA_DCsR3s","channel 4")</f>
        <v>channel 4</v>
      </c>
    </row>
    <row r="93">
      <c r="B93" s="32" t="s">
        <v>3412</v>
      </c>
      <c r="C93" s="70" t="s">
        <v>42</v>
      </c>
      <c r="D93" s="32" t="s">
        <v>659</v>
      </c>
      <c r="E93" s="11" t="str">
        <f>HYPERLINK("https://youtu.be/LvRifJGfze4?t=678","channel 3")</f>
        <v>channel 3</v>
      </c>
    </row>
    <row r="94">
      <c r="B94" s="32" t="s">
        <v>3284</v>
      </c>
      <c r="C94" s="70" t="s">
        <v>950</v>
      </c>
      <c r="D94" s="32" t="s">
        <v>1309</v>
      </c>
      <c r="E94" s="102" t="s">
        <v>37</v>
      </c>
    </row>
    <row r="95">
      <c r="B95" s="32" t="s">
        <v>3412</v>
      </c>
      <c r="C95" s="70" t="s">
        <v>20</v>
      </c>
      <c r="D95" s="32" t="s">
        <v>660</v>
      </c>
      <c r="E95" s="11" t="str">
        <f>HYPERLINK("https://youtu.be/LvRifJGfze4?t=1576","channel 3")</f>
        <v>channel 3</v>
      </c>
    </row>
    <row r="96">
      <c r="B96" s="91" t="s">
        <v>3284</v>
      </c>
      <c r="C96" s="70" t="s">
        <v>239</v>
      </c>
      <c r="D96" s="91" t="s">
        <v>659</v>
      </c>
      <c r="E96" s="102" t="s">
        <v>37</v>
      </c>
    </row>
    <row r="97">
      <c r="B97" s="32" t="s">
        <v>3412</v>
      </c>
      <c r="C97" s="70" t="s">
        <v>218</v>
      </c>
      <c r="D97" s="32" t="s">
        <v>1309</v>
      </c>
      <c r="E97" s="11" t="str">
        <f>HYPERLINK("https://youtu.be/LvRifJGfze4?t=2474","channel 3")</f>
        <v>channel 3</v>
      </c>
    </row>
    <row r="98">
      <c r="B98" s="91" t="s">
        <v>660</v>
      </c>
      <c r="C98" s="70" t="s">
        <v>295</v>
      </c>
      <c r="D98" s="91" t="s">
        <v>659</v>
      </c>
      <c r="E98" s="102" t="s">
        <v>37</v>
      </c>
    </row>
    <row r="99">
      <c r="B99" s="32" t="s">
        <v>3412</v>
      </c>
      <c r="C99" s="70" t="s">
        <v>196</v>
      </c>
      <c r="D99" s="32" t="s">
        <v>3284</v>
      </c>
      <c r="E99" s="11" t="str">
        <f>HYPERLINK("https://youtu.be/LvRifJGfze4?t=3438","channel 3")</f>
        <v>channel 3</v>
      </c>
    </row>
    <row r="100">
      <c r="B100" s="32" t="s">
        <v>660</v>
      </c>
      <c r="C100" s="70" t="s">
        <v>72</v>
      </c>
      <c r="D100" s="32" t="s">
        <v>1309</v>
      </c>
      <c r="E100" s="102" t="s">
        <v>37</v>
      </c>
    </row>
    <row r="101">
      <c r="B101" s="32" t="s">
        <v>1309</v>
      </c>
      <c r="C101" s="70" t="s">
        <v>259</v>
      </c>
      <c r="D101" s="32" t="s">
        <v>659</v>
      </c>
      <c r="E101" s="11" t="str">
        <f>HYPERLINK("https://youtu.be/LvRifJGfze4?t=4337","channel 3")</f>
        <v>channel 3</v>
      </c>
    </row>
    <row r="102">
      <c r="B102" s="91" t="s">
        <v>660</v>
      </c>
      <c r="C102" s="70" t="s">
        <v>442</v>
      </c>
      <c r="D102" s="91" t="s">
        <v>3284</v>
      </c>
      <c r="E102" s="102" t="s">
        <v>37</v>
      </c>
    </row>
    <row r="103">
      <c r="B103" s="32" t="s">
        <v>659</v>
      </c>
      <c r="C103" s="70" t="s">
        <v>28</v>
      </c>
      <c r="D103" s="32" t="s">
        <v>3412</v>
      </c>
      <c r="E103" s="11" t="str">
        <f>HYPERLINK("https://youtu.be/LvRifJGfze4?t=5318","channel 3")</f>
        <v>channel 3</v>
      </c>
    </row>
    <row r="104">
      <c r="B104" s="32" t="s">
        <v>1309</v>
      </c>
      <c r="C104" s="60" t="s">
        <v>16</v>
      </c>
      <c r="D104" s="32" t="s">
        <v>3284</v>
      </c>
      <c r="E104" s="102" t="s">
        <v>37</v>
      </c>
    </row>
    <row r="105">
      <c r="B105" s="32" t="s">
        <v>660</v>
      </c>
      <c r="C105" s="70" t="s">
        <v>196</v>
      </c>
      <c r="D105" s="32" t="s">
        <v>3412</v>
      </c>
      <c r="E105" s="11" t="str">
        <f>HYPERLINK("https://youtu.be/LvRifJGfze4?t=6237","channel 3")</f>
        <v>channel 3</v>
      </c>
    </row>
    <row r="106">
      <c r="B106" s="32" t="s">
        <v>659</v>
      </c>
      <c r="C106" s="70" t="s">
        <v>47</v>
      </c>
      <c r="D106" s="32" t="s">
        <v>3284</v>
      </c>
      <c r="E106" s="102" t="s">
        <v>37</v>
      </c>
    </row>
    <row r="107">
      <c r="B107" s="32" t="s">
        <v>1309</v>
      </c>
      <c r="C107" s="70" t="s">
        <v>328</v>
      </c>
      <c r="D107" s="32" t="s">
        <v>3412</v>
      </c>
      <c r="E107" s="11" t="str">
        <f>HYPERLINK("https://youtu.be/LvRifJGfze4?t=7189","channel 3")</f>
        <v>channel 3</v>
      </c>
    </row>
    <row r="108">
      <c r="B108" s="32" t="s">
        <v>659</v>
      </c>
      <c r="C108" s="70" t="s">
        <v>3413</v>
      </c>
      <c r="D108" s="32" t="s">
        <v>660</v>
      </c>
      <c r="E108" s="102" t="s">
        <v>37</v>
      </c>
    </row>
    <row r="109">
      <c r="B109" s="32" t="s">
        <v>3284</v>
      </c>
      <c r="C109" s="70" t="s">
        <v>87</v>
      </c>
      <c r="D109" s="32" t="s">
        <v>3412</v>
      </c>
      <c r="E109" s="11" t="str">
        <f>HYPERLINK("https://youtu.be/LvRifJGfze4?t=8103","channel 3")</f>
        <v>channel 3</v>
      </c>
    </row>
    <row r="110">
      <c r="B110" s="32" t="s">
        <v>1309</v>
      </c>
      <c r="C110" s="70" t="s">
        <v>194</v>
      </c>
      <c r="D110" s="32" t="s">
        <v>660</v>
      </c>
      <c r="E110" s="102" t="s">
        <v>37</v>
      </c>
    </row>
    <row r="111">
      <c r="B111" s="72" t="s">
        <v>3055</v>
      </c>
      <c r="C111" s="2"/>
      <c r="D111" s="3"/>
      <c r="E111" s="4"/>
    </row>
    <row r="112">
      <c r="B112" s="16" t="s">
        <v>2</v>
      </c>
      <c r="C112" s="16" t="s">
        <v>3</v>
      </c>
      <c r="D112" s="16" t="s">
        <v>4</v>
      </c>
      <c r="E112" s="6" t="s">
        <v>5</v>
      </c>
    </row>
    <row r="113">
      <c r="B113" s="32" t="s">
        <v>1708</v>
      </c>
      <c r="C113" s="70" t="s">
        <v>412</v>
      </c>
      <c r="D113" s="32" t="s">
        <v>1977</v>
      </c>
      <c r="E113" s="11" t="str">
        <f>HYPERLINK("https://youtu.be/AaHY4-EW1sU","channel 3")</f>
        <v>channel 3</v>
      </c>
    </row>
    <row r="114">
      <c r="B114" s="32" t="s">
        <v>3414</v>
      </c>
      <c r="C114" s="70" t="s">
        <v>14</v>
      </c>
      <c r="D114" s="32" t="s">
        <v>1870</v>
      </c>
      <c r="E114" s="11" t="str">
        <f>HYPERLINK("https://youtu.be/oG49fTzaizM","channel 4")</f>
        <v>channel 4</v>
      </c>
    </row>
    <row r="115">
      <c r="B115" s="32" t="s">
        <v>3415</v>
      </c>
      <c r="C115" s="70" t="s">
        <v>282</v>
      </c>
      <c r="D115" s="32" t="s">
        <v>1708</v>
      </c>
      <c r="E115" s="11" t="str">
        <f>HYPERLINK("https://youtu.be/AaHY4-EW1sU?t=1023","channel 3")</f>
        <v>channel 3</v>
      </c>
    </row>
    <row r="116">
      <c r="B116" s="32" t="s">
        <v>3414</v>
      </c>
      <c r="C116" s="70" t="s">
        <v>534</v>
      </c>
      <c r="D116" s="32" t="s">
        <v>1977</v>
      </c>
      <c r="E116" s="11" t="str">
        <f>HYPERLINK("https://youtu.be/oG49fTzaizM?t=907","channel 4")</f>
        <v>channel 4</v>
      </c>
    </row>
    <row r="117">
      <c r="B117" s="32" t="s">
        <v>3415</v>
      </c>
      <c r="C117" s="70" t="s">
        <v>49</v>
      </c>
      <c r="D117" s="32" t="s">
        <v>1870</v>
      </c>
      <c r="E117" s="11" t="str">
        <f>HYPERLINK("https://youtu.be/AaHY4-EW1sU?t=1944","channel 3")</f>
        <v>channel 3</v>
      </c>
    </row>
    <row r="118">
      <c r="B118" s="91" t="s">
        <v>3414</v>
      </c>
      <c r="C118" s="70" t="s">
        <v>416</v>
      </c>
      <c r="D118" s="91" t="s">
        <v>1708</v>
      </c>
      <c r="E118" s="11" t="str">
        <f>HYPERLINK("https://youtu.be/oG49fTzaizM?t=1843","channel 4")</f>
        <v>channel 4</v>
      </c>
    </row>
    <row r="119">
      <c r="B119" s="32" t="s">
        <v>3415</v>
      </c>
      <c r="C119" s="70" t="s">
        <v>261</v>
      </c>
      <c r="D119" s="32" t="s">
        <v>1977</v>
      </c>
      <c r="E119" s="11" t="str">
        <f>HYPERLINK("https://youtu.be/AaHY4-EW1sU?t=2885","channel 3")</f>
        <v>channel 3</v>
      </c>
    </row>
    <row r="120">
      <c r="B120" s="91" t="s">
        <v>1870</v>
      </c>
      <c r="C120" s="70" t="s">
        <v>45</v>
      </c>
      <c r="D120" s="91" t="s">
        <v>1708</v>
      </c>
      <c r="E120" s="11" t="str">
        <f>HYPERLINK("https://youtu.be/oG49fTzaizM?t=2769","channel 4")</f>
        <v>channel 4</v>
      </c>
    </row>
    <row r="121">
      <c r="B121" s="32" t="s">
        <v>3415</v>
      </c>
      <c r="C121" s="70" t="s">
        <v>218</v>
      </c>
      <c r="D121" s="32" t="s">
        <v>3414</v>
      </c>
      <c r="E121" s="11" t="str">
        <f>HYPERLINK("https://youtu.be/AaHY4-EW1sU?t=3823","channel 3")</f>
        <v>channel 3</v>
      </c>
    </row>
    <row r="122">
      <c r="B122" s="32" t="s">
        <v>1870</v>
      </c>
      <c r="C122" s="70" t="s">
        <v>544</v>
      </c>
      <c r="D122" s="32" t="s">
        <v>1977</v>
      </c>
      <c r="E122" s="11" t="str">
        <f>HYPERLINK("https://youtu.be/oG49fTzaizM?t=3725","channel 4")</f>
        <v>channel 4</v>
      </c>
    </row>
    <row r="123">
      <c r="B123" s="32" t="s">
        <v>1977</v>
      </c>
      <c r="C123" s="70" t="s">
        <v>69</v>
      </c>
      <c r="D123" s="32" t="s">
        <v>1708</v>
      </c>
      <c r="E123" s="11" t="str">
        <f>HYPERLINK("https://youtu.be/AaHY4-EW1sU?t=4751","channel 3")</f>
        <v>channel 3</v>
      </c>
    </row>
    <row r="124">
      <c r="B124" s="91" t="s">
        <v>1870</v>
      </c>
      <c r="C124" s="70" t="s">
        <v>267</v>
      </c>
      <c r="D124" s="91" t="s">
        <v>3414</v>
      </c>
      <c r="E124" s="11" t="str">
        <f>HYPERLINK("https://youtu.be/oG49fTzaizM?t=4658","channel 4")</f>
        <v>channel 4</v>
      </c>
    </row>
    <row r="125">
      <c r="B125" s="32" t="s">
        <v>1708</v>
      </c>
      <c r="C125" s="70" t="s">
        <v>249</v>
      </c>
      <c r="D125" s="32" t="s">
        <v>3415</v>
      </c>
      <c r="E125" s="11" t="str">
        <f>HYPERLINK("https://youtu.be/AaHY4-EW1sU?t=5712","channel 3")</f>
        <v>channel 3</v>
      </c>
    </row>
    <row r="126">
      <c r="B126" s="32" t="s">
        <v>1977</v>
      </c>
      <c r="C126" s="70" t="s">
        <v>43</v>
      </c>
      <c r="D126" s="32" t="s">
        <v>3414</v>
      </c>
      <c r="E126" s="11" t="str">
        <f>HYPERLINK("https://youtu.be/oG49fTzaizM?t=5606","channel 4")</f>
        <v>channel 4</v>
      </c>
    </row>
    <row r="127">
      <c r="B127" s="32" t="s">
        <v>1870</v>
      </c>
      <c r="C127" s="70" t="s">
        <v>294</v>
      </c>
      <c r="D127" s="32" t="s">
        <v>3415</v>
      </c>
      <c r="E127" s="11" t="str">
        <f>HYPERLINK("https://youtu.be/AaHY4-EW1sU?t=6657","channel 3")</f>
        <v>channel 3</v>
      </c>
    </row>
    <row r="128">
      <c r="B128" s="32" t="s">
        <v>1708</v>
      </c>
      <c r="C128" s="70" t="s">
        <v>35</v>
      </c>
      <c r="D128" s="32" t="s">
        <v>3414</v>
      </c>
      <c r="E128" s="11" t="str">
        <f>HYPERLINK("https://youtu.be/oG49fTzaizM?t=6552","channel 4")</f>
        <v>channel 4</v>
      </c>
    </row>
    <row r="129">
      <c r="B129" s="32" t="s">
        <v>1977</v>
      </c>
      <c r="C129" s="70" t="s">
        <v>78</v>
      </c>
      <c r="D129" s="32" t="s">
        <v>3415</v>
      </c>
      <c r="E129" s="11" t="str">
        <f>HYPERLINK("https://youtu.be/AaHY4-EW1sU?t=7582","channel 3")</f>
        <v>channel 3</v>
      </c>
    </row>
    <row r="130">
      <c r="B130" s="32" t="s">
        <v>1708</v>
      </c>
      <c r="C130" s="70" t="s">
        <v>194</v>
      </c>
      <c r="D130" s="32" t="s">
        <v>1870</v>
      </c>
      <c r="E130" s="11" t="str">
        <f>HYPERLINK("https://youtu.be/oG49fTzaizM?t=7482","channel 4")</f>
        <v>channel 4</v>
      </c>
    </row>
    <row r="131">
      <c r="B131" s="32" t="s">
        <v>3414</v>
      </c>
      <c r="C131" s="70" t="s">
        <v>3416</v>
      </c>
      <c r="D131" s="32" t="s">
        <v>3415</v>
      </c>
      <c r="E131" s="11" t="str">
        <f>HYPERLINK("https://youtu.be/AaHY4-EW1sU?t=8554","channel 3")</f>
        <v>channel 3</v>
      </c>
    </row>
    <row r="132">
      <c r="B132" s="32" t="s">
        <v>1977</v>
      </c>
      <c r="C132" s="70" t="s">
        <v>197</v>
      </c>
      <c r="D132" s="32" t="s">
        <v>1870</v>
      </c>
      <c r="E132" s="11" t="str">
        <f>HYPERLINK("https://youtu.be/oG49fTzaizM?t=8504","channel 4")</f>
        <v>channel 4</v>
      </c>
    </row>
    <row r="133">
      <c r="B133" s="72" t="s">
        <v>2316</v>
      </c>
      <c r="C133" s="2"/>
      <c r="D133" s="3"/>
      <c r="E133" s="2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34" t="s">
        <v>3417</v>
      </c>
      <c r="C135" s="70" t="s">
        <v>857</v>
      </c>
      <c r="D135" s="32" t="s">
        <v>3418</v>
      </c>
      <c r="E135" s="11" t="str">
        <f>HYPERLINK("https://youtu.be/gPrBlxLMd4Y","channel 1")</f>
        <v>channel 1</v>
      </c>
    </row>
    <row r="136">
      <c r="B136" s="34" t="s">
        <v>1795</v>
      </c>
      <c r="C136" s="70" t="s">
        <v>23</v>
      </c>
      <c r="D136" s="32" t="s">
        <v>3419</v>
      </c>
      <c r="E136" s="11" t="str">
        <f>HYPERLINK("https://youtu.be/A-t7KfIUFIc?t=109","channel 2")</f>
        <v>channel 2</v>
      </c>
    </row>
    <row r="137">
      <c r="B137" s="34" t="s">
        <v>281</v>
      </c>
      <c r="C137" s="70" t="s">
        <v>190</v>
      </c>
      <c r="D137" s="34" t="s">
        <v>3417</v>
      </c>
      <c r="E137" s="11" t="str">
        <f>HYPERLINK("https://youtu.be/gPrBlxLMd4Y?t=1011","channel 1")</f>
        <v>channel 1</v>
      </c>
    </row>
    <row r="138">
      <c r="B138" s="34" t="s">
        <v>1795</v>
      </c>
      <c r="C138" s="70" t="s">
        <v>17</v>
      </c>
      <c r="D138" s="32" t="s">
        <v>3418</v>
      </c>
      <c r="E138" s="11" t="str">
        <f>HYPERLINK("https://youtu.be/A-t7KfIUFIc?t=1043","channel 2")</f>
        <v>channel 2</v>
      </c>
    </row>
    <row r="139">
      <c r="B139" s="34" t="s">
        <v>281</v>
      </c>
      <c r="C139" s="70" t="s">
        <v>545</v>
      </c>
      <c r="D139" s="32" t="s">
        <v>3419</v>
      </c>
      <c r="E139" s="11" t="str">
        <f>HYPERLINK("https://youtu.be/gPrBlxLMd4Y?t=1929","channel 1")</f>
        <v>channel 1</v>
      </c>
    </row>
    <row r="140">
      <c r="B140" s="34" t="s">
        <v>1795</v>
      </c>
      <c r="C140" s="70" t="s">
        <v>190</v>
      </c>
      <c r="D140" s="34" t="s">
        <v>3417</v>
      </c>
      <c r="E140" s="11" t="str">
        <f>HYPERLINK("https://youtu.be/A-t7KfIUFIc?t=1972","channel 2")</f>
        <v>channel 2</v>
      </c>
    </row>
    <row r="141">
      <c r="B141" s="34" t="s">
        <v>281</v>
      </c>
      <c r="C141" s="70" t="s">
        <v>286</v>
      </c>
      <c r="D141" s="32" t="s">
        <v>3418</v>
      </c>
      <c r="E141" s="11" t="str">
        <f>HYPERLINK("https://youtu.be/gPrBlxLMd4Y?t=2863","channel 1")</f>
        <v>channel 1</v>
      </c>
    </row>
    <row r="142">
      <c r="B142" s="32" t="s">
        <v>3419</v>
      </c>
      <c r="C142" s="70" t="s">
        <v>66</v>
      </c>
      <c r="D142" s="34" t="s">
        <v>3417</v>
      </c>
      <c r="E142" s="11" t="str">
        <f>HYPERLINK("https://youtu.be/A-t7KfIUFIc?t=2896","channel 2")</f>
        <v>channel 2</v>
      </c>
    </row>
    <row r="143">
      <c r="B143" s="34" t="s">
        <v>281</v>
      </c>
      <c r="C143" s="70" t="s">
        <v>7</v>
      </c>
      <c r="D143" s="34" t="s">
        <v>1795</v>
      </c>
      <c r="E143" s="11" t="str">
        <f>HYPERLINK("https://youtu.be/gPrBlxLMd4Y?t=3797","channel 1")</f>
        <v>channel 1</v>
      </c>
    </row>
    <row r="144">
      <c r="B144" s="32" t="s">
        <v>3419</v>
      </c>
      <c r="C144" s="70" t="s">
        <v>25</v>
      </c>
      <c r="D144" s="32" t="s">
        <v>3418</v>
      </c>
      <c r="E144" s="11" t="str">
        <f>HYPERLINK("https://youtu.be/A-t7KfIUFIc?t=3820","channel 2")</f>
        <v>channel 2</v>
      </c>
    </row>
    <row r="145">
      <c r="B145" s="32" t="s">
        <v>3418</v>
      </c>
      <c r="C145" s="70" t="s">
        <v>23</v>
      </c>
      <c r="D145" s="34" t="s">
        <v>3417</v>
      </c>
      <c r="E145" s="11" t="str">
        <f>HYPERLINK("https://youtu.be/gPrBlxLMd4Y?t=4697","channel 1")</f>
        <v>channel 1</v>
      </c>
    </row>
    <row r="146">
      <c r="B146" s="32" t="s">
        <v>3419</v>
      </c>
      <c r="C146" s="70" t="s">
        <v>276</v>
      </c>
      <c r="D146" s="34" t="s">
        <v>1795</v>
      </c>
      <c r="E146" s="11" t="str">
        <f>HYPERLINK("https://youtu.be/A-t7KfIUFIc?t=4725","channel 2")</f>
        <v>channel 2</v>
      </c>
    </row>
    <row r="147">
      <c r="B147" s="34" t="s">
        <v>3417</v>
      </c>
      <c r="C147" s="70" t="s">
        <v>330</v>
      </c>
      <c r="D147" s="34" t="s">
        <v>281</v>
      </c>
      <c r="E147" s="11" t="str">
        <f>HYPERLINK("https://youtu.be/gPrBlxLMd4Y?t=5667","channel 1")</f>
        <v>channel 1</v>
      </c>
    </row>
    <row r="148">
      <c r="B148" s="32" t="s">
        <v>3418</v>
      </c>
      <c r="C148" s="70" t="s">
        <v>295</v>
      </c>
      <c r="D148" s="34" t="s">
        <v>1795</v>
      </c>
      <c r="E148" s="11" t="str">
        <f>HYPERLINK("https://youtu.be/A-t7KfIUFIc?t=5689","channel 2")</f>
        <v>channel 2</v>
      </c>
    </row>
    <row r="149">
      <c r="B149" s="32" t="s">
        <v>3419</v>
      </c>
      <c r="C149" s="70" t="s">
        <v>444</v>
      </c>
      <c r="D149" s="34" t="s">
        <v>281</v>
      </c>
      <c r="E149" s="11" t="str">
        <f>HYPERLINK("https://youtu.be/gPrBlxLMd4Y?t=6594","channel 1")</f>
        <v>channel 1</v>
      </c>
    </row>
    <row r="150">
      <c r="B150" s="34" t="s">
        <v>3417</v>
      </c>
      <c r="C150" s="70" t="s">
        <v>88</v>
      </c>
      <c r="D150" s="34" t="s">
        <v>1795</v>
      </c>
      <c r="E150" s="11" t="str">
        <f>HYPERLINK("https://youtu.be/A-t7KfIUFIc?t=6622","channel 2")</f>
        <v>channel 2</v>
      </c>
    </row>
    <row r="151">
      <c r="B151" s="32" t="s">
        <v>3418</v>
      </c>
      <c r="C151" s="70" t="s">
        <v>285</v>
      </c>
      <c r="D151" s="34" t="s">
        <v>281</v>
      </c>
      <c r="E151" s="11" t="str">
        <f>HYPERLINK("https://youtu.be/gPrBlxLMd4Y?t=7521","channel 1")</f>
        <v>channel 1</v>
      </c>
    </row>
    <row r="152">
      <c r="B152" s="34" t="s">
        <v>3417</v>
      </c>
      <c r="C152" s="70" t="s">
        <v>27</v>
      </c>
      <c r="D152" s="32" t="s">
        <v>3419</v>
      </c>
      <c r="E152" s="11" t="str">
        <f>HYPERLINK("https://youtu.be/A-t7KfIUFIc?t=7636","channel 2")</f>
        <v>channel 2</v>
      </c>
    </row>
    <row r="153">
      <c r="B153" s="34" t="s">
        <v>1795</v>
      </c>
      <c r="C153" s="70" t="s">
        <v>293</v>
      </c>
      <c r="D153" s="34" t="s">
        <v>281</v>
      </c>
      <c r="E153" s="11" t="str">
        <f>HYPERLINK("https://youtu.be/gPrBlxLMd4Y?t=8424","channel 1")</f>
        <v>channel 1</v>
      </c>
    </row>
    <row r="154">
      <c r="B154" s="32" t="s">
        <v>3418</v>
      </c>
      <c r="C154" s="70" t="s">
        <v>3420</v>
      </c>
      <c r="D154" s="32" t="s">
        <v>3419</v>
      </c>
      <c r="E154" s="11" t="str">
        <f>HYPERLINK("https://youtu.be/A-t7KfIUFIc?t=8610","channel 2")</f>
        <v>channel 2</v>
      </c>
    </row>
    <row r="155">
      <c r="B155" s="72" t="s">
        <v>1685</v>
      </c>
      <c r="C155" s="2"/>
      <c r="D155" s="3"/>
      <c r="E155" s="2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34" t="s">
        <v>3421</v>
      </c>
      <c r="C157" s="70" t="s">
        <v>482</v>
      </c>
      <c r="D157" s="32" t="s">
        <v>3422</v>
      </c>
      <c r="E157" s="11" t="str">
        <f>HYPERLINK("https://youtu.be/_JQ9qJU6m1I","channel 1")</f>
        <v>channel 1</v>
      </c>
    </row>
    <row r="158">
      <c r="B158" s="34" t="s">
        <v>839</v>
      </c>
      <c r="C158" s="70" t="s">
        <v>722</v>
      </c>
      <c r="D158" s="32" t="s">
        <v>2941</v>
      </c>
      <c r="E158" s="11" t="str">
        <f>HYPERLINK("https://youtu.be/YC8qAxxbJxs?t=106","channel 2")</f>
        <v>channel 2</v>
      </c>
    </row>
    <row r="159">
      <c r="B159" s="34" t="s">
        <v>181</v>
      </c>
      <c r="C159" s="70" t="s">
        <v>195</v>
      </c>
      <c r="D159" s="34" t="s">
        <v>3421</v>
      </c>
      <c r="E159" s="11" t="str">
        <f>HYPERLINK("https://youtu.be/_JQ9qJU6m1I?t=1084","channel 1")</f>
        <v>channel 1</v>
      </c>
    </row>
    <row r="160">
      <c r="B160" s="34" t="s">
        <v>839</v>
      </c>
      <c r="C160" s="70" t="s">
        <v>196</v>
      </c>
      <c r="D160" s="32" t="s">
        <v>3422</v>
      </c>
      <c r="E160" s="11" t="str">
        <f>HYPERLINK("https://youtu.be/YC8qAxxbJxs?t=1038","channel 2")</f>
        <v>channel 2</v>
      </c>
    </row>
    <row r="161">
      <c r="B161" s="34" t="s">
        <v>181</v>
      </c>
      <c r="C161" s="70" t="s">
        <v>239</v>
      </c>
      <c r="D161" s="32" t="s">
        <v>2941</v>
      </c>
      <c r="E161" s="11" t="str">
        <f>HYPERLINK("https://youtu.be/_JQ9qJU6m1I?t=2013","channel 1")</f>
        <v>channel 1</v>
      </c>
    </row>
    <row r="162">
      <c r="B162" s="34" t="s">
        <v>839</v>
      </c>
      <c r="C162" s="70" t="s">
        <v>201</v>
      </c>
      <c r="D162" s="34" t="s">
        <v>3421</v>
      </c>
      <c r="E162" s="11" t="str">
        <f>HYPERLINK("https://youtu.be/YC8qAxxbJxs?t=1927","channel 2")</f>
        <v>channel 2</v>
      </c>
    </row>
    <row r="163">
      <c r="B163" s="34" t="s">
        <v>181</v>
      </c>
      <c r="C163" s="70" t="s">
        <v>80</v>
      </c>
      <c r="D163" s="32" t="s">
        <v>3422</v>
      </c>
      <c r="E163" s="11" t="str">
        <f>HYPERLINK("https://youtu.be/_JQ9qJU6m1I?t=2948","channel 1")</f>
        <v>channel 1</v>
      </c>
    </row>
    <row r="164">
      <c r="B164" s="32" t="s">
        <v>2941</v>
      </c>
      <c r="C164" s="70" t="s">
        <v>203</v>
      </c>
      <c r="D164" s="34" t="s">
        <v>3421</v>
      </c>
      <c r="E164" s="11" t="str">
        <f>HYPERLINK("https://youtu.be/YC8qAxxbJxs?t=2904","channel 2")</f>
        <v>channel 2</v>
      </c>
    </row>
    <row r="165">
      <c r="B165" s="34" t="s">
        <v>181</v>
      </c>
      <c r="C165" s="70" t="s">
        <v>412</v>
      </c>
      <c r="D165" s="34" t="s">
        <v>839</v>
      </c>
      <c r="E165" s="11" t="str">
        <f>HYPERLINK("https://youtu.be/_JQ9qJU6m1I?t=3920","channel 1")</f>
        <v>channel 1</v>
      </c>
    </row>
    <row r="166">
      <c r="B166" s="32" t="s">
        <v>2941</v>
      </c>
      <c r="C166" s="70" t="s">
        <v>319</v>
      </c>
      <c r="D166" s="32" t="s">
        <v>3422</v>
      </c>
      <c r="E166" s="11" t="str">
        <f>HYPERLINK("https://youtu.be/YC8qAxxbJxs?t=3890","channel 2")</f>
        <v>channel 2</v>
      </c>
    </row>
    <row r="167">
      <c r="B167" s="32" t="s">
        <v>3422</v>
      </c>
      <c r="C167" s="70" t="s">
        <v>17</v>
      </c>
      <c r="D167" s="34" t="s">
        <v>3421</v>
      </c>
      <c r="E167" s="11" t="str">
        <f>HYPERLINK("https://youtu.be/_JQ9qJU6m1I?t=4827","channel 1")</f>
        <v>channel 1</v>
      </c>
    </row>
    <row r="168">
      <c r="B168" s="32" t="s">
        <v>2941</v>
      </c>
      <c r="C168" s="70" t="s">
        <v>217</v>
      </c>
      <c r="D168" s="34" t="s">
        <v>839</v>
      </c>
      <c r="E168" s="11" t="str">
        <f>HYPERLINK("https://youtu.be/YC8qAxxbJxs?t=4848","channel 2")</f>
        <v>channel 2</v>
      </c>
    </row>
    <row r="169">
      <c r="B169" s="34" t="s">
        <v>3421</v>
      </c>
      <c r="C169" s="70" t="s">
        <v>22</v>
      </c>
      <c r="D169" s="34" t="s">
        <v>181</v>
      </c>
      <c r="E169" s="11" t="str">
        <f>HYPERLINK("https://youtu.be/_JQ9qJU6m1I?t=5824","channel 1")</f>
        <v>channel 1</v>
      </c>
    </row>
    <row r="170">
      <c r="B170" s="32" t="s">
        <v>3422</v>
      </c>
      <c r="C170" s="70" t="s">
        <v>206</v>
      </c>
      <c r="D170" s="34" t="s">
        <v>839</v>
      </c>
      <c r="E170" s="11" t="str">
        <f>HYPERLINK("https://youtu.be/YC8qAxxbJxs?t=5766","channel 2")</f>
        <v>channel 2</v>
      </c>
    </row>
    <row r="171">
      <c r="B171" s="32" t="s">
        <v>2941</v>
      </c>
      <c r="C171" s="70" t="s">
        <v>370</v>
      </c>
      <c r="D171" s="34" t="s">
        <v>181</v>
      </c>
      <c r="E171" s="11" t="str">
        <f>HYPERLINK("https://youtu.be/_JQ9qJU6m1I?t=6697","channel 1")</f>
        <v>channel 1</v>
      </c>
    </row>
    <row r="172">
      <c r="B172" s="34" t="s">
        <v>3421</v>
      </c>
      <c r="C172" s="70" t="s">
        <v>220</v>
      </c>
      <c r="D172" s="34" t="s">
        <v>839</v>
      </c>
      <c r="E172" s="11" t="str">
        <f>HYPERLINK("https://youtu.be/YC8qAxxbJxs?t=6759","channel 2")</f>
        <v>channel 2</v>
      </c>
    </row>
    <row r="173">
      <c r="B173" s="32" t="s">
        <v>3422</v>
      </c>
      <c r="C173" s="70" t="s">
        <v>218</v>
      </c>
      <c r="D173" s="34" t="s">
        <v>181</v>
      </c>
      <c r="E173" s="11" t="str">
        <f>HYPERLINK("https://youtu.be/_JQ9qJU6m1I?t=7590","channel 1")</f>
        <v>channel 1</v>
      </c>
    </row>
    <row r="174">
      <c r="B174" s="34" t="s">
        <v>3421</v>
      </c>
      <c r="C174" s="70" t="s">
        <v>62</v>
      </c>
      <c r="D174" s="32" t="s">
        <v>2941</v>
      </c>
      <c r="E174" s="11" t="str">
        <f>HYPERLINK("https://youtu.be/YC8qAxxbJxs?t=7740","channel 2")</f>
        <v>channel 2</v>
      </c>
    </row>
    <row r="175">
      <c r="B175" s="34" t="s">
        <v>839</v>
      </c>
      <c r="C175" s="70" t="s">
        <v>285</v>
      </c>
      <c r="D175" s="34" t="s">
        <v>181</v>
      </c>
      <c r="E175" s="11" t="str">
        <f>HYPERLINK("https://youtu.be/_JQ9qJU6m1I?t=8530","channel 1")</f>
        <v>channel 1</v>
      </c>
    </row>
    <row r="176">
      <c r="B176" s="32" t="s">
        <v>3422</v>
      </c>
      <c r="C176" s="70" t="s">
        <v>219</v>
      </c>
      <c r="D176" s="32" t="s">
        <v>2941</v>
      </c>
      <c r="E176" s="11" t="str">
        <f>HYPERLINK("https://youtu.be/YC8qAxxbJxs?t=8682","channel 2")</f>
        <v>channel 2</v>
      </c>
    </row>
    <row r="177">
      <c r="B177" s="72" t="s">
        <v>2997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6" t="s">
        <v>5</v>
      </c>
    </row>
    <row r="179">
      <c r="B179" s="32" t="s">
        <v>3423</v>
      </c>
      <c r="C179" s="70" t="s">
        <v>22</v>
      </c>
      <c r="D179" s="32" t="s">
        <v>1505</v>
      </c>
      <c r="E179" s="11" t="str">
        <f>HYPERLINK("https://youtu.be/dxOqTDjcqcA","channel 3")</f>
        <v>channel 3</v>
      </c>
    </row>
    <row r="180">
      <c r="B180" s="32" t="s">
        <v>2048</v>
      </c>
      <c r="C180" s="70" t="s">
        <v>1622</v>
      </c>
      <c r="D180" s="32" t="s">
        <v>2590</v>
      </c>
      <c r="E180" s="11" t="str">
        <f>HYPERLINK("https://youtu.be/lIW7Gy9K3Sk","channel 4")</f>
        <v>channel 4</v>
      </c>
    </row>
    <row r="181">
      <c r="B181" s="32" t="s">
        <v>3424</v>
      </c>
      <c r="C181" s="70" t="s">
        <v>289</v>
      </c>
      <c r="D181" s="32" t="s">
        <v>3423</v>
      </c>
      <c r="E181" s="11" t="str">
        <f>HYPERLINK("https://youtu.be/dxOqTDjcqcA?t=989","channel 3")</f>
        <v>channel 3</v>
      </c>
    </row>
    <row r="182">
      <c r="B182" s="32" t="s">
        <v>2048</v>
      </c>
      <c r="C182" s="70" t="s">
        <v>792</v>
      </c>
      <c r="D182" s="32" t="s">
        <v>1505</v>
      </c>
      <c r="E182" s="102" t="s">
        <v>37</v>
      </c>
    </row>
    <row r="183">
      <c r="B183" s="32" t="s">
        <v>3424</v>
      </c>
      <c r="C183" s="70" t="s">
        <v>81</v>
      </c>
      <c r="D183" s="32" t="s">
        <v>2590</v>
      </c>
      <c r="E183" s="11" t="str">
        <f>HYPERLINK("https://youtu.be/dxOqTDjcqcA?t=1952","channel 3")</f>
        <v>channel 3</v>
      </c>
    </row>
    <row r="184">
      <c r="B184" s="91" t="s">
        <v>2048</v>
      </c>
      <c r="C184" s="70" t="s">
        <v>2256</v>
      </c>
      <c r="D184" s="91" t="s">
        <v>3423</v>
      </c>
      <c r="E184" s="102" t="s">
        <v>37</v>
      </c>
    </row>
    <row r="185">
      <c r="B185" s="32" t="s">
        <v>3424</v>
      </c>
      <c r="C185" s="70" t="s">
        <v>62</v>
      </c>
      <c r="D185" s="32" t="s">
        <v>1505</v>
      </c>
      <c r="E185" s="11" t="str">
        <f>HYPERLINK("https://youtu.be/dxOqTDjcqcA?t=2890","channel 3")</f>
        <v>channel 3</v>
      </c>
    </row>
    <row r="186">
      <c r="B186" s="91" t="s">
        <v>2590</v>
      </c>
      <c r="C186" s="70" t="s">
        <v>722</v>
      </c>
      <c r="D186" s="91" t="s">
        <v>3423</v>
      </c>
      <c r="E186" s="102" t="s">
        <v>37</v>
      </c>
    </row>
    <row r="187">
      <c r="B187" s="32" t="s">
        <v>3424</v>
      </c>
      <c r="C187" s="70" t="s">
        <v>43</v>
      </c>
      <c r="D187" s="32" t="s">
        <v>2048</v>
      </c>
      <c r="E187" s="11" t="str">
        <f>HYPERLINK("https://youtu.be/dxOqTDjcqcA?t=3838","channel 3")</f>
        <v>channel 3</v>
      </c>
    </row>
    <row r="188">
      <c r="B188" s="32" t="s">
        <v>2590</v>
      </c>
      <c r="C188" s="70" t="s">
        <v>16</v>
      </c>
      <c r="D188" s="32" t="s">
        <v>1505</v>
      </c>
      <c r="E188" s="102" t="s">
        <v>37</v>
      </c>
    </row>
    <row r="189">
      <c r="B189" s="32" t="s">
        <v>1505</v>
      </c>
      <c r="C189" s="70" t="s">
        <v>48</v>
      </c>
      <c r="D189" s="32" t="s">
        <v>3423</v>
      </c>
      <c r="E189" s="11" t="str">
        <f>HYPERLINK("https://youtu.be/dxOqTDjcqcA?t=4755","channel 3")</f>
        <v>channel 3</v>
      </c>
    </row>
    <row r="190">
      <c r="B190" s="91" t="s">
        <v>2590</v>
      </c>
      <c r="C190" s="70" t="s">
        <v>352</v>
      </c>
      <c r="D190" s="91" t="s">
        <v>2048</v>
      </c>
      <c r="E190" s="102" t="s">
        <v>37</v>
      </c>
    </row>
    <row r="191">
      <c r="B191" s="32" t="s">
        <v>3423</v>
      </c>
      <c r="C191" s="70" t="s">
        <v>534</v>
      </c>
      <c r="D191" s="32" t="s">
        <v>3424</v>
      </c>
      <c r="E191" s="11" t="str">
        <f>HYPERLINK("https://youtu.be/dxOqTDjcqcA?t=5725","channel 3")</f>
        <v>channel 3</v>
      </c>
    </row>
    <row r="192">
      <c r="B192" s="32" t="s">
        <v>1505</v>
      </c>
      <c r="C192" s="70" t="s">
        <v>83</v>
      </c>
      <c r="D192" s="32" t="s">
        <v>2048</v>
      </c>
      <c r="E192" s="102" t="s">
        <v>37</v>
      </c>
    </row>
    <row r="193">
      <c r="B193" s="32" t="s">
        <v>2590</v>
      </c>
      <c r="C193" s="70" t="s">
        <v>72</v>
      </c>
      <c r="D193" s="32" t="s">
        <v>3424</v>
      </c>
      <c r="E193" s="11" t="str">
        <f>HYPERLINK("https://youtu.be/dxOqTDjcqcA?t=6699","channel 3")</f>
        <v>channel 3</v>
      </c>
    </row>
    <row r="194">
      <c r="B194" s="32" t="s">
        <v>3423</v>
      </c>
      <c r="C194" s="70" t="s">
        <v>88</v>
      </c>
      <c r="D194" s="32" t="s">
        <v>2048</v>
      </c>
      <c r="E194" s="102" t="s">
        <v>37</v>
      </c>
    </row>
    <row r="195">
      <c r="B195" s="32" t="s">
        <v>1505</v>
      </c>
      <c r="C195" s="70" t="s">
        <v>614</v>
      </c>
      <c r="D195" s="32" t="s">
        <v>3424</v>
      </c>
      <c r="E195" s="11" t="str">
        <f>HYPERLINK("https://youtu.be/dxOqTDjcqcA?t=7620","channel 3")</f>
        <v>channel 3</v>
      </c>
    </row>
    <row r="196">
      <c r="B196" s="32" t="s">
        <v>3423</v>
      </c>
      <c r="C196" s="70" t="s">
        <v>403</v>
      </c>
      <c r="D196" s="32" t="s">
        <v>2590</v>
      </c>
      <c r="E196" s="102" t="s">
        <v>37</v>
      </c>
    </row>
    <row r="197">
      <c r="B197" s="32" t="s">
        <v>2048</v>
      </c>
      <c r="C197" s="70" t="s">
        <v>64</v>
      </c>
      <c r="D197" s="32" t="s">
        <v>3424</v>
      </c>
      <c r="E197" s="11" t="str">
        <f>HYPERLINK("https://youtu.be/dxOqTDjcqcA?t=8584","channel 3")</f>
        <v>channel 3</v>
      </c>
    </row>
    <row r="198">
      <c r="B198" s="32" t="s">
        <v>1505</v>
      </c>
      <c r="C198" s="70" t="s">
        <v>370</v>
      </c>
      <c r="D198" s="32" t="s">
        <v>2590</v>
      </c>
      <c r="E198" s="102" t="s">
        <v>37</v>
      </c>
    </row>
    <row r="199">
      <c r="B199" s="72" t="s">
        <v>2617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6" t="s">
        <v>5</v>
      </c>
    </row>
    <row r="201">
      <c r="B201" s="32" t="s">
        <v>1589</v>
      </c>
      <c r="C201" s="70" t="s">
        <v>699</v>
      </c>
      <c r="D201" s="32" t="s">
        <v>690</v>
      </c>
      <c r="E201" s="11" t="str">
        <f>HYPERLINK("https://youtu.be/RL0Nec2btvI","channel 3")</f>
        <v>channel 3</v>
      </c>
    </row>
    <row r="202">
      <c r="B202" s="32" t="s">
        <v>2146</v>
      </c>
      <c r="C202" s="70" t="s">
        <v>197</v>
      </c>
      <c r="D202" s="32" t="s">
        <v>1098</v>
      </c>
      <c r="E202" s="11" t="str">
        <f>HYPERLINK("https://youtu.be/TfDYvFwZGY0","channel 4")</f>
        <v>channel 4</v>
      </c>
    </row>
    <row r="203">
      <c r="B203" s="32" t="s">
        <v>3252</v>
      </c>
      <c r="C203" s="70" t="s">
        <v>16</v>
      </c>
      <c r="D203" s="32" t="s">
        <v>1589</v>
      </c>
      <c r="E203" s="11" t="str">
        <f>HYPERLINK("https://youtu.be/RL0Nec2btvI?t=1030","channel 3")</f>
        <v>channel 3</v>
      </c>
    </row>
    <row r="204">
      <c r="B204" s="32" t="s">
        <v>2146</v>
      </c>
      <c r="C204" s="70" t="s">
        <v>238</v>
      </c>
      <c r="D204" s="32" t="s">
        <v>690</v>
      </c>
      <c r="E204" s="11" t="str">
        <f>HYPERLINK("https://youtu.be/TfDYvFwZGY0?t=984","channel 4")</f>
        <v>channel 4</v>
      </c>
    </row>
    <row r="205">
      <c r="B205" s="32" t="s">
        <v>3252</v>
      </c>
      <c r="C205" s="70" t="s">
        <v>43</v>
      </c>
      <c r="D205" s="32" t="s">
        <v>1098</v>
      </c>
      <c r="E205" s="11" t="str">
        <f>HYPERLINK("https://youtu.be/RL0Nec2btvI?t=2034","channel 3")</f>
        <v>channel 3</v>
      </c>
    </row>
    <row r="206">
      <c r="B206" s="91" t="s">
        <v>2146</v>
      </c>
      <c r="C206" s="70" t="s">
        <v>912</v>
      </c>
      <c r="D206" s="91" t="s">
        <v>1589</v>
      </c>
      <c r="E206" s="11" t="str">
        <f>HYPERLINK("https://youtu.be/TfDYvFwZGY0?t=1994","channel 4")</f>
        <v>channel 4</v>
      </c>
    </row>
    <row r="207">
      <c r="B207" s="32" t="s">
        <v>3252</v>
      </c>
      <c r="C207" s="70" t="s">
        <v>267</v>
      </c>
      <c r="D207" s="32" t="s">
        <v>690</v>
      </c>
      <c r="E207" s="11" t="str">
        <f>HYPERLINK("https://youtu.be/RL0Nec2btvI?t=2937","channel 3")</f>
        <v>channel 3</v>
      </c>
    </row>
    <row r="208">
      <c r="B208" s="91" t="s">
        <v>1098</v>
      </c>
      <c r="C208" s="70" t="s">
        <v>835</v>
      </c>
      <c r="D208" s="91" t="s">
        <v>1589</v>
      </c>
      <c r="E208" s="11" t="str">
        <f>HYPERLINK("https://youtu.be/TfDYvFwZGY0?t=2908","channel 4")</f>
        <v>channel 4</v>
      </c>
    </row>
    <row r="209">
      <c r="B209" s="32" t="s">
        <v>3252</v>
      </c>
      <c r="C209" s="70" t="s">
        <v>19</v>
      </c>
      <c r="D209" s="32" t="s">
        <v>2146</v>
      </c>
      <c r="E209" s="11" t="str">
        <f>HYPERLINK("https://youtu.be/RL0Nec2btvI?t=3867","channel 3")</f>
        <v>channel 3</v>
      </c>
    </row>
    <row r="210">
      <c r="B210" s="32" t="s">
        <v>1098</v>
      </c>
      <c r="C210" s="70" t="s">
        <v>542</v>
      </c>
      <c r="D210" s="32" t="s">
        <v>690</v>
      </c>
      <c r="E210" s="11" t="str">
        <f>HYPERLINK("https://youtu.be/TfDYvFwZGY0?t=3837","channel 4")</f>
        <v>channel 4</v>
      </c>
    </row>
    <row r="211">
      <c r="B211" s="32" t="s">
        <v>690</v>
      </c>
      <c r="C211" s="70" t="s">
        <v>197</v>
      </c>
      <c r="D211" s="32" t="s">
        <v>1589</v>
      </c>
      <c r="E211" s="11" t="str">
        <f>HYPERLINK("https://youtu.be/RL0Nec2btvI?t=4794","channel 3")</f>
        <v>channel 3</v>
      </c>
    </row>
    <row r="212">
      <c r="B212" s="91" t="s">
        <v>1098</v>
      </c>
      <c r="C212" s="70" t="s">
        <v>35</v>
      </c>
      <c r="D212" s="91" t="s">
        <v>2146</v>
      </c>
      <c r="E212" s="11" t="str">
        <f>HYPERLINK("https://youtu.be/TfDYvFwZGY0?t=4772","channel 4")</f>
        <v>channel 4</v>
      </c>
    </row>
    <row r="213">
      <c r="B213" s="32" t="s">
        <v>1589</v>
      </c>
      <c r="C213" s="70" t="s">
        <v>390</v>
      </c>
      <c r="D213" s="32" t="s">
        <v>3252</v>
      </c>
      <c r="E213" s="11" t="str">
        <f>HYPERLINK("https://youtu.be/RL0Nec2btvI?t=5755","channel 3")</f>
        <v>channel 3</v>
      </c>
    </row>
    <row r="214">
      <c r="B214" s="32" t="s">
        <v>690</v>
      </c>
      <c r="C214" s="70" t="s">
        <v>446</v>
      </c>
      <c r="D214" s="32" t="s">
        <v>2146</v>
      </c>
      <c r="E214" s="11" t="str">
        <f>HYPERLINK("https://youtu.be/TfDYvFwZGY0?t=5723","channel 4")</f>
        <v>channel 4</v>
      </c>
    </row>
    <row r="215">
      <c r="B215" s="32" t="s">
        <v>1098</v>
      </c>
      <c r="C215" s="70" t="s">
        <v>566</v>
      </c>
      <c r="D215" s="32" t="s">
        <v>3252</v>
      </c>
      <c r="E215" s="11" t="str">
        <f>HYPERLINK("https://youtu.be/RL0Nec2btvI?t=6727","channel 3")</f>
        <v>channel 3</v>
      </c>
    </row>
    <row r="216">
      <c r="B216" s="32" t="s">
        <v>1589</v>
      </c>
      <c r="C216" s="70" t="s">
        <v>196</v>
      </c>
      <c r="D216" s="32" t="s">
        <v>2146</v>
      </c>
      <c r="E216" s="11" t="str">
        <f>HYPERLINK("https://youtu.be/TfDYvFwZGY0?t=6676","channel 4")</f>
        <v>channel 4</v>
      </c>
    </row>
    <row r="217">
      <c r="B217" s="32" t="s">
        <v>690</v>
      </c>
      <c r="C217" s="70" t="s">
        <v>2959</v>
      </c>
      <c r="D217" s="32" t="s">
        <v>3252</v>
      </c>
      <c r="E217" s="11" t="str">
        <f>HYPERLINK("https://youtu.be/RL0Nec2btvI?t=7653","channel 3")</f>
        <v>channel 3</v>
      </c>
    </row>
    <row r="218">
      <c r="B218" s="32" t="s">
        <v>1589</v>
      </c>
      <c r="C218" s="70" t="s">
        <v>217</v>
      </c>
      <c r="D218" s="32" t="s">
        <v>1098</v>
      </c>
      <c r="E218" s="11" t="str">
        <f>HYPERLINK("https://youtu.be/TfDYvFwZGY0?t=7620","channel 4")</f>
        <v>channel 4</v>
      </c>
    </row>
    <row r="219">
      <c r="B219" s="32" t="s">
        <v>2146</v>
      </c>
      <c r="C219" s="70" t="s">
        <v>362</v>
      </c>
      <c r="D219" s="32" t="s">
        <v>3252</v>
      </c>
      <c r="E219" s="11" t="str">
        <f>HYPERLINK("https://youtu.be/RL0Nec2btvI?t=8616","channel 3")</f>
        <v>channel 3</v>
      </c>
    </row>
    <row r="220">
      <c r="B220" s="32" t="s">
        <v>690</v>
      </c>
      <c r="C220" s="70" t="s">
        <v>217</v>
      </c>
      <c r="D220" s="32" t="s">
        <v>1098</v>
      </c>
      <c r="E220" s="11" t="str">
        <f>HYPERLINK("https://youtu.be/TfDYvFwZGY0?t=8551","channel 4")</f>
        <v>channel 4</v>
      </c>
    </row>
    <row r="221">
      <c r="B221" s="72" t="s">
        <v>2974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34" t="s">
        <v>3425</v>
      </c>
      <c r="C223" s="70" t="s">
        <v>20</v>
      </c>
      <c r="D223" s="34" t="s">
        <v>2786</v>
      </c>
      <c r="E223" s="11" t="str">
        <f>HYPERLINK("https://youtu.be/8P-aXewW6DE","channel 1")</f>
        <v>channel 1</v>
      </c>
    </row>
    <row r="224">
      <c r="B224" s="34" t="s">
        <v>3426</v>
      </c>
      <c r="C224" s="70" t="s">
        <v>302</v>
      </c>
      <c r="D224" s="34" t="s">
        <v>3427</v>
      </c>
      <c r="E224" s="11" t="str">
        <f>HYPERLINK("https://youtu.be/BgSQ4djCZeo","channel 2")</f>
        <v>channel 2</v>
      </c>
    </row>
    <row r="225">
      <c r="B225" s="34" t="s">
        <v>2371</v>
      </c>
      <c r="C225" s="70" t="s">
        <v>80</v>
      </c>
      <c r="D225" s="34" t="s">
        <v>3425</v>
      </c>
      <c r="E225" s="11" t="str">
        <f>HYPERLINK("https://youtu.be/8P-aXewW6DE?t=993","channel 1")</f>
        <v>channel 1</v>
      </c>
    </row>
    <row r="226">
      <c r="B226" s="34" t="s">
        <v>3426</v>
      </c>
      <c r="C226" s="70" t="s">
        <v>190</v>
      </c>
      <c r="D226" s="34" t="s">
        <v>2786</v>
      </c>
      <c r="E226" s="11" t="str">
        <f>HYPERLINK("https://youtu.be/BgSQ4djCZeo?t=982","channel 2")</f>
        <v>channel 2</v>
      </c>
    </row>
    <row r="227">
      <c r="B227" s="34" t="s">
        <v>2371</v>
      </c>
      <c r="C227" s="70" t="s">
        <v>19</v>
      </c>
      <c r="D227" s="34" t="s">
        <v>3427</v>
      </c>
      <c r="E227" s="11" t="str">
        <f>HYPERLINK("https://youtu.be/8P-aXewW6DE?t=1930","channel 1")</f>
        <v>channel 1</v>
      </c>
    </row>
    <row r="228">
      <c r="B228" s="34" t="s">
        <v>3426</v>
      </c>
      <c r="C228" s="70" t="s">
        <v>42</v>
      </c>
      <c r="D228" s="34" t="s">
        <v>3425</v>
      </c>
      <c r="E228" s="11" t="str">
        <f>HYPERLINK("https://youtu.be/BgSQ4djCZeo?t=1917","channel 2")</f>
        <v>channel 2</v>
      </c>
    </row>
    <row r="229">
      <c r="B229" s="34" t="s">
        <v>2371</v>
      </c>
      <c r="C229" s="70" t="s">
        <v>71</v>
      </c>
      <c r="D229" s="34" t="s">
        <v>2786</v>
      </c>
      <c r="E229" s="11" t="str">
        <f>HYPERLINK("https://youtu.be/8P-aXewW6DE?t=2848","channel 1")</f>
        <v>channel 1</v>
      </c>
    </row>
    <row r="230">
      <c r="B230" s="34" t="s">
        <v>3427</v>
      </c>
      <c r="C230" s="70" t="s">
        <v>362</v>
      </c>
      <c r="D230" s="34" t="s">
        <v>3425</v>
      </c>
      <c r="E230" s="11" t="str">
        <f>HYPERLINK("https://youtu.be/BgSQ4djCZeo?t=2802","channel 2")</f>
        <v>channel 2</v>
      </c>
    </row>
    <row r="231">
      <c r="B231" s="34" t="s">
        <v>2371</v>
      </c>
      <c r="C231" s="70" t="s">
        <v>18</v>
      </c>
      <c r="D231" s="34" t="s">
        <v>3426</v>
      </c>
      <c r="E231" s="11" t="str">
        <f>HYPERLINK("https://youtu.be/8P-aXewW6DE?t=3765","channel 1")</f>
        <v>channel 1</v>
      </c>
    </row>
    <row r="232">
      <c r="B232" s="34" t="s">
        <v>3427</v>
      </c>
      <c r="C232" s="70" t="s">
        <v>416</v>
      </c>
      <c r="D232" s="34" t="s">
        <v>2786</v>
      </c>
      <c r="E232" s="11" t="str">
        <f>HYPERLINK("https://youtu.be/BgSQ4djCZeo?t=3685","channel 2")</f>
        <v>channel 2</v>
      </c>
    </row>
    <row r="233">
      <c r="B233" s="34" t="s">
        <v>2786</v>
      </c>
      <c r="C233" s="70" t="s">
        <v>267</v>
      </c>
      <c r="D233" s="34" t="s">
        <v>3425</v>
      </c>
      <c r="E233" s="11" t="str">
        <f>HYPERLINK("https://youtu.be/8P-aXewW6DE?t=4733","channel 1")</f>
        <v>channel 1</v>
      </c>
    </row>
    <row r="234">
      <c r="B234" s="34" t="s">
        <v>3427</v>
      </c>
      <c r="C234" s="70" t="s">
        <v>319</v>
      </c>
      <c r="D234" s="34" t="s">
        <v>3426</v>
      </c>
      <c r="E234" s="11" t="str">
        <f>HYPERLINK("https://youtu.be/BgSQ4djCZeo?t=4684","channel 2")</f>
        <v>channel 2</v>
      </c>
    </row>
    <row r="235">
      <c r="B235" s="34" t="s">
        <v>3425</v>
      </c>
      <c r="C235" s="70" t="s">
        <v>259</v>
      </c>
      <c r="D235" s="34" t="s">
        <v>2371</v>
      </c>
      <c r="E235" s="11" t="str">
        <f>HYPERLINK("https://youtu.be/8P-aXewW6DE?t=5617","channel 1")</f>
        <v>channel 1</v>
      </c>
    </row>
    <row r="236">
      <c r="B236" s="34" t="s">
        <v>2786</v>
      </c>
      <c r="C236" s="70" t="s">
        <v>22</v>
      </c>
      <c r="D236" s="34" t="s">
        <v>3426</v>
      </c>
      <c r="E236" s="11" t="str">
        <f>HYPERLINK("https://youtu.be/BgSQ4djCZeo?t=5563","channel 2")</f>
        <v>channel 2</v>
      </c>
    </row>
    <row r="237">
      <c r="B237" s="34" t="s">
        <v>3427</v>
      </c>
      <c r="C237" s="70" t="s">
        <v>947</v>
      </c>
      <c r="D237" s="34" t="s">
        <v>2371</v>
      </c>
      <c r="E237" s="11" t="str">
        <f>HYPERLINK("https://youtu.be/8P-aXewW6DE?t=6517","channel 1")</f>
        <v>channel 1</v>
      </c>
    </row>
    <row r="238">
      <c r="B238" s="34" t="s">
        <v>3425</v>
      </c>
      <c r="C238" s="70" t="s">
        <v>81</v>
      </c>
      <c r="D238" s="34" t="s">
        <v>3426</v>
      </c>
      <c r="E238" s="11" t="str">
        <f>HYPERLINK("https://youtu.be/BgSQ4djCZeo?t=6460","channel 2")</f>
        <v>channel 2</v>
      </c>
    </row>
    <row r="239">
      <c r="B239" s="34" t="s">
        <v>2786</v>
      </c>
      <c r="C239" s="70" t="s">
        <v>14</v>
      </c>
      <c r="D239" s="34" t="s">
        <v>2371</v>
      </c>
      <c r="E239" s="11" t="str">
        <f>HYPERLINK("https://youtu.be/8P-aXewW6DE?t=7444","channel 1")</f>
        <v>channel 1</v>
      </c>
    </row>
    <row r="240">
      <c r="B240" s="34" t="s">
        <v>3425</v>
      </c>
      <c r="C240" s="70" t="s">
        <v>1466</v>
      </c>
      <c r="D240" s="34" t="s">
        <v>3427</v>
      </c>
      <c r="E240" s="11" t="str">
        <f>HYPERLINK("https://youtu.be/BgSQ4djCZeo?t=7395","channel 2")</f>
        <v>channel 2</v>
      </c>
    </row>
    <row r="241">
      <c r="B241" s="34" t="s">
        <v>3426</v>
      </c>
      <c r="C241" s="70" t="s">
        <v>17</v>
      </c>
      <c r="D241" s="34" t="s">
        <v>2371</v>
      </c>
      <c r="E241" s="11" t="str">
        <f>HYPERLINK("https://youtu.be/8P-aXewW6DE?t=8377","channel 1")</f>
        <v>channel 1</v>
      </c>
    </row>
    <row r="242">
      <c r="B242" s="34" t="s">
        <v>2786</v>
      </c>
      <c r="C242" s="70" t="s">
        <v>239</v>
      </c>
      <c r="D242" s="34" t="s">
        <v>3427</v>
      </c>
      <c r="E242" s="11" t="str">
        <f>HYPERLINK("https://youtu.be/BgSQ4djCZeo?t=8317","channel 2")</f>
        <v>channel 2</v>
      </c>
    </row>
    <row r="243">
      <c r="B243" s="72" t="s">
        <v>2200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34" t="s">
        <v>3428</v>
      </c>
      <c r="C245" s="70" t="s">
        <v>38</v>
      </c>
      <c r="D245" s="34" t="s">
        <v>3429</v>
      </c>
      <c r="E245" s="11" t="str">
        <f>HYPERLINK("https://youtu.be/krb9nf2bFDQ","channel 1")</f>
        <v>channel 1</v>
      </c>
    </row>
    <row r="246">
      <c r="B246" s="34" t="s">
        <v>1698</v>
      </c>
      <c r="C246" s="70" t="s">
        <v>19</v>
      </c>
      <c r="D246" s="34" t="s">
        <v>3430</v>
      </c>
      <c r="E246" s="11" t="str">
        <f>HYPERLINK("https://youtu.be/OACPlZGG5rw","channel 2")</f>
        <v>channel 2</v>
      </c>
    </row>
    <row r="247">
      <c r="B247" s="34" t="s">
        <v>2063</v>
      </c>
      <c r="C247" s="70" t="s">
        <v>20</v>
      </c>
      <c r="D247" s="34" t="s">
        <v>3428</v>
      </c>
      <c r="E247" s="11" t="str">
        <f>HYPERLINK("https://youtu.be/krb9nf2bFDQ?t=1113","channel 1")</f>
        <v>channel 1</v>
      </c>
    </row>
    <row r="248">
      <c r="B248" s="34" t="s">
        <v>1698</v>
      </c>
      <c r="C248" s="70" t="s">
        <v>26</v>
      </c>
      <c r="D248" s="34" t="s">
        <v>3429</v>
      </c>
      <c r="E248" s="11" t="str">
        <f>HYPERLINK("https://youtu.be/OACPlZGG5rw?t=1046","channel 2")</f>
        <v>channel 2</v>
      </c>
    </row>
    <row r="249">
      <c r="B249" s="34" t="s">
        <v>2063</v>
      </c>
      <c r="C249" s="70" t="s">
        <v>197</v>
      </c>
      <c r="D249" s="34" t="s">
        <v>3430</v>
      </c>
      <c r="E249" s="11" t="str">
        <f>HYPERLINK("https://youtu.be/krb9nf2bFDQ?t=2060","channel 1")</f>
        <v>channel 1</v>
      </c>
    </row>
    <row r="250">
      <c r="B250" s="34" t="s">
        <v>1698</v>
      </c>
      <c r="C250" s="70" t="s">
        <v>286</v>
      </c>
      <c r="D250" s="34" t="s">
        <v>3428</v>
      </c>
      <c r="E250" s="11" t="str">
        <f>HYPERLINK("https://youtu.be/OACPlZGG5rw?t=1983","channel 2")</f>
        <v>channel 2</v>
      </c>
    </row>
    <row r="251">
      <c r="B251" s="34" t="s">
        <v>2063</v>
      </c>
      <c r="C251" s="70" t="s">
        <v>328</v>
      </c>
      <c r="D251" s="34" t="s">
        <v>3429</v>
      </c>
      <c r="E251" s="11" t="str">
        <f>HYPERLINK("https://youtu.be/krb9nf2bFDQ?t=2945","channel 1")</f>
        <v>channel 1</v>
      </c>
    </row>
    <row r="252">
      <c r="B252" s="34" t="s">
        <v>3430</v>
      </c>
      <c r="C252" s="70" t="s">
        <v>2666</v>
      </c>
      <c r="D252" s="34" t="s">
        <v>3428</v>
      </c>
      <c r="E252" s="11" t="str">
        <f>HYPERLINK("https://youtu.be/OACPlZGG5rw?t=2935","channel 2")</f>
        <v>channel 2</v>
      </c>
    </row>
    <row r="253">
      <c r="B253" s="34" t="s">
        <v>2063</v>
      </c>
      <c r="C253" s="70" t="s">
        <v>22</v>
      </c>
      <c r="D253" s="34" t="s">
        <v>1698</v>
      </c>
      <c r="E253" s="11" t="str">
        <f>HYPERLINK("https://youtu.be/krb9nf2bFDQ?t=3931","channel 1")</f>
        <v>channel 1</v>
      </c>
    </row>
    <row r="254">
      <c r="B254" s="34" t="s">
        <v>3430</v>
      </c>
      <c r="C254" s="70" t="s">
        <v>55</v>
      </c>
      <c r="D254" s="34" t="s">
        <v>3429</v>
      </c>
      <c r="E254" s="11" t="str">
        <f>HYPERLINK("https://youtu.be/OACPlZGG5rw?t=3908","channel 2")</f>
        <v>channel 2</v>
      </c>
    </row>
    <row r="255">
      <c r="B255" s="34" t="s">
        <v>3429</v>
      </c>
      <c r="C255" s="70" t="s">
        <v>25</v>
      </c>
      <c r="D255" s="34" t="s">
        <v>3428</v>
      </c>
      <c r="E255" s="11" t="str">
        <f>HYPERLINK("https://youtu.be/krb9nf2bFDQ?t=4890","channel 1")</f>
        <v>channel 1</v>
      </c>
    </row>
    <row r="256">
      <c r="B256" s="34" t="s">
        <v>3430</v>
      </c>
      <c r="C256" s="70" t="s">
        <v>220</v>
      </c>
      <c r="D256" s="34" t="s">
        <v>1698</v>
      </c>
      <c r="E256" s="11" t="str">
        <f>HYPERLINK("https://youtu.be/OACPlZGG5rw?t=4853","channel 2")</f>
        <v>channel 2</v>
      </c>
    </row>
    <row r="257">
      <c r="B257" s="34" t="s">
        <v>3428</v>
      </c>
      <c r="C257" s="70" t="s">
        <v>295</v>
      </c>
      <c r="D257" s="34" t="s">
        <v>2063</v>
      </c>
      <c r="E257" s="11" t="str">
        <f>HYPERLINK("https://youtu.be/krb9nf2bFDQ?t=5846","channel 1")</f>
        <v>channel 1</v>
      </c>
    </row>
    <row r="258">
      <c r="B258" s="34" t="s">
        <v>3429</v>
      </c>
      <c r="C258" s="70" t="s">
        <v>216</v>
      </c>
      <c r="D258" s="34" t="s">
        <v>1698</v>
      </c>
      <c r="E258" s="11" t="str">
        <f>HYPERLINK("https://youtu.be/OACPlZGG5rw?t=5811","channel 2")</f>
        <v>channel 2</v>
      </c>
    </row>
    <row r="259">
      <c r="B259" s="34" t="s">
        <v>3430</v>
      </c>
      <c r="C259" s="70" t="s">
        <v>25</v>
      </c>
      <c r="D259" s="34" t="s">
        <v>2063</v>
      </c>
      <c r="E259" s="11" t="str">
        <f>HYPERLINK("https://youtu.be/krb9nf2bFDQ?t=6853","channel 1")</f>
        <v>channel 1</v>
      </c>
    </row>
    <row r="260">
      <c r="B260" s="34" t="s">
        <v>3428</v>
      </c>
      <c r="C260" s="70" t="s">
        <v>18</v>
      </c>
      <c r="D260" s="34" t="s">
        <v>1698</v>
      </c>
      <c r="E260" s="11" t="str">
        <f>HYPERLINK("https://youtu.be/OACPlZGG5rw?t=6782","channel 2")</f>
        <v>channel 2</v>
      </c>
    </row>
    <row r="261">
      <c r="B261" s="34" t="s">
        <v>3429</v>
      </c>
      <c r="C261" s="70" t="s">
        <v>196</v>
      </c>
      <c r="D261" s="34" t="s">
        <v>2063</v>
      </c>
      <c r="E261" s="11" t="str">
        <f>HYPERLINK("https://youtu.be/krb9nf2bFDQ?t=7775","channel 1")</f>
        <v>channel 1</v>
      </c>
    </row>
    <row r="262">
      <c r="B262" s="34" t="s">
        <v>3428</v>
      </c>
      <c r="C262" s="70" t="s">
        <v>303</v>
      </c>
      <c r="D262" s="34" t="s">
        <v>3430</v>
      </c>
      <c r="E262" s="11" t="str">
        <f>HYPERLINK("https://youtu.be/OACPlZGG5rw?t=7733","channel 2")</f>
        <v>channel 2</v>
      </c>
    </row>
    <row r="263">
      <c r="B263" s="34" t="s">
        <v>1698</v>
      </c>
      <c r="C263" s="70" t="s">
        <v>435</v>
      </c>
      <c r="D263" s="34" t="s">
        <v>2063</v>
      </c>
      <c r="E263" s="11" t="str">
        <f>HYPERLINK("https://youtu.be/krb9nf2bFDQ?t=8705","channel 1")</f>
        <v>channel 1</v>
      </c>
    </row>
    <row r="264">
      <c r="B264" s="34" t="s">
        <v>3429</v>
      </c>
      <c r="C264" s="70" t="s">
        <v>239</v>
      </c>
      <c r="D264" s="34" t="s">
        <v>3430</v>
      </c>
      <c r="E264" s="11" t="str">
        <f>HYPERLINK("https://youtu.be/OACPlZGG5rw?t=8645","channel 2")</f>
        <v>channel 2</v>
      </c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/>
      <c r="B1" s="72" t="s">
        <v>2022</v>
      </c>
      <c r="C1" s="2"/>
      <c r="D1" s="3"/>
      <c r="E1" s="84"/>
    </row>
    <row r="2">
      <c r="A2" s="66"/>
      <c r="B2" s="85" t="s">
        <v>2</v>
      </c>
      <c r="C2" s="86" t="s">
        <v>3</v>
      </c>
      <c r="D2" s="86" t="s">
        <v>4</v>
      </c>
      <c r="E2" s="86" t="s">
        <v>5</v>
      </c>
    </row>
    <row r="3">
      <c r="A3" s="66"/>
      <c r="B3" s="87" t="s">
        <v>2234</v>
      </c>
      <c r="C3" s="112" t="s">
        <v>41</v>
      </c>
      <c r="D3" s="89" t="s">
        <v>3431</v>
      </c>
      <c r="E3" s="97" t="str">
        <f>HYPERLINK("https://youtu.be/vXN7Hs1t3d8","channel 1")</f>
        <v>channel 1</v>
      </c>
    </row>
    <row r="4">
      <c r="A4" s="66"/>
      <c r="B4" s="87" t="s">
        <v>2787</v>
      </c>
      <c r="C4" s="112" t="s">
        <v>193</v>
      </c>
      <c r="D4" s="89" t="s">
        <v>3199</v>
      </c>
      <c r="E4" s="80" t="str">
        <f>HYPERLINK("https://youtu.be/h9wNmNs0By8","channel 2")</f>
        <v>channel 2</v>
      </c>
    </row>
    <row r="5">
      <c r="A5" s="66"/>
      <c r="B5" s="87" t="s">
        <v>1780</v>
      </c>
      <c r="C5" s="112" t="s">
        <v>389</v>
      </c>
      <c r="D5" s="89" t="s">
        <v>2234</v>
      </c>
      <c r="E5" s="97" t="str">
        <f>HYPERLINK("https://youtu.be/vXN7Hs1t3d8?t=1048","channel 1")</f>
        <v>channel 1</v>
      </c>
    </row>
    <row r="6">
      <c r="A6" s="66"/>
      <c r="B6" s="87" t="s">
        <v>2787</v>
      </c>
      <c r="C6" s="112" t="s">
        <v>260</v>
      </c>
      <c r="D6" s="89" t="s">
        <v>3431</v>
      </c>
      <c r="E6" s="97" t="str">
        <f>HYPERLINK("https://youtu.be/h9wNmNs0By8?t=1038","channel 2")</f>
        <v>channel 2</v>
      </c>
    </row>
    <row r="7">
      <c r="A7" s="66"/>
      <c r="B7" s="87" t="s">
        <v>1780</v>
      </c>
      <c r="C7" s="112" t="s">
        <v>43</v>
      </c>
      <c r="D7" s="89" t="s">
        <v>3199</v>
      </c>
      <c r="E7" s="97" t="str">
        <f>HYPERLINK("https://youtu.be/vXN7Hs1t3d8?t=2023","channel 1")</f>
        <v>channel 1</v>
      </c>
    </row>
    <row r="8">
      <c r="A8" s="66"/>
      <c r="B8" s="87" t="s">
        <v>2787</v>
      </c>
      <c r="C8" s="112" t="s">
        <v>82</v>
      </c>
      <c r="D8" s="89" t="s">
        <v>2234</v>
      </c>
      <c r="E8" s="97" t="str">
        <f>HYPERLINK("https://youtu.be/h9wNmNs0By8?t=1972","channel 2")</f>
        <v>channel 2</v>
      </c>
    </row>
    <row r="9">
      <c r="A9" s="66"/>
      <c r="B9" s="87" t="s">
        <v>1780</v>
      </c>
      <c r="C9" s="112" t="s">
        <v>87</v>
      </c>
      <c r="D9" s="89" t="s">
        <v>3431</v>
      </c>
      <c r="E9" s="97" t="str">
        <f>HYPERLINK("https://youtu.be/vXN7Hs1t3d8?t=2912","channel 1")</f>
        <v>channel 1</v>
      </c>
    </row>
    <row r="10">
      <c r="A10" s="66"/>
      <c r="B10" s="87" t="s">
        <v>3199</v>
      </c>
      <c r="C10" s="112" t="s">
        <v>197</v>
      </c>
      <c r="D10" s="89" t="s">
        <v>2234</v>
      </c>
      <c r="E10" s="97" t="str">
        <f>HYPERLINK("https://youtu.be/h9wNmNs0By8?t=2906","channel 2")</f>
        <v>channel 2</v>
      </c>
    </row>
    <row r="11">
      <c r="A11" s="66"/>
      <c r="B11" s="87" t="s">
        <v>1780</v>
      </c>
      <c r="C11" s="112" t="s">
        <v>250</v>
      </c>
      <c r="D11" s="89" t="s">
        <v>2787</v>
      </c>
      <c r="E11" s="97" t="str">
        <f>HYPERLINK("https://youtu.be/vXN7Hs1t3d8?t=3826","channel 1")</f>
        <v>channel 1</v>
      </c>
    </row>
    <row r="12">
      <c r="A12" s="66"/>
      <c r="B12" s="87" t="s">
        <v>3199</v>
      </c>
      <c r="C12" s="112" t="s">
        <v>494</v>
      </c>
      <c r="D12" s="89" t="s">
        <v>3431</v>
      </c>
      <c r="E12" s="97" t="str">
        <f>HYPERLINK("https://youtu.be/h9wNmNs0By8?t=3790","channel 2")</f>
        <v>channel 2</v>
      </c>
    </row>
    <row r="13">
      <c r="A13" s="66"/>
      <c r="B13" s="87" t="s">
        <v>3431</v>
      </c>
      <c r="C13" s="112" t="s">
        <v>289</v>
      </c>
      <c r="D13" s="89" t="s">
        <v>2234</v>
      </c>
      <c r="E13" s="97" t="str">
        <f>HYPERLINK("https://youtu.be/vXN7Hs1t3d8?t=4739","channel 1")</f>
        <v>channel 1</v>
      </c>
    </row>
    <row r="14">
      <c r="A14" s="66"/>
      <c r="B14" s="87" t="s">
        <v>3199</v>
      </c>
      <c r="C14" s="112" t="s">
        <v>64</v>
      </c>
      <c r="D14" s="89" t="s">
        <v>2787</v>
      </c>
      <c r="E14" s="97" t="str">
        <f>HYPERLINK("https://youtu.be/h9wNmNs0By8?t=4714","channel 2")</f>
        <v>channel 2</v>
      </c>
    </row>
    <row r="15">
      <c r="A15" s="66"/>
      <c r="B15" s="87" t="s">
        <v>2234</v>
      </c>
      <c r="C15" s="112" t="s">
        <v>380</v>
      </c>
      <c r="D15" s="89" t="s">
        <v>1780</v>
      </c>
      <c r="E15" s="97" t="str">
        <f>HYPERLINK("https://youtu.be/vXN7Hs1t3d8?t=5641","channel 1")</f>
        <v>channel 1</v>
      </c>
    </row>
    <row r="16">
      <c r="A16" s="66"/>
      <c r="B16" s="87" t="s">
        <v>3431</v>
      </c>
      <c r="C16" s="112" t="s">
        <v>534</v>
      </c>
      <c r="D16" s="89" t="s">
        <v>2787</v>
      </c>
      <c r="E16" s="97" t="str">
        <f>HYPERLINK("https://youtu.be/h9wNmNs0By8?t=5646","channel 2")</f>
        <v>channel 2</v>
      </c>
    </row>
    <row r="17">
      <c r="A17" s="66"/>
      <c r="B17" s="87" t="s">
        <v>3199</v>
      </c>
      <c r="C17" s="112" t="s">
        <v>43</v>
      </c>
      <c r="D17" s="89" t="s">
        <v>1780</v>
      </c>
      <c r="E17" s="97" t="str">
        <f>HYPERLINK("https://youtu.be/vXN7Hs1t3d8?t=6732","channel 1")</f>
        <v>channel 1</v>
      </c>
    </row>
    <row r="18">
      <c r="A18" s="66"/>
      <c r="B18" s="87" t="s">
        <v>2234</v>
      </c>
      <c r="C18" s="112" t="s">
        <v>28</v>
      </c>
      <c r="D18" s="89" t="s">
        <v>2787</v>
      </c>
      <c r="E18" s="97" t="str">
        <f>HYPERLINK("https://youtu.be/h9wNmNs0By8?t=6729","channel 2")</f>
        <v>channel 2</v>
      </c>
    </row>
    <row r="19">
      <c r="A19" s="66"/>
      <c r="B19" s="87" t="s">
        <v>3431</v>
      </c>
      <c r="C19" s="112" t="s">
        <v>218</v>
      </c>
      <c r="D19" s="89" t="s">
        <v>1780</v>
      </c>
      <c r="E19" s="97" t="str">
        <f>HYPERLINK("https://youtu.be/vXN7Hs1t3d8?t=7667","channel 1")</f>
        <v>channel 1</v>
      </c>
    </row>
    <row r="20">
      <c r="A20" s="66"/>
      <c r="B20" s="87" t="s">
        <v>2234</v>
      </c>
      <c r="C20" s="112" t="s">
        <v>45</v>
      </c>
      <c r="D20" s="89" t="s">
        <v>3199</v>
      </c>
      <c r="E20" s="97" t="str">
        <f>HYPERLINK("https://youtu.be/h9wNmNs0By8?t=7571","channel 2")</f>
        <v>channel 2</v>
      </c>
    </row>
    <row r="21">
      <c r="A21" s="66"/>
      <c r="B21" s="87" t="s">
        <v>2787</v>
      </c>
      <c r="C21" s="112" t="s">
        <v>64</v>
      </c>
      <c r="D21" s="89" t="s">
        <v>1780</v>
      </c>
      <c r="E21" s="97" t="str">
        <f>HYPERLINK("https://youtu.be/vXN7Hs1t3d8?t=8603","channel 1")</f>
        <v>channel 1</v>
      </c>
    </row>
    <row r="22">
      <c r="A22" s="66"/>
      <c r="B22" s="87" t="s">
        <v>3431</v>
      </c>
      <c r="C22" s="112" t="s">
        <v>43</v>
      </c>
      <c r="D22" s="89" t="s">
        <v>3199</v>
      </c>
      <c r="E22" s="97" t="str">
        <f>HYPERLINK("https://youtu.be/h9wNmNs0By8?t=8430","channel 2")</f>
        <v>channel 2</v>
      </c>
    </row>
    <row r="23">
      <c r="A23" s="66"/>
      <c r="B23" s="72" t="s">
        <v>2475</v>
      </c>
      <c r="C23" s="2"/>
      <c r="D23" s="3"/>
      <c r="E23" s="29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3432</v>
      </c>
      <c r="C25" s="112" t="s">
        <v>270</v>
      </c>
      <c r="D25" s="34" t="s">
        <v>3433</v>
      </c>
      <c r="E25" s="11" t="str">
        <f>HYPERLINK("https://youtu.be/zq4kkac_MBI","channel 1")</f>
        <v>channel 1</v>
      </c>
    </row>
    <row r="26">
      <c r="A26" s="66"/>
      <c r="B26" s="34" t="s">
        <v>3434</v>
      </c>
      <c r="C26" s="112" t="s">
        <v>22</v>
      </c>
      <c r="D26" s="34" t="s">
        <v>3435</v>
      </c>
      <c r="E26" s="11" t="str">
        <f>HYPERLINK("https://youtu.be/skYaC8iF14g","channel 2")</f>
        <v>channel 2</v>
      </c>
    </row>
    <row r="27">
      <c r="A27" s="66"/>
      <c r="B27" s="34" t="s">
        <v>3436</v>
      </c>
      <c r="C27" s="112" t="s">
        <v>3437</v>
      </c>
      <c r="D27" s="34" t="s">
        <v>3432</v>
      </c>
      <c r="E27" s="11" t="str">
        <f>HYPERLINK("https://youtu.be/zq4kkac_MBI?t=1097","channel 1")</f>
        <v>channel 1</v>
      </c>
    </row>
    <row r="28">
      <c r="A28" s="66"/>
      <c r="B28" s="34" t="s">
        <v>3434</v>
      </c>
      <c r="C28" s="112" t="s">
        <v>11</v>
      </c>
      <c r="D28" s="34" t="s">
        <v>3433</v>
      </c>
      <c r="E28" s="11" t="str">
        <f>HYPERLINK("https://youtu.be/skYaC8iF14g?t=1095","channel 2")</f>
        <v>channel 2</v>
      </c>
    </row>
    <row r="29">
      <c r="A29" s="66"/>
      <c r="B29" s="34" t="s">
        <v>3436</v>
      </c>
      <c r="C29" s="112" t="s">
        <v>20</v>
      </c>
      <c r="D29" s="34" t="s">
        <v>3435</v>
      </c>
      <c r="E29" s="11" t="str">
        <f>HYPERLINK("https://youtu.be/zq4kkac_MBI?t=1992","channel 1")</f>
        <v>channel 1</v>
      </c>
    </row>
    <row r="30">
      <c r="A30" s="66"/>
      <c r="B30" s="34" t="s">
        <v>3434</v>
      </c>
      <c r="C30" s="112" t="s">
        <v>412</v>
      </c>
      <c r="D30" s="34" t="s">
        <v>3432</v>
      </c>
      <c r="E30" s="11" t="str">
        <f>HYPERLINK("https://youtu.be/skYaC8iF14g?t=2027","channel 2")</f>
        <v>channel 2</v>
      </c>
    </row>
    <row r="31">
      <c r="A31" s="66"/>
      <c r="B31" s="34" t="s">
        <v>3436</v>
      </c>
      <c r="C31" s="112" t="s">
        <v>488</v>
      </c>
      <c r="D31" s="34" t="s">
        <v>3433</v>
      </c>
      <c r="E31" s="11" t="str">
        <f>HYPERLINK("https://youtu.be/zq4kkac_MBI?t=2884","channel 1")</f>
        <v>channel 1</v>
      </c>
    </row>
    <row r="32">
      <c r="A32" s="66"/>
      <c r="B32" s="34" t="s">
        <v>3435</v>
      </c>
      <c r="C32" s="112" t="s">
        <v>207</v>
      </c>
      <c r="D32" s="34" t="s">
        <v>3432</v>
      </c>
      <c r="E32" s="11" t="str">
        <f>HYPERLINK("https://youtu.be/skYaC8iF14g?t=2929","channel 2")</f>
        <v>channel 2</v>
      </c>
    </row>
    <row r="33">
      <c r="A33" s="66"/>
      <c r="B33" s="34" t="s">
        <v>3436</v>
      </c>
      <c r="C33" s="112" t="s">
        <v>195</v>
      </c>
      <c r="D33" s="34" t="s">
        <v>3434</v>
      </c>
      <c r="E33" s="11" t="str">
        <f>HYPERLINK("https://youtu.be/zq4kkac_MBI?t=3871","channel 1")</f>
        <v>channel 1</v>
      </c>
    </row>
    <row r="34">
      <c r="A34" s="66"/>
      <c r="B34" s="34" t="s">
        <v>3435</v>
      </c>
      <c r="C34" s="112" t="s">
        <v>260</v>
      </c>
      <c r="D34" s="34" t="s">
        <v>3433</v>
      </c>
      <c r="E34" s="11" t="str">
        <f>HYPERLINK("https://youtu.be/skYaC8iF14g?t=3825","channel 2")</f>
        <v>channel 2</v>
      </c>
    </row>
    <row r="35">
      <c r="A35" s="66"/>
      <c r="B35" s="34" t="s">
        <v>3433</v>
      </c>
      <c r="C35" s="112" t="s">
        <v>66</v>
      </c>
      <c r="D35" s="34" t="s">
        <v>3432</v>
      </c>
      <c r="E35" s="11" t="str">
        <f>HYPERLINK("https://youtu.be/zq4kkac_MBI?t=4843","channel 1")</f>
        <v>channel 1</v>
      </c>
    </row>
    <row r="36">
      <c r="A36" s="66"/>
      <c r="B36" s="34" t="s">
        <v>3435</v>
      </c>
      <c r="C36" s="112" t="s">
        <v>43</v>
      </c>
      <c r="D36" s="34" t="s">
        <v>3434</v>
      </c>
      <c r="E36" s="11" t="str">
        <f>HYPERLINK("https://youtu.be/skYaC8iF14g?t=4744","channel 2")</f>
        <v>channel 2</v>
      </c>
    </row>
    <row r="37">
      <c r="A37" s="66"/>
      <c r="B37" s="34" t="s">
        <v>3432</v>
      </c>
      <c r="C37" s="112" t="s">
        <v>509</v>
      </c>
      <c r="D37" s="34" t="s">
        <v>3436</v>
      </c>
      <c r="E37" s="11" t="str">
        <f>HYPERLINK("https://youtu.be/zq4kkac_MBI?t=5731","channel 1")</f>
        <v>channel 1</v>
      </c>
    </row>
    <row r="38">
      <c r="A38" s="66"/>
      <c r="B38" s="34" t="s">
        <v>3433</v>
      </c>
      <c r="C38" s="112" t="s">
        <v>587</v>
      </c>
      <c r="D38" s="34" t="s">
        <v>3434</v>
      </c>
      <c r="E38" s="11" t="str">
        <f>HYPERLINK("https://youtu.be/skYaC8iF14g?t=5777","channel 2")</f>
        <v>channel 2</v>
      </c>
    </row>
    <row r="39">
      <c r="A39" s="66"/>
      <c r="B39" s="34" t="s">
        <v>3435</v>
      </c>
      <c r="C39" s="112" t="s">
        <v>11</v>
      </c>
      <c r="D39" s="34" t="s">
        <v>3436</v>
      </c>
      <c r="E39" s="11" t="str">
        <f>HYPERLINK("https://youtu.be/zq4kkac_MBI?t=6772","channel 1")</f>
        <v>channel 1</v>
      </c>
    </row>
    <row r="40">
      <c r="A40" s="66"/>
      <c r="B40" s="34" t="s">
        <v>3432</v>
      </c>
      <c r="C40" s="112" t="s">
        <v>278</v>
      </c>
      <c r="D40" s="34" t="s">
        <v>3434</v>
      </c>
      <c r="E40" s="11" t="str">
        <f>HYPERLINK("https://youtu.be/skYaC8iF14g?t=6826","channel 2")</f>
        <v>channel 2</v>
      </c>
    </row>
    <row r="41">
      <c r="A41" s="66"/>
      <c r="B41" s="34" t="s">
        <v>3433</v>
      </c>
      <c r="C41" s="112" t="s">
        <v>389</v>
      </c>
      <c r="D41" s="34" t="s">
        <v>3436</v>
      </c>
      <c r="E41" s="11" t="str">
        <f>HYPERLINK("https://youtu.be/zq4kkac_MBI?t=7718","channel 1")</f>
        <v>channel 1</v>
      </c>
    </row>
    <row r="42">
      <c r="A42" s="66"/>
      <c r="B42" s="34" t="s">
        <v>3432</v>
      </c>
      <c r="C42" s="112" t="s">
        <v>43</v>
      </c>
      <c r="D42" s="34" t="s">
        <v>3435</v>
      </c>
      <c r="E42" s="11" t="str">
        <f>HYPERLINK("https://youtu.be/skYaC8iF14g?t=7839","channel 2")</f>
        <v>channel 2</v>
      </c>
    </row>
    <row r="43">
      <c r="A43" s="66"/>
      <c r="B43" s="34" t="s">
        <v>3434</v>
      </c>
      <c r="C43" s="112" t="s">
        <v>240</v>
      </c>
      <c r="D43" s="34" t="s">
        <v>3436</v>
      </c>
      <c r="E43" s="11" t="str">
        <f>HYPERLINK("https://youtu.be/zq4kkac_MBI?t=8717","channel 1")</f>
        <v>channel 1</v>
      </c>
    </row>
    <row r="44">
      <c r="A44" s="67"/>
      <c r="B44" s="34" t="s">
        <v>3433</v>
      </c>
      <c r="C44" s="112" t="s">
        <v>48</v>
      </c>
      <c r="D44" s="34" t="s">
        <v>3435</v>
      </c>
      <c r="E44" s="11" t="str">
        <f>HYPERLINK("https://youtu.be/skYaC8iF14g?t=8732","channel 2")</f>
        <v>channel 2</v>
      </c>
    </row>
    <row r="45">
      <c r="B45" s="72" t="s">
        <v>2953</v>
      </c>
      <c r="C45" s="2"/>
      <c r="D45" s="3"/>
      <c r="E45" s="2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34" t="s">
        <v>3438</v>
      </c>
      <c r="C47" s="57" t="s">
        <v>449</v>
      </c>
      <c r="D47" s="8" t="s">
        <v>3439</v>
      </c>
      <c r="E47" s="102" t="s">
        <v>9</v>
      </c>
    </row>
    <row r="48">
      <c r="B48" s="34" t="s">
        <v>1246</v>
      </c>
      <c r="C48" s="33" t="s">
        <v>43</v>
      </c>
      <c r="D48" s="34" t="s">
        <v>3377</v>
      </c>
      <c r="E48" s="11" t="str">
        <f>HYPERLINK("https://youtu.be/JtjeC6Ht1nA","channel 2")</f>
        <v>channel 2</v>
      </c>
    </row>
    <row r="49">
      <c r="B49" s="34" t="s">
        <v>3440</v>
      </c>
      <c r="C49" s="57" t="s">
        <v>449</v>
      </c>
      <c r="D49" s="34" t="s">
        <v>3438</v>
      </c>
      <c r="E49" s="99" t="s">
        <v>9</v>
      </c>
    </row>
    <row r="50">
      <c r="B50" s="34" t="s">
        <v>1246</v>
      </c>
      <c r="C50" s="33" t="s">
        <v>201</v>
      </c>
      <c r="D50" s="8" t="s">
        <v>3439</v>
      </c>
      <c r="E50" s="11" t="str">
        <f>HYPERLINK("https://youtu.be/JtjeC6Ht1nA?t=1058","channel 2")</f>
        <v>channel 2</v>
      </c>
    </row>
    <row r="51">
      <c r="B51" s="110" t="s">
        <v>3440</v>
      </c>
      <c r="C51" s="70" t="s">
        <v>218</v>
      </c>
      <c r="D51" s="110" t="s">
        <v>3377</v>
      </c>
      <c r="E51" s="11" t="str">
        <f>HYPERLINK("https://youtu.be/Quuj2LyBdRE","channel 1")</f>
        <v>channel 1</v>
      </c>
    </row>
    <row r="52">
      <c r="B52" s="34" t="s">
        <v>1246</v>
      </c>
      <c r="C52" s="57" t="s">
        <v>449</v>
      </c>
      <c r="D52" s="34" t="s">
        <v>3438</v>
      </c>
      <c r="E52" s="99" t="s">
        <v>13</v>
      </c>
    </row>
    <row r="53">
      <c r="B53" s="110" t="s">
        <v>3440</v>
      </c>
      <c r="C53" s="70" t="s">
        <v>45</v>
      </c>
      <c r="D53" s="113" t="s">
        <v>3439</v>
      </c>
      <c r="E53" s="11" t="str">
        <f>HYPERLINK("https://youtu.be/Quuj2LyBdRE?t=1565","channel 1")</f>
        <v>channel 1</v>
      </c>
    </row>
    <row r="54">
      <c r="B54" s="34" t="s">
        <v>3377</v>
      </c>
      <c r="C54" s="57" t="s">
        <v>449</v>
      </c>
      <c r="D54" s="34" t="s">
        <v>3438</v>
      </c>
      <c r="E54" s="99" t="s">
        <v>13</v>
      </c>
    </row>
    <row r="55">
      <c r="B55" s="110" t="s">
        <v>3440</v>
      </c>
      <c r="C55" s="70" t="s">
        <v>72</v>
      </c>
      <c r="D55" s="110" t="s">
        <v>1246</v>
      </c>
      <c r="E55" s="11" t="str">
        <f>HYPERLINK("https://youtu.be/Quuj2LyBdRE?t=2605","channel 1")</f>
        <v>channel 1</v>
      </c>
    </row>
    <row r="56">
      <c r="B56" s="34" t="s">
        <v>3377</v>
      </c>
      <c r="C56" s="33" t="s">
        <v>11</v>
      </c>
      <c r="D56" s="8" t="s">
        <v>3439</v>
      </c>
      <c r="E56" s="11" t="str">
        <f>HYPERLINK("https://youtu.be/JtjeC6Ht1nA?t=3849","channel 2")</f>
        <v>channel 2</v>
      </c>
    </row>
    <row r="57">
      <c r="B57" s="113" t="s">
        <v>3439</v>
      </c>
      <c r="C57" s="114" t="s">
        <v>449</v>
      </c>
      <c r="D57" s="110" t="s">
        <v>3438</v>
      </c>
      <c r="E57" s="99" t="s">
        <v>9</v>
      </c>
    </row>
    <row r="58">
      <c r="B58" s="34" t="s">
        <v>3377</v>
      </c>
      <c r="C58" s="33" t="s">
        <v>319</v>
      </c>
      <c r="D58" s="34" t="s">
        <v>1246</v>
      </c>
      <c r="E58" s="11" t="str">
        <f>HYPERLINK("https://youtu.be/JtjeC6Ht1nA?t=4808","channel 2")</f>
        <v>channel 2</v>
      </c>
    </row>
    <row r="59">
      <c r="B59" s="110" t="s">
        <v>3438</v>
      </c>
      <c r="C59" s="114" t="s">
        <v>449</v>
      </c>
      <c r="D59" s="110" t="s">
        <v>3440</v>
      </c>
      <c r="E59" s="99" t="s">
        <v>9</v>
      </c>
    </row>
    <row r="60">
      <c r="B60" s="8" t="s">
        <v>3439</v>
      </c>
      <c r="C60" s="35" t="s">
        <v>194</v>
      </c>
      <c r="D60" s="34" t="s">
        <v>1246</v>
      </c>
      <c r="E60" s="11" t="str">
        <f>HYPERLINK("https://youtu.be/JtjeC6Ht1nA?t=5917","channel 2")</f>
        <v>channel 2</v>
      </c>
    </row>
    <row r="61">
      <c r="B61" s="110" t="s">
        <v>3377</v>
      </c>
      <c r="C61" s="92" t="s">
        <v>18</v>
      </c>
      <c r="D61" s="110" t="s">
        <v>3440</v>
      </c>
      <c r="E61" s="11" t="str">
        <f>HYPERLINK("https://youtu.be/Quuj2LyBdRE?t=5471","channel 1")</f>
        <v>channel 1</v>
      </c>
    </row>
    <row r="62">
      <c r="B62" s="34" t="s">
        <v>3438</v>
      </c>
      <c r="C62" s="57" t="s">
        <v>449</v>
      </c>
      <c r="D62" s="34" t="s">
        <v>1246</v>
      </c>
      <c r="E62" s="99" t="s">
        <v>13</v>
      </c>
    </row>
    <row r="63">
      <c r="B63" s="113" t="s">
        <v>3439</v>
      </c>
      <c r="C63" s="92" t="s">
        <v>81</v>
      </c>
      <c r="D63" s="110" t="s">
        <v>3440</v>
      </c>
      <c r="E63" s="11" t="str">
        <f>HYPERLINK("https://youtu.be/Quuj2LyBdRE?t=6414","channel 1")</f>
        <v>channel 1</v>
      </c>
    </row>
    <row r="64">
      <c r="B64" s="34" t="s">
        <v>3438</v>
      </c>
      <c r="C64" s="57" t="s">
        <v>449</v>
      </c>
      <c r="D64" s="34" t="s">
        <v>3377</v>
      </c>
      <c r="E64" s="99" t="s">
        <v>13</v>
      </c>
    </row>
    <row r="65">
      <c r="B65" s="110" t="s">
        <v>1246</v>
      </c>
      <c r="C65" s="92" t="s">
        <v>35</v>
      </c>
      <c r="D65" s="110" t="s">
        <v>3440</v>
      </c>
      <c r="E65" s="11" t="str">
        <f>HYPERLINK("https://youtu.be/Quuj2LyBdRE?t=7337","channel 1")</f>
        <v>channel 1</v>
      </c>
    </row>
    <row r="66">
      <c r="B66" s="8" t="s">
        <v>3439</v>
      </c>
      <c r="C66" s="35" t="s">
        <v>87</v>
      </c>
      <c r="D66" s="34" t="s">
        <v>3377</v>
      </c>
      <c r="E66" s="11" t="str">
        <f>HYPERLINK("https://youtu.be/JtjeC6Ht1nA?t=8628","channel 2")</f>
        <v>channel 2</v>
      </c>
    </row>
    <row r="67">
      <c r="B67" s="72" t="s">
        <v>3441</v>
      </c>
      <c r="C67" s="2"/>
      <c r="D67" s="3"/>
      <c r="E67" s="29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34" t="s">
        <v>3442</v>
      </c>
      <c r="C69" s="57" t="s">
        <v>449</v>
      </c>
      <c r="D69" s="8" t="s">
        <v>3443</v>
      </c>
      <c r="E69" s="99" t="s">
        <v>9</v>
      </c>
    </row>
    <row r="70">
      <c r="B70" s="34" t="s">
        <v>3444</v>
      </c>
      <c r="C70" s="33" t="s">
        <v>27</v>
      </c>
      <c r="D70" s="34" t="s">
        <v>3445</v>
      </c>
      <c r="E70" s="11" t="str">
        <f>HYPERLINK("https://youtu.be/8oRZgtm9Ls0?t=211","channel 2")</f>
        <v>channel 2</v>
      </c>
    </row>
    <row r="71">
      <c r="B71" s="34" t="s">
        <v>3446</v>
      </c>
      <c r="C71" s="57" t="s">
        <v>449</v>
      </c>
      <c r="D71" s="34" t="s">
        <v>3442</v>
      </c>
      <c r="E71" s="99" t="s">
        <v>9</v>
      </c>
    </row>
    <row r="72">
      <c r="B72" s="34" t="s">
        <v>3444</v>
      </c>
      <c r="C72" s="33" t="s">
        <v>21</v>
      </c>
      <c r="D72" s="8" t="s">
        <v>3443</v>
      </c>
      <c r="E72" s="11" t="str">
        <f>HYPERLINK("https://youtu.be/8oRZgtm9Ls0?t=1310","channel 2")</f>
        <v>channel 2</v>
      </c>
    </row>
    <row r="73">
      <c r="B73" s="110" t="s">
        <v>3446</v>
      </c>
      <c r="C73" s="70" t="s">
        <v>55</v>
      </c>
      <c r="D73" s="110" t="s">
        <v>3445</v>
      </c>
      <c r="E73" s="11" t="str">
        <f>HYPERLINK("https://youtu.be/X21l1klkxQw","channel 1")</f>
        <v>channel 1</v>
      </c>
    </row>
    <row r="74">
      <c r="B74" s="34" t="s">
        <v>3444</v>
      </c>
      <c r="C74" s="57" t="s">
        <v>449</v>
      </c>
      <c r="D74" s="34" t="s">
        <v>3442</v>
      </c>
      <c r="E74" s="99" t="s">
        <v>13</v>
      </c>
    </row>
    <row r="75">
      <c r="B75" s="110" t="s">
        <v>3446</v>
      </c>
      <c r="C75" s="70" t="s">
        <v>1168</v>
      </c>
      <c r="D75" s="113" t="s">
        <v>3443</v>
      </c>
      <c r="E75" s="11" t="str">
        <f>HYPERLINK("https://youtu.be/X21l1klkxQw?t=3305","channel 1")</f>
        <v>channel 1</v>
      </c>
    </row>
    <row r="76">
      <c r="B76" s="34" t="s">
        <v>3445</v>
      </c>
      <c r="C76" s="57" t="s">
        <v>449</v>
      </c>
      <c r="D76" s="34" t="s">
        <v>3442</v>
      </c>
      <c r="E76" s="99" t="s">
        <v>13</v>
      </c>
    </row>
    <row r="77">
      <c r="B77" s="110" t="s">
        <v>3446</v>
      </c>
      <c r="C77" s="70" t="s">
        <v>64</v>
      </c>
      <c r="D77" s="110" t="s">
        <v>3444</v>
      </c>
      <c r="E77" s="11" t="str">
        <f>HYPERLINK("https://youtu.be/X21l1klkxQw?t=4271","channel 1")</f>
        <v>channel 1</v>
      </c>
    </row>
    <row r="78">
      <c r="B78" s="34" t="s">
        <v>3445</v>
      </c>
      <c r="C78" s="33" t="s">
        <v>18</v>
      </c>
      <c r="D78" s="8" t="s">
        <v>3443</v>
      </c>
      <c r="E78" s="11" t="str">
        <f>HYPERLINK("https://youtu.be/8oRZgtm9Ls0?t=4038","channel 2")</f>
        <v>channel 2</v>
      </c>
    </row>
    <row r="79">
      <c r="B79" s="113" t="s">
        <v>3443</v>
      </c>
      <c r="C79" s="114" t="s">
        <v>449</v>
      </c>
      <c r="D79" s="110" t="s">
        <v>3442</v>
      </c>
      <c r="E79" s="99" t="s">
        <v>9</v>
      </c>
    </row>
    <row r="80">
      <c r="B80" s="34" t="s">
        <v>3445</v>
      </c>
      <c r="C80" s="33" t="s">
        <v>16</v>
      </c>
      <c r="D80" s="34" t="s">
        <v>3444</v>
      </c>
      <c r="E80" s="99" t="s">
        <v>13</v>
      </c>
    </row>
    <row r="81">
      <c r="B81" s="110" t="s">
        <v>3442</v>
      </c>
      <c r="C81" s="114" t="s">
        <v>449</v>
      </c>
      <c r="D81" s="110" t="s">
        <v>3446</v>
      </c>
      <c r="E81" s="99" t="s">
        <v>9</v>
      </c>
    </row>
    <row r="82">
      <c r="B82" s="8" t="s">
        <v>3443</v>
      </c>
      <c r="C82" s="35" t="s">
        <v>239</v>
      </c>
      <c r="D82" s="34" t="s">
        <v>3444</v>
      </c>
      <c r="E82" s="11" t="str">
        <f>HYPERLINK("https://youtu.be/8oRZgtm9Ls0?t=4928","channel 2")</f>
        <v>channel 2</v>
      </c>
    </row>
    <row r="83">
      <c r="B83" s="110" t="s">
        <v>3445</v>
      </c>
      <c r="C83" s="92" t="s">
        <v>81</v>
      </c>
      <c r="D83" s="110" t="s">
        <v>3446</v>
      </c>
      <c r="E83" s="11" t="str">
        <f>HYPERLINK("https://youtu.be/X21l1klkxQw?t=7164","channel 1")</f>
        <v>channel 1</v>
      </c>
    </row>
    <row r="84">
      <c r="B84" s="34" t="s">
        <v>3442</v>
      </c>
      <c r="C84" s="57" t="s">
        <v>449</v>
      </c>
      <c r="D84" s="34" t="s">
        <v>3444</v>
      </c>
      <c r="E84" s="99" t="s">
        <v>13</v>
      </c>
    </row>
    <row r="85">
      <c r="B85" s="113" t="s">
        <v>3443</v>
      </c>
      <c r="C85" s="92" t="s">
        <v>215</v>
      </c>
      <c r="D85" s="110" t="s">
        <v>3446</v>
      </c>
      <c r="E85" s="11" t="str">
        <f>HYPERLINK("https://youtu.be/X21l1klkxQw?t=8055","channel 1")</f>
        <v>channel 1</v>
      </c>
    </row>
    <row r="86">
      <c r="B86" s="34" t="s">
        <v>3442</v>
      </c>
      <c r="C86" s="57" t="s">
        <v>449</v>
      </c>
      <c r="D86" s="34" t="s">
        <v>3445</v>
      </c>
      <c r="E86" s="99" t="s">
        <v>13</v>
      </c>
    </row>
    <row r="87">
      <c r="B87" s="110" t="s">
        <v>3444</v>
      </c>
      <c r="C87" s="92" t="s">
        <v>71</v>
      </c>
      <c r="D87" s="110" t="s">
        <v>3446</v>
      </c>
      <c r="E87" s="11" t="str">
        <f>HYPERLINK("https://youtu.be/X21l1klkxQw?t=9056","channel 1")</f>
        <v>channel 1</v>
      </c>
    </row>
    <row r="88">
      <c r="B88" s="8" t="s">
        <v>3443</v>
      </c>
      <c r="C88" s="92" t="s">
        <v>260</v>
      </c>
      <c r="D88" s="34" t="s">
        <v>3445</v>
      </c>
      <c r="E88" s="11" t="str">
        <f>HYPERLINK("https://youtu.be/8oRZgtm9Ls0?t=8705","channel 2")</f>
        <v>channel 2</v>
      </c>
    </row>
    <row r="89">
      <c r="B89" s="72" t="s">
        <v>2547</v>
      </c>
      <c r="C89" s="2"/>
      <c r="D89" s="3"/>
      <c r="E89" s="4"/>
    </row>
    <row r="90">
      <c r="B90" s="16" t="s">
        <v>2</v>
      </c>
      <c r="C90" s="16" t="s">
        <v>3</v>
      </c>
      <c r="D90" s="16" t="s">
        <v>4</v>
      </c>
      <c r="E90" s="6" t="s">
        <v>5</v>
      </c>
    </row>
    <row r="91">
      <c r="B91" s="32" t="s">
        <v>2512</v>
      </c>
      <c r="C91" s="70" t="s">
        <v>58</v>
      </c>
      <c r="D91" s="32" t="s">
        <v>1499</v>
      </c>
      <c r="E91" s="11" t="str">
        <f>HYPERLINK("https://youtu.be/-xz-WfirwTc","channel 3")</f>
        <v>channel 3</v>
      </c>
    </row>
    <row r="92">
      <c r="B92" s="32" t="s">
        <v>1024</v>
      </c>
      <c r="C92" s="70" t="s">
        <v>203</v>
      </c>
      <c r="D92" s="32" t="s">
        <v>1908</v>
      </c>
      <c r="E92" s="11" t="str">
        <f>HYPERLINK("https://youtu.be/E2aEBGfDNig?t=17","channel 4")</f>
        <v>channel 4</v>
      </c>
    </row>
    <row r="93">
      <c r="B93" s="32" t="s">
        <v>3447</v>
      </c>
      <c r="C93" s="70" t="s">
        <v>520</v>
      </c>
      <c r="D93" s="32" t="s">
        <v>2512</v>
      </c>
      <c r="E93" s="11" t="str">
        <f>HYPERLINK("https://youtu.be/-xz-WfirwTc?t=1078","channel 3")</f>
        <v>channel 3</v>
      </c>
    </row>
    <row r="94">
      <c r="B94" s="32" t="s">
        <v>1024</v>
      </c>
      <c r="C94" s="70" t="s">
        <v>69</v>
      </c>
      <c r="D94" s="32" t="s">
        <v>1499</v>
      </c>
      <c r="E94" s="11" t="str">
        <f>HYPERLINK("https://youtu.be/E2aEBGfDNig?t=947","channel 4")</f>
        <v>channel 4</v>
      </c>
    </row>
    <row r="95">
      <c r="B95" s="32" t="s">
        <v>3447</v>
      </c>
      <c r="C95" s="70" t="s">
        <v>194</v>
      </c>
      <c r="D95" s="32" t="s">
        <v>1908</v>
      </c>
      <c r="E95" s="11" t="str">
        <f>HYPERLINK("https://youtu.be/-xz-WfirwTc?t=2013","channel 3")</f>
        <v>channel 3</v>
      </c>
    </row>
    <row r="96">
      <c r="B96" s="91" t="s">
        <v>1024</v>
      </c>
      <c r="C96" s="70" t="s">
        <v>71</v>
      </c>
      <c r="D96" s="91" t="s">
        <v>2512</v>
      </c>
      <c r="E96" s="11" t="str">
        <f>HYPERLINK("https://youtu.be/E2aEBGfDNig?t=1861","channel 4")</f>
        <v>channel 4</v>
      </c>
    </row>
    <row r="97">
      <c r="B97" s="32" t="s">
        <v>3447</v>
      </c>
      <c r="C97" s="70" t="s">
        <v>658</v>
      </c>
      <c r="D97" s="32" t="s">
        <v>1499</v>
      </c>
      <c r="E97" s="11" t="str">
        <f>HYPERLINK("https://youtu.be/-xz-WfirwTc?t=3000","channel 3")</f>
        <v>channel 3</v>
      </c>
    </row>
    <row r="98">
      <c r="B98" s="91" t="s">
        <v>1908</v>
      </c>
      <c r="C98" s="70" t="s">
        <v>11</v>
      </c>
      <c r="D98" s="91" t="s">
        <v>2512</v>
      </c>
      <c r="E98" s="11" t="str">
        <f>HYPERLINK("https://youtu.be/E2aEBGfDNig?t=2791","channel 4")</f>
        <v>channel 4</v>
      </c>
    </row>
    <row r="99">
      <c r="B99" s="32" t="s">
        <v>3447</v>
      </c>
      <c r="C99" s="70" t="s">
        <v>3448</v>
      </c>
      <c r="D99" s="32" t="s">
        <v>1024</v>
      </c>
      <c r="E99" s="11" t="str">
        <f>HYPERLINK("https://youtu.be/-xz-WfirwTc?t=3856","channel 3")</f>
        <v>channel 3</v>
      </c>
    </row>
    <row r="100">
      <c r="B100" s="32" t="s">
        <v>1908</v>
      </c>
      <c r="C100" s="70" t="s">
        <v>330</v>
      </c>
      <c r="D100" s="32" t="s">
        <v>1499</v>
      </c>
      <c r="E100" s="11" t="str">
        <f>HYPERLINK("https://youtu.be/E2aEBGfDNig?t=3700","channel 4")</f>
        <v>channel 4</v>
      </c>
    </row>
    <row r="101">
      <c r="B101" s="32" t="s">
        <v>1499</v>
      </c>
      <c r="C101" s="70" t="s">
        <v>231</v>
      </c>
      <c r="D101" s="32" t="s">
        <v>2512</v>
      </c>
      <c r="E101" s="11" t="str">
        <f>HYPERLINK("https://youtu.be/-xz-WfirwTc?t=4788","channel 3")</f>
        <v>channel 3</v>
      </c>
    </row>
    <row r="102">
      <c r="B102" s="91" t="s">
        <v>1908</v>
      </c>
      <c r="C102" s="70" t="s">
        <v>83</v>
      </c>
      <c r="D102" s="91" t="s">
        <v>1024</v>
      </c>
      <c r="E102" s="11" t="str">
        <f>HYPERLINK("https://youtu.be/E2aEBGfDNig?t=4640","channel 4")</f>
        <v>channel 4</v>
      </c>
    </row>
    <row r="103">
      <c r="B103" s="32" t="s">
        <v>2512</v>
      </c>
      <c r="C103" s="70" t="s">
        <v>251</v>
      </c>
      <c r="D103" s="32" t="s">
        <v>3447</v>
      </c>
      <c r="E103" s="11" t="str">
        <f>HYPERLINK("https://youtu.be/-xz-WfirwTc?t=5709","channel 3")</f>
        <v>channel 3</v>
      </c>
    </row>
    <row r="104">
      <c r="B104" s="32" t="s">
        <v>1499</v>
      </c>
      <c r="C104" s="70" t="s">
        <v>1618</v>
      </c>
      <c r="D104" s="32" t="s">
        <v>1024</v>
      </c>
      <c r="E104" s="11" t="str">
        <f>HYPERLINK("https://youtu.be/E2aEBGfDNig?t=5598","channel 4")</f>
        <v>channel 4</v>
      </c>
    </row>
    <row r="105">
      <c r="B105" s="32" t="s">
        <v>1908</v>
      </c>
      <c r="C105" s="70" t="s">
        <v>3449</v>
      </c>
      <c r="D105" s="32" t="s">
        <v>3447</v>
      </c>
      <c r="E105" s="11" t="str">
        <f>HYPERLINK("https://youtu.be/-xz-WfirwTc?t=6626","channel 3")</f>
        <v>channel 3</v>
      </c>
    </row>
    <row r="106">
      <c r="B106" s="32" t="s">
        <v>2512</v>
      </c>
      <c r="C106" s="70" t="s">
        <v>2500</v>
      </c>
      <c r="D106" s="32" t="s">
        <v>1024</v>
      </c>
      <c r="E106" s="11" t="str">
        <f>HYPERLINK("https://youtu.be/E2aEBGfDNig?t=6571","channel 4")</f>
        <v>channel 4</v>
      </c>
    </row>
    <row r="107">
      <c r="B107" s="32" t="s">
        <v>1499</v>
      </c>
      <c r="C107" s="70" t="s">
        <v>22</v>
      </c>
      <c r="D107" s="32" t="s">
        <v>3447</v>
      </c>
      <c r="E107" s="11" t="str">
        <f>HYPERLINK("https://youtu.be/-xz-WfirwTc?t=7502","channel 3")</f>
        <v>channel 3</v>
      </c>
    </row>
    <row r="108">
      <c r="B108" s="32" t="s">
        <v>2512</v>
      </c>
      <c r="C108" s="70" t="s">
        <v>82</v>
      </c>
      <c r="D108" s="32" t="s">
        <v>1908</v>
      </c>
      <c r="E108" s="11" t="str">
        <f>HYPERLINK("https://youtu.be/E2aEBGfDNig?t=7448","channel 4")</f>
        <v>channel 4</v>
      </c>
    </row>
    <row r="109">
      <c r="B109" s="32" t="s">
        <v>1024</v>
      </c>
      <c r="C109" s="70" t="s">
        <v>260</v>
      </c>
      <c r="D109" s="32" t="s">
        <v>3447</v>
      </c>
      <c r="E109" s="11" t="str">
        <f>HYPERLINK("https://youtu.be/-xz-WfirwTc?t=8393","channel 3")</f>
        <v>channel 3</v>
      </c>
    </row>
    <row r="110">
      <c r="B110" s="32" t="s">
        <v>1499</v>
      </c>
      <c r="C110" s="70" t="s">
        <v>239</v>
      </c>
      <c r="D110" s="32" t="s">
        <v>1908</v>
      </c>
      <c r="E110" s="11" t="str">
        <f>HYPERLINK("https://youtu.be/E2aEBGfDNig?t=8284","channel 4")</f>
        <v>channel 4</v>
      </c>
    </row>
    <row r="111">
      <c r="B111" s="72" t="s">
        <v>2551</v>
      </c>
      <c r="C111" s="2"/>
      <c r="D111" s="3"/>
      <c r="E111" s="4"/>
    </row>
    <row r="112">
      <c r="B112" s="16" t="s">
        <v>2</v>
      </c>
      <c r="C112" s="16" t="s">
        <v>3</v>
      </c>
      <c r="D112" s="16" t="s">
        <v>4</v>
      </c>
      <c r="E112" s="6" t="s">
        <v>5</v>
      </c>
    </row>
    <row r="113">
      <c r="B113" s="32" t="s">
        <v>632</v>
      </c>
      <c r="C113" s="70" t="s">
        <v>297</v>
      </c>
      <c r="D113" s="32" t="s">
        <v>3251</v>
      </c>
      <c r="E113" s="11" t="str">
        <f>HYPERLINK("https://youtu.be/5Gedcvw0IRs","channel 3")</f>
        <v>channel 3</v>
      </c>
    </row>
    <row r="114">
      <c r="B114" s="32" t="s">
        <v>3117</v>
      </c>
      <c r="C114" s="70" t="s">
        <v>482</v>
      </c>
      <c r="D114" s="32" t="s">
        <v>634</v>
      </c>
      <c r="E114" s="11" t="str">
        <f>HYPERLINK("https://youtu.be/sWeDlIFx5z0","channel 4")</f>
        <v>channel 4</v>
      </c>
    </row>
    <row r="115">
      <c r="B115" s="32" t="s">
        <v>3450</v>
      </c>
      <c r="C115" s="70" t="s">
        <v>215</v>
      </c>
      <c r="D115" s="32" t="s">
        <v>632</v>
      </c>
      <c r="E115" s="11" t="str">
        <f>HYPERLINK("https://youtu.be/5Gedcvw0IRs?t=921","channel 3")</f>
        <v>channel 3</v>
      </c>
    </row>
    <row r="116">
      <c r="B116" s="32" t="s">
        <v>3117</v>
      </c>
      <c r="C116" s="70" t="s">
        <v>62</v>
      </c>
      <c r="D116" s="32" t="s">
        <v>3251</v>
      </c>
      <c r="E116" s="11" t="str">
        <f>HYPERLINK("https://youtu.be/sWeDlIFx5z0?t=946","channel 4")</f>
        <v>channel 4</v>
      </c>
    </row>
    <row r="117">
      <c r="B117" s="32" t="s">
        <v>3450</v>
      </c>
      <c r="C117" s="70" t="s">
        <v>26</v>
      </c>
      <c r="D117" s="32" t="s">
        <v>634</v>
      </c>
      <c r="E117" s="11" t="str">
        <f>HYPERLINK("https://youtu.be/5Gedcvw0IRs?t=1833","channel 3")</f>
        <v>channel 3</v>
      </c>
    </row>
    <row r="118">
      <c r="B118" s="91" t="s">
        <v>3117</v>
      </c>
      <c r="C118" s="70" t="s">
        <v>203</v>
      </c>
      <c r="D118" s="91" t="s">
        <v>632</v>
      </c>
      <c r="E118" s="11" t="str">
        <f>HYPERLINK("https://youtu.be/sWeDlIFx5z0?t=1841","channel 4")</f>
        <v>channel 4</v>
      </c>
    </row>
    <row r="119">
      <c r="B119" s="32" t="s">
        <v>3450</v>
      </c>
      <c r="C119" s="70" t="s">
        <v>80</v>
      </c>
      <c r="D119" s="32" t="s">
        <v>3251</v>
      </c>
      <c r="E119" s="11" t="str">
        <f>HYPERLINK("https://youtu.be/5Gedcvw0IRs?t=2730","channel 3")</f>
        <v>channel 3</v>
      </c>
    </row>
    <row r="120">
      <c r="B120" s="91" t="s">
        <v>634</v>
      </c>
      <c r="C120" s="70" t="s">
        <v>3451</v>
      </c>
      <c r="D120" s="91" t="s">
        <v>632</v>
      </c>
      <c r="E120" s="11" t="str">
        <f>HYPERLINK("https://youtu.be/sWeDlIFx5z0?t=2763","channel 4")</f>
        <v>channel 4</v>
      </c>
    </row>
    <row r="121">
      <c r="B121" s="32" t="s">
        <v>3450</v>
      </c>
      <c r="C121" s="70" t="s">
        <v>68</v>
      </c>
      <c r="D121" s="32" t="s">
        <v>3117</v>
      </c>
      <c r="E121" s="11" t="str">
        <f>HYPERLINK("https://youtu.be/5Gedcvw0IRs?t=3677","channel 3")</f>
        <v>channel 3</v>
      </c>
    </row>
    <row r="122">
      <c r="B122" s="32" t="s">
        <v>634</v>
      </c>
      <c r="C122" s="70" t="s">
        <v>442</v>
      </c>
      <c r="D122" s="32" t="s">
        <v>3251</v>
      </c>
      <c r="E122" s="11" t="str">
        <f>HYPERLINK("https://youtu.be/sWeDlIFx5z0?t=3691","channel 4")</f>
        <v>channel 4</v>
      </c>
    </row>
    <row r="123">
      <c r="B123" s="32" t="s">
        <v>3251</v>
      </c>
      <c r="C123" s="70" t="s">
        <v>319</v>
      </c>
      <c r="D123" s="32" t="s">
        <v>632</v>
      </c>
      <c r="E123" s="11" t="str">
        <f>HYPERLINK("https://youtu.be/5Gedcvw0IRs?t=4574","channel 3")</f>
        <v>channel 3</v>
      </c>
    </row>
    <row r="124">
      <c r="B124" s="91" t="s">
        <v>634</v>
      </c>
      <c r="C124" s="70" t="s">
        <v>380</v>
      </c>
      <c r="D124" s="91" t="s">
        <v>3117</v>
      </c>
      <c r="E124" s="11" t="str">
        <f>HYPERLINK("https://youtu.be/sWeDlIFx5z0?t=4593","channel 4")</f>
        <v>channel 4</v>
      </c>
    </row>
    <row r="125">
      <c r="B125" s="32" t="s">
        <v>632</v>
      </c>
      <c r="C125" s="70" t="s">
        <v>19</v>
      </c>
      <c r="D125" s="32" t="s">
        <v>3450</v>
      </c>
      <c r="E125" s="11" t="str">
        <f>HYPERLINK("https://youtu.be/5Gedcvw0IRs?t=5487","channel 3")</f>
        <v>channel 3</v>
      </c>
    </row>
    <row r="126">
      <c r="B126" s="32" t="s">
        <v>3251</v>
      </c>
      <c r="C126" s="70" t="s">
        <v>41</v>
      </c>
      <c r="D126" s="32" t="s">
        <v>3117</v>
      </c>
      <c r="E126" s="11" t="str">
        <f>HYPERLINK("https://youtu.be/sWeDlIFx5z0?t=5502","channel 4")</f>
        <v>channel 4</v>
      </c>
    </row>
    <row r="127">
      <c r="B127" s="32" t="s">
        <v>634</v>
      </c>
      <c r="C127" s="70" t="s">
        <v>328</v>
      </c>
      <c r="D127" s="32" t="s">
        <v>3450</v>
      </c>
      <c r="E127" s="11" t="str">
        <f>HYPERLINK("https://youtu.be/5Gedcvw0IRs?t=6391","channel 3")</f>
        <v>channel 3</v>
      </c>
    </row>
    <row r="128">
      <c r="B128" s="32" t="s">
        <v>632</v>
      </c>
      <c r="C128" s="70" t="s">
        <v>286</v>
      </c>
      <c r="D128" s="32" t="s">
        <v>3117</v>
      </c>
      <c r="E128" s="11" t="str">
        <f>HYPERLINK("https://youtu.be/sWeDlIFx5z0?t=6427","channel 4")</f>
        <v>channel 4</v>
      </c>
    </row>
    <row r="129">
      <c r="B129" s="32" t="s">
        <v>3251</v>
      </c>
      <c r="C129" s="70" t="s">
        <v>17</v>
      </c>
      <c r="D129" s="32" t="s">
        <v>3450</v>
      </c>
      <c r="E129" s="11" t="str">
        <f>HYPERLINK("https://youtu.be/5Gedcvw0IRs?t=7288","channel 3")</f>
        <v>channel 3</v>
      </c>
    </row>
    <row r="130">
      <c r="B130" s="32" t="s">
        <v>632</v>
      </c>
      <c r="C130" s="70" t="s">
        <v>78</v>
      </c>
      <c r="D130" s="32" t="s">
        <v>634</v>
      </c>
      <c r="E130" s="11" t="str">
        <f>HYPERLINK("https://youtu.be/sWeDlIFx5z0?t=7329","channel 4")</f>
        <v>channel 4</v>
      </c>
    </row>
    <row r="131">
      <c r="B131" s="32" t="s">
        <v>3117</v>
      </c>
      <c r="C131" s="70" t="s">
        <v>267</v>
      </c>
      <c r="D131" s="32" t="s">
        <v>3450</v>
      </c>
      <c r="E131" s="11" t="str">
        <f>HYPERLINK("https://youtu.be/5Gedcvw0IRs?t=8212","channel 3")</f>
        <v>channel 3</v>
      </c>
    </row>
    <row r="132">
      <c r="B132" s="32" t="s">
        <v>3251</v>
      </c>
      <c r="C132" s="70" t="s">
        <v>3452</v>
      </c>
      <c r="D132" s="32" t="s">
        <v>634</v>
      </c>
      <c r="E132" s="11" t="str">
        <f>HYPERLINK("https://youtu.be/sWeDlIFx5z0?t=8215","channel 4")</f>
        <v>channel 4</v>
      </c>
    </row>
    <row r="133">
      <c r="B133" s="72" t="s">
        <v>2316</v>
      </c>
      <c r="C133" s="2"/>
      <c r="D133" s="3"/>
      <c r="E133" s="2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34" t="s">
        <v>3417</v>
      </c>
      <c r="C135" s="70" t="s">
        <v>68</v>
      </c>
      <c r="D135" s="8" t="s">
        <v>3453</v>
      </c>
      <c r="E135" s="11" t="str">
        <f>HYPERLINK("https://youtu.be/wo2MfgkDJQw","channel 1")</f>
        <v>channel 1</v>
      </c>
    </row>
    <row r="136">
      <c r="B136" s="34" t="s">
        <v>2853</v>
      </c>
      <c r="C136" s="70" t="s">
        <v>43</v>
      </c>
      <c r="D136" s="8" t="s">
        <v>3454</v>
      </c>
      <c r="E136" s="11" t="str">
        <f>HYPERLINK("https://youtu.be/dr5CwA4Pgig?t=127","channel 2")</f>
        <v>channel 2</v>
      </c>
    </row>
    <row r="137">
      <c r="B137" s="34" t="s">
        <v>2884</v>
      </c>
      <c r="C137" s="70" t="s">
        <v>64</v>
      </c>
      <c r="D137" s="34" t="s">
        <v>3417</v>
      </c>
      <c r="E137" s="11" t="str">
        <f>HYPERLINK("https://youtu.be/wo2MfgkDJQw?t=896","channel 1")</f>
        <v>channel 1</v>
      </c>
    </row>
    <row r="138">
      <c r="B138" s="34" t="s">
        <v>2853</v>
      </c>
      <c r="C138" s="70" t="s">
        <v>43</v>
      </c>
      <c r="D138" s="8" t="s">
        <v>3453</v>
      </c>
      <c r="E138" s="11" t="str">
        <f>HYPERLINK("https://youtu.be/dr5CwA4Pgig?t=1030","channel 2")</f>
        <v>channel 2</v>
      </c>
    </row>
    <row r="139">
      <c r="B139" s="34" t="s">
        <v>2884</v>
      </c>
      <c r="C139" s="70" t="s">
        <v>196</v>
      </c>
      <c r="D139" s="8" t="s">
        <v>3454</v>
      </c>
      <c r="E139" s="11" t="str">
        <f>HYPERLINK("https://youtu.be/wo2MfgkDJQw?t=1828","channel 1")</f>
        <v>channel 1</v>
      </c>
    </row>
    <row r="140">
      <c r="B140" s="34" t="s">
        <v>2853</v>
      </c>
      <c r="C140" s="70" t="s">
        <v>88</v>
      </c>
      <c r="D140" s="34" t="s">
        <v>3417</v>
      </c>
      <c r="E140" s="11" t="str">
        <f>HYPERLINK("https://youtu.be/dr5CwA4Pgig?t=2046","channel 2")</f>
        <v>channel 2</v>
      </c>
    </row>
    <row r="141">
      <c r="B141" s="34" t="s">
        <v>2884</v>
      </c>
      <c r="C141" s="70" t="s">
        <v>726</v>
      </c>
      <c r="D141" s="8" t="s">
        <v>3453</v>
      </c>
      <c r="E141" s="11" t="str">
        <f>HYPERLINK("https://youtu.be/wo2MfgkDJQw?t=2765","channel 1")</f>
        <v>channel 1</v>
      </c>
    </row>
    <row r="142">
      <c r="B142" s="8" t="s">
        <v>3454</v>
      </c>
      <c r="C142" s="70" t="s">
        <v>319</v>
      </c>
      <c r="D142" s="34" t="s">
        <v>3417</v>
      </c>
      <c r="E142" s="11" t="str">
        <f>HYPERLINK("https://youtu.be/dr5CwA4Pgig?t=3055","channel 2")</f>
        <v>channel 2</v>
      </c>
    </row>
    <row r="143">
      <c r="B143" s="34" t="s">
        <v>2884</v>
      </c>
      <c r="C143" s="70" t="s">
        <v>289</v>
      </c>
      <c r="D143" s="34" t="s">
        <v>2853</v>
      </c>
      <c r="E143" s="11" t="str">
        <f>HYPERLINK("https://youtu.be/wo2MfgkDJQw?t=3796","channel 1")</f>
        <v>channel 1</v>
      </c>
    </row>
    <row r="144">
      <c r="B144" s="8" t="s">
        <v>3454</v>
      </c>
      <c r="C144" s="70" t="s">
        <v>67</v>
      </c>
      <c r="D144" s="8" t="s">
        <v>3453</v>
      </c>
      <c r="E144" s="11" t="str">
        <f>HYPERLINK("https://youtu.be/dr5CwA4Pgig?t=3995","channel 2")</f>
        <v>channel 2</v>
      </c>
    </row>
    <row r="145">
      <c r="B145" s="8" t="s">
        <v>3453</v>
      </c>
      <c r="C145" s="70" t="s">
        <v>217</v>
      </c>
      <c r="D145" s="34" t="s">
        <v>3417</v>
      </c>
      <c r="E145" s="11" t="str">
        <f>HYPERLINK("https://youtu.be/wo2MfgkDJQw?t=4857","channel 1")</f>
        <v>channel 1</v>
      </c>
    </row>
    <row r="146">
      <c r="B146" s="8" t="s">
        <v>3454</v>
      </c>
      <c r="C146" s="70" t="s">
        <v>370</v>
      </c>
      <c r="D146" s="34" t="s">
        <v>2853</v>
      </c>
      <c r="E146" s="11" t="str">
        <f>HYPERLINK("https://youtu.be/dr5CwA4Pgig?t=5134","channel 2")</f>
        <v>channel 2</v>
      </c>
    </row>
    <row r="147">
      <c r="B147" s="34" t="s">
        <v>3417</v>
      </c>
      <c r="C147" s="70" t="s">
        <v>58</v>
      </c>
      <c r="D147" s="34" t="s">
        <v>2884</v>
      </c>
      <c r="E147" s="11" t="str">
        <f>HYPERLINK("https://youtu.be/wo2MfgkDJQw?t=5886","channel 1")</f>
        <v>channel 1</v>
      </c>
    </row>
    <row r="148">
      <c r="B148" s="8" t="s">
        <v>3453</v>
      </c>
      <c r="C148" s="70" t="s">
        <v>220</v>
      </c>
      <c r="D148" s="34" t="s">
        <v>2853</v>
      </c>
      <c r="E148" s="11" t="str">
        <f>HYPERLINK("https://youtu.be/dr5CwA4Pgig?t=5964","channel 2")</f>
        <v>channel 2</v>
      </c>
    </row>
    <row r="149">
      <c r="B149" s="8" t="s">
        <v>3454</v>
      </c>
      <c r="C149" s="70" t="s">
        <v>20</v>
      </c>
      <c r="D149" s="34" t="s">
        <v>2884</v>
      </c>
      <c r="E149" s="11" t="str">
        <f>HYPERLINK("https://youtu.be/wo2MfgkDJQw?t=6783","channel 1")</f>
        <v>channel 1</v>
      </c>
    </row>
    <row r="150">
      <c r="B150" s="34" t="s">
        <v>3417</v>
      </c>
      <c r="C150" s="70" t="s">
        <v>488</v>
      </c>
      <c r="D150" s="34" t="s">
        <v>2853</v>
      </c>
      <c r="E150" s="11" t="str">
        <f>HYPERLINK("https://youtu.be/dr5CwA4Pgig?t=6870","channel 2")</f>
        <v>channel 2</v>
      </c>
    </row>
    <row r="151">
      <c r="B151" s="8" t="s">
        <v>3453</v>
      </c>
      <c r="C151" s="70" t="s">
        <v>232</v>
      </c>
      <c r="D151" s="34" t="s">
        <v>2884</v>
      </c>
      <c r="E151" s="11" t="str">
        <f>HYPERLINK("https://youtu.be/wo2MfgkDJQw?t=7664","channel 1")</f>
        <v>channel 1</v>
      </c>
    </row>
    <row r="152">
      <c r="B152" s="34" t="s">
        <v>3417</v>
      </c>
      <c r="C152" s="70" t="s">
        <v>28</v>
      </c>
      <c r="D152" s="8" t="s">
        <v>3454</v>
      </c>
      <c r="E152" s="11" t="str">
        <f>HYPERLINK("https://youtu.be/dr5CwA4Pgig?t=7814","channel 2")</f>
        <v>channel 2</v>
      </c>
    </row>
    <row r="153">
      <c r="B153" s="34" t="s">
        <v>2853</v>
      </c>
      <c r="C153" s="70" t="s">
        <v>24</v>
      </c>
      <c r="D153" s="34" t="s">
        <v>2884</v>
      </c>
      <c r="E153" s="11" t="str">
        <f>HYPERLINK("https://youtu.be/wo2MfgkDJQw?t=8514","channel 1")</f>
        <v>channel 1</v>
      </c>
    </row>
    <row r="154">
      <c r="B154" s="8" t="s">
        <v>3453</v>
      </c>
      <c r="C154" s="70" t="s">
        <v>87</v>
      </c>
      <c r="D154" s="8" t="s">
        <v>3454</v>
      </c>
      <c r="E154" s="11" t="str">
        <f>HYPERLINK("https://youtu.be/dr5CwA4Pgig?t=8774","channel 2")</f>
        <v>channel 2</v>
      </c>
    </row>
    <row r="155">
      <c r="B155" s="72" t="s">
        <v>2923</v>
      </c>
      <c r="C155" s="2"/>
      <c r="D155" s="3"/>
      <c r="E155" s="2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34" t="s">
        <v>3455</v>
      </c>
      <c r="C157" s="70" t="s">
        <v>43</v>
      </c>
      <c r="D157" s="8" t="s">
        <v>3456</v>
      </c>
      <c r="E157" s="11" t="str">
        <f>HYPERLINK("https://youtu.be/rDQGAKRs9y4","channel 1")</f>
        <v>channel 1</v>
      </c>
    </row>
    <row r="158">
      <c r="B158" s="34" t="s">
        <v>3457</v>
      </c>
      <c r="C158" s="70" t="s">
        <v>270</v>
      </c>
      <c r="D158" s="8" t="s">
        <v>3458</v>
      </c>
      <c r="E158" s="11" t="str">
        <f>HYPERLINK("https://youtu.be/k_TzWr_zE1s?t=120","channel 2")</f>
        <v>channel 2</v>
      </c>
    </row>
    <row r="159">
      <c r="B159" s="34" t="s">
        <v>3459</v>
      </c>
      <c r="C159" s="70" t="s">
        <v>194</v>
      </c>
      <c r="D159" s="34" t="s">
        <v>3455</v>
      </c>
      <c r="E159" s="11" t="str">
        <f>HYPERLINK("https://youtu.be/rDQGAKRs9y4?t=1089","channel 1")</f>
        <v>channel 1</v>
      </c>
    </row>
    <row r="160">
      <c r="B160" s="34" t="s">
        <v>3457</v>
      </c>
      <c r="C160" s="70" t="s">
        <v>28</v>
      </c>
      <c r="D160" s="8" t="s">
        <v>3456</v>
      </c>
      <c r="E160" s="11" t="str">
        <f>HYPERLINK("https://youtu.be/k_TzWr_zE1s?t=1099","channel 2")</f>
        <v>channel 2</v>
      </c>
    </row>
    <row r="161">
      <c r="B161" s="34" t="s">
        <v>3459</v>
      </c>
      <c r="C161" s="70" t="s">
        <v>68</v>
      </c>
      <c r="D161" s="8" t="s">
        <v>3458</v>
      </c>
      <c r="E161" s="11" t="str">
        <f>HYPERLINK("https://youtu.be/rDQGAKRs9y4?t=2000","channel 1")</f>
        <v>channel 1</v>
      </c>
    </row>
    <row r="162">
      <c r="B162" s="34" t="s">
        <v>3457</v>
      </c>
      <c r="C162" s="70" t="s">
        <v>274</v>
      </c>
      <c r="D162" s="34" t="s">
        <v>3455</v>
      </c>
      <c r="E162" s="11" t="str">
        <f>HYPERLINK("https://youtu.be/k_TzWr_zE1s?t=2117","channel 2")</f>
        <v>channel 2</v>
      </c>
    </row>
    <row r="163">
      <c r="B163" s="34" t="s">
        <v>3459</v>
      </c>
      <c r="C163" s="70" t="s">
        <v>27</v>
      </c>
      <c r="D163" s="8" t="s">
        <v>3456</v>
      </c>
      <c r="E163" s="11" t="str">
        <f>HYPERLINK("https://youtu.be/rDQGAKRs9y4?t=2992","channel 1")</f>
        <v>channel 1</v>
      </c>
    </row>
    <row r="164">
      <c r="B164" s="8" t="s">
        <v>3458</v>
      </c>
      <c r="C164" s="70" t="s">
        <v>64</v>
      </c>
      <c r="D164" s="34" t="s">
        <v>3455</v>
      </c>
      <c r="E164" s="11" t="str">
        <f>HYPERLINK("https://youtu.be/k_TzWr_zE1s?t=3038","channel 2")</f>
        <v>channel 2</v>
      </c>
    </row>
    <row r="165">
      <c r="B165" s="34" t="s">
        <v>3459</v>
      </c>
      <c r="C165" s="70" t="s">
        <v>259</v>
      </c>
      <c r="D165" s="34" t="s">
        <v>3457</v>
      </c>
      <c r="E165" s="11" t="str">
        <f>HYPERLINK("https://youtu.be/rDQGAKRs9y4?t=3947","channel 1")</f>
        <v>channel 1</v>
      </c>
    </row>
    <row r="166">
      <c r="B166" s="8" t="s">
        <v>3458</v>
      </c>
      <c r="C166" s="70" t="s">
        <v>193</v>
      </c>
      <c r="D166" s="8" t="s">
        <v>3456</v>
      </c>
      <c r="E166" s="11" t="str">
        <f>HYPERLINK("https://youtu.be/k_TzWr_zE1s?t=3974","channel 2")</f>
        <v>channel 2</v>
      </c>
    </row>
    <row r="167">
      <c r="B167" s="8" t="s">
        <v>3456</v>
      </c>
      <c r="C167" s="70" t="s">
        <v>289</v>
      </c>
      <c r="D167" s="34" t="s">
        <v>3455</v>
      </c>
      <c r="E167" s="11" t="str">
        <f>HYPERLINK("https://youtu.be/rDQGAKRs9y4?t=4967","channel 1")</f>
        <v>channel 1</v>
      </c>
    </row>
    <row r="168">
      <c r="B168" s="8" t="s">
        <v>3458</v>
      </c>
      <c r="C168" s="70" t="s">
        <v>217</v>
      </c>
      <c r="D168" s="34" t="s">
        <v>3457</v>
      </c>
      <c r="E168" s="11" t="str">
        <f>HYPERLINK("https://youtu.be/k_TzWr_zE1s?t=4990","channel 2")</f>
        <v>channel 2</v>
      </c>
    </row>
    <row r="169">
      <c r="B169" s="34" t="s">
        <v>3455</v>
      </c>
      <c r="C169" s="70" t="s">
        <v>239</v>
      </c>
      <c r="D169" s="34" t="s">
        <v>3459</v>
      </c>
      <c r="E169" s="11" t="str">
        <f>HYPERLINK("https://youtu.be/rDQGAKRs9y4?t=5928","channel 1")</f>
        <v>channel 1</v>
      </c>
    </row>
    <row r="170">
      <c r="B170" s="8" t="s">
        <v>3456</v>
      </c>
      <c r="C170" s="70" t="s">
        <v>22</v>
      </c>
      <c r="D170" s="34" t="s">
        <v>3457</v>
      </c>
      <c r="E170" s="11" t="str">
        <f>HYPERLINK("https://youtu.be/k_TzWr_zE1s?t=5923","channel 2")</f>
        <v>channel 2</v>
      </c>
    </row>
    <row r="171">
      <c r="B171" s="8" t="s">
        <v>3458</v>
      </c>
      <c r="C171" s="70" t="s">
        <v>58</v>
      </c>
      <c r="D171" s="34" t="s">
        <v>3459</v>
      </c>
      <c r="E171" s="11" t="str">
        <f>HYPERLINK("https://youtu.be/rDQGAKRs9y4?t=6893","channel 1")</f>
        <v>channel 1</v>
      </c>
    </row>
    <row r="172">
      <c r="B172" s="34" t="s">
        <v>3455</v>
      </c>
      <c r="C172" s="70" t="s">
        <v>312</v>
      </c>
      <c r="D172" s="34" t="s">
        <v>3457</v>
      </c>
      <c r="E172" s="11" t="str">
        <f>HYPERLINK("https://youtu.be/k_TzWr_zE1s?t=6956","channel 2")</f>
        <v>channel 2</v>
      </c>
    </row>
    <row r="173">
      <c r="B173" s="8" t="s">
        <v>3456</v>
      </c>
      <c r="C173" s="70" t="s">
        <v>22</v>
      </c>
      <c r="D173" s="34" t="s">
        <v>3459</v>
      </c>
      <c r="E173" s="11" t="str">
        <f>HYPERLINK("https://youtu.be/rDQGAKRs9y4?t=7815","channel 1")</f>
        <v>channel 1</v>
      </c>
    </row>
    <row r="174">
      <c r="B174" s="34" t="s">
        <v>3455</v>
      </c>
      <c r="C174" s="70" t="s">
        <v>284</v>
      </c>
      <c r="D174" s="8" t="s">
        <v>3458</v>
      </c>
      <c r="E174" s="11" t="str">
        <f>HYPERLINK("https://youtu.be/k_TzWr_zE1s?t=7853","channel 2")</f>
        <v>channel 2</v>
      </c>
    </row>
    <row r="175">
      <c r="B175" s="34" t="s">
        <v>3457</v>
      </c>
      <c r="C175" s="70" t="s">
        <v>380</v>
      </c>
      <c r="D175" s="34" t="s">
        <v>3459</v>
      </c>
      <c r="E175" s="11" t="str">
        <f>HYPERLINK("https://youtu.be/rDQGAKRs9y4?t=8740","channel 1")</f>
        <v>channel 1</v>
      </c>
    </row>
    <row r="176">
      <c r="B176" s="8" t="s">
        <v>3456</v>
      </c>
      <c r="C176" s="70" t="s">
        <v>81</v>
      </c>
      <c r="D176" s="8" t="s">
        <v>3458</v>
      </c>
      <c r="E176" s="11" t="str">
        <f>HYPERLINK("https://youtu.be/k_TzWr_zE1s?t=8822","channel 2")</f>
        <v>channel 2</v>
      </c>
    </row>
    <row r="177">
      <c r="B177" s="72" t="s">
        <v>3331</v>
      </c>
      <c r="C177" s="2"/>
      <c r="D177" s="3"/>
      <c r="E177" s="4"/>
    </row>
    <row r="178">
      <c r="B178" s="16" t="s">
        <v>2</v>
      </c>
      <c r="C178" s="16" t="s">
        <v>3</v>
      </c>
      <c r="D178" s="16" t="s">
        <v>4</v>
      </c>
      <c r="E178" s="6" t="s">
        <v>5</v>
      </c>
    </row>
    <row r="179">
      <c r="B179" s="32" t="s">
        <v>3177</v>
      </c>
      <c r="C179" s="70" t="s">
        <v>62</v>
      </c>
      <c r="D179" s="32" t="s">
        <v>2568</v>
      </c>
      <c r="E179" s="11" t="str">
        <f>HYPERLINK("https://youtu.be/S9a4vOJL4PY","channel 3")</f>
        <v>channel 3</v>
      </c>
    </row>
    <row r="180">
      <c r="B180" s="32" t="s">
        <v>2643</v>
      </c>
      <c r="C180" s="70" t="s">
        <v>404</v>
      </c>
      <c r="D180" s="32" t="s">
        <v>591</v>
      </c>
      <c r="E180" s="11" t="str">
        <f>HYPERLINK("https://youtu.be/-r2wQiOE4Ek","channel 4")</f>
        <v>channel 4</v>
      </c>
    </row>
    <row r="181">
      <c r="B181" s="32" t="s">
        <v>3460</v>
      </c>
      <c r="C181" s="70" t="s">
        <v>286</v>
      </c>
      <c r="D181" s="32" t="s">
        <v>3177</v>
      </c>
      <c r="E181" s="11" t="str">
        <f>HYPERLINK("https://youtu.be/S9a4vOJL4PY?t=938","channel 3")</f>
        <v>channel 3</v>
      </c>
    </row>
    <row r="182">
      <c r="B182" s="32" t="s">
        <v>2643</v>
      </c>
      <c r="C182" s="70" t="s">
        <v>41</v>
      </c>
      <c r="D182" s="32" t="s">
        <v>2568</v>
      </c>
      <c r="E182" s="11" t="str">
        <f>HYPERLINK("https://youtu.be/-r2wQiOE4Ek?t=972","channel 4")</f>
        <v>channel 4</v>
      </c>
    </row>
    <row r="183">
      <c r="B183" s="32" t="s">
        <v>3460</v>
      </c>
      <c r="C183" s="70" t="s">
        <v>289</v>
      </c>
      <c r="D183" s="32" t="s">
        <v>591</v>
      </c>
      <c r="E183" s="11" t="str">
        <f>HYPERLINK("https://youtu.be/S9a4vOJL4PY?t=1847","channel 3")</f>
        <v>channel 3</v>
      </c>
    </row>
    <row r="184">
      <c r="B184" s="91" t="s">
        <v>2643</v>
      </c>
      <c r="C184" s="70" t="s">
        <v>1718</v>
      </c>
      <c r="D184" s="91" t="s">
        <v>3177</v>
      </c>
      <c r="E184" s="11" t="str">
        <f>HYPERLINK("https://youtu.be/-r2wQiOE4Ek?t=1922","channel 4")</f>
        <v>channel 4</v>
      </c>
    </row>
    <row r="185">
      <c r="B185" s="32" t="s">
        <v>3460</v>
      </c>
      <c r="C185" s="70" t="s">
        <v>25</v>
      </c>
      <c r="D185" s="32" t="s">
        <v>2568</v>
      </c>
      <c r="E185" s="11" t="str">
        <f>HYPERLINK("https://youtu.be/S9a4vOJL4PY?t=2799","channel 3")</f>
        <v>channel 3</v>
      </c>
    </row>
    <row r="186">
      <c r="B186" s="91" t="s">
        <v>591</v>
      </c>
      <c r="C186" s="70" t="s">
        <v>1129</v>
      </c>
      <c r="D186" s="91" t="s">
        <v>3177</v>
      </c>
      <c r="E186" s="11" t="str">
        <f>HYPERLINK("https://youtu.be/-r2wQiOE4Ek?t=2836","channel 4")</f>
        <v>channel 4</v>
      </c>
    </row>
    <row r="187">
      <c r="B187" s="32" t="s">
        <v>3460</v>
      </c>
      <c r="C187" s="70" t="s">
        <v>665</v>
      </c>
      <c r="D187" s="32" t="s">
        <v>2643</v>
      </c>
      <c r="E187" s="11" t="str">
        <f>HYPERLINK("https://youtu.be/S9a4vOJL4PY?t=3709","channel 3")</f>
        <v>channel 3</v>
      </c>
    </row>
    <row r="188">
      <c r="B188" s="32" t="s">
        <v>591</v>
      </c>
      <c r="C188" s="70" t="s">
        <v>68</v>
      </c>
      <c r="D188" s="32" t="s">
        <v>2568</v>
      </c>
      <c r="E188" s="11" t="str">
        <f>HYPERLINK("https://youtu.be/-r2wQiOE4Ek?t=3770","channel 4")</f>
        <v>channel 4</v>
      </c>
    </row>
    <row r="189">
      <c r="B189" s="32" t="s">
        <v>2568</v>
      </c>
      <c r="C189" s="70" t="s">
        <v>259</v>
      </c>
      <c r="D189" s="32" t="s">
        <v>3177</v>
      </c>
      <c r="E189" s="11" t="str">
        <f>HYPERLINK("https://youtu.be/S9a4vOJL4PY?t=4633","channel 3")</f>
        <v>channel 3</v>
      </c>
    </row>
    <row r="190">
      <c r="B190" s="91" t="s">
        <v>591</v>
      </c>
      <c r="C190" s="70" t="s">
        <v>3461</v>
      </c>
      <c r="D190" s="91" t="s">
        <v>2643</v>
      </c>
      <c r="E190" s="11" t="str">
        <f>HYPERLINK("https://youtu.be/-r2wQiOE4Ek?t=4691","channel 4")</f>
        <v>channel 4</v>
      </c>
    </row>
    <row r="191">
      <c r="B191" s="32" t="s">
        <v>3177</v>
      </c>
      <c r="C191" s="70" t="s">
        <v>3462</v>
      </c>
      <c r="D191" s="32" t="s">
        <v>3460</v>
      </c>
      <c r="E191" s="11" t="str">
        <f>HYPERLINK("https://youtu.be/S9a4vOJL4PY?t=5568","channel 3")</f>
        <v>channel 3</v>
      </c>
    </row>
    <row r="192">
      <c r="B192" s="32" t="s">
        <v>2568</v>
      </c>
      <c r="C192" s="70" t="s">
        <v>89</v>
      </c>
      <c r="D192" s="32" t="s">
        <v>2643</v>
      </c>
      <c r="E192" s="11" t="str">
        <f>HYPERLINK("https://youtu.be/-r2wQiOE4Ek?t=5635","channel 4")</f>
        <v>channel 4</v>
      </c>
    </row>
    <row r="193">
      <c r="B193" s="32" t="s">
        <v>591</v>
      </c>
      <c r="C193" s="70" t="s">
        <v>72</v>
      </c>
      <c r="D193" s="32" t="s">
        <v>3460</v>
      </c>
      <c r="E193" s="11" t="str">
        <f>HYPERLINK("https://youtu.be/S9a4vOJL4PY?t=6717","channel 3")</f>
        <v>channel 3</v>
      </c>
    </row>
    <row r="194">
      <c r="B194" s="32" t="s">
        <v>3177</v>
      </c>
      <c r="C194" s="70" t="s">
        <v>25</v>
      </c>
      <c r="D194" s="32" t="s">
        <v>2643</v>
      </c>
      <c r="E194" s="11" t="str">
        <f>HYPERLINK("https://youtu.be/-r2wQiOE4Ek?t=6759","channel 4")</f>
        <v>channel 4</v>
      </c>
    </row>
    <row r="195">
      <c r="B195" s="32" t="s">
        <v>2568</v>
      </c>
      <c r="C195" s="70" t="s">
        <v>260</v>
      </c>
      <c r="D195" s="32" t="s">
        <v>3460</v>
      </c>
      <c r="E195" s="11" t="str">
        <f>HYPERLINK("https://youtu.be/S9a4vOJL4PY?t=7678","channel 3")</f>
        <v>channel 3</v>
      </c>
    </row>
    <row r="196">
      <c r="B196" s="32" t="s">
        <v>3177</v>
      </c>
      <c r="C196" s="70" t="s">
        <v>3463</v>
      </c>
      <c r="D196" s="32" t="s">
        <v>591</v>
      </c>
      <c r="E196" s="11" t="str">
        <f>HYPERLINK("https://youtu.be/-r2wQiOE4Ek?t=7716","channel 4")</f>
        <v>channel 4</v>
      </c>
    </row>
    <row r="197">
      <c r="B197" s="32" t="s">
        <v>2643</v>
      </c>
      <c r="C197" s="70" t="s">
        <v>218</v>
      </c>
      <c r="D197" s="32" t="s">
        <v>3460</v>
      </c>
      <c r="E197" s="11" t="str">
        <f>HYPERLINK("https://youtu.be/S9a4vOJL4PY?t=8613","channel 3")</f>
        <v>channel 3</v>
      </c>
    </row>
    <row r="198">
      <c r="B198" s="32" t="s">
        <v>2568</v>
      </c>
      <c r="C198" s="70" t="s">
        <v>1622</v>
      </c>
      <c r="D198" s="32" t="s">
        <v>591</v>
      </c>
      <c r="E198" s="11" t="str">
        <f>HYPERLINK("https://youtu.be/-r2wQiOE4Ek?t=8653","channel 4")</f>
        <v>channel 4</v>
      </c>
    </row>
    <row r="199">
      <c r="B199" s="72" t="s">
        <v>2571</v>
      </c>
      <c r="C199" s="2"/>
      <c r="D199" s="3"/>
      <c r="E199" s="4"/>
    </row>
    <row r="200">
      <c r="B200" s="16" t="s">
        <v>2</v>
      </c>
      <c r="C200" s="16" t="s">
        <v>3</v>
      </c>
      <c r="D200" s="16" t="s">
        <v>4</v>
      </c>
      <c r="E200" s="6" t="s">
        <v>5</v>
      </c>
    </row>
    <row r="201">
      <c r="B201" s="32" t="s">
        <v>3061</v>
      </c>
      <c r="C201" s="70" t="s">
        <v>68</v>
      </c>
      <c r="D201" s="32" t="s">
        <v>2114</v>
      </c>
      <c r="E201" s="11" t="str">
        <f>HYPERLINK("https://youtu.be/u9xf_f4qa3c","channel 3")</f>
        <v>channel 3</v>
      </c>
    </row>
    <row r="202">
      <c r="B202" s="32" t="s">
        <v>1227</v>
      </c>
      <c r="C202" s="70" t="s">
        <v>87</v>
      </c>
      <c r="D202" s="32" t="s">
        <v>2852</v>
      </c>
      <c r="E202" s="11" t="str">
        <f>HYPERLINK("https://youtu.be/ITKk0fee5eA","channel 4")</f>
        <v>channel 4</v>
      </c>
    </row>
    <row r="203">
      <c r="B203" s="32" t="s">
        <v>3464</v>
      </c>
      <c r="C203" s="70" t="s">
        <v>203</v>
      </c>
      <c r="D203" s="32" t="s">
        <v>3061</v>
      </c>
      <c r="E203" s="11" t="str">
        <f>HYPERLINK("https://youtu.be/u9xf_f4qa3c?t=911","channel 3")</f>
        <v>channel 3</v>
      </c>
    </row>
    <row r="204">
      <c r="B204" s="32" t="s">
        <v>1227</v>
      </c>
      <c r="C204" s="70" t="s">
        <v>218</v>
      </c>
      <c r="D204" s="32" t="s">
        <v>2114</v>
      </c>
      <c r="E204" s="11" t="str">
        <f>HYPERLINK("https://youtu.be/ITKk0fee5eA?t=955","channel 4")</f>
        <v>channel 4</v>
      </c>
    </row>
    <row r="205">
      <c r="B205" s="32" t="s">
        <v>3464</v>
      </c>
      <c r="C205" s="70" t="s">
        <v>58</v>
      </c>
      <c r="D205" s="32" t="s">
        <v>2852</v>
      </c>
      <c r="E205" s="11" t="str">
        <f>HYPERLINK("https://youtu.be/u9xf_f4qa3c?t=1847","channel 3")</f>
        <v>channel 3</v>
      </c>
    </row>
    <row r="206">
      <c r="B206" s="91" t="s">
        <v>1227</v>
      </c>
      <c r="C206" s="70" t="s">
        <v>260</v>
      </c>
      <c r="D206" s="91" t="s">
        <v>3061</v>
      </c>
      <c r="E206" s="11" t="str">
        <f>HYPERLINK("https://youtu.be/ITKk0fee5eA?t=1885","channel 4")</f>
        <v>channel 4</v>
      </c>
    </row>
    <row r="207">
      <c r="B207" s="32" t="s">
        <v>3464</v>
      </c>
      <c r="C207" s="70" t="s">
        <v>43</v>
      </c>
      <c r="D207" s="32" t="s">
        <v>2114</v>
      </c>
      <c r="E207" s="11" t="str">
        <f>HYPERLINK("https://youtu.be/u9xf_f4qa3c?t=2829","channel 3")</f>
        <v>channel 3</v>
      </c>
    </row>
    <row r="208">
      <c r="B208" s="91" t="s">
        <v>2852</v>
      </c>
      <c r="C208" s="70" t="s">
        <v>291</v>
      </c>
      <c r="D208" s="91" t="s">
        <v>3061</v>
      </c>
      <c r="E208" s="11" t="str">
        <f>HYPERLINK("https://youtu.be/ITKk0fee5eA?t=2778","channel 4")</f>
        <v>channel 4</v>
      </c>
    </row>
    <row r="209">
      <c r="B209" s="32" t="s">
        <v>3464</v>
      </c>
      <c r="C209" s="70" t="s">
        <v>19</v>
      </c>
      <c r="D209" s="32" t="s">
        <v>1227</v>
      </c>
      <c r="E209" s="11" t="str">
        <f>HYPERLINK("https://youtu.be/u9xf_f4qa3c?t=3720","channel 3")</f>
        <v>channel 3</v>
      </c>
    </row>
    <row r="210">
      <c r="B210" s="32" t="s">
        <v>2852</v>
      </c>
      <c r="C210" s="70" t="s">
        <v>936</v>
      </c>
      <c r="D210" s="32" t="s">
        <v>2114</v>
      </c>
      <c r="E210" s="11" t="str">
        <f>HYPERLINK("https://youtu.be/ITKk0fee5eA?t=3697","channel 4")</f>
        <v>channel 4</v>
      </c>
    </row>
    <row r="211">
      <c r="B211" s="32" t="s">
        <v>2114</v>
      </c>
      <c r="C211" s="70" t="s">
        <v>416</v>
      </c>
      <c r="D211" s="32" t="s">
        <v>3061</v>
      </c>
      <c r="E211" s="11" t="str">
        <f>HYPERLINK("https://youtu.be/u9xf_f4qa3c?t=4817","channel 3")</f>
        <v>channel 3</v>
      </c>
    </row>
    <row r="212">
      <c r="B212" s="91" t="s">
        <v>2852</v>
      </c>
      <c r="C212" s="70" t="s">
        <v>842</v>
      </c>
      <c r="D212" s="91" t="s">
        <v>1227</v>
      </c>
      <c r="E212" s="11" t="str">
        <f>HYPERLINK("https://youtu.be/ITKk0fee5eA?t=4855","channel 4")</f>
        <v>channel 4</v>
      </c>
    </row>
    <row r="213">
      <c r="B213" s="32" t="s">
        <v>3061</v>
      </c>
      <c r="C213" s="70" t="s">
        <v>273</v>
      </c>
      <c r="D213" s="32" t="s">
        <v>3464</v>
      </c>
      <c r="E213" s="11" t="str">
        <f>HYPERLINK("https://youtu.be/u9xf_f4qa3c?t=5699","channel 3")</f>
        <v>channel 3</v>
      </c>
    </row>
    <row r="214">
      <c r="B214" s="32" t="s">
        <v>2114</v>
      </c>
      <c r="C214" s="70" t="s">
        <v>857</v>
      </c>
      <c r="D214" s="32" t="s">
        <v>1227</v>
      </c>
      <c r="E214" s="11" t="str">
        <f>HYPERLINK("https://youtu.be/ITKk0fee5eA?t=5803","channel 4")</f>
        <v>channel 4</v>
      </c>
    </row>
    <row r="215">
      <c r="B215" s="32" t="s">
        <v>2852</v>
      </c>
      <c r="C215" s="70" t="s">
        <v>76</v>
      </c>
      <c r="D215" s="32" t="s">
        <v>3464</v>
      </c>
      <c r="E215" s="11" t="str">
        <f>HYPERLINK("https://youtu.be/u9xf_f4qa3c?t=6611","channel 3")</f>
        <v>channel 3</v>
      </c>
    </row>
    <row r="216">
      <c r="B216" s="32" t="s">
        <v>3061</v>
      </c>
      <c r="C216" s="70" t="s">
        <v>578</v>
      </c>
      <c r="D216" s="32" t="s">
        <v>1227</v>
      </c>
      <c r="E216" s="11" t="str">
        <f>HYPERLINK("https://youtu.be/ITKk0fee5eA?t=6761","channel 4")</f>
        <v>channel 4</v>
      </c>
    </row>
    <row r="217">
      <c r="B217" s="32" t="s">
        <v>2114</v>
      </c>
      <c r="C217" s="70" t="s">
        <v>22</v>
      </c>
      <c r="D217" s="32" t="s">
        <v>3464</v>
      </c>
      <c r="E217" s="11" t="str">
        <f>HYPERLINK("https://youtu.be/u9xf_f4qa3c?t=7569","channel 3")</f>
        <v>channel 3</v>
      </c>
    </row>
    <row r="218">
      <c r="B218" s="32" t="s">
        <v>3061</v>
      </c>
      <c r="C218" s="70" t="s">
        <v>218</v>
      </c>
      <c r="D218" s="32" t="s">
        <v>2852</v>
      </c>
      <c r="E218" s="11" t="str">
        <f>HYPERLINK("https://youtu.be/ITKk0fee5eA?t=7674","channel 4")</f>
        <v>channel 4</v>
      </c>
    </row>
    <row r="219">
      <c r="B219" s="32" t="s">
        <v>1227</v>
      </c>
      <c r="C219" s="70" t="s">
        <v>285</v>
      </c>
      <c r="D219" s="32" t="s">
        <v>3464</v>
      </c>
      <c r="E219" s="11" t="str">
        <f>HYPERLINK("https://youtu.be/u9xf_f4qa3c?t=8538","channel 3")</f>
        <v>channel 3</v>
      </c>
    </row>
    <row r="220">
      <c r="B220" s="32" t="s">
        <v>2114</v>
      </c>
      <c r="C220" s="70" t="s">
        <v>217</v>
      </c>
      <c r="D220" s="32" t="s">
        <v>2852</v>
      </c>
      <c r="E220" s="11" t="str">
        <f>HYPERLINK("https://youtu.be/ITKk0fee5eA?t=8605","channel 4")</f>
        <v>channel 4</v>
      </c>
    </row>
    <row r="221">
      <c r="B221" s="72" t="s">
        <v>2575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34" t="s">
        <v>995</v>
      </c>
      <c r="C223" s="70" t="s">
        <v>443</v>
      </c>
      <c r="D223" s="34" t="s">
        <v>3465</v>
      </c>
      <c r="E223" s="11" t="str">
        <f>HYPERLINK("https://youtu.be/TpkYF8mmTCY","channel 1")</f>
        <v>channel 1</v>
      </c>
    </row>
    <row r="224">
      <c r="B224" s="34" t="s">
        <v>3466</v>
      </c>
      <c r="C224" s="70" t="s">
        <v>64</v>
      </c>
      <c r="D224" s="34" t="s">
        <v>3467</v>
      </c>
      <c r="E224" s="11" t="str">
        <f>HYPERLINK("https://youtu.be/sWbJR17knwI","channel 2")</f>
        <v>channel 2</v>
      </c>
    </row>
    <row r="225">
      <c r="B225" s="34" t="s">
        <v>3468</v>
      </c>
      <c r="C225" s="70" t="s">
        <v>7</v>
      </c>
      <c r="D225" s="34" t="s">
        <v>995</v>
      </c>
      <c r="E225" s="11" t="str">
        <f>HYPERLINK("https://youtu.be/TpkYF8mmTCY?t=792","channel 1")</f>
        <v>channel 1</v>
      </c>
    </row>
    <row r="226">
      <c r="B226" s="34" t="s">
        <v>3466</v>
      </c>
      <c r="C226" s="70" t="s">
        <v>195</v>
      </c>
      <c r="D226" s="34" t="s">
        <v>3465</v>
      </c>
      <c r="E226" s="11" t="str">
        <f>HYPERLINK("https://youtu.be/sWbJR17knwI?t=998","channel 2")</f>
        <v>channel 2</v>
      </c>
    </row>
    <row r="227">
      <c r="B227" s="34" t="s">
        <v>3468</v>
      </c>
      <c r="C227" s="70" t="s">
        <v>18</v>
      </c>
      <c r="D227" s="34" t="s">
        <v>3467</v>
      </c>
      <c r="E227" s="11" t="str">
        <f>HYPERLINK("https://youtu.be/TpkYF8mmTCY?t=1728","channel 1")</f>
        <v>channel 1</v>
      </c>
    </row>
    <row r="228">
      <c r="B228" s="34" t="s">
        <v>3466</v>
      </c>
      <c r="C228" s="70" t="s">
        <v>321</v>
      </c>
      <c r="D228" s="34" t="s">
        <v>995</v>
      </c>
      <c r="E228" s="11" t="str">
        <f>HYPERLINK("https://youtu.be/sWbJR17knwI?t=1949","channel 2")</f>
        <v>channel 2</v>
      </c>
    </row>
    <row r="229">
      <c r="B229" s="34" t="s">
        <v>3468</v>
      </c>
      <c r="C229" s="70" t="s">
        <v>195</v>
      </c>
      <c r="D229" s="34" t="s">
        <v>3465</v>
      </c>
      <c r="E229" s="11" t="str">
        <f>HYPERLINK("https://youtu.be/TpkYF8mmTCY?t=2684","channel 1")</f>
        <v>channel 1</v>
      </c>
    </row>
    <row r="230">
      <c r="B230" s="34" t="s">
        <v>3467</v>
      </c>
      <c r="C230" s="70" t="s">
        <v>259</v>
      </c>
      <c r="D230" s="34" t="s">
        <v>995</v>
      </c>
      <c r="E230" s="11" t="str">
        <f>HYPERLINK("https://youtu.be/sWbJR17knwI?t=2887","channel 2")</f>
        <v>channel 2</v>
      </c>
    </row>
    <row r="231">
      <c r="B231" s="34" t="s">
        <v>3468</v>
      </c>
      <c r="C231" s="70" t="s">
        <v>190</v>
      </c>
      <c r="D231" s="34" t="s">
        <v>3466</v>
      </c>
      <c r="E231" s="11" t="str">
        <f>HYPERLINK("https://youtu.be/TpkYF8mmTCY?t=3621","channel 1")</f>
        <v>channel 1</v>
      </c>
    </row>
    <row r="232">
      <c r="B232" s="34" t="s">
        <v>3467</v>
      </c>
      <c r="C232" s="70" t="s">
        <v>217</v>
      </c>
      <c r="D232" s="34" t="s">
        <v>3465</v>
      </c>
      <c r="E232" s="11" t="str">
        <f>HYPERLINK("https://youtu.be/sWbJR17knwI?t=3826","channel 2")</f>
        <v>channel 2</v>
      </c>
    </row>
    <row r="233">
      <c r="B233" s="34" t="s">
        <v>3465</v>
      </c>
      <c r="C233" s="70" t="s">
        <v>239</v>
      </c>
      <c r="D233" s="34" t="s">
        <v>995</v>
      </c>
      <c r="E233" s="11" t="str">
        <f>HYPERLINK("https://youtu.be/TpkYF8mmTCY?t=4527","channel 1")</f>
        <v>channel 1</v>
      </c>
    </row>
    <row r="234">
      <c r="B234" s="34" t="s">
        <v>3467</v>
      </c>
      <c r="C234" s="70" t="s">
        <v>239</v>
      </c>
      <c r="D234" s="34" t="s">
        <v>3466</v>
      </c>
      <c r="E234" s="11" t="str">
        <f>HYPERLINK("https://youtu.be/sWbJR17knwI?t=4720","channel 2")</f>
        <v>channel 2</v>
      </c>
    </row>
    <row r="235">
      <c r="B235" s="34" t="s">
        <v>995</v>
      </c>
      <c r="C235" s="70" t="s">
        <v>362</v>
      </c>
      <c r="D235" s="34" t="s">
        <v>3468</v>
      </c>
      <c r="E235" s="11" t="str">
        <f>HYPERLINK("https://youtu.be/TpkYF8mmTCY?t=5449","channel 1")</f>
        <v>channel 1</v>
      </c>
    </row>
    <row r="236">
      <c r="B236" s="34" t="s">
        <v>3465</v>
      </c>
      <c r="C236" s="70" t="s">
        <v>273</v>
      </c>
      <c r="D236" s="34" t="s">
        <v>3466</v>
      </c>
      <c r="E236" s="11" t="str">
        <f>HYPERLINK("https://youtu.be/sWbJR17knwI?t=5663","channel 2")</f>
        <v>channel 2</v>
      </c>
    </row>
    <row r="237">
      <c r="B237" s="34" t="s">
        <v>3467</v>
      </c>
      <c r="C237" s="70" t="s">
        <v>269</v>
      </c>
      <c r="D237" s="34" t="s">
        <v>3468</v>
      </c>
      <c r="E237" s="11" t="str">
        <f>HYPERLINK("https://youtu.be/TpkYF8mmTCY?t=6377","channel 1")</f>
        <v>channel 1</v>
      </c>
    </row>
    <row r="238">
      <c r="B238" s="34" t="s">
        <v>995</v>
      </c>
      <c r="C238" s="70" t="s">
        <v>936</v>
      </c>
      <c r="D238" s="34" t="s">
        <v>3466</v>
      </c>
      <c r="E238" s="11" t="str">
        <f>HYPERLINK("https://youtu.be/sWbJR17knwI?t=6619","channel 2")</f>
        <v>channel 2</v>
      </c>
    </row>
    <row r="239">
      <c r="B239" s="34" t="s">
        <v>3465</v>
      </c>
      <c r="C239" s="70" t="s">
        <v>41</v>
      </c>
      <c r="D239" s="34" t="s">
        <v>3468</v>
      </c>
      <c r="E239" s="11" t="str">
        <f>HYPERLINK("https://youtu.be/TpkYF8mmTCY?t=7327","channel 1")</f>
        <v>channel 1</v>
      </c>
    </row>
    <row r="240">
      <c r="B240" s="34" t="s">
        <v>995</v>
      </c>
      <c r="C240" s="70" t="s">
        <v>69</v>
      </c>
      <c r="D240" s="34" t="s">
        <v>3467</v>
      </c>
      <c r="E240" s="11" t="str">
        <f>HYPERLINK("https://youtu.be/sWbJR17knwI?t=7564","channel 2")</f>
        <v>channel 2</v>
      </c>
    </row>
    <row r="241">
      <c r="B241" s="34" t="s">
        <v>3466</v>
      </c>
      <c r="C241" s="70" t="s">
        <v>64</v>
      </c>
      <c r="D241" s="34" t="s">
        <v>3468</v>
      </c>
      <c r="E241" s="11" t="str">
        <f>HYPERLINK("https://youtu.be/TpkYF8mmTCY?t=8324","channel 1")</f>
        <v>channel 1</v>
      </c>
    </row>
    <row r="242">
      <c r="B242" s="34" t="s">
        <v>3465</v>
      </c>
      <c r="C242" s="70" t="s">
        <v>212</v>
      </c>
      <c r="D242" s="34" t="s">
        <v>3467</v>
      </c>
      <c r="E242" s="11" t="str">
        <f>HYPERLINK("https://youtu.be/sWbJR17knwI?t=8567","channel 2")</f>
        <v>channel 2</v>
      </c>
    </row>
    <row r="243">
      <c r="B243" s="72" t="s">
        <v>1456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34" t="s">
        <v>2880</v>
      </c>
      <c r="C245" s="70" t="s">
        <v>196</v>
      </c>
      <c r="D245" s="34" t="s">
        <v>3193</v>
      </c>
      <c r="E245" s="11" t="str">
        <f>HYPERLINK("https://youtu.be/p0xhzmDBDG4","channel 1")</f>
        <v>channel 1</v>
      </c>
    </row>
    <row r="246">
      <c r="B246" s="34" t="s">
        <v>962</v>
      </c>
      <c r="C246" s="70" t="s">
        <v>16</v>
      </c>
      <c r="D246" s="34" t="s">
        <v>2329</v>
      </c>
      <c r="E246" s="11" t="str">
        <f>HYPERLINK("https://youtu.be/rtTxtoCYKpk","channel 2")</f>
        <v>channel 2</v>
      </c>
    </row>
    <row r="247">
      <c r="B247" s="34" t="s">
        <v>3233</v>
      </c>
      <c r="C247" s="70" t="s">
        <v>285</v>
      </c>
      <c r="D247" s="34" t="s">
        <v>2880</v>
      </c>
      <c r="E247" s="11" t="str">
        <f>HYPERLINK("https://youtu.be/p0xhzmDBDG4?t=1122","channel 1")</f>
        <v>channel 1</v>
      </c>
    </row>
    <row r="248">
      <c r="B248" s="34" t="s">
        <v>962</v>
      </c>
      <c r="C248" s="70" t="s">
        <v>232</v>
      </c>
      <c r="D248" s="34" t="s">
        <v>3193</v>
      </c>
      <c r="E248" s="11" t="str">
        <f>HYPERLINK("https://youtu.be/rtTxtoCYKpk?t=1091","channel 2")</f>
        <v>channel 2</v>
      </c>
    </row>
    <row r="249">
      <c r="B249" s="34" t="s">
        <v>3233</v>
      </c>
      <c r="C249" s="70" t="s">
        <v>81</v>
      </c>
      <c r="D249" s="34" t="s">
        <v>2329</v>
      </c>
      <c r="E249" s="11" t="str">
        <f>HYPERLINK("https://youtu.be/p0xhzmDBDG4?t=2041","channel 1")</f>
        <v>channel 1</v>
      </c>
    </row>
    <row r="250">
      <c r="B250" s="34" t="s">
        <v>962</v>
      </c>
      <c r="C250" s="70" t="s">
        <v>535</v>
      </c>
      <c r="D250" s="34" t="s">
        <v>2880</v>
      </c>
      <c r="E250" s="11" t="str">
        <f>HYPERLINK("https://youtu.be/rtTxtoCYKpk?t=2021","channel 2")</f>
        <v>channel 2</v>
      </c>
    </row>
    <row r="251">
      <c r="B251" s="34" t="s">
        <v>3233</v>
      </c>
      <c r="C251" s="70" t="s">
        <v>65</v>
      </c>
      <c r="D251" s="34" t="s">
        <v>3193</v>
      </c>
      <c r="E251" s="11" t="str">
        <f>HYPERLINK("https://youtu.be/p0xhzmDBDG4?t=3029","channel 1")</f>
        <v>channel 1</v>
      </c>
    </row>
    <row r="252">
      <c r="B252" s="34" t="s">
        <v>2329</v>
      </c>
      <c r="C252" s="70" t="s">
        <v>58</v>
      </c>
      <c r="D252" s="34" t="s">
        <v>2880</v>
      </c>
      <c r="E252" s="11" t="str">
        <f>HYPERLINK("https://youtu.be/rtTxtoCYKpk?t=3019","channel 2")</f>
        <v>channel 2</v>
      </c>
    </row>
    <row r="253">
      <c r="B253" s="34" t="s">
        <v>3233</v>
      </c>
      <c r="C253" s="70" t="s">
        <v>81</v>
      </c>
      <c r="D253" s="34" t="s">
        <v>962</v>
      </c>
      <c r="E253" s="11" t="str">
        <f>HYPERLINK("https://youtu.be/p0xhzmDBDG4?t=3968","channel 1")</f>
        <v>channel 1</v>
      </c>
    </row>
    <row r="254">
      <c r="B254" s="34" t="s">
        <v>2329</v>
      </c>
      <c r="C254" s="70" t="s">
        <v>17</v>
      </c>
      <c r="D254" s="34" t="s">
        <v>3193</v>
      </c>
      <c r="E254" s="11" t="str">
        <f>HYPERLINK("https://youtu.be/rtTxtoCYKpk?t=3926","channel 2")</f>
        <v>channel 2</v>
      </c>
    </row>
    <row r="255">
      <c r="B255" s="34" t="s">
        <v>3193</v>
      </c>
      <c r="C255" s="70" t="s">
        <v>80</v>
      </c>
      <c r="D255" s="34" t="s">
        <v>2880</v>
      </c>
      <c r="E255" s="11" t="str">
        <f>HYPERLINK("https://youtu.be/p0xhzmDBDG4?t=4886","channel 1")</f>
        <v>channel 1</v>
      </c>
    </row>
    <row r="256">
      <c r="B256" s="34" t="s">
        <v>2329</v>
      </c>
      <c r="C256" s="70" t="s">
        <v>22</v>
      </c>
      <c r="D256" s="34" t="s">
        <v>962</v>
      </c>
      <c r="E256" s="11" t="str">
        <f>HYPERLINK("https://youtu.be/rtTxtoCYKpk?t=4876","channel 2")</f>
        <v>channel 2</v>
      </c>
    </row>
    <row r="257">
      <c r="B257" s="34" t="s">
        <v>2880</v>
      </c>
      <c r="C257" s="70" t="s">
        <v>28</v>
      </c>
      <c r="D257" s="34" t="s">
        <v>3233</v>
      </c>
      <c r="E257" s="11" t="str">
        <f>HYPERLINK("https://youtu.be/p0xhzmDBDG4?t=5807","channel 1")</f>
        <v>channel 1</v>
      </c>
    </row>
    <row r="258">
      <c r="B258" s="34" t="s">
        <v>3193</v>
      </c>
      <c r="C258" s="70" t="s">
        <v>64</v>
      </c>
      <c r="D258" s="34" t="s">
        <v>962</v>
      </c>
      <c r="E258" s="11" t="str">
        <f>HYPERLINK("https://youtu.be/rtTxtoCYKpk?t=5799","channel 2")</f>
        <v>channel 2</v>
      </c>
    </row>
    <row r="259">
      <c r="B259" s="34" t="s">
        <v>2329</v>
      </c>
      <c r="C259" s="70" t="s">
        <v>286</v>
      </c>
      <c r="D259" s="34" t="s">
        <v>3233</v>
      </c>
      <c r="E259" s="11" t="str">
        <f>HYPERLINK("https://youtu.be/p0xhzmDBDG4?t=6726","channel 1")</f>
        <v>channel 1</v>
      </c>
    </row>
    <row r="260">
      <c r="B260" s="34" t="s">
        <v>2880</v>
      </c>
      <c r="C260" s="70" t="s">
        <v>48</v>
      </c>
      <c r="D260" s="34" t="s">
        <v>962</v>
      </c>
      <c r="E260" s="11" t="str">
        <f>HYPERLINK("https://youtu.be/rtTxtoCYKpk?t=6804","channel 2")</f>
        <v>channel 2</v>
      </c>
    </row>
    <row r="261">
      <c r="B261" s="34" t="s">
        <v>3193</v>
      </c>
      <c r="C261" s="70" t="s">
        <v>426</v>
      </c>
      <c r="D261" s="34" t="s">
        <v>3233</v>
      </c>
      <c r="E261" s="11" t="str">
        <f>HYPERLINK("https://youtu.be/p0xhzmDBDG4?t=7672","channel 1")</f>
        <v>channel 1</v>
      </c>
    </row>
    <row r="262">
      <c r="B262" s="34" t="s">
        <v>2880</v>
      </c>
      <c r="C262" s="70" t="s">
        <v>45</v>
      </c>
      <c r="D262" s="34" t="s">
        <v>2329</v>
      </c>
      <c r="E262" s="11" t="str">
        <f>HYPERLINK("https://youtu.be/rtTxtoCYKpk?t=7758","channel 2")</f>
        <v>channel 2</v>
      </c>
    </row>
    <row r="263">
      <c r="B263" s="34" t="s">
        <v>962</v>
      </c>
      <c r="C263" s="70" t="s">
        <v>285</v>
      </c>
      <c r="D263" s="34" t="s">
        <v>3233</v>
      </c>
      <c r="E263" s="11" t="str">
        <f>HYPERLINK("https://youtu.be/p0xhzmDBDG4?t=8669","channel 1")</f>
        <v>channel 1</v>
      </c>
    </row>
    <row r="264">
      <c r="B264" s="34" t="s">
        <v>3193</v>
      </c>
      <c r="C264" s="70" t="s">
        <v>239</v>
      </c>
      <c r="D264" s="34" t="s">
        <v>2329</v>
      </c>
      <c r="E264" s="11" t="str">
        <f>HYPERLINK("https://youtu.be/rtTxtoCYKpk?t=8641","channel 2")</f>
        <v>channel 2</v>
      </c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</sheetData>
  <mergeCells count="13">
    <mergeCell ref="B133:D133"/>
    <mergeCell ref="B155:D155"/>
    <mergeCell ref="B177:D177"/>
    <mergeCell ref="B199:D199"/>
    <mergeCell ref="B221:D221"/>
    <mergeCell ref="B243:D243"/>
    <mergeCell ref="A1:A44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5"/>
      <c r="B1" s="1" t="s">
        <v>2527</v>
      </c>
      <c r="C1" s="2"/>
      <c r="D1" s="3"/>
      <c r="E1" s="84"/>
    </row>
    <row r="2">
      <c r="A2" s="66"/>
      <c r="B2" s="85" t="s">
        <v>2</v>
      </c>
      <c r="C2" s="86" t="s">
        <v>3</v>
      </c>
      <c r="D2" s="86" t="s">
        <v>4</v>
      </c>
      <c r="E2" s="86" t="s">
        <v>5</v>
      </c>
    </row>
    <row r="3">
      <c r="A3" s="66"/>
      <c r="B3" s="87" t="s">
        <v>2593</v>
      </c>
      <c r="C3" s="112" t="s">
        <v>16</v>
      </c>
      <c r="D3" s="89" t="s">
        <v>3304</v>
      </c>
      <c r="E3" s="97" t="str">
        <f>HYPERLINK("https://youtu.be/gt9uzaJFYkM?t=1660","channel 1")</f>
        <v>channel 1</v>
      </c>
    </row>
    <row r="4">
      <c r="A4" s="66"/>
      <c r="B4" s="87" t="s">
        <v>3469</v>
      </c>
      <c r="C4" s="112" t="s">
        <v>260</v>
      </c>
      <c r="D4" s="89" t="s">
        <v>3037</v>
      </c>
      <c r="E4" s="97" t="str">
        <f>HYPERLINK("https://youtu.be/fqm1EL3MNEk?t=1541","channel 2")</f>
        <v>channel 2</v>
      </c>
    </row>
    <row r="5">
      <c r="A5" s="66"/>
      <c r="B5" s="87" t="s">
        <v>3318</v>
      </c>
      <c r="C5" s="112" t="s">
        <v>370</v>
      </c>
      <c r="D5" s="89" t="s">
        <v>2593</v>
      </c>
      <c r="E5" s="97" t="str">
        <f>HYPERLINK("https://youtu.be/gt9uzaJFYkM?t=2678","channel 1")</f>
        <v>channel 1</v>
      </c>
    </row>
    <row r="6">
      <c r="A6" s="66"/>
      <c r="B6" s="87" t="s">
        <v>3469</v>
      </c>
      <c r="C6" s="112" t="s">
        <v>64</v>
      </c>
      <c r="D6" s="89" t="s">
        <v>3304</v>
      </c>
      <c r="E6" s="97" t="str">
        <f>HYPERLINK("https://youtu.be/fqm1EL3MNEk?t=2478","channel 2")</f>
        <v>channel 2</v>
      </c>
    </row>
    <row r="7">
      <c r="A7" s="66"/>
      <c r="B7" s="87" t="s">
        <v>3318</v>
      </c>
      <c r="C7" s="112" t="s">
        <v>1832</v>
      </c>
      <c r="D7" s="89" t="s">
        <v>3037</v>
      </c>
      <c r="E7" s="97" t="str">
        <f>HYPERLINK("https://youtu.be/gt9uzaJFYkM?t=3592","channel 1")</f>
        <v>channel 1</v>
      </c>
    </row>
    <row r="8">
      <c r="A8" s="66"/>
      <c r="B8" s="87" t="s">
        <v>3469</v>
      </c>
      <c r="C8" s="112" t="s">
        <v>276</v>
      </c>
      <c r="D8" s="89" t="s">
        <v>2593</v>
      </c>
      <c r="E8" s="97" t="str">
        <f>HYPERLINK("https://youtu.be/fqm1EL3MNEk?t=3409","channel 2")</f>
        <v>channel 2</v>
      </c>
    </row>
    <row r="9">
      <c r="A9" s="66"/>
      <c r="B9" s="87" t="s">
        <v>3318</v>
      </c>
      <c r="C9" s="112" t="s">
        <v>284</v>
      </c>
      <c r="D9" s="89" t="s">
        <v>3304</v>
      </c>
      <c r="E9" s="97" t="str">
        <f>HYPERLINK("https://youtu.be/gt9uzaJFYkM?t=4515","channel 1")</f>
        <v>channel 1</v>
      </c>
    </row>
    <row r="10">
      <c r="A10" s="66"/>
      <c r="B10" s="87" t="s">
        <v>3037</v>
      </c>
      <c r="C10" s="112" t="s">
        <v>71</v>
      </c>
      <c r="D10" s="89" t="s">
        <v>2593</v>
      </c>
      <c r="E10" s="97" t="str">
        <f>HYPERLINK("https://youtu.be/fqm1EL3MNEk?t=4309","channel 2")</f>
        <v>channel 2</v>
      </c>
    </row>
    <row r="11">
      <c r="A11" s="66"/>
      <c r="B11" s="87" t="s">
        <v>3318</v>
      </c>
      <c r="C11" s="112" t="s">
        <v>587</v>
      </c>
      <c r="D11" s="89" t="s">
        <v>3469</v>
      </c>
      <c r="E11" s="97" t="str">
        <f>HYPERLINK("https://youtu.be/gt9uzaJFYkM?t=5468","channel 1")</f>
        <v>channel 1</v>
      </c>
    </row>
    <row r="12">
      <c r="A12" s="66"/>
      <c r="B12" s="87" t="s">
        <v>3037</v>
      </c>
      <c r="C12" s="112" t="s">
        <v>66</v>
      </c>
      <c r="D12" s="89" t="s">
        <v>3304</v>
      </c>
      <c r="E12" s="97" t="str">
        <f>HYPERLINK("https://youtu.be/fqm1EL3MNEk?t=5288","channel 2")</f>
        <v>channel 2</v>
      </c>
    </row>
    <row r="13">
      <c r="A13" s="66"/>
      <c r="B13" s="87" t="s">
        <v>3304</v>
      </c>
      <c r="C13" s="112" t="s">
        <v>64</v>
      </c>
      <c r="D13" s="89" t="s">
        <v>2593</v>
      </c>
      <c r="E13" s="97" t="str">
        <f>HYPERLINK("https://youtu.be/gt9uzaJFYkM?t=6409","channel 1")</f>
        <v>channel 1</v>
      </c>
    </row>
    <row r="14">
      <c r="A14" s="66"/>
      <c r="B14" s="87" t="s">
        <v>3037</v>
      </c>
      <c r="C14" s="112" t="s">
        <v>21</v>
      </c>
      <c r="D14" s="89" t="s">
        <v>3469</v>
      </c>
      <c r="E14" s="97" t="str">
        <f>HYPERLINK("https://youtu.be/fqm1EL3MNEk?t=6189","channel 2")</f>
        <v>channel 2</v>
      </c>
    </row>
    <row r="15">
      <c r="A15" s="66"/>
      <c r="B15" s="87" t="s">
        <v>2593</v>
      </c>
      <c r="C15" s="112" t="s">
        <v>68</v>
      </c>
      <c r="D15" s="89" t="s">
        <v>3318</v>
      </c>
      <c r="E15" s="97" t="str">
        <f>HYPERLINK("https://youtu.be/gt9uzaJFYkM?t=7314","channel 1")</f>
        <v>channel 1</v>
      </c>
    </row>
    <row r="16">
      <c r="A16" s="66"/>
      <c r="B16" s="87" t="s">
        <v>3304</v>
      </c>
      <c r="C16" s="112" t="s">
        <v>1190</v>
      </c>
      <c r="D16" s="89" t="s">
        <v>3469</v>
      </c>
      <c r="E16" s="97" t="str">
        <f>HYPERLINK("https://youtu.be/fqm1EL3MNEk?t=7120","channel 2")</f>
        <v>channel 2</v>
      </c>
    </row>
    <row r="17">
      <c r="A17" s="66"/>
      <c r="B17" s="87" t="s">
        <v>3037</v>
      </c>
      <c r="C17" s="112" t="s">
        <v>446</v>
      </c>
      <c r="D17" s="89" t="s">
        <v>3318</v>
      </c>
      <c r="E17" s="97" t="str">
        <f>HYPERLINK("https://youtu.be/gt9uzaJFYkM?t=8232","channel 1")</f>
        <v>channel 1</v>
      </c>
    </row>
    <row r="18">
      <c r="A18" s="66"/>
      <c r="B18" s="87" t="s">
        <v>2593</v>
      </c>
      <c r="C18" s="112" t="s">
        <v>466</v>
      </c>
      <c r="D18" s="89" t="s">
        <v>3469</v>
      </c>
      <c r="E18" s="97" t="str">
        <f>HYPERLINK("https://youtu.be/fqm1EL3MNEk?t=8057","channel 2")</f>
        <v>channel 2</v>
      </c>
    </row>
    <row r="19">
      <c r="A19" s="66"/>
      <c r="B19" s="87" t="s">
        <v>3304</v>
      </c>
      <c r="C19" s="112" t="s">
        <v>328</v>
      </c>
      <c r="D19" s="89" t="s">
        <v>3318</v>
      </c>
      <c r="E19" s="97" t="str">
        <f>HYPERLINK("https://youtu.be/gt9uzaJFYkM?t=9155","channel 1")</f>
        <v>channel 1</v>
      </c>
    </row>
    <row r="20">
      <c r="A20" s="66"/>
      <c r="B20" s="87" t="s">
        <v>2593</v>
      </c>
      <c r="C20" s="112" t="s">
        <v>38</v>
      </c>
      <c r="D20" s="89" t="s">
        <v>3037</v>
      </c>
      <c r="E20" s="97" t="str">
        <f>HYPERLINK("https://youtu.be/fqm1EL3MNEk?t=9061","channel 2")</f>
        <v>channel 2</v>
      </c>
    </row>
    <row r="21">
      <c r="A21" s="66"/>
      <c r="B21" s="87" t="s">
        <v>3469</v>
      </c>
      <c r="C21" s="112" t="s">
        <v>18</v>
      </c>
      <c r="D21" s="89" t="s">
        <v>3318</v>
      </c>
      <c r="E21" s="97" t="str">
        <f>HYPERLINK("https://youtu.be/gt9uzaJFYkM?t=10058","channel 1")</f>
        <v>channel 1</v>
      </c>
    </row>
    <row r="22">
      <c r="A22" s="66"/>
      <c r="B22" s="87" t="s">
        <v>3304</v>
      </c>
      <c r="C22" s="112" t="s">
        <v>38</v>
      </c>
      <c r="D22" s="89" t="s">
        <v>3037</v>
      </c>
      <c r="E22" s="97" t="str">
        <f>HYPERLINK("https://youtu.be/fqm1EL3MNEk?t=10055","channel 2")</f>
        <v>channel 2</v>
      </c>
    </row>
    <row r="23">
      <c r="A23" s="66"/>
      <c r="B23" s="28" t="s">
        <v>2586</v>
      </c>
      <c r="C23" s="2"/>
      <c r="D23" s="3"/>
      <c r="E23" s="29"/>
    </row>
    <row r="24">
      <c r="A24" s="6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6"/>
      <c r="B25" s="34" t="s">
        <v>761</v>
      </c>
      <c r="C25" s="33" t="s">
        <v>320</v>
      </c>
      <c r="D25" s="34" t="s">
        <v>1856</v>
      </c>
      <c r="E25" s="11" t="str">
        <f>HYPERLINK("https://youtu.be/3CEIJxAcqk4?t=1693","channel 1")</f>
        <v>channel 1</v>
      </c>
    </row>
    <row r="26">
      <c r="A26" s="66"/>
      <c r="B26" s="34" t="s">
        <v>1755</v>
      </c>
      <c r="C26" s="33" t="s">
        <v>297</v>
      </c>
      <c r="D26" s="34" t="s">
        <v>1757</v>
      </c>
      <c r="E26" s="99" t="s">
        <v>13</v>
      </c>
    </row>
    <row r="27">
      <c r="A27" s="66"/>
      <c r="B27" s="34" t="s">
        <v>3061</v>
      </c>
      <c r="C27" s="33" t="s">
        <v>18</v>
      </c>
      <c r="D27" s="34" t="s">
        <v>761</v>
      </c>
      <c r="E27" s="11" t="str">
        <f>HYPERLINK("https://youtu.be/3CEIJxAcqk4?t=2619","channel 1")</f>
        <v>channel 1</v>
      </c>
    </row>
    <row r="28">
      <c r="A28" s="66"/>
      <c r="B28" s="34" t="s">
        <v>1755</v>
      </c>
      <c r="C28" s="33" t="s">
        <v>321</v>
      </c>
      <c r="D28" s="34" t="s">
        <v>1856</v>
      </c>
      <c r="E28" s="99" t="s">
        <v>13</v>
      </c>
    </row>
    <row r="29">
      <c r="A29" s="66"/>
      <c r="B29" s="34" t="s">
        <v>3061</v>
      </c>
      <c r="C29" s="33" t="s">
        <v>52</v>
      </c>
      <c r="D29" s="34" t="s">
        <v>1757</v>
      </c>
      <c r="E29" s="11" t="str">
        <f>HYPERLINK("https://youtu.be/3CEIJxAcqk4?t=3666","channel 1")</f>
        <v>channel 1</v>
      </c>
    </row>
    <row r="30">
      <c r="A30" s="66"/>
      <c r="B30" s="34" t="s">
        <v>1755</v>
      </c>
      <c r="C30" s="33" t="s">
        <v>217</v>
      </c>
      <c r="D30" s="34" t="s">
        <v>761</v>
      </c>
      <c r="E30" s="99" t="s">
        <v>13</v>
      </c>
    </row>
    <row r="31">
      <c r="A31" s="66"/>
      <c r="B31" s="34" t="s">
        <v>3061</v>
      </c>
      <c r="C31" s="33" t="s">
        <v>196</v>
      </c>
      <c r="D31" s="34" t="s">
        <v>1856</v>
      </c>
      <c r="E31" s="11" t="str">
        <f>HYPERLINK("https://youtu.be/3CEIJxAcqk4?t=4584","channel 1")</f>
        <v>channel 1</v>
      </c>
    </row>
    <row r="32">
      <c r="A32" s="66"/>
      <c r="B32" s="34" t="s">
        <v>1757</v>
      </c>
      <c r="C32" s="33" t="s">
        <v>66</v>
      </c>
      <c r="D32" s="34" t="s">
        <v>761</v>
      </c>
      <c r="E32" s="99" t="s">
        <v>13</v>
      </c>
    </row>
    <row r="33">
      <c r="A33" s="66"/>
      <c r="B33" s="34" t="s">
        <v>3061</v>
      </c>
      <c r="C33" s="33" t="s">
        <v>1266</v>
      </c>
      <c r="D33" s="34" t="s">
        <v>1755</v>
      </c>
      <c r="E33" s="11" t="str">
        <f>HYPERLINK("https://youtu.be/3CEIJxAcqk4?t=5514","channel 1")</f>
        <v>channel 1</v>
      </c>
    </row>
    <row r="34">
      <c r="A34" s="66"/>
      <c r="B34" s="34" t="s">
        <v>1757</v>
      </c>
      <c r="C34" s="33" t="s">
        <v>78</v>
      </c>
      <c r="D34" s="34" t="s">
        <v>1856</v>
      </c>
      <c r="E34" s="99" t="s">
        <v>13</v>
      </c>
    </row>
    <row r="35">
      <c r="A35" s="66"/>
      <c r="B35" s="34" t="s">
        <v>1856</v>
      </c>
      <c r="C35" s="33" t="s">
        <v>232</v>
      </c>
      <c r="D35" s="34" t="s">
        <v>761</v>
      </c>
      <c r="E35" s="11" t="str">
        <f>HYPERLINK("https://youtu.be/3CEIJxAcqk4?t=6444","channel 1")</f>
        <v>channel 1</v>
      </c>
    </row>
    <row r="36">
      <c r="A36" s="66"/>
      <c r="B36" s="34" t="s">
        <v>1757</v>
      </c>
      <c r="C36" s="33" t="s">
        <v>41</v>
      </c>
      <c r="D36" s="34" t="s">
        <v>1755</v>
      </c>
      <c r="E36" s="99" t="s">
        <v>13</v>
      </c>
    </row>
    <row r="37">
      <c r="A37" s="66"/>
      <c r="B37" s="34" t="s">
        <v>761</v>
      </c>
      <c r="C37" s="33" t="s">
        <v>58</v>
      </c>
      <c r="D37" s="34" t="s">
        <v>3061</v>
      </c>
      <c r="E37" s="11" t="str">
        <f>HYPERLINK("https://youtu.be/3CEIJxAcqk4?t=7330","channel 1")</f>
        <v>channel 1</v>
      </c>
    </row>
    <row r="38">
      <c r="A38" s="66"/>
      <c r="B38" s="34" t="s">
        <v>1856</v>
      </c>
      <c r="C38" s="33" t="s">
        <v>331</v>
      </c>
      <c r="D38" s="34" t="s">
        <v>1755</v>
      </c>
      <c r="E38" s="99" t="s">
        <v>13</v>
      </c>
    </row>
    <row r="39">
      <c r="A39" s="66"/>
      <c r="B39" s="34" t="s">
        <v>1757</v>
      </c>
      <c r="C39" s="33" t="s">
        <v>494</v>
      </c>
      <c r="D39" s="34" t="s">
        <v>3061</v>
      </c>
      <c r="E39" s="11" t="str">
        <f>HYPERLINK("https://youtu.be/3CEIJxAcqk4?t=8273","channel 1")</f>
        <v>channel 1</v>
      </c>
    </row>
    <row r="40">
      <c r="A40" s="66"/>
      <c r="B40" s="34" t="s">
        <v>761</v>
      </c>
      <c r="C40" s="33" t="s">
        <v>291</v>
      </c>
      <c r="D40" s="34" t="s">
        <v>1755</v>
      </c>
      <c r="E40" s="99" t="s">
        <v>13</v>
      </c>
    </row>
    <row r="41">
      <c r="A41" s="66"/>
      <c r="B41" s="34" t="s">
        <v>1856</v>
      </c>
      <c r="C41" s="33" t="s">
        <v>304</v>
      </c>
      <c r="D41" s="34" t="s">
        <v>3061</v>
      </c>
      <c r="E41" s="11" t="str">
        <f>HYPERLINK("https://youtu.be/3CEIJxAcqk4?t=9183","channel 1")</f>
        <v>channel 1</v>
      </c>
    </row>
    <row r="42">
      <c r="A42" s="66"/>
      <c r="B42" s="34" t="s">
        <v>761</v>
      </c>
      <c r="C42" s="33" t="s">
        <v>28</v>
      </c>
      <c r="D42" s="34" t="s">
        <v>1757</v>
      </c>
      <c r="E42" s="99" t="s">
        <v>13</v>
      </c>
    </row>
    <row r="43">
      <c r="A43" s="66"/>
      <c r="B43" s="34" t="s">
        <v>1755</v>
      </c>
      <c r="C43" s="33" t="s">
        <v>217</v>
      </c>
      <c r="D43" s="34" t="s">
        <v>3061</v>
      </c>
      <c r="E43" s="11" t="str">
        <f>HYPERLINK("https://youtu.be/3CEIJxAcqk4?t=10086","channel 1")</f>
        <v>channel 1</v>
      </c>
    </row>
    <row r="44">
      <c r="A44" s="66"/>
      <c r="B44" s="34" t="s">
        <v>1856</v>
      </c>
      <c r="C44" s="33" t="s">
        <v>201</v>
      </c>
      <c r="D44" s="34" t="s">
        <v>1757</v>
      </c>
      <c r="E44" s="99" t="s">
        <v>13</v>
      </c>
    </row>
    <row r="45">
      <c r="A45" s="66"/>
      <c r="B45" s="72" t="s">
        <v>2370</v>
      </c>
      <c r="C45" s="2"/>
      <c r="D45" s="3"/>
      <c r="E45" s="29"/>
    </row>
    <row r="46">
      <c r="A46" s="66"/>
      <c r="B46" s="6" t="s">
        <v>2</v>
      </c>
      <c r="C46" s="6" t="s">
        <v>3</v>
      </c>
      <c r="D46" s="6" t="s">
        <v>4</v>
      </c>
      <c r="E46" s="6" t="s">
        <v>5</v>
      </c>
    </row>
    <row r="47">
      <c r="A47" s="66"/>
      <c r="B47" s="34" t="s">
        <v>3470</v>
      </c>
      <c r="C47" s="33" t="s">
        <v>218</v>
      </c>
      <c r="D47" s="34" t="s">
        <v>3471</v>
      </c>
      <c r="E47" s="11" t="str">
        <f>HYPERLINK("https://youtu.be/BtD8vd55k_4?t=1913","channel 1")</f>
        <v>channel 1</v>
      </c>
    </row>
    <row r="48">
      <c r="A48" s="66"/>
      <c r="B48" s="34" t="s">
        <v>3472</v>
      </c>
      <c r="C48" s="33" t="s">
        <v>282</v>
      </c>
      <c r="D48" s="34" t="s">
        <v>3081</v>
      </c>
      <c r="E48" s="11" t="str">
        <f>HYPERLINK("https://youtu.be/zATHGzx2sSo?t=1784","channel 2")</f>
        <v>channel 2</v>
      </c>
    </row>
    <row r="49">
      <c r="A49" s="66"/>
      <c r="B49" s="34" t="s">
        <v>3473</v>
      </c>
      <c r="C49" s="33" t="s">
        <v>87</v>
      </c>
      <c r="D49" s="34" t="s">
        <v>3470</v>
      </c>
      <c r="E49" s="11" t="str">
        <f>HYPERLINK("https://youtu.be/BtD8vd55k_4?t=2915","channel 1")</f>
        <v>channel 1</v>
      </c>
    </row>
    <row r="50">
      <c r="A50" s="66"/>
      <c r="B50" s="34" t="s">
        <v>3472</v>
      </c>
      <c r="C50" s="33" t="s">
        <v>411</v>
      </c>
      <c r="D50" s="34" t="s">
        <v>3471</v>
      </c>
      <c r="E50" s="11" t="str">
        <f>HYPERLINK("https://youtu.be/zATHGzx2sSo?t=2751","channel 2")</f>
        <v>channel 2</v>
      </c>
    </row>
    <row r="51">
      <c r="A51" s="66"/>
      <c r="B51" s="34" t="s">
        <v>3473</v>
      </c>
      <c r="C51" s="33" t="s">
        <v>289</v>
      </c>
      <c r="D51" s="34" t="s">
        <v>3081</v>
      </c>
      <c r="E51" s="11" t="str">
        <f>HYPERLINK("https://youtu.be/BtD8vd55k_4?t=3813","channel 1")</f>
        <v>channel 1</v>
      </c>
    </row>
    <row r="52">
      <c r="A52" s="66"/>
      <c r="B52" s="34" t="s">
        <v>3472</v>
      </c>
      <c r="C52" s="33" t="s">
        <v>20</v>
      </c>
      <c r="D52" s="34" t="s">
        <v>3470</v>
      </c>
      <c r="E52" s="11" t="str">
        <f>HYPERLINK("https://youtu.be/zATHGzx2sSo?t=3663","channel 2")</f>
        <v>channel 2</v>
      </c>
    </row>
    <row r="53">
      <c r="A53" s="66"/>
      <c r="B53" s="34" t="s">
        <v>3473</v>
      </c>
      <c r="C53" s="33" t="s">
        <v>412</v>
      </c>
      <c r="D53" s="34" t="s">
        <v>3471</v>
      </c>
      <c r="E53" s="11" t="str">
        <f>HYPERLINK("https://youtu.be/BtD8vd55k_4?t=4682","channel 1")</f>
        <v>channel 1</v>
      </c>
    </row>
    <row r="54">
      <c r="A54" s="66"/>
      <c r="B54" s="34" t="s">
        <v>3081</v>
      </c>
      <c r="C54" s="33" t="s">
        <v>11</v>
      </c>
      <c r="D54" s="34" t="s">
        <v>3470</v>
      </c>
      <c r="E54" s="11" t="str">
        <f>HYPERLINK("https://youtu.be/zATHGzx2sSo?t=4575","channel 2")</f>
        <v>channel 2</v>
      </c>
    </row>
    <row r="55">
      <c r="A55" s="66"/>
      <c r="B55" s="34" t="s">
        <v>3473</v>
      </c>
      <c r="C55" s="33" t="s">
        <v>17</v>
      </c>
      <c r="D55" s="34" t="s">
        <v>3472</v>
      </c>
      <c r="E55" s="11" t="str">
        <f>HYPERLINK("https://youtu.be/BtD8vd55k_4?t=5567","channel 1")</f>
        <v>channel 1</v>
      </c>
    </row>
    <row r="56">
      <c r="A56" s="66"/>
      <c r="B56" s="34" t="s">
        <v>3081</v>
      </c>
      <c r="C56" s="33" t="s">
        <v>49</v>
      </c>
      <c r="D56" s="34" t="s">
        <v>3471</v>
      </c>
      <c r="E56" s="11" t="str">
        <f>HYPERLINK("https://youtu.be/zATHGzx2sSo?t=5370","channel 2")</f>
        <v>channel 2</v>
      </c>
    </row>
    <row r="57">
      <c r="A57" s="66"/>
      <c r="B57" s="34" t="s">
        <v>3471</v>
      </c>
      <c r="C57" s="33" t="s">
        <v>258</v>
      </c>
      <c r="D57" s="34" t="s">
        <v>3470</v>
      </c>
      <c r="E57" s="11" t="str">
        <f>HYPERLINK("https://youtu.be/BtD8vd55k_4?t=6508","channel 1")</f>
        <v>channel 1</v>
      </c>
    </row>
    <row r="58">
      <c r="A58" s="66"/>
      <c r="B58" s="34" t="s">
        <v>3081</v>
      </c>
      <c r="C58" s="33" t="s">
        <v>62</v>
      </c>
      <c r="D58" s="34" t="s">
        <v>3472</v>
      </c>
      <c r="E58" s="11" t="str">
        <f>HYPERLINK("https://youtu.be/zATHGzx2sSo?t=6232","channel 2")</f>
        <v>channel 2</v>
      </c>
    </row>
    <row r="59">
      <c r="A59" s="66"/>
      <c r="B59" s="34" t="s">
        <v>3470</v>
      </c>
      <c r="C59" s="35" t="s">
        <v>14</v>
      </c>
      <c r="D59" s="34" t="s">
        <v>3473</v>
      </c>
      <c r="E59" s="11" t="str">
        <f>HYPERLINK("https://youtu.be/BtD8vd55k_4?t=6508","channel 1")</f>
        <v>channel 1</v>
      </c>
    </row>
    <row r="60">
      <c r="A60" s="66"/>
      <c r="B60" s="34" t="s">
        <v>3471</v>
      </c>
      <c r="C60" s="35" t="s">
        <v>261</v>
      </c>
      <c r="D60" s="34" t="s">
        <v>3472</v>
      </c>
      <c r="E60" s="11" t="str">
        <f>HYPERLINK("https://youtu.be/zATHGzx2sSo?t=7136","channel 2")</f>
        <v>channel 2</v>
      </c>
    </row>
    <row r="61">
      <c r="A61" s="66"/>
      <c r="B61" s="34" t="s">
        <v>3081</v>
      </c>
      <c r="C61" s="35" t="s">
        <v>67</v>
      </c>
      <c r="D61" s="34" t="s">
        <v>3473</v>
      </c>
      <c r="E61" s="11" t="str">
        <f>HYPERLINK("https://youtu.be/BtD8vd55k_4?t=8198","channel 1")</f>
        <v>channel 1</v>
      </c>
    </row>
    <row r="62">
      <c r="A62" s="66"/>
      <c r="B62" s="34" t="s">
        <v>3470</v>
      </c>
      <c r="C62" s="35" t="s">
        <v>250</v>
      </c>
      <c r="D62" s="34" t="s">
        <v>3472</v>
      </c>
      <c r="E62" s="11" t="str">
        <f>HYPERLINK("https://youtu.be/zATHGzx2sSo?t=8028","channel 2")</f>
        <v>channel 2</v>
      </c>
    </row>
    <row r="63">
      <c r="A63" s="66"/>
      <c r="B63" s="34" t="s">
        <v>3471</v>
      </c>
      <c r="C63" s="35" t="s">
        <v>400</v>
      </c>
      <c r="D63" s="34" t="s">
        <v>3473</v>
      </c>
      <c r="E63" s="11" t="str">
        <f>HYPERLINK("https://youtu.be/BtD8vd55k_4?t=9268","channel 1")</f>
        <v>channel 1</v>
      </c>
    </row>
    <row r="64">
      <c r="A64" s="66"/>
      <c r="B64" s="34" t="s">
        <v>3470</v>
      </c>
      <c r="C64" s="35" t="s">
        <v>218</v>
      </c>
      <c r="D64" s="34" t="s">
        <v>3081</v>
      </c>
      <c r="E64" s="11" t="str">
        <f>HYPERLINK("https://youtu.be/zATHGzx2sSo?t=9152","channel 2")</f>
        <v>channel 2</v>
      </c>
    </row>
    <row r="65">
      <c r="A65" s="66"/>
      <c r="B65" s="34" t="s">
        <v>3472</v>
      </c>
      <c r="C65" s="35" t="s">
        <v>239</v>
      </c>
      <c r="D65" s="34" t="s">
        <v>3473</v>
      </c>
      <c r="E65" s="11" t="str">
        <f>HYPERLINK("https://youtu.be/BtD8vd55k_4?t=10218","channel 1")</f>
        <v>channel 1</v>
      </c>
    </row>
    <row r="66">
      <c r="A66" s="66"/>
      <c r="B66" s="34" t="s">
        <v>3471</v>
      </c>
      <c r="C66" s="35" t="s">
        <v>25</v>
      </c>
      <c r="D66" s="34" t="s">
        <v>3081</v>
      </c>
      <c r="E66" s="11" t="str">
        <f>HYPERLINK("https://youtu.be/zATHGzx2sSo?t=10100","channel 2")</f>
        <v>channel 2</v>
      </c>
    </row>
    <row r="67">
      <c r="A67" s="66"/>
      <c r="B67" s="72" t="s">
        <v>2308</v>
      </c>
      <c r="C67" s="2"/>
      <c r="D67" s="3"/>
      <c r="E67" s="4"/>
    </row>
    <row r="68">
      <c r="A68" s="66"/>
      <c r="B68" s="16" t="s">
        <v>2</v>
      </c>
      <c r="C68" s="16" t="s">
        <v>3</v>
      </c>
      <c r="D68" s="16" t="s">
        <v>4</v>
      </c>
      <c r="E68" s="6" t="s">
        <v>5</v>
      </c>
    </row>
    <row r="69">
      <c r="A69" s="66"/>
      <c r="B69" s="32" t="s">
        <v>973</v>
      </c>
      <c r="C69" s="70" t="s">
        <v>270</v>
      </c>
      <c r="D69" s="32" t="s">
        <v>3474</v>
      </c>
      <c r="E69" s="11" t="str">
        <f>HYPERLINK("https://youtu.be/BtD8vd55k_4","channel 1")</f>
        <v>channel 1</v>
      </c>
    </row>
    <row r="70">
      <c r="A70" s="66"/>
      <c r="B70" s="32" t="s">
        <v>3475</v>
      </c>
      <c r="C70" s="70" t="s">
        <v>403</v>
      </c>
      <c r="D70" s="32" t="s">
        <v>2225</v>
      </c>
      <c r="E70" s="11" t="str">
        <f>HYPERLINK("https://youtu.be/sm3UNF1uGus?t=1614","channel 2")</f>
        <v>channel 2</v>
      </c>
    </row>
    <row r="71">
      <c r="A71" s="66"/>
      <c r="B71" s="32" t="s">
        <v>3295</v>
      </c>
      <c r="C71" s="70" t="s">
        <v>556</v>
      </c>
      <c r="D71" s="32" t="s">
        <v>973</v>
      </c>
      <c r="E71" s="11" t="str">
        <f>HYPERLINK("https://youtu.be/BtD8vd55k_4?t=2756","channel 1")</f>
        <v>channel 1</v>
      </c>
    </row>
    <row r="72">
      <c r="A72" s="66"/>
      <c r="B72" s="32" t="s">
        <v>3475</v>
      </c>
      <c r="C72" s="70" t="s">
        <v>857</v>
      </c>
      <c r="D72" s="32" t="s">
        <v>3474</v>
      </c>
      <c r="E72" s="11" t="str">
        <f>HYPERLINK("https://youtu.be/sm3UNF1uGus?t=2580","channel 2")</f>
        <v>channel 2</v>
      </c>
    </row>
    <row r="73">
      <c r="A73" s="66"/>
      <c r="B73" s="32" t="s">
        <v>3295</v>
      </c>
      <c r="C73" s="70" t="s">
        <v>81</v>
      </c>
      <c r="D73" s="32" t="s">
        <v>2225</v>
      </c>
      <c r="E73" s="11" t="str">
        <f>HYPERLINK("https://youtu.be/BtD8vd55k_4?t=3747","channel 1")</f>
        <v>channel 1</v>
      </c>
    </row>
    <row r="74">
      <c r="A74" s="66"/>
      <c r="B74" s="32" t="s">
        <v>3475</v>
      </c>
      <c r="C74" s="70" t="s">
        <v>47</v>
      </c>
      <c r="D74" s="32" t="s">
        <v>973</v>
      </c>
      <c r="E74" s="11" t="str">
        <f>HYPERLINK("https://youtu.be/sm3UNF1uGus?t=3481","channel 2")</f>
        <v>channel 2</v>
      </c>
    </row>
    <row r="75">
      <c r="A75" s="66"/>
      <c r="B75" s="32" t="s">
        <v>3295</v>
      </c>
      <c r="C75" s="70" t="s">
        <v>258</v>
      </c>
      <c r="D75" s="32" t="s">
        <v>3474</v>
      </c>
      <c r="E75" s="11" t="str">
        <f>HYPERLINK("https://youtu.be/BtD8vd55k_4?t=4677","channel 1")</f>
        <v>channel 1</v>
      </c>
    </row>
    <row r="76">
      <c r="A76" s="66"/>
      <c r="B76" s="32" t="s">
        <v>2225</v>
      </c>
      <c r="C76" s="70" t="s">
        <v>64</v>
      </c>
      <c r="D76" s="32" t="s">
        <v>973</v>
      </c>
      <c r="E76" s="11" t="str">
        <f>HYPERLINK("https://youtu.be/sm3UNF1uGus?t=4430","channel 2")</f>
        <v>channel 2</v>
      </c>
    </row>
    <row r="77">
      <c r="A77" s="66"/>
      <c r="B77" s="32" t="s">
        <v>3295</v>
      </c>
      <c r="C77" s="70" t="s">
        <v>284</v>
      </c>
      <c r="D77" s="32" t="s">
        <v>3475</v>
      </c>
      <c r="E77" s="11" t="str">
        <f>HYPERLINK("https://youtu.be/BtD8vd55k_4?t=5504","channel 1")</f>
        <v>channel 1</v>
      </c>
    </row>
    <row r="78">
      <c r="A78" s="66"/>
      <c r="B78" s="32" t="s">
        <v>2225</v>
      </c>
      <c r="C78" s="70" t="s">
        <v>190</v>
      </c>
      <c r="D78" s="32" t="s">
        <v>3474</v>
      </c>
      <c r="E78" s="11" t="str">
        <f>HYPERLINK("https://youtu.be/sm3UNF1uGus?t=5267","channel 2")</f>
        <v>channel 2</v>
      </c>
    </row>
    <row r="79">
      <c r="A79" s="66"/>
      <c r="B79" s="32" t="s">
        <v>3474</v>
      </c>
      <c r="C79" s="70" t="s">
        <v>319</v>
      </c>
      <c r="D79" s="32" t="s">
        <v>973</v>
      </c>
      <c r="E79" s="11" t="str">
        <f>HYPERLINK("https://youtu.be/BtD8vd55k_4?t=6496","channel 1")</f>
        <v>channel 1</v>
      </c>
    </row>
    <row r="80">
      <c r="A80" s="66"/>
      <c r="B80" s="32" t="s">
        <v>2225</v>
      </c>
      <c r="C80" s="70" t="s">
        <v>48</v>
      </c>
      <c r="D80" s="32" t="s">
        <v>3475</v>
      </c>
      <c r="E80" s="11" t="str">
        <f>HYPERLINK("https://youtu.be/sm3UNF1uGus?t=6279","channel 2")</f>
        <v>channel 2</v>
      </c>
    </row>
    <row r="81">
      <c r="A81" s="66"/>
      <c r="B81" s="32" t="s">
        <v>973</v>
      </c>
      <c r="C81" s="70" t="s">
        <v>2784</v>
      </c>
      <c r="D81" s="32" t="s">
        <v>3295</v>
      </c>
      <c r="E81" s="11" t="str">
        <f>HYPERLINK("https://youtu.be/BtD8vd55k_4?t=7308","channel 1")</f>
        <v>channel 1</v>
      </c>
    </row>
    <row r="82">
      <c r="A82" s="66"/>
      <c r="B82" s="32" t="s">
        <v>3474</v>
      </c>
      <c r="C82" s="70" t="s">
        <v>389</v>
      </c>
      <c r="D82" s="32" t="s">
        <v>3475</v>
      </c>
      <c r="E82" s="11" t="str">
        <f>HYPERLINK("https://youtu.be/sm3UNF1uGus?t=7200","channel 2")</f>
        <v>channel 2</v>
      </c>
    </row>
    <row r="83">
      <c r="A83" s="66"/>
      <c r="B83" s="32" t="s">
        <v>2225</v>
      </c>
      <c r="C83" s="70" t="s">
        <v>17</v>
      </c>
      <c r="D83" s="32" t="s">
        <v>3295</v>
      </c>
      <c r="E83" s="11" t="str">
        <f>HYPERLINK("https://youtu.be/BtD8vd55k_4?t=8097","channel 1")</f>
        <v>channel 1</v>
      </c>
    </row>
    <row r="84">
      <c r="A84" s="66"/>
      <c r="B84" s="32" t="s">
        <v>973</v>
      </c>
      <c r="C84" s="39" t="s">
        <v>69</v>
      </c>
      <c r="D84" s="32" t="s">
        <v>3475</v>
      </c>
      <c r="E84" s="11" t="str">
        <f>HYPERLINK("https://youtu.be/sm3UNF1uGus?t=8199","channel 2")</f>
        <v>channel 2</v>
      </c>
    </row>
    <row r="85">
      <c r="A85" s="66"/>
      <c r="B85" s="32" t="s">
        <v>3474</v>
      </c>
      <c r="C85" s="70" t="s">
        <v>268</v>
      </c>
      <c r="D85" s="32" t="s">
        <v>3295</v>
      </c>
      <c r="E85" s="11" t="str">
        <f>HYPERLINK("https://youtu.be/BtD8vd55k_4?t=9026","channel 1")</f>
        <v>channel 1</v>
      </c>
    </row>
    <row r="86">
      <c r="A86" s="66"/>
      <c r="B86" s="32" t="s">
        <v>973</v>
      </c>
      <c r="C86" s="70" t="s">
        <v>259</v>
      </c>
      <c r="D86" s="32" t="s">
        <v>2225</v>
      </c>
      <c r="E86" s="11" t="str">
        <f>HYPERLINK("https://youtu.be/sm3UNF1uGus?t=9124","channel 2")</f>
        <v>channel 2</v>
      </c>
    </row>
    <row r="87">
      <c r="A87" s="66"/>
      <c r="B87" s="32" t="s">
        <v>3475</v>
      </c>
      <c r="C87" s="70" t="s">
        <v>20</v>
      </c>
      <c r="D87" s="32" t="s">
        <v>3295</v>
      </c>
      <c r="E87" s="11" t="str">
        <f>HYPERLINK("https://youtu.be/BtD8vd55k_4?t=10096","channel 1")</f>
        <v>channel 1</v>
      </c>
    </row>
    <row r="88">
      <c r="A88" s="66"/>
      <c r="B88" s="32" t="s">
        <v>3474</v>
      </c>
      <c r="C88" s="70" t="s">
        <v>312</v>
      </c>
      <c r="D88" s="32" t="s">
        <v>2225</v>
      </c>
      <c r="E88" s="11" t="str">
        <f>HYPERLINK("https://youtu.be/sm3UNF1uGus?t=10026","channel 2")</f>
        <v>channel 2</v>
      </c>
    </row>
    <row r="89">
      <c r="A89" s="66"/>
      <c r="B89" s="72" t="s">
        <v>2828</v>
      </c>
      <c r="C89" s="2"/>
      <c r="D89" s="3"/>
      <c r="E89" s="4"/>
    </row>
    <row r="90">
      <c r="A90" s="66"/>
      <c r="B90" s="16" t="s">
        <v>2</v>
      </c>
      <c r="C90" s="16" t="s">
        <v>3</v>
      </c>
      <c r="D90" s="16" t="s">
        <v>4</v>
      </c>
      <c r="E90" s="6" t="s">
        <v>5</v>
      </c>
    </row>
    <row r="91">
      <c r="A91" s="66"/>
      <c r="B91" s="32" t="s">
        <v>474</v>
      </c>
      <c r="C91" s="70" t="s">
        <v>55</v>
      </c>
      <c r="D91" s="32" t="s">
        <v>3476</v>
      </c>
      <c r="E91" s="11" t="str">
        <f>HYPERLINK("https://youtu.be/aY4qBpR0DKM","channel 3")</f>
        <v>channel 3</v>
      </c>
    </row>
    <row r="92">
      <c r="A92" s="66"/>
      <c r="B92" s="32" t="s">
        <v>3477</v>
      </c>
      <c r="C92" s="70" t="s">
        <v>285</v>
      </c>
      <c r="D92" s="32" t="s">
        <v>3478</v>
      </c>
      <c r="E92" s="11" t="str">
        <f>HYPERLINK("https://youtu.be/ln-TQFJIQ0I","channel 4")</f>
        <v>channel 4</v>
      </c>
    </row>
    <row r="93">
      <c r="A93" s="66"/>
      <c r="B93" s="32" t="s">
        <v>3113</v>
      </c>
      <c r="C93" s="70" t="s">
        <v>195</v>
      </c>
      <c r="D93" s="32" t="s">
        <v>474</v>
      </c>
      <c r="E93" s="11" t="str">
        <f>HYPERLINK("https://youtu.be/aY4qBpR0DKM?t=962","channel 3")</f>
        <v>channel 3</v>
      </c>
    </row>
    <row r="94">
      <c r="A94" s="66"/>
      <c r="B94" s="32" t="s">
        <v>3477</v>
      </c>
      <c r="C94" s="70" t="s">
        <v>195</v>
      </c>
      <c r="D94" s="32" t="s">
        <v>3476</v>
      </c>
      <c r="E94" s="11" t="str">
        <f>HYPERLINK("https://youtu.be/ln-TQFJIQ0I?t=1091","channel 4")</f>
        <v>channel 4</v>
      </c>
    </row>
    <row r="95">
      <c r="A95" s="66"/>
      <c r="B95" s="32" t="s">
        <v>3113</v>
      </c>
      <c r="C95" s="70" t="s">
        <v>16</v>
      </c>
      <c r="D95" s="32" t="s">
        <v>3478</v>
      </c>
      <c r="E95" s="11" t="str">
        <f>HYPERLINK("https://youtu.be/aY4qBpR0DKM?t=1851","channel 3")</f>
        <v>channel 3</v>
      </c>
    </row>
    <row r="96">
      <c r="A96" s="66"/>
      <c r="B96" s="91" t="s">
        <v>3477</v>
      </c>
      <c r="C96" s="70" t="s">
        <v>31</v>
      </c>
      <c r="D96" s="91" t="s">
        <v>474</v>
      </c>
      <c r="E96" s="11" t="str">
        <f>HYPERLINK("https://youtu.be/ln-TQFJIQ0I?t=1961","channel 4")</f>
        <v>channel 4</v>
      </c>
    </row>
    <row r="97">
      <c r="A97" s="66"/>
      <c r="B97" s="32" t="s">
        <v>3113</v>
      </c>
      <c r="C97" s="70" t="s">
        <v>14</v>
      </c>
      <c r="D97" s="32" t="s">
        <v>3476</v>
      </c>
      <c r="E97" s="11" t="str">
        <f>HYPERLINK("https://youtu.be/aY4qBpR0DKM?t=2783","channel 3")</f>
        <v>channel 3</v>
      </c>
    </row>
    <row r="98">
      <c r="A98" s="66"/>
      <c r="B98" s="91" t="s">
        <v>3478</v>
      </c>
      <c r="C98" s="70" t="s">
        <v>195</v>
      </c>
      <c r="D98" s="91" t="s">
        <v>474</v>
      </c>
      <c r="E98" s="11" t="str">
        <f>HYPERLINK("https://youtu.be/ln-TQFJIQ0I?t=2837","channel 4")</f>
        <v>channel 4</v>
      </c>
    </row>
    <row r="99">
      <c r="A99" s="66"/>
      <c r="B99" s="32" t="s">
        <v>3113</v>
      </c>
      <c r="C99" s="70" t="s">
        <v>239</v>
      </c>
      <c r="D99" s="32" t="s">
        <v>3477</v>
      </c>
      <c r="E99" s="11" t="str">
        <f>HYPERLINK("https://youtu.be/aY4qBpR0DKM?t=3710","channel 3")</f>
        <v>channel 3</v>
      </c>
    </row>
    <row r="100">
      <c r="A100" s="66"/>
      <c r="B100" s="32" t="s">
        <v>3478</v>
      </c>
      <c r="C100" s="70" t="s">
        <v>18</v>
      </c>
      <c r="D100" s="32" t="s">
        <v>3476</v>
      </c>
      <c r="E100" s="11" t="str">
        <f>HYPERLINK("https://youtu.be/ln-TQFJIQ0I?t=3785","channel 4")</f>
        <v>channel 4</v>
      </c>
    </row>
    <row r="101">
      <c r="A101" s="66"/>
      <c r="B101" s="32" t="s">
        <v>3476</v>
      </c>
      <c r="C101" s="70" t="s">
        <v>426</v>
      </c>
      <c r="D101" s="32" t="s">
        <v>474</v>
      </c>
      <c r="E101" s="11" t="str">
        <f>HYPERLINK("https://youtu.be/aY4qBpR0DKM?t=4615","channel 3")</f>
        <v>channel 3</v>
      </c>
    </row>
    <row r="102">
      <c r="A102" s="66"/>
      <c r="B102" s="91" t="s">
        <v>3478</v>
      </c>
      <c r="C102" s="70" t="s">
        <v>212</v>
      </c>
      <c r="D102" s="91" t="s">
        <v>3477</v>
      </c>
      <c r="E102" s="11" t="str">
        <f>HYPERLINK("https://youtu.be/ln-TQFJIQ0I?t=4707","channel 4")</f>
        <v>channel 4</v>
      </c>
    </row>
    <row r="103">
      <c r="A103" s="66"/>
      <c r="B103" s="32" t="s">
        <v>474</v>
      </c>
      <c r="C103" s="70" t="s">
        <v>195</v>
      </c>
      <c r="D103" s="32" t="s">
        <v>3113</v>
      </c>
      <c r="E103" s="11" t="str">
        <f>HYPERLINK("https://youtu.be/aY4qBpR0DKM?t=5543","channel 3")</f>
        <v>channel 3</v>
      </c>
    </row>
    <row r="104">
      <c r="A104" s="66"/>
      <c r="B104" s="32" t="s">
        <v>3476</v>
      </c>
      <c r="C104" s="70" t="s">
        <v>196</v>
      </c>
      <c r="D104" s="32" t="s">
        <v>3477</v>
      </c>
      <c r="E104" s="11" t="str">
        <f>HYPERLINK("https://youtu.be/ln-TQFJIQ0I?t=5684","channel 4")</f>
        <v>channel 4</v>
      </c>
    </row>
    <row r="105">
      <c r="A105" s="66"/>
      <c r="B105" s="32" t="s">
        <v>3478</v>
      </c>
      <c r="C105" s="70" t="s">
        <v>80</v>
      </c>
      <c r="D105" s="32" t="s">
        <v>3113</v>
      </c>
      <c r="E105" s="11" t="str">
        <f>HYPERLINK("https://youtu.be/aY4qBpR0DKM?t=6463","channel 3")</f>
        <v>channel 3</v>
      </c>
    </row>
    <row r="106">
      <c r="A106" s="66"/>
      <c r="B106" s="32" t="s">
        <v>474</v>
      </c>
      <c r="C106" s="70" t="s">
        <v>69</v>
      </c>
      <c r="D106" s="32" t="s">
        <v>3477</v>
      </c>
      <c r="E106" s="11" t="str">
        <f>HYPERLINK("https://youtu.be/ln-TQFJIQ0I?t=6649","channel 4")</f>
        <v>channel 4</v>
      </c>
    </row>
    <row r="107">
      <c r="A107" s="66"/>
      <c r="B107" s="32" t="s">
        <v>3476</v>
      </c>
      <c r="C107" s="70" t="s">
        <v>857</v>
      </c>
      <c r="D107" s="32" t="s">
        <v>3113</v>
      </c>
      <c r="E107" s="11" t="str">
        <f>HYPERLINK("https://youtu.be/aY4qBpR0DKM?t=7417","channel 3")</f>
        <v>channel 3</v>
      </c>
    </row>
    <row r="108">
      <c r="A108" s="66"/>
      <c r="B108" s="32" t="s">
        <v>474</v>
      </c>
      <c r="C108" s="70" t="s">
        <v>88</v>
      </c>
      <c r="D108" s="32" t="s">
        <v>3478</v>
      </c>
      <c r="E108" s="11" t="str">
        <f>HYPERLINK("https://youtu.be/ln-TQFJIQ0I?t=7492","channel 4")</f>
        <v>channel 4</v>
      </c>
    </row>
    <row r="109">
      <c r="A109" s="66"/>
      <c r="B109" s="32" t="s">
        <v>3477</v>
      </c>
      <c r="C109" s="70" t="s">
        <v>802</v>
      </c>
      <c r="D109" s="32" t="s">
        <v>3113</v>
      </c>
      <c r="E109" s="11" t="str">
        <f>HYPERLINK("https://youtu.be/aY4qBpR0DKM?t=8328","channel 3")</f>
        <v>channel 3</v>
      </c>
    </row>
    <row r="110">
      <c r="A110" s="66"/>
      <c r="B110" s="32" t="s">
        <v>3476</v>
      </c>
      <c r="C110" s="70" t="s">
        <v>238</v>
      </c>
      <c r="D110" s="32" t="s">
        <v>3478</v>
      </c>
      <c r="E110" s="11" t="str">
        <f>HYPERLINK("https://youtu.be/ln-TQFJIQ0I?t=8401","channel 4")</f>
        <v>channel 4</v>
      </c>
    </row>
    <row r="111">
      <c r="A111" s="66"/>
      <c r="B111" s="72" t="s">
        <v>2646</v>
      </c>
      <c r="C111" s="2"/>
      <c r="D111" s="3"/>
      <c r="E111" s="4"/>
    </row>
    <row r="112">
      <c r="A112" s="66"/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A113" s="66"/>
      <c r="B113" s="32" t="s">
        <v>1900</v>
      </c>
      <c r="C113" s="70" t="s">
        <v>412</v>
      </c>
      <c r="D113" s="32" t="s">
        <v>1603</v>
      </c>
      <c r="E113" s="44" t="str">
        <f>HYPERLINK("https://youtu.be/GPgJNzifeG4","channel 3")</f>
        <v>channel 3</v>
      </c>
    </row>
    <row r="114">
      <c r="A114" s="66"/>
      <c r="B114" s="32" t="s">
        <v>2031</v>
      </c>
      <c r="C114" s="70" t="s">
        <v>260</v>
      </c>
      <c r="D114" s="32" t="s">
        <v>3479</v>
      </c>
      <c r="E114" s="115" t="str">
        <f>HYPERLINK("https://youtu.be/WHf6IzRMCX4","channel 4")</f>
        <v>channel 4</v>
      </c>
    </row>
    <row r="115">
      <c r="A115" s="66"/>
      <c r="B115" s="32" t="s">
        <v>3480</v>
      </c>
      <c r="C115" s="70" t="s">
        <v>520</v>
      </c>
      <c r="D115" s="32" t="s">
        <v>1900</v>
      </c>
      <c r="E115" s="44" t="str">
        <f>HYPERLINK("https://youtu.be/GPgJNzifeG4?t=955","channel 3")</f>
        <v>channel 3</v>
      </c>
    </row>
    <row r="116">
      <c r="A116" s="66"/>
      <c r="B116" s="32" t="s">
        <v>2031</v>
      </c>
      <c r="C116" s="70" t="s">
        <v>284</v>
      </c>
      <c r="D116" s="32" t="s">
        <v>1603</v>
      </c>
      <c r="E116" s="115" t="str">
        <f>HYPERLINK("https://youtu.be/WHf6IzRMCX4?t=1002","channel 4")</f>
        <v>channel 4</v>
      </c>
    </row>
    <row r="117">
      <c r="A117" s="66"/>
      <c r="B117" s="32" t="s">
        <v>3480</v>
      </c>
      <c r="C117" s="70" t="s">
        <v>201</v>
      </c>
      <c r="D117" s="32" t="s">
        <v>3479</v>
      </c>
      <c r="E117" s="44" t="str">
        <f>HYPERLINK("https://youtu.be/GPgJNzifeG4?t=1892","channel 3")</f>
        <v>channel 3</v>
      </c>
    </row>
    <row r="118">
      <c r="A118" s="66"/>
      <c r="B118" s="91" t="s">
        <v>2031</v>
      </c>
      <c r="C118" s="70" t="s">
        <v>22</v>
      </c>
      <c r="D118" s="91" t="s">
        <v>1900</v>
      </c>
      <c r="E118" s="115" t="str">
        <f>HYPERLINK("https://youtu.be/WHf6IzRMCX4?t=1964","channel 4")</f>
        <v>channel 4</v>
      </c>
    </row>
    <row r="119">
      <c r="A119" s="66"/>
      <c r="B119" s="32" t="s">
        <v>3480</v>
      </c>
      <c r="C119" s="70" t="s">
        <v>220</v>
      </c>
      <c r="D119" s="32" t="s">
        <v>1603</v>
      </c>
      <c r="E119" s="44" t="str">
        <f>HYPERLINK("https://youtu.be/GPgJNzifeG4?t=2827","channel 3")</f>
        <v>channel 3</v>
      </c>
    </row>
    <row r="120">
      <c r="A120" s="66"/>
      <c r="B120" s="91" t="s">
        <v>3479</v>
      </c>
      <c r="C120" s="70" t="s">
        <v>81</v>
      </c>
      <c r="D120" s="91" t="s">
        <v>1900</v>
      </c>
      <c r="E120" s="115" t="str">
        <f>HYPERLINK("https://youtu.be/WHf6IzRMCX4?t=2872","channel 4")</f>
        <v>channel 4</v>
      </c>
    </row>
    <row r="121">
      <c r="A121" s="66"/>
      <c r="B121" s="32" t="s">
        <v>3480</v>
      </c>
      <c r="C121" s="70" t="s">
        <v>81</v>
      </c>
      <c r="D121" s="32" t="s">
        <v>2031</v>
      </c>
      <c r="E121" s="44" t="str">
        <f>HYPERLINK("https://youtu.be/GPgJNzifeG4?t=3732","channel 3")</f>
        <v>channel 3</v>
      </c>
    </row>
    <row r="122">
      <c r="A122" s="66"/>
      <c r="B122" s="91" t="s">
        <v>3479</v>
      </c>
      <c r="C122" s="70" t="s">
        <v>195</v>
      </c>
      <c r="D122" s="91" t="s">
        <v>1603</v>
      </c>
      <c r="E122" s="115" t="str">
        <f>HYPERLINK("https://youtu.be/WHf6IzRMCX4?t=3819","channel 4")</f>
        <v>channel 4</v>
      </c>
    </row>
    <row r="123">
      <c r="A123" s="66"/>
      <c r="B123" s="32" t="s">
        <v>1603</v>
      </c>
      <c r="C123" s="70" t="s">
        <v>193</v>
      </c>
      <c r="D123" s="32" t="s">
        <v>1900</v>
      </c>
      <c r="E123" s="44" t="str">
        <f>HYPERLINK("https://youtu.be/GPgJNzifeG4?t=4623","channel 3")</f>
        <v>channel 3</v>
      </c>
    </row>
    <row r="124">
      <c r="A124" s="66"/>
      <c r="B124" s="91" t="s">
        <v>3479</v>
      </c>
      <c r="C124" s="70" t="s">
        <v>578</v>
      </c>
      <c r="D124" s="91" t="s">
        <v>2031</v>
      </c>
      <c r="E124" s="115" t="str">
        <f>HYPERLINK("https://youtu.be/WHf6IzRMCX4?t=4752","channel 4")</f>
        <v>channel 4</v>
      </c>
    </row>
    <row r="125">
      <c r="A125" s="66"/>
      <c r="B125" s="32" t="s">
        <v>1900</v>
      </c>
      <c r="C125" s="70" t="s">
        <v>14</v>
      </c>
      <c r="D125" s="32" t="s">
        <v>3480</v>
      </c>
      <c r="E125" s="44" t="str">
        <f>HYPERLINK("https://youtu.be/GPgJNzifeG4?t=5530","channel 3")</f>
        <v>channel 3</v>
      </c>
    </row>
    <row r="126">
      <c r="A126" s="66"/>
      <c r="B126" s="91" t="s">
        <v>1603</v>
      </c>
      <c r="C126" s="70" t="s">
        <v>201</v>
      </c>
      <c r="D126" s="91" t="s">
        <v>2031</v>
      </c>
      <c r="E126" s="115" t="str">
        <f>HYPERLINK("https://youtu.be/WHf6IzRMCX4?t=5655","channel 4")</f>
        <v>channel 4</v>
      </c>
    </row>
    <row r="127">
      <c r="A127" s="66"/>
      <c r="B127" s="32" t="s">
        <v>3479</v>
      </c>
      <c r="C127" s="70" t="s">
        <v>239</v>
      </c>
      <c r="D127" s="32" t="s">
        <v>3480</v>
      </c>
      <c r="E127" s="44" t="str">
        <f>HYPERLINK("https://youtu.be/GPgJNzifeG4?t=6465","channel 3")</f>
        <v>channel 3</v>
      </c>
    </row>
    <row r="128">
      <c r="A128" s="66"/>
      <c r="B128" s="91" t="s">
        <v>1900</v>
      </c>
      <c r="C128" s="70" t="s">
        <v>312</v>
      </c>
      <c r="D128" s="91" t="s">
        <v>2031</v>
      </c>
      <c r="E128" s="115" t="str">
        <f>HYPERLINK("https://youtu.be/WHf6IzRMCX4?t=6556","channel 4")</f>
        <v>channel 4</v>
      </c>
    </row>
    <row r="129">
      <c r="A129" s="66"/>
      <c r="B129" s="91" t="s">
        <v>1603</v>
      </c>
      <c r="C129" s="70" t="s">
        <v>68</v>
      </c>
      <c r="D129" s="91" t="s">
        <v>3480</v>
      </c>
      <c r="E129" s="44" t="str">
        <f>HYPERLINK("https://youtu.be/GPgJNzifeG4?t=7441","channel 3")</f>
        <v>channel 3</v>
      </c>
    </row>
    <row r="130">
      <c r="A130" s="66"/>
      <c r="B130" s="91" t="s">
        <v>1900</v>
      </c>
      <c r="C130" s="70" t="s">
        <v>14</v>
      </c>
      <c r="D130" s="91" t="s">
        <v>3479</v>
      </c>
      <c r="E130" s="116" t="str">
        <f>HYPERLINK("https://youtu.be/WHf6IzRMCX4?t=7480","channel 4")</f>
        <v>channel 4</v>
      </c>
    </row>
    <row r="131">
      <c r="A131" s="66"/>
      <c r="B131" s="32" t="s">
        <v>2031</v>
      </c>
      <c r="C131" s="70" t="s">
        <v>81</v>
      </c>
      <c r="D131" s="32" t="s">
        <v>3480</v>
      </c>
      <c r="E131" s="44" t="str">
        <f>HYPERLINK("https://youtu.be/GPgJNzifeG4?t=8322","channel 3")</f>
        <v>channel 3</v>
      </c>
    </row>
    <row r="132">
      <c r="A132" s="67"/>
      <c r="B132" s="91" t="s">
        <v>1603</v>
      </c>
      <c r="C132" s="70" t="s">
        <v>291</v>
      </c>
      <c r="D132" s="91" t="s">
        <v>3479</v>
      </c>
      <c r="E132" s="115" t="str">
        <f>HYPERLINK("https://youtu.be/WHf6IzRMCX4?t=8425","channel 4")</f>
        <v>channel 4</v>
      </c>
    </row>
    <row r="133">
      <c r="B133" s="72" t="s">
        <v>2554</v>
      </c>
      <c r="C133" s="2"/>
      <c r="D133" s="3"/>
      <c r="E133" s="4"/>
    </row>
    <row r="134">
      <c r="B134" s="16" t="s">
        <v>2</v>
      </c>
      <c r="C134" s="16" t="s">
        <v>3</v>
      </c>
      <c r="D134" s="16" t="s">
        <v>4</v>
      </c>
      <c r="E134" s="16" t="s">
        <v>5</v>
      </c>
    </row>
    <row r="135">
      <c r="B135" s="32" t="s">
        <v>3407</v>
      </c>
      <c r="C135" s="70" t="s">
        <v>412</v>
      </c>
      <c r="D135" s="32" t="s">
        <v>3481</v>
      </c>
      <c r="E135" s="11" t="str">
        <f>HYPERLINK("https://youtu.be/TREukcgO3v8","channel 1")</f>
        <v>channel 1</v>
      </c>
    </row>
    <row r="136">
      <c r="B136" s="32" t="s">
        <v>1206</v>
      </c>
      <c r="C136" s="70" t="s">
        <v>64</v>
      </c>
      <c r="D136" s="32" t="s">
        <v>3482</v>
      </c>
      <c r="E136" s="11" t="str">
        <f>HYPERLINK("https://youtu.be/hqY_XPRgjOM","channel 2")</f>
        <v>channel 2</v>
      </c>
    </row>
    <row r="137">
      <c r="B137" s="32" t="s">
        <v>3248</v>
      </c>
      <c r="C137" s="70" t="s">
        <v>1566</v>
      </c>
      <c r="D137" s="32" t="s">
        <v>3407</v>
      </c>
      <c r="E137" s="11" t="str">
        <f>HYPERLINK("https://youtu.be/TREukcgO3v8?t=828","channel 1")</f>
        <v>channel 1</v>
      </c>
    </row>
    <row r="138">
      <c r="B138" s="32" t="s">
        <v>1206</v>
      </c>
      <c r="C138" s="70" t="s">
        <v>260</v>
      </c>
      <c r="D138" s="32" t="s">
        <v>3481</v>
      </c>
      <c r="E138" s="11" t="str">
        <f>HYPERLINK("https://youtu.be/hqY_XPRgjOM?t=1012","channel 2")</f>
        <v>channel 2</v>
      </c>
    </row>
    <row r="139">
      <c r="B139" s="32" t="s">
        <v>3248</v>
      </c>
      <c r="C139" s="70" t="s">
        <v>47</v>
      </c>
      <c r="D139" s="32" t="s">
        <v>3482</v>
      </c>
      <c r="E139" s="11" t="str">
        <f>HYPERLINK("https://youtu.be/TREukcgO3v8?t=1694","channel 1")</f>
        <v>channel 1</v>
      </c>
    </row>
    <row r="140">
      <c r="B140" s="32" t="s">
        <v>1206</v>
      </c>
      <c r="C140" s="70" t="s">
        <v>274</v>
      </c>
      <c r="D140" s="32" t="s">
        <v>3407</v>
      </c>
      <c r="E140" s="11" t="str">
        <f>HYPERLINK("https://youtu.be/hqY_XPRgjOM?t=1964","channel 2")</f>
        <v>channel 2</v>
      </c>
    </row>
    <row r="141">
      <c r="B141" s="32" t="s">
        <v>3248</v>
      </c>
      <c r="C141" s="70" t="s">
        <v>16</v>
      </c>
      <c r="D141" s="32" t="s">
        <v>3481</v>
      </c>
      <c r="E141" s="11" t="str">
        <f>HYPERLINK("https://youtu.be/TREukcgO3v8?t=2754","channel 1")</f>
        <v>channel 1</v>
      </c>
    </row>
    <row r="142">
      <c r="B142" s="32" t="s">
        <v>3482</v>
      </c>
      <c r="C142" s="70" t="s">
        <v>724</v>
      </c>
      <c r="D142" s="32" t="s">
        <v>3407</v>
      </c>
      <c r="E142" s="11" t="str">
        <f>HYPERLINK("https://youtu.be/hqY_XPRgjOM?t=2892","channel 2")</f>
        <v>channel 2</v>
      </c>
    </row>
    <row r="143">
      <c r="B143" s="32" t="s">
        <v>3248</v>
      </c>
      <c r="C143" s="70" t="s">
        <v>16</v>
      </c>
      <c r="D143" s="32" t="s">
        <v>1206</v>
      </c>
      <c r="E143" s="11" t="str">
        <f>HYPERLINK("https://youtu.be/TREukcgO3v8?t=3579","channel 1")</f>
        <v>channel 1</v>
      </c>
    </row>
    <row r="144">
      <c r="B144" s="32" t="s">
        <v>3482</v>
      </c>
      <c r="C144" s="70" t="s">
        <v>35</v>
      </c>
      <c r="D144" s="32" t="s">
        <v>3481</v>
      </c>
      <c r="E144" s="11" t="str">
        <f>HYPERLINK("https://youtu.be/hqY_XPRgjOM?t=3826","channel 2")</f>
        <v>channel 2</v>
      </c>
    </row>
    <row r="145">
      <c r="B145" s="32" t="s">
        <v>3481</v>
      </c>
      <c r="C145" s="70" t="s">
        <v>70</v>
      </c>
      <c r="D145" s="32" t="s">
        <v>3407</v>
      </c>
      <c r="E145" s="11" t="str">
        <f>HYPERLINK("https://youtu.be/TREukcgO3v8?t=4632","channel 1")</f>
        <v>channel 1</v>
      </c>
    </row>
    <row r="146">
      <c r="B146" s="32" t="s">
        <v>3482</v>
      </c>
      <c r="C146" s="70" t="s">
        <v>201</v>
      </c>
      <c r="D146" s="32" t="s">
        <v>1206</v>
      </c>
      <c r="E146" s="11" t="str">
        <f>HYPERLINK("https://youtu.be/hqY_XPRgjOM?t=4839","channel 2")</f>
        <v>channel 2</v>
      </c>
    </row>
    <row r="147">
      <c r="B147" s="32" t="s">
        <v>3407</v>
      </c>
      <c r="C147" s="70" t="s">
        <v>65</v>
      </c>
      <c r="D147" s="32" t="s">
        <v>3248</v>
      </c>
      <c r="E147" s="11" t="str">
        <f>HYPERLINK("https://youtu.be/TREukcgO3v8?t=5527","channel 1")</f>
        <v>channel 1</v>
      </c>
    </row>
    <row r="148">
      <c r="B148" s="32" t="s">
        <v>3481</v>
      </c>
      <c r="C148" s="70" t="s">
        <v>68</v>
      </c>
      <c r="D148" s="32" t="s">
        <v>1206</v>
      </c>
      <c r="E148" s="11" t="str">
        <f>HYPERLINK("https://youtu.be/hqY_XPRgjOM?t=5779","channel 2")</f>
        <v>channel 2</v>
      </c>
    </row>
    <row r="149">
      <c r="B149" s="32" t="s">
        <v>3482</v>
      </c>
      <c r="C149" s="70" t="s">
        <v>38</v>
      </c>
      <c r="D149" s="32" t="s">
        <v>3248</v>
      </c>
      <c r="E149" s="11" t="str">
        <f>HYPERLINK("https://youtu.be/TREukcgO3v8?t=6492","channel 1")</f>
        <v>channel 1</v>
      </c>
    </row>
    <row r="150">
      <c r="B150" s="32" t="s">
        <v>3407</v>
      </c>
      <c r="C150" s="70" t="s">
        <v>218</v>
      </c>
      <c r="D150" s="32" t="s">
        <v>1206</v>
      </c>
      <c r="E150" s="11" t="str">
        <f>HYPERLINK("https://youtu.be/hqY_XPRgjOM?t=6702","channel 2")</f>
        <v>channel 2</v>
      </c>
    </row>
    <row r="151">
      <c r="B151" s="32" t="s">
        <v>3481</v>
      </c>
      <c r="C151" s="70" t="s">
        <v>1005</v>
      </c>
      <c r="D151" s="32" t="s">
        <v>3248</v>
      </c>
      <c r="E151" s="11" t="str">
        <f>HYPERLINK("https://youtu.be/TREukcgO3v8?t=7420","channel 1")</f>
        <v>channel 1</v>
      </c>
    </row>
    <row r="152">
      <c r="B152" s="32" t="s">
        <v>3407</v>
      </c>
      <c r="C152" s="70" t="s">
        <v>258</v>
      </c>
      <c r="D152" s="32" t="s">
        <v>3482</v>
      </c>
      <c r="E152" s="11" t="str">
        <f>HYPERLINK("https://youtu.be/hqY_XPRgjOM?t=7629","channel 2")</f>
        <v>channel 2</v>
      </c>
    </row>
    <row r="153">
      <c r="B153" s="32" t="s">
        <v>1206</v>
      </c>
      <c r="C153" s="70" t="s">
        <v>66</v>
      </c>
      <c r="D153" s="32" t="s">
        <v>3248</v>
      </c>
      <c r="E153" s="11" t="str">
        <f>HYPERLINK("https://youtu.be/TREukcgO3v8?t=8395","channel 1")</f>
        <v>channel 1</v>
      </c>
    </row>
    <row r="154">
      <c r="B154" s="32" t="s">
        <v>3481</v>
      </c>
      <c r="C154" s="70" t="s">
        <v>62</v>
      </c>
      <c r="D154" s="32" t="s">
        <v>3482</v>
      </c>
      <c r="E154" s="11" t="str">
        <f>HYPERLINK("https://youtu.be/hqY_XPRgjOM?t=8554","channel 2")</f>
        <v>channel 2</v>
      </c>
    </row>
    <row r="155">
      <c r="B155" s="72" t="s">
        <v>1685</v>
      </c>
      <c r="C155" s="2"/>
      <c r="D155" s="3"/>
      <c r="E155" s="4"/>
    </row>
    <row r="156">
      <c r="B156" s="16" t="s">
        <v>2</v>
      </c>
      <c r="C156" s="16" t="s">
        <v>3</v>
      </c>
      <c r="D156" s="16" t="s">
        <v>4</v>
      </c>
      <c r="E156" s="16" t="s">
        <v>5</v>
      </c>
    </row>
    <row r="157">
      <c r="B157" s="32" t="s">
        <v>3421</v>
      </c>
      <c r="C157" s="70" t="s">
        <v>304</v>
      </c>
      <c r="D157" s="32" t="s">
        <v>3483</v>
      </c>
      <c r="E157" s="11" t="str">
        <f>HYPERLINK("https://youtu.be/nC1mdS4bl9M","channel 1")</f>
        <v>channel 1</v>
      </c>
    </row>
    <row r="158">
      <c r="B158" s="32" t="s">
        <v>1280</v>
      </c>
      <c r="C158" s="70" t="s">
        <v>190</v>
      </c>
      <c r="D158" s="32" t="s">
        <v>3484</v>
      </c>
      <c r="E158" s="11" t="str">
        <f>HYPERLINK("https://youtu.be/j-fVVDcarI0","channel 2")</f>
        <v>channel 2</v>
      </c>
    </row>
    <row r="159">
      <c r="B159" s="32" t="s">
        <v>3485</v>
      </c>
      <c r="C159" s="70" t="s">
        <v>542</v>
      </c>
      <c r="D159" s="32" t="s">
        <v>3421</v>
      </c>
      <c r="E159" s="11" t="str">
        <f>HYPERLINK("https://youtu.be/nC1mdS4bl9M","channel 1")</f>
        <v>channel 1</v>
      </c>
    </row>
    <row r="160">
      <c r="B160" s="32" t="s">
        <v>1280</v>
      </c>
      <c r="C160" s="70" t="s">
        <v>194</v>
      </c>
      <c r="D160" s="32" t="s">
        <v>3483</v>
      </c>
      <c r="E160" s="11" t="str">
        <f>HYPERLINK("https://youtu.be/j-fVVDcarI0?t=1081","channel 2")</f>
        <v>channel 2</v>
      </c>
    </row>
    <row r="161">
      <c r="B161" s="32" t="s">
        <v>3485</v>
      </c>
      <c r="C161" s="70" t="s">
        <v>212</v>
      </c>
      <c r="D161" s="32" t="s">
        <v>3484</v>
      </c>
      <c r="E161" s="11" t="str">
        <f>HYPERLINK("https://youtu.be/nC1mdS4bl9M?t=953","channel 1")</f>
        <v>channel 1</v>
      </c>
    </row>
    <row r="162">
      <c r="B162" s="32" t="s">
        <v>1280</v>
      </c>
      <c r="C162" s="70" t="s">
        <v>62</v>
      </c>
      <c r="D162" s="32" t="s">
        <v>3421</v>
      </c>
      <c r="E162" s="11" t="str">
        <f>HYPERLINK("https://youtu.be/j-fVVDcarI0?t=2092","channel 2")</f>
        <v>channel 2</v>
      </c>
    </row>
    <row r="163">
      <c r="B163" s="32" t="s">
        <v>3485</v>
      </c>
      <c r="C163" s="70" t="s">
        <v>687</v>
      </c>
      <c r="D163" s="32" t="s">
        <v>3483</v>
      </c>
      <c r="E163" s="11" t="str">
        <f>HYPERLINK("https://youtu.be/nC1mdS4bl9M?t=1890","channel 1")</f>
        <v>channel 1</v>
      </c>
    </row>
    <row r="164">
      <c r="B164" s="32" t="s">
        <v>3484</v>
      </c>
      <c r="C164" s="70" t="s">
        <v>291</v>
      </c>
      <c r="D164" s="32" t="s">
        <v>3421</v>
      </c>
      <c r="E164" s="11" t="str">
        <f>HYPERLINK("https://youtu.be/j-fVVDcarI0?t=3041","channel 2")</f>
        <v>channel 2</v>
      </c>
    </row>
    <row r="165">
      <c r="B165" s="32" t="s">
        <v>3485</v>
      </c>
      <c r="C165" s="70" t="s">
        <v>260</v>
      </c>
      <c r="D165" s="32" t="s">
        <v>1280</v>
      </c>
      <c r="E165" s="11" t="str">
        <f>HYPERLINK("https://youtu.be/nC1mdS4bl9M?t=2931","channel 1")</f>
        <v>channel 1</v>
      </c>
    </row>
    <row r="166">
      <c r="B166" s="32" t="s">
        <v>3484</v>
      </c>
      <c r="C166" s="70" t="s">
        <v>78</v>
      </c>
      <c r="D166" s="32" t="s">
        <v>3483</v>
      </c>
      <c r="E166" s="11" t="str">
        <f>HYPERLINK("https://youtu.be/j-fVVDcarI0?t=4063","channel 2")</f>
        <v>channel 2</v>
      </c>
    </row>
    <row r="167">
      <c r="B167" s="32" t="s">
        <v>3483</v>
      </c>
      <c r="C167" s="70" t="s">
        <v>43</v>
      </c>
      <c r="D167" s="32" t="s">
        <v>3421</v>
      </c>
      <c r="E167" s="11" t="str">
        <f>HYPERLINK("https://youtu.be/nC1mdS4bl9M?t=3881","channel 1")</f>
        <v>channel 1</v>
      </c>
    </row>
    <row r="168">
      <c r="B168" s="32" t="s">
        <v>3484</v>
      </c>
      <c r="C168" s="70" t="s">
        <v>770</v>
      </c>
      <c r="D168" s="32" t="s">
        <v>1280</v>
      </c>
      <c r="E168" s="11" t="str">
        <f>HYPERLINK("https://youtu.be/j-fVVDcarI0?t=5049","channel 2")</f>
        <v>channel 2</v>
      </c>
    </row>
    <row r="169">
      <c r="B169" s="32" t="s">
        <v>3421</v>
      </c>
      <c r="C169" s="70" t="s">
        <v>3486</v>
      </c>
      <c r="D169" s="32" t="s">
        <v>3485</v>
      </c>
      <c r="E169" s="11" t="str">
        <f>HYPERLINK("https://youtu.be/nC1mdS4bl9M?t=4738","channel 1")</f>
        <v>channel 1</v>
      </c>
    </row>
    <row r="170">
      <c r="B170" s="32" t="s">
        <v>3483</v>
      </c>
      <c r="C170" s="70" t="s">
        <v>78</v>
      </c>
      <c r="D170" s="32" t="s">
        <v>1280</v>
      </c>
      <c r="E170" s="11" t="str">
        <f>HYPERLINK("https://youtu.be/j-fVVDcarI0?t=5990","channel 2")</f>
        <v>channel 2</v>
      </c>
    </row>
    <row r="171">
      <c r="B171" s="32" t="s">
        <v>3484</v>
      </c>
      <c r="C171" s="70" t="s">
        <v>218</v>
      </c>
      <c r="D171" s="32" t="s">
        <v>3485</v>
      </c>
      <c r="E171" s="11" t="str">
        <f>HYPERLINK("https://youtu.be/nC1mdS4bl9M?t=5675","channel 1")</f>
        <v>channel 1</v>
      </c>
    </row>
    <row r="172">
      <c r="B172" s="32" t="s">
        <v>3421</v>
      </c>
      <c r="C172" s="70" t="s">
        <v>16</v>
      </c>
      <c r="D172" s="32" t="s">
        <v>1280</v>
      </c>
      <c r="E172" s="11" t="str">
        <f>HYPERLINK("https://youtu.be/j-fVVDcarI0?t=6908","channel 2")</f>
        <v>channel 2</v>
      </c>
    </row>
    <row r="173">
      <c r="B173" s="32" t="s">
        <v>3483</v>
      </c>
      <c r="C173" s="70" t="s">
        <v>43</v>
      </c>
      <c r="D173" s="32" t="s">
        <v>3485</v>
      </c>
      <c r="E173" s="11" t="str">
        <f>HYPERLINK("https://youtu.be/nC1mdS4bl9M?t=6602","channel 1")</f>
        <v>channel 1</v>
      </c>
    </row>
    <row r="174">
      <c r="B174" s="32" t="s">
        <v>3421</v>
      </c>
      <c r="C174" s="70" t="s">
        <v>1622</v>
      </c>
      <c r="D174" s="32" t="s">
        <v>3484</v>
      </c>
      <c r="E174" s="11" t="str">
        <f>HYPERLINK("https://youtu.be/j-fVVDcarI0?t=7764","channel 2")</f>
        <v>channel 2</v>
      </c>
    </row>
    <row r="175">
      <c r="B175" s="32" t="s">
        <v>1280</v>
      </c>
      <c r="C175" s="70" t="s">
        <v>22</v>
      </c>
      <c r="D175" s="32" t="s">
        <v>3485</v>
      </c>
      <c r="E175" s="11" t="str">
        <f>HYPERLINK("https://youtu.be/nC1mdS4bl9M?t=7589","channel 1")</f>
        <v>channel 1</v>
      </c>
    </row>
    <row r="176">
      <c r="B176" s="32" t="s">
        <v>3483</v>
      </c>
      <c r="C176" s="70" t="s">
        <v>578</v>
      </c>
      <c r="D176" s="32" t="s">
        <v>3484</v>
      </c>
      <c r="E176" s="11" t="str">
        <f>HYPERLINK("https://youtu.be/j-fVVDcarI0?t=8696","channel 2")</f>
        <v>channel 2</v>
      </c>
    </row>
    <row r="177">
      <c r="B177" s="72" t="s">
        <v>2567</v>
      </c>
      <c r="C177" s="2"/>
      <c r="D177" s="3"/>
      <c r="E177" s="2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34" t="s">
        <v>996</v>
      </c>
      <c r="C179" s="70" t="s">
        <v>727</v>
      </c>
      <c r="D179" s="32" t="s">
        <v>1015</v>
      </c>
      <c r="E179" s="44" t="str">
        <f>HYPERLINK("https://youtu.be/AoM_QqQTmBo?t=1746","channel 3")</f>
        <v>channel 3</v>
      </c>
    </row>
    <row r="180">
      <c r="B180" s="110" t="s">
        <v>3340</v>
      </c>
      <c r="C180" s="70" t="s">
        <v>289</v>
      </c>
      <c r="D180" s="110" t="s">
        <v>3159</v>
      </c>
      <c r="E180" s="115" t="str">
        <f>HYPERLINK("https://youtu.be/yeE8qPS7WHc","channel 4")</f>
        <v>channel 4</v>
      </c>
    </row>
    <row r="181">
      <c r="B181" s="34" t="s">
        <v>3487</v>
      </c>
      <c r="C181" s="70" t="s">
        <v>16</v>
      </c>
      <c r="D181" s="34" t="s">
        <v>996</v>
      </c>
      <c r="E181" s="44" t="str">
        <f>HYPERLINK("https://youtu.be/AoM_QqQTmBo?t=2678","channel 3")</f>
        <v>channel 3</v>
      </c>
    </row>
    <row r="182">
      <c r="B182" s="110" t="s">
        <v>3340</v>
      </c>
      <c r="C182" s="70" t="s">
        <v>319</v>
      </c>
      <c r="D182" s="91" t="s">
        <v>1015</v>
      </c>
      <c r="E182" s="115" t="str">
        <f>HYPERLINK("https://youtu.be/yeE8qPS7WHc?t=1029","channel 4")</f>
        <v>channel 4</v>
      </c>
    </row>
    <row r="183">
      <c r="B183" s="34" t="s">
        <v>3487</v>
      </c>
      <c r="C183" s="70" t="s">
        <v>41</v>
      </c>
      <c r="D183" s="34" t="s">
        <v>3159</v>
      </c>
      <c r="E183" s="44" t="str">
        <f>HYPERLINK("https://youtu.be/AoM_QqQTmBo?t=3611","channel 3")</f>
        <v>channel 3</v>
      </c>
    </row>
    <row r="184">
      <c r="B184" s="110" t="s">
        <v>3340</v>
      </c>
      <c r="C184" s="70" t="s">
        <v>814</v>
      </c>
      <c r="D184" s="110" t="s">
        <v>996</v>
      </c>
      <c r="E184" s="115" t="str">
        <f>HYPERLINK("https://youtu.be/yeE8qPS7WHc?t=1922","channel 4")</f>
        <v>channel 4</v>
      </c>
    </row>
    <row r="185">
      <c r="B185" s="34" t="s">
        <v>3487</v>
      </c>
      <c r="C185" s="70" t="s">
        <v>86</v>
      </c>
      <c r="D185" s="32" t="s">
        <v>1015</v>
      </c>
      <c r="E185" s="44" t="str">
        <f>HYPERLINK("https://youtu.be/AoM_QqQTmBo?t=4539","channel 3")</f>
        <v>channel 3</v>
      </c>
    </row>
    <row r="186">
      <c r="B186" s="110" t="s">
        <v>3159</v>
      </c>
      <c r="C186" s="70" t="s">
        <v>1068</v>
      </c>
      <c r="D186" s="110" t="s">
        <v>996</v>
      </c>
      <c r="E186" s="115" t="str">
        <f>HYPERLINK("https://youtu.be/yeE8qPS7WHc?t=2869","channel 4")</f>
        <v>channel 4</v>
      </c>
    </row>
    <row r="187">
      <c r="B187" s="34" t="s">
        <v>3487</v>
      </c>
      <c r="C187" s="70" t="s">
        <v>16</v>
      </c>
      <c r="D187" s="34" t="s">
        <v>3340</v>
      </c>
      <c r="E187" s="44" t="str">
        <f>HYPERLINK("https://youtu.be/AoM_QqQTmBo?t=5471","channel 3")</f>
        <v>channel 3</v>
      </c>
    </row>
    <row r="188">
      <c r="B188" s="110" t="s">
        <v>3159</v>
      </c>
      <c r="C188" s="70" t="s">
        <v>215</v>
      </c>
      <c r="D188" s="91" t="s">
        <v>1015</v>
      </c>
      <c r="E188" s="115" t="str">
        <f>HYPERLINK("https://youtu.be/yeE8qPS7WHc?t=3784","channel 4")</f>
        <v>channel 4</v>
      </c>
    </row>
    <row r="189">
      <c r="B189" s="32" t="s">
        <v>1015</v>
      </c>
      <c r="C189" s="70" t="s">
        <v>626</v>
      </c>
      <c r="D189" s="34" t="s">
        <v>996</v>
      </c>
      <c r="E189" s="44" t="str">
        <f>HYPERLINK("https://youtu.be/AoM_QqQTmBo?t=6382","channel 3")</f>
        <v>channel 3</v>
      </c>
    </row>
    <row r="190">
      <c r="B190" s="110" t="s">
        <v>3159</v>
      </c>
      <c r="C190" s="70" t="s">
        <v>80</v>
      </c>
      <c r="D190" s="110" t="s">
        <v>3340</v>
      </c>
      <c r="E190" s="115" t="str">
        <f>HYPERLINK("https://youtu.be/yeE8qPS7WHc?t=4715","channel 4")</f>
        <v>channel 4</v>
      </c>
    </row>
    <row r="191">
      <c r="B191" s="110" t="s">
        <v>996</v>
      </c>
      <c r="C191" s="70" t="s">
        <v>62</v>
      </c>
      <c r="D191" s="110" t="s">
        <v>3487</v>
      </c>
      <c r="E191" s="44" t="str">
        <f>HYPERLINK("https://youtu.be/AoM_QqQTmBo?t=7330","channel 3")</f>
        <v>channel 3</v>
      </c>
    </row>
    <row r="192">
      <c r="B192" s="91" t="s">
        <v>1015</v>
      </c>
      <c r="C192" s="70" t="s">
        <v>426</v>
      </c>
      <c r="D192" s="110" t="s">
        <v>3340</v>
      </c>
      <c r="E192" s="115" t="str">
        <f>HYPERLINK("https://youtu.be/yeE8qPS7WHc?t=5636","channel 4")</f>
        <v>channel 4</v>
      </c>
    </row>
    <row r="193">
      <c r="B193" s="34" t="s">
        <v>3159</v>
      </c>
      <c r="C193" s="70" t="s">
        <v>43</v>
      </c>
      <c r="D193" s="34" t="s">
        <v>3487</v>
      </c>
      <c r="E193" s="44" t="str">
        <f>HYPERLINK("https://youtu.be/AoM_QqQTmBo?t=8237","channel 3")</f>
        <v>channel 3</v>
      </c>
    </row>
    <row r="194">
      <c r="B194" s="110" t="s">
        <v>996</v>
      </c>
      <c r="C194" s="70" t="s">
        <v>21</v>
      </c>
      <c r="D194" s="110" t="s">
        <v>3340</v>
      </c>
      <c r="E194" s="115" t="str">
        <f>HYPERLINK("https://youtu.be/yeE8qPS7WHc?t=6556","channel 4")</f>
        <v>channel 4</v>
      </c>
    </row>
    <row r="195">
      <c r="B195" s="32" t="s">
        <v>1015</v>
      </c>
      <c r="C195" s="70" t="s">
        <v>16</v>
      </c>
      <c r="D195" s="34" t="s">
        <v>3487</v>
      </c>
      <c r="E195" s="44" t="str">
        <f>HYPERLINK("https://youtu.be/AoM_QqQTmBo?t=9176","channel 3")</f>
        <v>channel 3</v>
      </c>
    </row>
    <row r="196">
      <c r="B196" s="110" t="s">
        <v>996</v>
      </c>
      <c r="C196" s="70" t="s">
        <v>64</v>
      </c>
      <c r="D196" s="110" t="s">
        <v>3159</v>
      </c>
      <c r="E196" s="115" t="str">
        <f>HYPERLINK("https://youtu.be/yeE8qPS7WHc?t=7491","channel 4")</f>
        <v>channel 4</v>
      </c>
    </row>
    <row r="197">
      <c r="B197" s="110" t="s">
        <v>3340</v>
      </c>
      <c r="C197" s="70" t="s">
        <v>43</v>
      </c>
      <c r="D197" s="110" t="s">
        <v>3487</v>
      </c>
      <c r="E197" s="44" t="str">
        <f>HYPERLINK("https://youtu.be/AoM_QqQTmBo?t=10086","channel 3")</f>
        <v>channel 3</v>
      </c>
    </row>
    <row r="198">
      <c r="B198" s="91" t="s">
        <v>1015</v>
      </c>
      <c r="C198" s="70" t="s">
        <v>544</v>
      </c>
      <c r="D198" s="110" t="s">
        <v>3159</v>
      </c>
      <c r="E198" s="115" t="str">
        <f>HYPERLINK("https://youtu.be/yeE8qPS7WHc?t=8403","channel 4")</f>
        <v>channel 4</v>
      </c>
    </row>
    <row r="199">
      <c r="B199" s="72" t="s">
        <v>2617</v>
      </c>
      <c r="C199" s="2"/>
      <c r="D199" s="3"/>
      <c r="E199" s="2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34" t="s">
        <v>2460</v>
      </c>
      <c r="C201" s="70" t="s">
        <v>239</v>
      </c>
      <c r="D201" s="32" t="s">
        <v>1677</v>
      </c>
      <c r="E201" s="44" t="str">
        <f>HYPERLINK("https://youtu.be/pUdJcW0XlVU","channel 3")</f>
        <v>channel 3</v>
      </c>
    </row>
    <row r="202">
      <c r="B202" s="91" t="s">
        <v>3488</v>
      </c>
      <c r="C202" s="70" t="s">
        <v>21</v>
      </c>
      <c r="D202" s="110" t="s">
        <v>3489</v>
      </c>
      <c r="E202" s="115" t="str">
        <f>HYPERLINK("https://youtu.be/iKL-o2h-QDs","channel 4")</f>
        <v>channel 4</v>
      </c>
    </row>
    <row r="203">
      <c r="B203" s="34" t="s">
        <v>3490</v>
      </c>
      <c r="C203" s="70" t="s">
        <v>687</v>
      </c>
      <c r="D203" s="34" t="s">
        <v>2460</v>
      </c>
      <c r="E203" s="44" t="str">
        <f>HYPERLINK("https://youtu.be/pUdJcW0XlVU?t=1102","channel 3")</f>
        <v>channel 3</v>
      </c>
    </row>
    <row r="204">
      <c r="B204" s="91" t="s">
        <v>3488</v>
      </c>
      <c r="C204" s="70" t="s">
        <v>81</v>
      </c>
      <c r="D204" s="91" t="s">
        <v>1677</v>
      </c>
      <c r="E204" s="115" t="str">
        <f>HYPERLINK("https://youtu.be/iKL-o2h-QDs?t=985","channel 4")</f>
        <v>channel 4</v>
      </c>
    </row>
    <row r="205">
      <c r="B205" s="34" t="s">
        <v>3490</v>
      </c>
      <c r="C205" s="70" t="s">
        <v>587</v>
      </c>
      <c r="D205" s="34" t="s">
        <v>3489</v>
      </c>
      <c r="E205" s="44" t="str">
        <f>HYPERLINK("https://youtu.be/pUdJcW0XlVU?t=2050","channel 3")</f>
        <v>channel 3</v>
      </c>
    </row>
    <row r="206">
      <c r="B206" s="91" t="s">
        <v>3488</v>
      </c>
      <c r="C206" s="70" t="s">
        <v>35</v>
      </c>
      <c r="D206" s="110" t="s">
        <v>2460</v>
      </c>
      <c r="E206" s="115" t="str">
        <f>HYPERLINK("https://youtu.be/iKL-o2h-QDs?t=1911","channel 4")</f>
        <v>channel 4</v>
      </c>
    </row>
    <row r="207">
      <c r="B207" s="34" t="s">
        <v>3490</v>
      </c>
      <c r="C207" s="70" t="s">
        <v>297</v>
      </c>
      <c r="D207" s="32" t="s">
        <v>1677</v>
      </c>
      <c r="E207" s="44" t="str">
        <f>HYPERLINK("https://youtu.be/pUdJcW0XlVU?t=3010","channel 3")</f>
        <v>channel 3</v>
      </c>
    </row>
    <row r="208">
      <c r="B208" s="110" t="s">
        <v>3489</v>
      </c>
      <c r="C208" s="70" t="s">
        <v>62</v>
      </c>
      <c r="D208" s="110" t="s">
        <v>2460</v>
      </c>
      <c r="E208" s="115" t="str">
        <f>HYPERLINK("https://youtu.be/iKL-o2h-QDs?t=2858","channel 4")</f>
        <v>channel 4</v>
      </c>
    </row>
    <row r="209">
      <c r="B209" s="34" t="s">
        <v>3490</v>
      </c>
      <c r="C209" s="70" t="s">
        <v>67</v>
      </c>
      <c r="D209" s="32" t="s">
        <v>3488</v>
      </c>
      <c r="E209" s="44" t="str">
        <f>HYPERLINK("https://youtu.be/pUdJcW0XlVU?t=3924","channel 3")</f>
        <v>channel 3</v>
      </c>
    </row>
    <row r="210">
      <c r="B210" s="110" t="s">
        <v>3489</v>
      </c>
      <c r="C210" s="70" t="s">
        <v>81</v>
      </c>
      <c r="D210" s="91" t="s">
        <v>1677</v>
      </c>
      <c r="E210" s="115" t="str">
        <f>HYPERLINK("https://youtu.be/iKL-o2h-QDs?t=3848","channel 4")</f>
        <v>channel 4</v>
      </c>
    </row>
    <row r="211">
      <c r="B211" s="32" t="s">
        <v>1677</v>
      </c>
      <c r="C211" s="70" t="s">
        <v>196</v>
      </c>
      <c r="D211" s="34" t="s">
        <v>2460</v>
      </c>
      <c r="E211" s="44" t="str">
        <f>HYPERLINK("https://youtu.be/pUdJcW0XlVU?t=4836","channel 3")</f>
        <v>channel 3</v>
      </c>
    </row>
    <row r="212">
      <c r="B212" s="110" t="s">
        <v>3489</v>
      </c>
      <c r="C212" s="70" t="s">
        <v>55</v>
      </c>
      <c r="D212" s="91" t="s">
        <v>3488</v>
      </c>
      <c r="E212" s="115" t="str">
        <f>HYPERLINK("https://youtu.be/iKL-o2h-QDs?t=4767","channel 4")</f>
        <v>channel 4</v>
      </c>
    </row>
    <row r="213">
      <c r="B213" s="34" t="s">
        <v>2460</v>
      </c>
      <c r="C213" s="70" t="s">
        <v>18</v>
      </c>
      <c r="D213" s="34" t="s">
        <v>3490</v>
      </c>
      <c r="E213" s="44" t="str">
        <f>HYPERLINK("https://youtu.be/pUdJcW0XlVU?t=5786","channel 3")</f>
        <v>channel 3</v>
      </c>
    </row>
    <row r="214">
      <c r="B214" s="91" t="s">
        <v>1677</v>
      </c>
      <c r="C214" s="70" t="s">
        <v>190</v>
      </c>
      <c r="D214" s="91" t="s">
        <v>3488</v>
      </c>
      <c r="E214" s="115" t="str">
        <f>HYPERLINK("https://youtu.be/iKL-o2h-QDs?t=5662","channel 4")</f>
        <v>channel 4</v>
      </c>
    </row>
    <row r="215">
      <c r="B215" s="34" t="s">
        <v>3489</v>
      </c>
      <c r="C215" s="70" t="s">
        <v>244</v>
      </c>
      <c r="D215" s="34" t="s">
        <v>3490</v>
      </c>
      <c r="E215" s="44" t="str">
        <f>HYPERLINK("https://youtu.be/pUdJcW0XlVU?t=6703","channel 3")</f>
        <v>channel 3</v>
      </c>
    </row>
    <row r="216">
      <c r="B216" s="110" t="s">
        <v>2460</v>
      </c>
      <c r="C216" s="70" t="s">
        <v>19</v>
      </c>
      <c r="D216" s="91" t="s">
        <v>3488</v>
      </c>
      <c r="E216" s="115" t="str">
        <f>HYPERLINK("https://youtu.be/iKL-o2h-QDs?t=6577","channel 4")</f>
        <v>channel 4</v>
      </c>
    </row>
    <row r="217">
      <c r="B217" s="32" t="s">
        <v>1677</v>
      </c>
      <c r="C217" s="70" t="s">
        <v>72</v>
      </c>
      <c r="D217" s="34" t="s">
        <v>3490</v>
      </c>
      <c r="E217" s="44" t="str">
        <f>HYPERLINK("https://youtu.be/pUdJcW0XlVU?t=7737","channel 3")</f>
        <v>channel 3</v>
      </c>
    </row>
    <row r="218">
      <c r="B218" s="110" t="s">
        <v>2460</v>
      </c>
      <c r="C218" s="70" t="s">
        <v>28</v>
      </c>
      <c r="D218" s="110" t="s">
        <v>3489</v>
      </c>
      <c r="E218" s="115" t="str">
        <f>HYPERLINK("https://youtu.be/iKL-o2h-QDs?t=7495","channel 4")</f>
        <v>channel 4</v>
      </c>
    </row>
    <row r="219">
      <c r="B219" s="32" t="s">
        <v>3488</v>
      </c>
      <c r="C219" s="70" t="s">
        <v>78</v>
      </c>
      <c r="D219" s="34" t="s">
        <v>3490</v>
      </c>
      <c r="E219" s="44" t="str">
        <f>HYPERLINK("https://youtu.be/pUdJcW0XlVU?t=8691","channel 3")</f>
        <v>channel 3</v>
      </c>
    </row>
    <row r="220">
      <c r="B220" s="91" t="s">
        <v>1677</v>
      </c>
      <c r="C220" s="70" t="s">
        <v>27</v>
      </c>
      <c r="D220" s="110" t="s">
        <v>3489</v>
      </c>
      <c r="E220" s="115" t="str">
        <f>HYPERLINK("https://youtu.be/iKL-o2h-QDs?t=8560","channel 4")</f>
        <v>channel 4</v>
      </c>
    </row>
    <row r="221">
      <c r="B221" s="72" t="s">
        <v>3491</v>
      </c>
      <c r="C221" s="2"/>
      <c r="D221" s="3"/>
      <c r="E221" s="2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34" t="s">
        <v>2687</v>
      </c>
      <c r="C223" s="70" t="s">
        <v>250</v>
      </c>
      <c r="D223" s="34" t="s">
        <v>1629</v>
      </c>
      <c r="E223" s="11" t="str">
        <f>HYPERLINK("https://youtu.be/ODqDY5LPVis","channel 1")</f>
        <v>channel 1</v>
      </c>
    </row>
    <row r="224">
      <c r="B224" s="34" t="s">
        <v>1765</v>
      </c>
      <c r="C224" s="70" t="s">
        <v>19</v>
      </c>
      <c r="D224" s="34" t="s">
        <v>3284</v>
      </c>
      <c r="E224" s="11" t="str">
        <f>HYPERLINK("https://youtu.be/Sv_sVUdDVxA","channel 2")</f>
        <v>channel 2</v>
      </c>
    </row>
    <row r="225">
      <c r="B225" s="34" t="s">
        <v>3177</v>
      </c>
      <c r="C225" s="70" t="s">
        <v>14</v>
      </c>
      <c r="D225" s="34" t="s">
        <v>2687</v>
      </c>
      <c r="E225" s="11" t="str">
        <f>HYPERLINK("https://youtu.be/ODqDY5LPVis?t=1029","channel 1")</f>
        <v>channel 1</v>
      </c>
    </row>
    <row r="226">
      <c r="B226" s="34" t="s">
        <v>1765</v>
      </c>
      <c r="C226" s="70" t="s">
        <v>64</v>
      </c>
      <c r="D226" s="34" t="s">
        <v>1629</v>
      </c>
      <c r="E226" s="11" t="str">
        <f>HYPERLINK("https://youtu.be/Sv_sVUdDVxA?t=1085","channel 2")</f>
        <v>channel 2</v>
      </c>
    </row>
    <row r="227">
      <c r="B227" s="34" t="s">
        <v>3177</v>
      </c>
      <c r="C227" s="70" t="s">
        <v>466</v>
      </c>
      <c r="D227" s="34" t="s">
        <v>3284</v>
      </c>
      <c r="E227" s="11" t="str">
        <f>HYPERLINK("https://youtu.be/ODqDY5LPVis?t=1945","channel 1")</f>
        <v>channel 1</v>
      </c>
    </row>
    <row r="228">
      <c r="B228" s="34" t="s">
        <v>1765</v>
      </c>
      <c r="C228" s="70" t="s">
        <v>220</v>
      </c>
      <c r="D228" s="34" t="s">
        <v>2687</v>
      </c>
      <c r="E228" s="11" t="str">
        <f>HYPERLINK("https://youtu.be/Sv_sVUdDVxA?t=1999","channel 2")</f>
        <v>channel 2</v>
      </c>
    </row>
    <row r="229">
      <c r="B229" s="34" t="s">
        <v>3177</v>
      </c>
      <c r="C229" s="70" t="s">
        <v>11</v>
      </c>
      <c r="D229" s="34" t="s">
        <v>1629</v>
      </c>
      <c r="E229" s="11" t="str">
        <f>HYPERLINK("https://youtu.be/ODqDY5LPVis?t=2888","channel 1")</f>
        <v>channel 1</v>
      </c>
    </row>
    <row r="230">
      <c r="B230" s="34" t="s">
        <v>3284</v>
      </c>
      <c r="C230" s="70" t="s">
        <v>269</v>
      </c>
      <c r="D230" s="34" t="s">
        <v>2687</v>
      </c>
      <c r="E230" s="11" t="str">
        <f>HYPERLINK("https://youtu.be/Sv_sVUdDVxA?t=2965","channel 2")</f>
        <v>channel 2</v>
      </c>
    </row>
    <row r="231">
      <c r="B231" s="34" t="s">
        <v>3177</v>
      </c>
      <c r="C231" s="70" t="s">
        <v>72</v>
      </c>
      <c r="D231" s="34" t="s">
        <v>1765</v>
      </c>
      <c r="E231" s="11" t="str">
        <f>HYPERLINK("https://youtu.be/ODqDY5LPVis?t=3881","channel 1")</f>
        <v>channel 1</v>
      </c>
    </row>
    <row r="232">
      <c r="B232" s="34" t="s">
        <v>3284</v>
      </c>
      <c r="C232" s="70" t="s">
        <v>285</v>
      </c>
      <c r="D232" s="34" t="s">
        <v>1629</v>
      </c>
      <c r="E232" s="11" t="str">
        <f>HYPERLINK("https://youtu.be/Sv_sVUdDVxA?t=3938","channel 2")</f>
        <v>channel 2</v>
      </c>
    </row>
    <row r="233">
      <c r="B233" s="34" t="s">
        <v>1629</v>
      </c>
      <c r="C233" s="70" t="s">
        <v>49</v>
      </c>
      <c r="D233" s="34" t="s">
        <v>2687</v>
      </c>
      <c r="E233" s="11" t="str">
        <f>HYPERLINK("https://youtu.be/ODqDY5LPVis?t=4793","channel 1")</f>
        <v>channel 1</v>
      </c>
    </row>
    <row r="234">
      <c r="B234" s="34" t="s">
        <v>3284</v>
      </c>
      <c r="C234" s="70" t="s">
        <v>62</v>
      </c>
      <c r="D234" s="34" t="s">
        <v>1765</v>
      </c>
      <c r="E234" s="11" t="str">
        <f>HYPERLINK("https://youtu.be/Sv_sVUdDVxA?t=4833","channel 2")</f>
        <v>channel 2</v>
      </c>
    </row>
    <row r="235">
      <c r="B235" s="34" t="s">
        <v>2687</v>
      </c>
      <c r="C235" s="70" t="s">
        <v>584</v>
      </c>
      <c r="D235" s="34" t="s">
        <v>3177</v>
      </c>
      <c r="E235" s="11" t="str">
        <f>HYPERLINK("https://youtu.be/ODqDY5LPVis?t=5712","channel 1")</f>
        <v>channel 1</v>
      </c>
    </row>
    <row r="236">
      <c r="B236" s="34" t="s">
        <v>1629</v>
      </c>
      <c r="C236" s="70" t="s">
        <v>71</v>
      </c>
      <c r="D236" s="34" t="s">
        <v>1765</v>
      </c>
      <c r="E236" s="11" t="str">
        <f>HYPERLINK("https://youtu.be/Sv_sVUdDVxA?t=5759","channel 2")</f>
        <v>channel 2</v>
      </c>
    </row>
    <row r="237">
      <c r="B237" s="34" t="s">
        <v>3284</v>
      </c>
      <c r="C237" s="70" t="s">
        <v>980</v>
      </c>
      <c r="D237" s="34" t="s">
        <v>3177</v>
      </c>
      <c r="E237" s="11" t="str">
        <f>HYPERLINK("https://youtu.be/ODqDY5LPVis?t=6746","channel 1")</f>
        <v>channel 1</v>
      </c>
    </row>
    <row r="238">
      <c r="B238" s="34" t="s">
        <v>2687</v>
      </c>
      <c r="C238" s="70" t="s">
        <v>534</v>
      </c>
      <c r="D238" s="34" t="s">
        <v>1765</v>
      </c>
      <c r="E238" s="11" t="str">
        <f>HYPERLINK("https://youtu.be/Sv_sVUdDVxA?t=6792","channel 2")</f>
        <v>channel 2</v>
      </c>
    </row>
    <row r="239">
      <c r="B239" s="34" t="s">
        <v>1629</v>
      </c>
      <c r="C239" s="70" t="s">
        <v>28</v>
      </c>
      <c r="D239" s="34" t="s">
        <v>3177</v>
      </c>
      <c r="E239" s="11" t="str">
        <f>HYPERLINK("https://youtu.be/ODqDY5LPVis?t=7689","channel 1")</f>
        <v>channel 1</v>
      </c>
    </row>
    <row r="240">
      <c r="B240" s="34" t="s">
        <v>2687</v>
      </c>
      <c r="C240" s="70" t="s">
        <v>21</v>
      </c>
      <c r="D240" s="34" t="s">
        <v>3284</v>
      </c>
      <c r="E240" s="11" t="str">
        <f>HYPERLINK("https://youtu.be/Sv_sVUdDVxA?t=7745","channel 2")</f>
        <v>channel 2</v>
      </c>
    </row>
    <row r="241">
      <c r="B241" s="34" t="s">
        <v>1765</v>
      </c>
      <c r="C241" s="70" t="s">
        <v>1283</v>
      </c>
      <c r="D241" s="34" t="s">
        <v>3177</v>
      </c>
      <c r="E241" s="11" t="str">
        <f>HYPERLINK("https://youtu.be/ODqDY5LPVis?t=8648","channel 1")</f>
        <v>channel 1</v>
      </c>
    </row>
    <row r="242">
      <c r="B242" s="34" t="s">
        <v>1629</v>
      </c>
      <c r="C242" s="70" t="s">
        <v>802</v>
      </c>
      <c r="D242" s="34" t="s">
        <v>3284</v>
      </c>
      <c r="E242" s="11" t="str">
        <f>HYPERLINK("https://youtu.be/Sv_sVUdDVxA?t=8708","channel 2")</f>
        <v>channel 2</v>
      </c>
    </row>
    <row r="243">
      <c r="B243" s="72" t="s">
        <v>2464</v>
      </c>
      <c r="C243" s="2"/>
      <c r="D243" s="3"/>
      <c r="E243" s="2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34" t="s">
        <v>2701</v>
      </c>
      <c r="C245" s="70" t="s">
        <v>212</v>
      </c>
      <c r="D245" s="34" t="s">
        <v>2486</v>
      </c>
      <c r="E245" s="11" t="str">
        <f>HYPERLINK("https://youtu.be/PjuW44I-x5k","channel 1")</f>
        <v>channel 1</v>
      </c>
    </row>
    <row r="246">
      <c r="B246" s="34" t="s">
        <v>165</v>
      </c>
      <c r="C246" s="70" t="s">
        <v>78</v>
      </c>
      <c r="D246" s="34" t="s">
        <v>2513</v>
      </c>
      <c r="E246" s="11" t="str">
        <f>HYPERLINK("https://youtu.be/DfRmCUJwHQk","channel 2")</f>
        <v>channel 2</v>
      </c>
    </row>
    <row r="247">
      <c r="B247" s="34" t="s">
        <v>1586</v>
      </c>
      <c r="C247" s="70" t="s">
        <v>68</v>
      </c>
      <c r="D247" s="34" t="s">
        <v>2701</v>
      </c>
      <c r="E247" s="11" t="str">
        <f>HYPERLINK("https://youtu.be/PjuW44I-x5k?t=961","channel 1")</f>
        <v>channel 1</v>
      </c>
    </row>
    <row r="248">
      <c r="B248" s="34" t="s">
        <v>165</v>
      </c>
      <c r="C248" s="70" t="s">
        <v>2121</v>
      </c>
      <c r="D248" s="34" t="s">
        <v>2486</v>
      </c>
      <c r="E248" s="11" t="str">
        <f>HYPERLINK("https://youtu.be/DfRmCUJwHQk?t=1011","channel 2")</f>
        <v>channel 2</v>
      </c>
    </row>
    <row r="249">
      <c r="B249" s="34" t="s">
        <v>1586</v>
      </c>
      <c r="C249" s="70" t="s">
        <v>718</v>
      </c>
      <c r="D249" s="34" t="s">
        <v>2513</v>
      </c>
      <c r="E249" s="11" t="str">
        <f>HYPERLINK("https://youtu.be/PjuW44I-x5k?t=2064","channel 1")</f>
        <v>channel 1</v>
      </c>
    </row>
    <row r="250">
      <c r="B250" s="34" t="s">
        <v>165</v>
      </c>
      <c r="C250" s="70" t="s">
        <v>304</v>
      </c>
      <c r="D250" s="34" t="s">
        <v>2701</v>
      </c>
      <c r="E250" s="11" t="str">
        <f>HYPERLINK("https://youtu.be/DfRmCUJwHQk?t=2107","channel 2")</f>
        <v>channel 2</v>
      </c>
    </row>
    <row r="251">
      <c r="B251" s="34" t="s">
        <v>1586</v>
      </c>
      <c r="C251" s="70" t="s">
        <v>584</v>
      </c>
      <c r="D251" s="34" t="s">
        <v>2486</v>
      </c>
      <c r="E251" s="11" t="str">
        <f>HYPERLINK("https://youtu.be/PjuW44I-x5k?t=3117","channel 1")</f>
        <v>channel 1</v>
      </c>
    </row>
    <row r="252">
      <c r="B252" s="34" t="s">
        <v>2513</v>
      </c>
      <c r="C252" s="70" t="s">
        <v>293</v>
      </c>
      <c r="D252" s="34" t="s">
        <v>2701</v>
      </c>
      <c r="E252" s="11" t="str">
        <f>HYPERLINK("https://youtu.be/DfRmCUJwHQk?t=3161","channel 2")</f>
        <v>channel 2</v>
      </c>
    </row>
    <row r="253">
      <c r="B253" s="34" t="s">
        <v>1586</v>
      </c>
      <c r="C253" s="70" t="s">
        <v>270</v>
      </c>
      <c r="D253" s="34" t="s">
        <v>165</v>
      </c>
      <c r="E253" s="11" t="str">
        <f>HYPERLINK("https://youtu.be/PjuW44I-x5k?t=4069","channel 1")</f>
        <v>channel 1</v>
      </c>
    </row>
    <row r="254">
      <c r="B254" s="34" t="s">
        <v>2513</v>
      </c>
      <c r="C254" s="70" t="s">
        <v>1696</v>
      </c>
      <c r="D254" s="34" t="s">
        <v>2486</v>
      </c>
      <c r="E254" s="11" t="str">
        <f>HYPERLINK("https://youtu.be/DfRmCUJwHQk?t=4113","channel 2")</f>
        <v>channel 2</v>
      </c>
    </row>
    <row r="255">
      <c r="B255" s="34" t="s">
        <v>2486</v>
      </c>
      <c r="C255" s="70" t="s">
        <v>22</v>
      </c>
      <c r="D255" s="34" t="s">
        <v>2701</v>
      </c>
      <c r="E255" s="11" t="str">
        <f>HYPERLINK("https://youtu.be/PjuW44I-x5k?t=4960","channel 1")</f>
        <v>channel 1</v>
      </c>
    </row>
    <row r="256">
      <c r="B256" s="34" t="s">
        <v>2513</v>
      </c>
      <c r="C256" s="70" t="s">
        <v>82</v>
      </c>
      <c r="D256" s="34" t="s">
        <v>165</v>
      </c>
      <c r="E256" s="11" t="str">
        <f>HYPERLINK("https://youtu.be/DfRmCUJwHQk?t=5000","channel 2")</f>
        <v>channel 2</v>
      </c>
    </row>
    <row r="257">
      <c r="B257" s="34" t="s">
        <v>2701</v>
      </c>
      <c r="C257" s="70" t="s">
        <v>455</v>
      </c>
      <c r="D257" s="34" t="s">
        <v>1586</v>
      </c>
      <c r="E257" s="11" t="str">
        <f>HYPERLINK("https://youtu.be/PjuW44I-x5k?t=5920","channel 1")</f>
        <v>channel 1</v>
      </c>
    </row>
    <row r="258">
      <c r="B258" s="34" t="s">
        <v>2486</v>
      </c>
      <c r="C258" s="70" t="s">
        <v>325</v>
      </c>
      <c r="D258" s="34" t="s">
        <v>165</v>
      </c>
      <c r="E258" s="11" t="str">
        <f>HYPERLINK("https://youtu.be/DfRmCUJwHQk?t=6012","channel 2")</f>
        <v>channel 2</v>
      </c>
    </row>
    <row r="259">
      <c r="B259" s="34" t="s">
        <v>2513</v>
      </c>
      <c r="C259" s="70" t="s">
        <v>276</v>
      </c>
      <c r="D259" s="34" t="s">
        <v>1586</v>
      </c>
      <c r="E259" s="11" t="str">
        <f>HYPERLINK("https://youtu.be/PjuW44I-x5k?t=6844","channel 1")</f>
        <v>channel 1</v>
      </c>
    </row>
    <row r="260">
      <c r="B260" s="34" t="s">
        <v>2701</v>
      </c>
      <c r="C260" s="70" t="s">
        <v>312</v>
      </c>
      <c r="D260" s="34" t="s">
        <v>165</v>
      </c>
      <c r="E260" s="11" t="str">
        <f>HYPERLINK("https://youtu.be/DfRmCUJwHQk?t=6931","channel 2")</f>
        <v>channel 2</v>
      </c>
    </row>
    <row r="261">
      <c r="B261" s="34" t="s">
        <v>2486</v>
      </c>
      <c r="C261" s="70" t="s">
        <v>536</v>
      </c>
      <c r="D261" s="34" t="s">
        <v>1586</v>
      </c>
      <c r="E261" s="11" t="str">
        <f>HYPERLINK("https://youtu.be/PjuW44I-x5k?t=7751","channel 1")</f>
        <v>channel 1</v>
      </c>
    </row>
    <row r="262">
      <c r="B262" s="34" t="s">
        <v>2701</v>
      </c>
      <c r="C262" s="70" t="s">
        <v>68</v>
      </c>
      <c r="D262" s="34" t="s">
        <v>2513</v>
      </c>
      <c r="E262" s="11" t="str">
        <f>HYPERLINK("https://youtu.be/DfRmCUJwHQk?t=7882","channel 2")</f>
        <v>channel 2</v>
      </c>
    </row>
    <row r="263">
      <c r="B263" s="34" t="s">
        <v>165</v>
      </c>
      <c r="C263" s="70" t="s">
        <v>488</v>
      </c>
      <c r="D263" s="34" t="s">
        <v>1586</v>
      </c>
      <c r="E263" s="11" t="str">
        <f>HYPERLINK("https://youtu.be/PjuW44I-x5k?t=8573","channel 1")</f>
        <v>channel 1</v>
      </c>
    </row>
    <row r="264">
      <c r="B264" s="34" t="s">
        <v>2486</v>
      </c>
      <c r="C264" s="70" t="s">
        <v>40</v>
      </c>
      <c r="D264" s="34" t="s">
        <v>2513</v>
      </c>
      <c r="E264" s="11" t="str">
        <f>HYPERLINK("https://youtu.be/DfRmCUJwHQk?t=8738","channel 2")</f>
        <v>channel 2</v>
      </c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</sheetData>
  <mergeCells count="13">
    <mergeCell ref="B133:D133"/>
    <mergeCell ref="B155:D155"/>
    <mergeCell ref="B177:D177"/>
    <mergeCell ref="B199:D199"/>
    <mergeCell ref="B221:D221"/>
    <mergeCell ref="B243:D243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7"/>
      <c r="B1" s="72" t="s">
        <v>1400</v>
      </c>
      <c r="C1" s="2"/>
      <c r="D1" s="3"/>
      <c r="E1" s="14"/>
    </row>
    <row r="2">
      <c r="A2" s="118"/>
      <c r="B2" s="16" t="s">
        <v>2</v>
      </c>
      <c r="C2" s="16" t="s">
        <v>3</v>
      </c>
      <c r="D2" s="16" t="s">
        <v>4</v>
      </c>
      <c r="E2" s="6" t="s">
        <v>5</v>
      </c>
    </row>
    <row r="3">
      <c r="A3" s="118"/>
      <c r="B3" s="119" t="s">
        <v>1543</v>
      </c>
      <c r="C3" s="70" t="s">
        <v>27</v>
      </c>
      <c r="D3" s="32" t="s">
        <v>3492</v>
      </c>
      <c r="E3" s="11" t="str">
        <f>HYPERLINK("https://youtu.be/wvzY3Gg-2jk","channel 1")</f>
        <v>channel 1</v>
      </c>
    </row>
    <row r="4">
      <c r="A4" s="118"/>
      <c r="B4" s="32" t="s">
        <v>3493</v>
      </c>
      <c r="C4" s="70" t="s">
        <v>70</v>
      </c>
      <c r="D4" s="32" t="s">
        <v>3494</v>
      </c>
      <c r="E4" s="11" t="str">
        <f>HYPERLINK("https://youtu.be/rG2tuuxJKDo","channel 2")</f>
        <v>channel 2</v>
      </c>
    </row>
    <row r="5">
      <c r="A5" s="118"/>
      <c r="B5" s="32" t="s">
        <v>3495</v>
      </c>
      <c r="C5" s="70" t="s">
        <v>218</v>
      </c>
      <c r="D5" s="32" t="s">
        <v>1543</v>
      </c>
      <c r="E5" s="11" t="str">
        <f>HYPERLINK("https://youtu.be/wvzY3Gg-2jk?t=955","channel 1")</f>
        <v>channel 1</v>
      </c>
    </row>
    <row r="6">
      <c r="A6" s="118"/>
      <c r="B6" s="32" t="s">
        <v>3493</v>
      </c>
      <c r="C6" s="70" t="s">
        <v>190</v>
      </c>
      <c r="D6" s="32" t="s">
        <v>3492</v>
      </c>
      <c r="E6" s="11" t="str">
        <f>HYPERLINK("https://youtu.be/rG2tuuxJKDo?t=1079","channel 2")</f>
        <v>channel 2</v>
      </c>
    </row>
    <row r="7">
      <c r="A7" s="118"/>
      <c r="B7" s="32" t="s">
        <v>3495</v>
      </c>
      <c r="C7" s="70" t="s">
        <v>286</v>
      </c>
      <c r="D7" s="32" t="s">
        <v>3494</v>
      </c>
      <c r="E7" s="11" t="str">
        <f>HYPERLINK("https://youtu.be/wvzY3Gg-2jk?t=1965","channel 1")</f>
        <v>channel 1</v>
      </c>
    </row>
    <row r="8">
      <c r="A8" s="118"/>
      <c r="B8" s="32" t="s">
        <v>3493</v>
      </c>
      <c r="C8" s="70" t="s">
        <v>400</v>
      </c>
      <c r="D8" s="32" t="s">
        <v>1543</v>
      </c>
      <c r="E8" s="11" t="str">
        <f>HYPERLINK("https://youtu.be/rG2tuuxJKDo?t=1986","channel 2")</f>
        <v>channel 2</v>
      </c>
    </row>
    <row r="9">
      <c r="A9" s="118"/>
      <c r="B9" s="32" t="s">
        <v>3495</v>
      </c>
      <c r="C9" s="70" t="s">
        <v>83</v>
      </c>
      <c r="D9" s="32" t="s">
        <v>3492</v>
      </c>
      <c r="E9" s="11" t="str">
        <f>HYPERLINK("https://youtu.be/wvzY3Gg-2jk?t=2899","channel 1")</f>
        <v>channel 1</v>
      </c>
    </row>
    <row r="10">
      <c r="A10" s="118"/>
      <c r="B10" s="32" t="s">
        <v>3494</v>
      </c>
      <c r="C10" s="70" t="s">
        <v>31</v>
      </c>
      <c r="D10" s="32" t="s">
        <v>1543</v>
      </c>
      <c r="E10" s="11" t="str">
        <f>HYPERLINK("https://youtu.be/rG2tuuxJKDo?t=2943","channel 2")</f>
        <v>channel 2</v>
      </c>
    </row>
    <row r="11">
      <c r="A11" s="118"/>
      <c r="B11" s="32" t="s">
        <v>3495</v>
      </c>
      <c r="C11" s="70" t="s">
        <v>11</v>
      </c>
      <c r="D11" s="32" t="s">
        <v>3493</v>
      </c>
      <c r="E11" s="11" t="str">
        <f>HYPERLINK("https://youtu.be/wvzY3Gg-2jk?t=3872","channel 1")</f>
        <v>channel 1</v>
      </c>
    </row>
    <row r="12">
      <c r="A12" s="118"/>
      <c r="B12" s="32" t="s">
        <v>3494</v>
      </c>
      <c r="C12" s="70" t="s">
        <v>50</v>
      </c>
      <c r="D12" s="32" t="s">
        <v>3492</v>
      </c>
      <c r="E12" s="11" t="str">
        <f>HYPERLINK("https://youtu.be/rG2tuuxJKDo?t=2943","channel 2")</f>
        <v>channel 2</v>
      </c>
    </row>
    <row r="13">
      <c r="A13" s="118"/>
      <c r="B13" s="32" t="s">
        <v>3492</v>
      </c>
      <c r="C13" s="70" t="s">
        <v>64</v>
      </c>
      <c r="D13" s="32" t="s">
        <v>1543</v>
      </c>
      <c r="E13" s="11" t="str">
        <f>HYPERLINK("https://youtu.be/wvzY3Gg-2jk?t=4796","channel 1")</f>
        <v>channel 1</v>
      </c>
    </row>
    <row r="14">
      <c r="A14" s="118"/>
      <c r="B14" s="32" t="s">
        <v>3494</v>
      </c>
      <c r="C14" s="70" t="s">
        <v>578</v>
      </c>
      <c r="D14" s="32" t="s">
        <v>3493</v>
      </c>
      <c r="E14" s="11" t="str">
        <f>HYPERLINK("https://youtu.be/rG2tuuxJKDo?t=4839","channel 2")</f>
        <v>channel 2</v>
      </c>
    </row>
    <row r="15">
      <c r="A15" s="118"/>
      <c r="B15" s="32" t="s">
        <v>1543</v>
      </c>
      <c r="C15" s="70" t="s">
        <v>88</v>
      </c>
      <c r="D15" s="32" t="s">
        <v>3495</v>
      </c>
      <c r="E15" s="11" t="str">
        <f>HYPERLINK("https://youtu.be/wvzY3Gg-2jk?t=5750","channel 1")</f>
        <v>channel 1</v>
      </c>
    </row>
    <row r="16">
      <c r="A16" s="118"/>
      <c r="B16" s="32" t="s">
        <v>3492</v>
      </c>
      <c r="C16" s="70" t="s">
        <v>947</v>
      </c>
      <c r="D16" s="32" t="s">
        <v>3493</v>
      </c>
      <c r="E16" s="11" t="str">
        <f>HYPERLINK("https://youtu.be/rG2tuuxJKDo?t=5824","channel 2")</f>
        <v>channel 2</v>
      </c>
    </row>
    <row r="17">
      <c r="A17" s="118"/>
      <c r="B17" s="32" t="s">
        <v>3494</v>
      </c>
      <c r="C17" s="70" t="s">
        <v>23</v>
      </c>
      <c r="D17" s="32" t="s">
        <v>3495</v>
      </c>
      <c r="E17" s="11" t="str">
        <f>HYPERLINK("https://youtu.be/wvzY3Gg-2jk?t=6668","channel 1")</f>
        <v>channel 1</v>
      </c>
    </row>
    <row r="18">
      <c r="A18" s="118"/>
      <c r="B18" s="32" t="s">
        <v>1543</v>
      </c>
      <c r="C18" s="70" t="s">
        <v>68</v>
      </c>
      <c r="D18" s="32" t="s">
        <v>3493</v>
      </c>
      <c r="E18" s="11" t="str">
        <f>HYPERLINK("https://youtu.be/rG2tuuxJKDo?t=6685","channel 2")</f>
        <v>channel 2</v>
      </c>
    </row>
    <row r="19">
      <c r="A19" s="118"/>
      <c r="B19" s="32" t="s">
        <v>3492</v>
      </c>
      <c r="C19" s="70" t="s">
        <v>88</v>
      </c>
      <c r="D19" s="32" t="s">
        <v>3495</v>
      </c>
      <c r="E19" s="11" t="str">
        <f>HYPERLINK("https://youtu.be/wvzY3Gg-2jk?t=7609","channel 1")</f>
        <v>channel 1</v>
      </c>
    </row>
    <row r="20">
      <c r="A20" s="118"/>
      <c r="B20" s="32" t="s">
        <v>1543</v>
      </c>
      <c r="C20" s="70" t="s">
        <v>195</v>
      </c>
      <c r="D20" s="32" t="s">
        <v>3494</v>
      </c>
      <c r="E20" s="11" t="str">
        <f>HYPERLINK("https://youtu.be/rG2tuuxJKDo?t=7608","channel 2")</f>
        <v>channel 2</v>
      </c>
    </row>
    <row r="21">
      <c r="A21" s="118"/>
      <c r="B21" s="32" t="s">
        <v>3493</v>
      </c>
      <c r="C21" s="37" t="s">
        <v>2270</v>
      </c>
      <c r="D21" s="32" t="s">
        <v>3495</v>
      </c>
      <c r="E21" s="11" t="str">
        <f>HYPERLINK("https://youtu.be/wvzY3Gg-2jk?t=8565","channel 1")</f>
        <v>channel 1</v>
      </c>
    </row>
    <row r="22">
      <c r="A22" s="118"/>
      <c r="B22" s="32" t="s">
        <v>3492</v>
      </c>
      <c r="C22" s="120" t="s">
        <v>20</v>
      </c>
      <c r="D22" s="32" t="s">
        <v>3494</v>
      </c>
      <c r="E22" s="11" t="str">
        <f>HYPERLINK("https://youtu.be/rG2tuuxJKDo?t=8506","channel 2")</f>
        <v>channel 2</v>
      </c>
    </row>
    <row r="23">
      <c r="A23" s="118"/>
      <c r="B23" s="72" t="s">
        <v>2160</v>
      </c>
      <c r="C23" s="2"/>
      <c r="D23" s="3"/>
      <c r="E23" s="4"/>
    </row>
    <row r="24">
      <c r="A24" s="118"/>
      <c r="B24" s="16" t="s">
        <v>2</v>
      </c>
      <c r="C24" s="16" t="s">
        <v>3</v>
      </c>
      <c r="D24" s="16" t="s">
        <v>4</v>
      </c>
      <c r="E24" s="6" t="s">
        <v>5</v>
      </c>
    </row>
    <row r="25">
      <c r="A25" s="118"/>
      <c r="B25" s="32" t="s">
        <v>2538</v>
      </c>
      <c r="C25" s="70" t="s">
        <v>2699</v>
      </c>
      <c r="D25" s="32" t="s">
        <v>3496</v>
      </c>
      <c r="E25" s="11" t="str">
        <f>HYPERLINK("https://youtu.be/16PslcwxXs4","channel 1")</f>
        <v>channel 1</v>
      </c>
    </row>
    <row r="26">
      <c r="A26" s="118"/>
      <c r="B26" s="32" t="s">
        <v>3497</v>
      </c>
      <c r="C26" s="70" t="s">
        <v>66</v>
      </c>
      <c r="D26" s="32" t="s">
        <v>3498</v>
      </c>
      <c r="E26" s="11" t="str">
        <f>HYPERLINK("https://youtu.be/0igJDcDiLWI","channel 2")</f>
        <v>channel 2</v>
      </c>
    </row>
    <row r="27">
      <c r="A27" s="118"/>
      <c r="B27" s="32" t="s">
        <v>3499</v>
      </c>
      <c r="C27" s="70" t="s">
        <v>50</v>
      </c>
      <c r="D27" s="32" t="s">
        <v>2538</v>
      </c>
      <c r="E27" s="11" t="str">
        <f>HYPERLINK("https://youtu.be/16PslcwxXs4?t=1069","channel 1")</f>
        <v>channel 1</v>
      </c>
    </row>
    <row r="28">
      <c r="A28" s="118"/>
      <c r="B28" s="32" t="s">
        <v>3497</v>
      </c>
      <c r="C28" s="70" t="s">
        <v>83</v>
      </c>
      <c r="D28" s="32" t="s">
        <v>3496</v>
      </c>
      <c r="E28" s="11" t="str">
        <f>HYPERLINK("https://youtu.be/0igJDcDiLWI?t=1099","channel 2")</f>
        <v>channel 2</v>
      </c>
    </row>
    <row r="29">
      <c r="A29" s="118"/>
      <c r="B29" s="32" t="s">
        <v>3499</v>
      </c>
      <c r="C29" s="70" t="s">
        <v>239</v>
      </c>
      <c r="D29" s="32" t="s">
        <v>3498</v>
      </c>
      <c r="E29" s="11" t="str">
        <f>HYPERLINK("https://youtu.be/16PslcwxXs4?t=1987","channel 1")</f>
        <v>channel 1</v>
      </c>
    </row>
    <row r="30">
      <c r="A30" s="118"/>
      <c r="B30" s="32" t="s">
        <v>3497</v>
      </c>
      <c r="C30" s="70" t="s">
        <v>55</v>
      </c>
      <c r="D30" s="32" t="s">
        <v>2538</v>
      </c>
      <c r="E30" s="11" t="str">
        <f>HYPERLINK("https://youtu.be/0igJDcDiLWI?t=2054","channel 2")</f>
        <v>channel 2</v>
      </c>
    </row>
    <row r="31">
      <c r="A31" s="118"/>
      <c r="B31" s="32" t="s">
        <v>3499</v>
      </c>
      <c r="C31" s="70" t="s">
        <v>953</v>
      </c>
      <c r="D31" s="32" t="s">
        <v>3496</v>
      </c>
      <c r="E31" s="11" t="str">
        <f>HYPERLINK("https://youtu.be/16PslcwxXs4?t=2927","channel 1")</f>
        <v>channel 1</v>
      </c>
    </row>
    <row r="32">
      <c r="A32" s="118"/>
      <c r="B32" s="32" t="s">
        <v>3498</v>
      </c>
      <c r="C32" s="70" t="s">
        <v>251</v>
      </c>
      <c r="D32" s="32" t="s">
        <v>2538</v>
      </c>
      <c r="E32" s="11" t="str">
        <f>HYPERLINK("https://youtu.be/0igJDcDiLWI?t=3018","channel 2")</f>
        <v>channel 2</v>
      </c>
    </row>
    <row r="33">
      <c r="A33" s="118"/>
      <c r="B33" s="32" t="s">
        <v>3499</v>
      </c>
      <c r="C33" s="70" t="s">
        <v>62</v>
      </c>
      <c r="D33" s="32" t="s">
        <v>3497</v>
      </c>
      <c r="E33" s="11" t="str">
        <f>HYPERLINK("https://youtu.be/16PslcwxXs4?t=3874","channel 1")</f>
        <v>channel 1</v>
      </c>
    </row>
    <row r="34">
      <c r="A34" s="118"/>
      <c r="B34" s="32" t="s">
        <v>3498</v>
      </c>
      <c r="C34" s="70" t="s">
        <v>18</v>
      </c>
      <c r="D34" s="32" t="s">
        <v>3496</v>
      </c>
      <c r="E34" s="11" t="str">
        <f>HYPERLINK("https://youtu.be/0igJDcDiLWI?t=3949","channel 2")</f>
        <v>channel 2</v>
      </c>
    </row>
    <row r="35">
      <c r="A35" s="118"/>
      <c r="B35" s="32" t="s">
        <v>3496</v>
      </c>
      <c r="C35" s="70" t="s">
        <v>403</v>
      </c>
      <c r="D35" s="32" t="s">
        <v>2538</v>
      </c>
      <c r="E35" s="11" t="str">
        <f>HYPERLINK("https://youtu.be/16PslcwxXs4?t=4828","channel 1")</f>
        <v>channel 1</v>
      </c>
    </row>
    <row r="36">
      <c r="A36" s="118"/>
      <c r="B36" s="32" t="s">
        <v>3498</v>
      </c>
      <c r="C36" s="70" t="s">
        <v>22</v>
      </c>
      <c r="D36" s="32" t="s">
        <v>3497</v>
      </c>
      <c r="E36" s="11" t="str">
        <f>HYPERLINK("https://youtu.be/0igJDcDiLWI?t=4879","channel 2")</f>
        <v>channel 2</v>
      </c>
    </row>
    <row r="37">
      <c r="A37" s="118"/>
      <c r="B37" s="32" t="s">
        <v>2538</v>
      </c>
      <c r="C37" s="70" t="s">
        <v>41</v>
      </c>
      <c r="D37" s="32" t="s">
        <v>3499</v>
      </c>
      <c r="E37" s="11" t="str">
        <f>HYPERLINK("https://youtu.be/16PslcwxXs4?t=5782","channel 1")</f>
        <v>channel 1</v>
      </c>
    </row>
    <row r="38">
      <c r="A38" s="118"/>
      <c r="B38" s="32" t="s">
        <v>3496</v>
      </c>
      <c r="C38" s="70" t="s">
        <v>31</v>
      </c>
      <c r="D38" s="32" t="s">
        <v>3497</v>
      </c>
      <c r="E38" s="11" t="str">
        <f>HYPERLINK("https://youtu.be/0igJDcDiLWI?t=5865","channel 2")</f>
        <v>channel 2</v>
      </c>
    </row>
    <row r="39">
      <c r="A39" s="118"/>
      <c r="B39" s="32" t="s">
        <v>3498</v>
      </c>
      <c r="C39" s="70" t="s">
        <v>249</v>
      </c>
      <c r="D39" s="32" t="s">
        <v>3499</v>
      </c>
      <c r="E39" s="11" t="str">
        <f>HYPERLINK("https://youtu.be/16PslcwxXs4?t=6709","channel 1")</f>
        <v>channel 1</v>
      </c>
    </row>
    <row r="40">
      <c r="A40" s="118"/>
      <c r="B40" s="32" t="s">
        <v>2538</v>
      </c>
      <c r="C40" s="70" t="s">
        <v>239</v>
      </c>
      <c r="D40" s="32" t="s">
        <v>3497</v>
      </c>
      <c r="E40" s="11" t="str">
        <f>HYPERLINK("https://youtu.be/0igJDcDiLWI?t=6858","channel 2")</f>
        <v>channel 2</v>
      </c>
    </row>
    <row r="41">
      <c r="A41" s="118"/>
      <c r="B41" s="32" t="s">
        <v>3496</v>
      </c>
      <c r="C41" s="70" t="s">
        <v>465</v>
      </c>
      <c r="D41" s="32" t="s">
        <v>3499</v>
      </c>
      <c r="E41" s="11" t="str">
        <f>HYPERLINK("https://youtu.be/16PslcwxXs4?t=7597","channel 1")</f>
        <v>channel 1</v>
      </c>
    </row>
    <row r="42">
      <c r="A42" s="118"/>
      <c r="B42" s="32" t="s">
        <v>2538</v>
      </c>
      <c r="C42" s="70" t="s">
        <v>283</v>
      </c>
      <c r="D42" s="32" t="s">
        <v>3498</v>
      </c>
      <c r="E42" s="11" t="str">
        <f>HYPERLINK("https://youtu.be/0igJDcDiLWI?t=7822","channel 2")</f>
        <v>channel 2</v>
      </c>
    </row>
    <row r="43">
      <c r="A43" s="118"/>
      <c r="B43" s="32" t="s">
        <v>3497</v>
      </c>
      <c r="C43" s="70" t="s">
        <v>270</v>
      </c>
      <c r="D43" s="32" t="s">
        <v>3499</v>
      </c>
      <c r="E43" s="11" t="str">
        <f>HYPERLINK("https://youtu.be/16PslcwxXs4?t=7597","channel 1")</f>
        <v>channel 1</v>
      </c>
    </row>
    <row r="44">
      <c r="A44" s="118"/>
      <c r="B44" s="32" t="s">
        <v>3496</v>
      </c>
      <c r="C44" s="70" t="s">
        <v>536</v>
      </c>
      <c r="D44" s="32" t="s">
        <v>3498</v>
      </c>
      <c r="E44" s="11" t="str">
        <f>HYPERLINK("https://youtu.be/0igJDcDiLWI?t=8715","channel 2")</f>
        <v>channel 2</v>
      </c>
    </row>
    <row r="45">
      <c r="A45" s="118"/>
      <c r="B45" s="72" t="s">
        <v>3207</v>
      </c>
      <c r="C45" s="2"/>
      <c r="D45" s="3"/>
      <c r="E45" s="4"/>
    </row>
    <row r="46">
      <c r="A46" s="118"/>
      <c r="B46" s="16" t="s">
        <v>2</v>
      </c>
      <c r="C46" s="16" t="s">
        <v>3</v>
      </c>
      <c r="D46" s="16" t="s">
        <v>4</v>
      </c>
      <c r="E46" s="6" t="s">
        <v>5</v>
      </c>
    </row>
    <row r="47">
      <c r="A47" s="118"/>
      <c r="B47" s="32" t="s">
        <v>1123</v>
      </c>
      <c r="C47" s="57" t="s">
        <v>449</v>
      </c>
      <c r="D47" s="32" t="s">
        <v>728</v>
      </c>
      <c r="E47" s="102" t="str">
        <f>HYPERLINK("","channel 3")</f>
        <v>channel 3</v>
      </c>
    </row>
    <row r="48">
      <c r="A48" s="118"/>
      <c r="B48" s="32" t="s">
        <v>3219</v>
      </c>
      <c r="C48" s="57" t="s">
        <v>449</v>
      </c>
      <c r="D48" s="32" t="s">
        <v>3500</v>
      </c>
      <c r="E48" s="121" t="s">
        <v>37</v>
      </c>
    </row>
    <row r="49">
      <c r="A49" s="118"/>
      <c r="B49" s="32" t="s">
        <v>3450</v>
      </c>
      <c r="C49" s="57" t="s">
        <v>449</v>
      </c>
      <c r="D49" s="32" t="s">
        <v>1123</v>
      </c>
      <c r="E49" s="99" t="s">
        <v>33</v>
      </c>
    </row>
    <row r="50">
      <c r="A50" s="118"/>
      <c r="B50" s="32" t="s">
        <v>3219</v>
      </c>
      <c r="C50" s="57" t="s">
        <v>449</v>
      </c>
      <c r="D50" s="32" t="s">
        <v>728</v>
      </c>
      <c r="E50" s="102" t="s">
        <v>37</v>
      </c>
    </row>
    <row r="51">
      <c r="A51" s="118"/>
      <c r="B51" s="32" t="s">
        <v>3450</v>
      </c>
      <c r="C51" s="70" t="s">
        <v>22</v>
      </c>
      <c r="D51" s="32" t="s">
        <v>3500</v>
      </c>
      <c r="E51" s="11" t="str">
        <f>HYPERLINK("https://youtu.be/P8OBWxFe0KI","channel 3")</f>
        <v>channel 3</v>
      </c>
    </row>
    <row r="52">
      <c r="A52" s="118"/>
      <c r="B52" s="32" t="s">
        <v>3219</v>
      </c>
      <c r="C52" s="70" t="s">
        <v>218</v>
      </c>
      <c r="D52" s="32" t="s">
        <v>1123</v>
      </c>
      <c r="E52" s="11" t="str">
        <f>HYPERLINK("https://youtu.be/jG09pv6isgc","channel 4")</f>
        <v>channel 4</v>
      </c>
    </row>
    <row r="53">
      <c r="A53" s="118"/>
      <c r="B53" s="32" t="s">
        <v>3450</v>
      </c>
      <c r="C53" s="70" t="s">
        <v>22</v>
      </c>
      <c r="D53" s="32" t="s">
        <v>728</v>
      </c>
      <c r="E53" s="11" t="str">
        <f>HYPERLINK("https://youtu.be/P8OBWxFe0KI?t=955","channel 3")</f>
        <v>channel 3</v>
      </c>
    </row>
    <row r="54">
      <c r="A54" s="118"/>
      <c r="B54" s="32" t="s">
        <v>3500</v>
      </c>
      <c r="C54" s="70" t="s">
        <v>195</v>
      </c>
      <c r="D54" s="32" t="s">
        <v>1123</v>
      </c>
      <c r="E54" s="11" t="str">
        <f>HYPERLINK("https://youtu.be/jG09pv6isgc?t=922","channel 4")</f>
        <v>channel 4</v>
      </c>
    </row>
    <row r="55">
      <c r="A55" s="118"/>
      <c r="B55" s="32" t="s">
        <v>3450</v>
      </c>
      <c r="C55" s="70" t="s">
        <v>195</v>
      </c>
      <c r="D55" s="32" t="s">
        <v>3219</v>
      </c>
      <c r="E55" s="11" t="str">
        <f>HYPERLINK("https://youtu.be/P8OBWxFe0KI?t=1867","channel 3")</f>
        <v>channel 3</v>
      </c>
    </row>
    <row r="56">
      <c r="A56" s="118"/>
      <c r="B56" s="32" t="s">
        <v>3500</v>
      </c>
      <c r="C56" s="70" t="s">
        <v>66</v>
      </c>
      <c r="D56" s="32" t="s">
        <v>728</v>
      </c>
      <c r="E56" s="11" t="str">
        <f>HYPERLINK("https://youtu.be/jG09pv6isgc?t=1873","channel 4")</f>
        <v>channel 4</v>
      </c>
    </row>
    <row r="57">
      <c r="A57" s="118"/>
      <c r="B57" s="32" t="s">
        <v>728</v>
      </c>
      <c r="C57" s="70" t="s">
        <v>687</v>
      </c>
      <c r="D57" s="32" t="s">
        <v>1123</v>
      </c>
      <c r="E57" s="11" t="str">
        <f>HYPERLINK("https://youtu.be/P8OBWxFe0KI?t=2773","channel 3")</f>
        <v>channel 3</v>
      </c>
    </row>
    <row r="58">
      <c r="A58" s="118"/>
      <c r="B58" s="32" t="s">
        <v>3500</v>
      </c>
      <c r="C58" s="70" t="s">
        <v>28</v>
      </c>
      <c r="D58" s="32" t="s">
        <v>3219</v>
      </c>
      <c r="E58" s="11" t="str">
        <f>HYPERLINK("https://youtu.be/jG09pv6isgc?t=2770","channel 4")</f>
        <v>channel 4</v>
      </c>
    </row>
    <row r="59">
      <c r="A59" s="118"/>
      <c r="B59" s="32" t="s">
        <v>1123</v>
      </c>
      <c r="C59" s="70" t="s">
        <v>218</v>
      </c>
      <c r="D59" s="32" t="s">
        <v>3450</v>
      </c>
      <c r="E59" s="11" t="str">
        <f>HYPERLINK("https://youtu.be/P8OBWxFe0KI?t=3829","channel 3")</f>
        <v>channel 3</v>
      </c>
    </row>
    <row r="60">
      <c r="A60" s="118"/>
      <c r="B60" s="32" t="s">
        <v>728</v>
      </c>
      <c r="C60" s="70" t="s">
        <v>43</v>
      </c>
      <c r="D60" s="32" t="s">
        <v>3219</v>
      </c>
      <c r="E60" s="11" t="str">
        <f>HYPERLINK("https://youtu.be/jG09pv6isgc?t=3741","channel 4")</f>
        <v>channel 4</v>
      </c>
    </row>
    <row r="61">
      <c r="A61" s="118"/>
      <c r="B61" s="32" t="s">
        <v>3500</v>
      </c>
      <c r="C61" s="70" t="s">
        <v>726</v>
      </c>
      <c r="D61" s="32" t="s">
        <v>3450</v>
      </c>
      <c r="E61" s="11" t="str">
        <f>HYPERLINK("https://youtu.be/P8OBWxFe0KI?t=4722","channel 3")</f>
        <v>channel 3</v>
      </c>
    </row>
    <row r="62">
      <c r="A62" s="118"/>
      <c r="B62" s="32" t="s">
        <v>1123</v>
      </c>
      <c r="C62" s="70" t="s">
        <v>283</v>
      </c>
      <c r="D62" s="32" t="s">
        <v>3219</v>
      </c>
      <c r="E62" s="11" t="str">
        <f>HYPERLINK("https://youtu.be/jG09pv6isgc?t=4706","channel 4")</f>
        <v>channel 4</v>
      </c>
    </row>
    <row r="63">
      <c r="A63" s="118"/>
      <c r="B63" s="32" t="s">
        <v>728</v>
      </c>
      <c r="C63" s="70" t="s">
        <v>80</v>
      </c>
      <c r="D63" s="32" t="s">
        <v>3450</v>
      </c>
      <c r="E63" s="11" t="str">
        <f>HYPERLINK("https://youtu.be/P8OBWxFe0KI?t=5711","channel 3")</f>
        <v>channel 3</v>
      </c>
    </row>
    <row r="64">
      <c r="A64" s="118"/>
      <c r="B64" s="32" t="s">
        <v>1123</v>
      </c>
      <c r="C64" s="70" t="s">
        <v>78</v>
      </c>
      <c r="D64" s="32" t="s">
        <v>3500</v>
      </c>
      <c r="E64" s="11" t="str">
        <f>HYPERLINK("https://youtu.be/jG09pv6isgc?t=5653","channel 4")</f>
        <v>channel 4</v>
      </c>
    </row>
    <row r="65">
      <c r="A65" s="118"/>
      <c r="B65" s="32" t="s">
        <v>3219</v>
      </c>
      <c r="C65" s="70" t="s">
        <v>66</v>
      </c>
      <c r="D65" s="32" t="s">
        <v>3450</v>
      </c>
      <c r="E65" s="11" t="str">
        <f>HYPERLINK("https://youtu.be/P8OBWxFe0KI?t=6628","channel 3")</f>
        <v>channel 3</v>
      </c>
    </row>
    <row r="66">
      <c r="A66" s="118"/>
      <c r="B66" s="32" t="s">
        <v>728</v>
      </c>
      <c r="C66" s="70" t="s">
        <v>66</v>
      </c>
      <c r="D66" s="32" t="s">
        <v>3500</v>
      </c>
      <c r="E66" s="11" t="str">
        <f>HYPERLINK("https://youtu.be/jG09pv6isgc?t=6619","channel 4")</f>
        <v>channel 4</v>
      </c>
    </row>
    <row r="67">
      <c r="A67" s="118"/>
      <c r="B67" s="72" t="s">
        <v>2646</v>
      </c>
      <c r="C67" s="2"/>
      <c r="D67" s="3"/>
      <c r="E67" s="4"/>
    </row>
    <row r="68">
      <c r="A68" s="118"/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118"/>
      <c r="B69" s="119" t="s">
        <v>3501</v>
      </c>
      <c r="C69" s="33" t="s">
        <v>64</v>
      </c>
      <c r="D69" s="32" t="s">
        <v>1493</v>
      </c>
      <c r="E69" s="11" t="str">
        <f>HYPERLINK("https://youtu.be/PtnoG1q6T_Q","channel 3")</f>
        <v>channel 3</v>
      </c>
    </row>
    <row r="70">
      <c r="A70" s="118"/>
      <c r="B70" s="32" t="s">
        <v>3502</v>
      </c>
      <c r="C70" s="33" t="s">
        <v>614</v>
      </c>
      <c r="D70" s="32" t="s">
        <v>3503</v>
      </c>
      <c r="E70" s="11" t="str">
        <f>HYPERLINK("https://youtu.be/dBUF-2VM7qM","channel 4")</f>
        <v>channel 4</v>
      </c>
    </row>
    <row r="71">
      <c r="A71" s="118"/>
      <c r="B71" s="32" t="s">
        <v>3480</v>
      </c>
      <c r="C71" s="33" t="s">
        <v>28</v>
      </c>
      <c r="D71" s="32" t="s">
        <v>3501</v>
      </c>
      <c r="E71" s="11" t="str">
        <f>HYPERLINK("https://youtu.be/PtnoG1q6T_Q?t=1035","channel 3")</f>
        <v>channel 3</v>
      </c>
    </row>
    <row r="72">
      <c r="A72" s="118"/>
      <c r="B72" s="32" t="s">
        <v>3502</v>
      </c>
      <c r="C72" s="33" t="s">
        <v>217</v>
      </c>
      <c r="D72" s="32" t="s">
        <v>1493</v>
      </c>
      <c r="E72" s="11" t="str">
        <f>HYPERLINK("https://youtu.be/dBUF-2VM7qM?t=1110","channel 4")</f>
        <v>channel 4</v>
      </c>
    </row>
    <row r="73">
      <c r="A73" s="118"/>
      <c r="B73" s="32" t="s">
        <v>3480</v>
      </c>
      <c r="C73" s="33" t="s">
        <v>193</v>
      </c>
      <c r="D73" s="32" t="s">
        <v>3503</v>
      </c>
      <c r="E73" s="11" t="str">
        <f>HYPERLINK("https://youtu.be/PtnoG1q6T_Q?t=1971","channel 3")</f>
        <v>channel 3</v>
      </c>
    </row>
    <row r="74">
      <c r="A74" s="118"/>
      <c r="B74" s="32" t="s">
        <v>3502</v>
      </c>
      <c r="C74" s="33" t="s">
        <v>239</v>
      </c>
      <c r="D74" s="32" t="s">
        <v>3501</v>
      </c>
      <c r="E74" s="11" t="str">
        <f>HYPERLINK("https://youtu.be/dBUF-2VM7qM?t=1935","channel 4")</f>
        <v>channel 4</v>
      </c>
    </row>
    <row r="75">
      <c r="A75" s="118"/>
      <c r="B75" s="32" t="s">
        <v>3480</v>
      </c>
      <c r="C75" s="33" t="s">
        <v>378</v>
      </c>
      <c r="D75" s="32" t="s">
        <v>1493</v>
      </c>
      <c r="E75" s="11" t="str">
        <f>HYPERLINK("https://youtu.be/PtnoG1q6T_Q?t=2925","channel 3")</f>
        <v>channel 3</v>
      </c>
    </row>
    <row r="76">
      <c r="A76" s="118"/>
      <c r="B76" s="32" t="s">
        <v>3503</v>
      </c>
      <c r="C76" s="33" t="s">
        <v>282</v>
      </c>
      <c r="D76" s="32" t="s">
        <v>3501</v>
      </c>
      <c r="E76" s="11" t="str">
        <f>HYPERLINK("https://youtu.be/dBUF-2VM7qM?t=2799","channel 4")</f>
        <v>channel 4</v>
      </c>
    </row>
    <row r="77">
      <c r="A77" s="118"/>
      <c r="B77" s="32" t="s">
        <v>3480</v>
      </c>
      <c r="C77" s="33" t="s">
        <v>87</v>
      </c>
      <c r="D77" s="32" t="s">
        <v>3502</v>
      </c>
      <c r="E77" s="11" t="str">
        <f>HYPERLINK("https://youtu.be/PtnoG1q6T_Q?t=3867","channel 3")</f>
        <v>channel 3</v>
      </c>
    </row>
    <row r="78">
      <c r="A78" s="118"/>
      <c r="B78" s="32" t="s">
        <v>3503</v>
      </c>
      <c r="C78" s="33" t="s">
        <v>218</v>
      </c>
      <c r="D78" s="32" t="s">
        <v>1493</v>
      </c>
      <c r="E78" s="11" t="str">
        <f>HYPERLINK("https://youtu.be/dBUF-2VM7qM?t=3669","channel 4")</f>
        <v>channel 4</v>
      </c>
    </row>
    <row r="79">
      <c r="A79" s="118"/>
      <c r="B79" s="32" t="s">
        <v>1493</v>
      </c>
      <c r="C79" s="33" t="s">
        <v>27</v>
      </c>
      <c r="D79" s="32" t="s">
        <v>3501</v>
      </c>
      <c r="E79" s="11" t="str">
        <f>HYPERLINK("https://youtu.be/PtnoG1q6T_Q?t=4754","channel 3")</f>
        <v>channel 3</v>
      </c>
    </row>
    <row r="80">
      <c r="A80" s="118"/>
      <c r="B80" s="32" t="s">
        <v>3503</v>
      </c>
      <c r="C80" s="33" t="s">
        <v>68</v>
      </c>
      <c r="D80" s="32" t="s">
        <v>3502</v>
      </c>
      <c r="E80" s="11" t="str">
        <f>HYPERLINK("https://youtu.be/dBUF-2VM7qM?t=4556","channel 4")</f>
        <v>channel 4</v>
      </c>
    </row>
    <row r="81">
      <c r="A81" s="118"/>
      <c r="B81" s="32" t="s">
        <v>3501</v>
      </c>
      <c r="C81" s="33" t="s">
        <v>11</v>
      </c>
      <c r="D81" s="32" t="s">
        <v>3480</v>
      </c>
      <c r="E81" s="11" t="str">
        <f>HYPERLINK("https://youtu.be/PtnoG1q6T_Q?t=5666","channel 3")</f>
        <v>channel 3</v>
      </c>
    </row>
    <row r="82">
      <c r="A82" s="118"/>
      <c r="B82" s="32" t="s">
        <v>1493</v>
      </c>
      <c r="C82" s="33" t="s">
        <v>43</v>
      </c>
      <c r="D82" s="32" t="s">
        <v>3502</v>
      </c>
      <c r="E82" s="11" t="str">
        <f>HYPERLINK("https://youtu.be/dBUF-2VM7qM?t=5453","channel 4")</f>
        <v>channel 4</v>
      </c>
    </row>
    <row r="83">
      <c r="A83" s="118"/>
      <c r="B83" s="32" t="s">
        <v>3503</v>
      </c>
      <c r="C83" s="33" t="s">
        <v>196</v>
      </c>
      <c r="D83" s="32" t="s">
        <v>3480</v>
      </c>
      <c r="E83" s="11" t="str">
        <f>HYPERLINK("https://youtu.be/PtnoG1q6T_Q?t=6567","channel 3")</f>
        <v>channel 3</v>
      </c>
    </row>
    <row r="84">
      <c r="A84" s="118"/>
      <c r="B84" s="32" t="s">
        <v>3501</v>
      </c>
      <c r="C84" s="33" t="s">
        <v>43</v>
      </c>
      <c r="D84" s="32" t="s">
        <v>3502</v>
      </c>
      <c r="E84" s="11" t="str">
        <f>HYPERLINK("https://youtu.be/dBUF-2VM7qM?t=6358","channel 4")</f>
        <v>channel 4</v>
      </c>
    </row>
    <row r="85">
      <c r="A85" s="118"/>
      <c r="B85" s="32" t="s">
        <v>1493</v>
      </c>
      <c r="C85" s="33" t="s">
        <v>1186</v>
      </c>
      <c r="D85" s="32" t="s">
        <v>3480</v>
      </c>
      <c r="E85" s="11" t="str">
        <f>HYPERLINK("https://youtu.be/PtnoG1q6T_Q?t=7465","channel 3")</f>
        <v>channel 3</v>
      </c>
    </row>
    <row r="86">
      <c r="A86" s="118"/>
      <c r="B86" s="32" t="s">
        <v>3501</v>
      </c>
      <c r="C86" s="33" t="s">
        <v>215</v>
      </c>
      <c r="D86" s="32" t="s">
        <v>3503</v>
      </c>
      <c r="E86" s="11" t="str">
        <f>HYPERLINK("https://youtu.be/dBUF-2VM7qM?t=7290","channel 4")</f>
        <v>channel 4</v>
      </c>
    </row>
    <row r="87">
      <c r="A87" s="118"/>
      <c r="B87" s="32" t="s">
        <v>3502</v>
      </c>
      <c r="C87" s="33" t="s">
        <v>25</v>
      </c>
      <c r="D87" s="32" t="s">
        <v>3480</v>
      </c>
      <c r="E87" s="11" t="str">
        <f>HYPERLINK("https://youtu.be/PtnoG1q6T_Q?t=8401","channel 3")</f>
        <v>channel 3</v>
      </c>
    </row>
    <row r="88">
      <c r="A88" s="118"/>
      <c r="B88" s="32" t="s">
        <v>1493</v>
      </c>
      <c r="C88" s="33" t="s">
        <v>3504</v>
      </c>
      <c r="D88" s="32" t="s">
        <v>3503</v>
      </c>
      <c r="E88" s="11" t="str">
        <f>HYPERLINK("https://youtu.be/dBUF-2VM7qM?t=8251","channel 4")</f>
        <v>channel 4</v>
      </c>
    </row>
    <row r="89">
      <c r="A89" s="118"/>
      <c r="B89" s="72" t="s">
        <v>2554</v>
      </c>
      <c r="C89" s="2"/>
      <c r="D89" s="3"/>
      <c r="E89" s="4"/>
    </row>
    <row r="90">
      <c r="A90" s="118"/>
      <c r="B90" s="16" t="s">
        <v>2</v>
      </c>
      <c r="C90" s="16" t="s">
        <v>3</v>
      </c>
      <c r="D90" s="16" t="s">
        <v>4</v>
      </c>
      <c r="E90" s="16" t="s">
        <v>5</v>
      </c>
    </row>
    <row r="91">
      <c r="A91" s="118"/>
      <c r="B91" s="119" t="s">
        <v>3505</v>
      </c>
      <c r="C91" s="70" t="s">
        <v>416</v>
      </c>
      <c r="D91" s="32" t="s">
        <v>1825</v>
      </c>
      <c r="E91" s="11" t="str">
        <f>HYPERLINK("https://youtu.be/Spp7hHiGB7M","channel 1")</f>
        <v>channel 1</v>
      </c>
    </row>
    <row r="92">
      <c r="A92" s="118"/>
      <c r="B92" s="32" t="s">
        <v>1280</v>
      </c>
      <c r="C92" s="70" t="s">
        <v>81</v>
      </c>
      <c r="D92" s="32" t="s">
        <v>3506</v>
      </c>
      <c r="E92" s="11" t="str">
        <f>HYPERLINK("https://youtu.be/Q2M-jCWwlU4","channel 2")</f>
        <v>channel 2</v>
      </c>
    </row>
    <row r="93">
      <c r="A93" s="118"/>
      <c r="B93" s="32" t="s">
        <v>3507</v>
      </c>
      <c r="C93" s="70" t="s">
        <v>201</v>
      </c>
      <c r="D93" s="32" t="s">
        <v>3505</v>
      </c>
      <c r="E93" s="11" t="str">
        <f>HYPERLINK("https://youtu.be/Spp7hHiGB7M?t=771","channel 1")</f>
        <v>channel 1</v>
      </c>
    </row>
    <row r="94">
      <c r="A94" s="118"/>
      <c r="B94" s="32" t="s">
        <v>1280</v>
      </c>
      <c r="C94" s="70" t="s">
        <v>25</v>
      </c>
      <c r="D94" s="32" t="s">
        <v>1825</v>
      </c>
      <c r="E94" s="11" t="str">
        <f>HYPERLINK("https://youtu.be/Q2M-jCWwlU4?t=1063","channel 2")</f>
        <v>channel 2</v>
      </c>
    </row>
    <row r="95">
      <c r="A95" s="118"/>
      <c r="B95" s="32" t="s">
        <v>3507</v>
      </c>
      <c r="C95" s="70" t="s">
        <v>282</v>
      </c>
      <c r="D95" s="32" t="s">
        <v>3506</v>
      </c>
      <c r="E95" s="11" t="str">
        <f>HYPERLINK("https://youtu.be/Spp7hHiGB7M?t=1641","channel 1")</f>
        <v>channel 1</v>
      </c>
    </row>
    <row r="96">
      <c r="A96" s="118"/>
      <c r="B96" s="32" t="s">
        <v>1280</v>
      </c>
      <c r="C96" s="70" t="s">
        <v>195</v>
      </c>
      <c r="D96" s="32" t="s">
        <v>3505</v>
      </c>
      <c r="E96" s="11" t="str">
        <f>HYPERLINK("https://youtu.be/Q2M-jCWwlU4?t=1972","channel 2")</f>
        <v>channel 2</v>
      </c>
    </row>
    <row r="97">
      <c r="A97" s="118"/>
      <c r="B97" s="32" t="s">
        <v>3507</v>
      </c>
      <c r="C97" s="70" t="s">
        <v>21</v>
      </c>
      <c r="D97" s="32" t="s">
        <v>1825</v>
      </c>
      <c r="E97" s="11" t="str">
        <f>HYPERLINK("https://youtu.be/Spp7hHiGB7M?t=2577","channel 1")</f>
        <v>channel 1</v>
      </c>
    </row>
    <row r="98">
      <c r="A98" s="118"/>
      <c r="B98" s="32" t="s">
        <v>3506</v>
      </c>
      <c r="C98" s="70" t="s">
        <v>722</v>
      </c>
      <c r="D98" s="32" t="s">
        <v>3505</v>
      </c>
      <c r="E98" s="11" t="str">
        <f>HYPERLINK("https://youtu.be/Q2M-jCWwlU4?t=2839","channel 2")</f>
        <v>channel 2</v>
      </c>
    </row>
    <row r="99">
      <c r="A99" s="118"/>
      <c r="B99" s="32" t="s">
        <v>3507</v>
      </c>
      <c r="C99" s="70" t="s">
        <v>11</v>
      </c>
      <c r="D99" s="32" t="s">
        <v>1280</v>
      </c>
      <c r="E99" s="11" t="str">
        <f>HYPERLINK("https://youtu.be/Spp7hHiGB7M?t=3394","channel 1")</f>
        <v>channel 1</v>
      </c>
    </row>
    <row r="100">
      <c r="A100" s="118"/>
      <c r="B100" s="32" t="s">
        <v>3506</v>
      </c>
      <c r="C100" s="70" t="s">
        <v>87</v>
      </c>
      <c r="D100" s="32" t="s">
        <v>1825</v>
      </c>
      <c r="E100" s="11" t="str">
        <f>HYPERLINK("https://youtu.be/Q2M-jCWwlU4?t=3768","channel 2")</f>
        <v>channel 2</v>
      </c>
    </row>
    <row r="101">
      <c r="A101" s="118"/>
      <c r="B101" s="32" t="s">
        <v>1825</v>
      </c>
      <c r="C101" s="70" t="s">
        <v>472</v>
      </c>
      <c r="D101" s="32" t="s">
        <v>3505</v>
      </c>
      <c r="E101" s="11" t="str">
        <f>HYPERLINK("https://youtu.be/Spp7hHiGB7M?t=4348","channel 1")</f>
        <v>channel 1</v>
      </c>
    </row>
    <row r="102">
      <c r="A102" s="118"/>
      <c r="B102" s="32" t="s">
        <v>3506</v>
      </c>
      <c r="C102" s="70" t="s">
        <v>722</v>
      </c>
      <c r="D102" s="32" t="s">
        <v>1280</v>
      </c>
      <c r="E102" s="11" t="str">
        <f>HYPERLINK("https://youtu.be/Q2M-jCWwlU4?t=4667","channel 2")</f>
        <v>channel 2</v>
      </c>
    </row>
    <row r="103">
      <c r="A103" s="118"/>
      <c r="B103" s="32" t="s">
        <v>3505</v>
      </c>
      <c r="C103" s="70" t="s">
        <v>71</v>
      </c>
      <c r="D103" s="32" t="s">
        <v>3507</v>
      </c>
      <c r="E103" s="11" t="str">
        <f>HYPERLINK("https://youtu.be/Spp7hHiGB7M?t=5253","channel 1")</f>
        <v>channel 1</v>
      </c>
    </row>
    <row r="104">
      <c r="A104" s="118"/>
      <c r="B104" s="32" t="s">
        <v>1825</v>
      </c>
      <c r="C104" s="70" t="s">
        <v>3508</v>
      </c>
      <c r="D104" s="32" t="s">
        <v>1280</v>
      </c>
      <c r="E104" s="11" t="str">
        <f>HYPERLINK("https://youtu.be/Q2M-jCWwlU4?t=5581","channel 2")</f>
        <v>channel 2</v>
      </c>
    </row>
    <row r="105">
      <c r="A105" s="118"/>
      <c r="B105" s="32" t="s">
        <v>3506</v>
      </c>
      <c r="C105" s="70" t="s">
        <v>190</v>
      </c>
      <c r="D105" s="32" t="s">
        <v>3507</v>
      </c>
      <c r="E105" s="11" t="str">
        <f>HYPERLINK("https://youtu.be/Spp7hHiGB7M?t=6256","channel 1")</f>
        <v>channel 1</v>
      </c>
    </row>
    <row r="106">
      <c r="A106" s="118"/>
      <c r="B106" s="32" t="s">
        <v>3505</v>
      </c>
      <c r="C106" s="70" t="s">
        <v>190</v>
      </c>
      <c r="D106" s="32" t="s">
        <v>1280</v>
      </c>
      <c r="E106" s="11" t="str">
        <f>HYPERLINK("https://youtu.be/Q2M-jCWwlU4?t=6507","channel 2")</f>
        <v>channel 2</v>
      </c>
    </row>
    <row r="107">
      <c r="A107" s="118"/>
      <c r="B107" s="32" t="s">
        <v>1825</v>
      </c>
      <c r="C107" s="70" t="s">
        <v>412</v>
      </c>
      <c r="D107" s="32" t="s">
        <v>3507</v>
      </c>
      <c r="E107" s="11" t="str">
        <f>HYPERLINK("https://youtu.be/Spp7hHiGB7M?t=7095","channel 1")</f>
        <v>channel 1</v>
      </c>
    </row>
    <row r="108">
      <c r="A108" s="118"/>
      <c r="B108" s="32" t="s">
        <v>3505</v>
      </c>
      <c r="C108" s="70" t="s">
        <v>195</v>
      </c>
      <c r="D108" s="32" t="s">
        <v>3506</v>
      </c>
      <c r="E108" s="11" t="str">
        <f>HYPERLINK("https://youtu.be/Q2M-jCWwlU4?t=7403","channel 2")</f>
        <v>channel 2</v>
      </c>
    </row>
    <row r="109">
      <c r="A109" s="118"/>
      <c r="B109" s="32" t="s">
        <v>1280</v>
      </c>
      <c r="C109" s="70" t="s">
        <v>17</v>
      </c>
      <c r="D109" s="32" t="s">
        <v>3507</v>
      </c>
      <c r="E109" s="11" t="str">
        <f>HYPERLINK("https://youtu.be/Spp7hHiGB7M?t=7964","channel 1")</f>
        <v>channel 1</v>
      </c>
    </row>
    <row r="110">
      <c r="A110" s="118"/>
      <c r="B110" s="32" t="s">
        <v>1825</v>
      </c>
      <c r="C110" s="70" t="s">
        <v>87</v>
      </c>
      <c r="D110" s="32" t="s">
        <v>3506</v>
      </c>
      <c r="E110" s="11" t="str">
        <f>HYPERLINK("https://youtu.be/Q2M-jCWwlU4?t=8322","channel 2")</f>
        <v>channel 2</v>
      </c>
    </row>
    <row r="111">
      <c r="A111" s="118"/>
      <c r="B111" s="72" t="s">
        <v>1435</v>
      </c>
      <c r="C111" s="2"/>
      <c r="D111" s="3"/>
      <c r="E111" s="4"/>
    </row>
    <row r="112">
      <c r="A112" s="118"/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A113" s="118"/>
      <c r="B113" s="32" t="s">
        <v>3360</v>
      </c>
      <c r="C113" s="70" t="s">
        <v>403</v>
      </c>
      <c r="D113" s="32" t="s">
        <v>171</v>
      </c>
      <c r="E113" s="11" t="str">
        <f>HYPERLINK("https://youtu.be/0ZYYxypENB4","channel 1")</f>
        <v>channel 1</v>
      </c>
    </row>
    <row r="114">
      <c r="A114" s="118"/>
      <c r="B114" s="32" t="s">
        <v>903</v>
      </c>
      <c r="C114" s="70" t="s">
        <v>259</v>
      </c>
      <c r="D114" s="32" t="s">
        <v>3509</v>
      </c>
      <c r="E114" s="11" t="str">
        <f>HYPERLINK("https://youtu.be/U2_Nh0isl5U","channel 2")</f>
        <v>channel 2</v>
      </c>
    </row>
    <row r="115">
      <c r="A115" s="118"/>
      <c r="B115" s="32" t="s">
        <v>3361</v>
      </c>
      <c r="C115" s="70" t="s">
        <v>277</v>
      </c>
      <c r="D115" s="32" t="s">
        <v>3360</v>
      </c>
      <c r="E115" s="11" t="str">
        <f>HYPERLINK("https://youtu.be/0ZYYxypENB4?t=916","channel 1")</f>
        <v>channel 1</v>
      </c>
    </row>
    <row r="116">
      <c r="A116" s="118"/>
      <c r="B116" s="32" t="s">
        <v>903</v>
      </c>
      <c r="C116" s="70" t="s">
        <v>81</v>
      </c>
      <c r="D116" s="32" t="s">
        <v>171</v>
      </c>
      <c r="E116" s="11" t="str">
        <f>HYPERLINK("https://youtu.be/U2_Nh0isl5U?t=1105","channel 2")</f>
        <v>channel 2</v>
      </c>
    </row>
    <row r="117">
      <c r="A117" s="118"/>
      <c r="B117" s="32" t="s">
        <v>3361</v>
      </c>
      <c r="C117" s="70" t="s">
        <v>488</v>
      </c>
      <c r="D117" s="32" t="s">
        <v>3509</v>
      </c>
      <c r="E117" s="11" t="str">
        <f>HYPERLINK("https://youtu.be/0ZYYxypENB4?t=1869","channel 1")</f>
        <v>channel 1</v>
      </c>
    </row>
    <row r="118">
      <c r="A118" s="118"/>
      <c r="B118" s="32" t="s">
        <v>903</v>
      </c>
      <c r="C118" s="70" t="s">
        <v>579</v>
      </c>
      <c r="D118" s="32" t="s">
        <v>3360</v>
      </c>
      <c r="E118" s="11" t="str">
        <f>HYPERLINK("https://youtu.be/U2_Nh0isl5U?t=2015","channel 2")</f>
        <v>channel 2</v>
      </c>
    </row>
    <row r="119">
      <c r="A119" s="118"/>
      <c r="B119" s="32" t="s">
        <v>3361</v>
      </c>
      <c r="C119" s="70" t="s">
        <v>1112</v>
      </c>
      <c r="D119" s="32" t="s">
        <v>171</v>
      </c>
      <c r="E119" s="11" t="str">
        <f>HYPERLINK("https://youtu.be/0ZYYxypENB4?t=2665","channel 1")</f>
        <v>channel 1</v>
      </c>
    </row>
    <row r="120">
      <c r="A120" s="118"/>
      <c r="B120" s="32" t="s">
        <v>3509</v>
      </c>
      <c r="C120" s="70" t="s">
        <v>47</v>
      </c>
      <c r="D120" s="32" t="s">
        <v>3360</v>
      </c>
      <c r="E120" s="11" t="str">
        <f>HYPERLINK("https://youtu.be/U2_Nh0isl5U?t=2914","channel 2")</f>
        <v>channel 2</v>
      </c>
    </row>
    <row r="121">
      <c r="A121" s="118"/>
      <c r="B121" s="32" t="s">
        <v>3361</v>
      </c>
      <c r="C121" s="70" t="s">
        <v>43</v>
      </c>
      <c r="D121" s="32" t="s">
        <v>903</v>
      </c>
      <c r="E121" s="11" t="str">
        <f>HYPERLINK("https://youtu.be/0ZYYxypENB4?t=3628","channel 1")</f>
        <v>channel 1</v>
      </c>
    </row>
    <row r="122">
      <c r="A122" s="118"/>
      <c r="B122" s="32" t="s">
        <v>3509</v>
      </c>
      <c r="C122" s="70" t="s">
        <v>80</v>
      </c>
      <c r="D122" s="32" t="s">
        <v>171</v>
      </c>
      <c r="E122" s="11" t="str">
        <f>HYPERLINK("https://youtu.be/U2_Nh0isl5U?t=3858","channel 2")</f>
        <v>channel 2</v>
      </c>
    </row>
    <row r="123">
      <c r="A123" s="118"/>
      <c r="B123" s="32" t="s">
        <v>171</v>
      </c>
      <c r="C123" s="70" t="s">
        <v>699</v>
      </c>
      <c r="D123" s="32" t="s">
        <v>3360</v>
      </c>
      <c r="E123" s="11" t="str">
        <f>HYPERLINK("https://youtu.be/0ZYYxypENB4?t=4510","channel 1")</f>
        <v>channel 1</v>
      </c>
    </row>
    <row r="124">
      <c r="A124" s="118"/>
      <c r="B124" s="32" t="s">
        <v>3509</v>
      </c>
      <c r="C124" s="70" t="s">
        <v>64</v>
      </c>
      <c r="D124" s="32" t="s">
        <v>903</v>
      </c>
      <c r="E124" s="11" t="str">
        <f>HYPERLINK("https://youtu.be/U2_Nh0isl5U?t=4766","channel 2")</f>
        <v>channel 2</v>
      </c>
    </row>
    <row r="125">
      <c r="A125" s="118"/>
      <c r="B125" s="32" t="s">
        <v>3360</v>
      </c>
      <c r="C125" s="70" t="s">
        <v>259</v>
      </c>
      <c r="D125" s="32" t="s">
        <v>3361</v>
      </c>
      <c r="E125" s="11" t="str">
        <f>HYPERLINK("https://youtu.be/0ZYYxypENB4?t=5363","channel 1")</f>
        <v>channel 1</v>
      </c>
    </row>
    <row r="126">
      <c r="A126" s="118"/>
      <c r="B126" s="32" t="s">
        <v>171</v>
      </c>
      <c r="C126" s="70" t="s">
        <v>566</v>
      </c>
      <c r="D126" s="32" t="s">
        <v>903</v>
      </c>
      <c r="E126" s="11" t="str">
        <f>HYPERLINK("https://youtu.be/U2_Nh0isl5U?t=5653","channel 2")</f>
        <v>channel 2</v>
      </c>
    </row>
    <row r="127">
      <c r="A127" s="118"/>
      <c r="B127" s="32" t="s">
        <v>3509</v>
      </c>
      <c r="C127" s="70" t="s">
        <v>38</v>
      </c>
      <c r="D127" s="32" t="s">
        <v>3361</v>
      </c>
      <c r="E127" s="11" t="str">
        <f>HYPERLINK("https://youtu.be/0ZYYxypENB4?t=6326","channel 1")</f>
        <v>channel 1</v>
      </c>
    </row>
    <row r="128">
      <c r="A128" s="118"/>
      <c r="B128" s="32" t="s">
        <v>3360</v>
      </c>
      <c r="C128" s="70" t="s">
        <v>195</v>
      </c>
      <c r="D128" s="32" t="s">
        <v>903</v>
      </c>
      <c r="E128" s="11" t="str">
        <f>HYPERLINK("https://youtu.be/U2_Nh0isl5U?t=6555","channel 2")</f>
        <v>channel 2</v>
      </c>
    </row>
    <row r="129">
      <c r="A129" s="118"/>
      <c r="B129" s="32" t="s">
        <v>171</v>
      </c>
      <c r="C129" s="70" t="s">
        <v>17</v>
      </c>
      <c r="D129" s="32" t="s">
        <v>3361</v>
      </c>
      <c r="E129" s="11" t="str">
        <f>HYPERLINK("https://youtu.be/0ZYYxypENB4?t=7158","channel 1")</f>
        <v>channel 1</v>
      </c>
    </row>
    <row r="130">
      <c r="A130" s="118"/>
      <c r="B130" s="32" t="s">
        <v>3360</v>
      </c>
      <c r="C130" s="70" t="s">
        <v>14</v>
      </c>
      <c r="D130" s="32" t="s">
        <v>3509</v>
      </c>
      <c r="E130" s="11" t="str">
        <f>HYPERLINK("https://youtu.be/U2_Nh0isl5U?t=7454","channel 2")</f>
        <v>channel 2</v>
      </c>
    </row>
    <row r="131">
      <c r="A131" s="118"/>
      <c r="B131" s="32" t="s">
        <v>903</v>
      </c>
      <c r="C131" s="70" t="s">
        <v>295</v>
      </c>
      <c r="D131" s="32" t="s">
        <v>3361</v>
      </c>
      <c r="E131" s="11" t="str">
        <f>HYPERLINK("https://youtu.be/0ZYYxypENB4?t=8099","channel 1")</f>
        <v>channel 1</v>
      </c>
    </row>
    <row r="132">
      <c r="A132" s="122"/>
      <c r="B132" s="32" t="s">
        <v>171</v>
      </c>
      <c r="C132" s="70" t="s">
        <v>65</v>
      </c>
      <c r="D132" s="32" t="s">
        <v>3509</v>
      </c>
      <c r="E132" s="11" t="str">
        <f>HYPERLINK("https://youtu.be/U2_Nh0isl5U?t=8416","channel 2")</f>
        <v>channel 2</v>
      </c>
    </row>
    <row r="133">
      <c r="B133" s="72" t="s">
        <v>2768</v>
      </c>
      <c r="C133" s="2"/>
      <c r="D133" s="3"/>
      <c r="E133" s="2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34" t="s">
        <v>1243</v>
      </c>
      <c r="C135" s="70" t="s">
        <v>665</v>
      </c>
      <c r="D135" s="32" t="s">
        <v>3510</v>
      </c>
      <c r="E135" s="11" t="str">
        <f>HYPERLINK("https://youtu.be/4NMHaulp8kw","channel 3")</f>
        <v>channel 3</v>
      </c>
    </row>
    <row r="136">
      <c r="B136" s="34" t="s">
        <v>3511</v>
      </c>
      <c r="C136" s="70" t="s">
        <v>87</v>
      </c>
      <c r="D136" s="34" t="s">
        <v>3149</v>
      </c>
      <c r="E136" s="11" t="str">
        <f>HYPERLINK("https://youtu.be/a5cpa5iTrl4","channel 4")</f>
        <v>channel 4</v>
      </c>
    </row>
    <row r="137">
      <c r="B137" s="34" t="s">
        <v>3512</v>
      </c>
      <c r="C137" s="70" t="s">
        <v>28</v>
      </c>
      <c r="D137" s="34" t="s">
        <v>1243</v>
      </c>
      <c r="E137" s="11" t="str">
        <f>HYPERLINK("https://youtu.be/4NMHaulp8kw?t=1097","channel 3")</f>
        <v>channel 3</v>
      </c>
    </row>
    <row r="138">
      <c r="B138" s="34" t="s">
        <v>3511</v>
      </c>
      <c r="C138" s="70" t="s">
        <v>802</v>
      </c>
      <c r="D138" s="32" t="s">
        <v>3510</v>
      </c>
      <c r="E138" s="11" t="str">
        <f>HYPERLINK("https://youtu.be/a5cpa5iTrl4?t=1158","channel 4")</f>
        <v>channel 4</v>
      </c>
    </row>
    <row r="139">
      <c r="B139" s="34" t="s">
        <v>3512</v>
      </c>
      <c r="C139" s="70" t="s">
        <v>201</v>
      </c>
      <c r="D139" s="34" t="s">
        <v>3149</v>
      </c>
      <c r="E139" s="11" t="str">
        <f>HYPERLINK("https://youtu.be/4NMHaulp8kw?t=2063","channel 3")</f>
        <v>channel 3</v>
      </c>
    </row>
    <row r="140">
      <c r="B140" s="34" t="s">
        <v>3511</v>
      </c>
      <c r="C140" s="70" t="s">
        <v>201</v>
      </c>
      <c r="D140" s="34" t="s">
        <v>1243</v>
      </c>
      <c r="E140" s="11" t="str">
        <f>HYPERLINK("https://youtu.be/a5cpa5iTrl4?t=2035","channel 4")</f>
        <v>channel 4</v>
      </c>
    </row>
    <row r="141">
      <c r="B141" s="34" t="s">
        <v>3512</v>
      </c>
      <c r="C141" s="70" t="s">
        <v>218</v>
      </c>
      <c r="D141" s="32" t="s">
        <v>3510</v>
      </c>
      <c r="E141" s="11" t="str">
        <f>HYPERLINK("https://youtu.be/4NMHaulp8kw?t=3001","channel 3")</f>
        <v>channel 3</v>
      </c>
    </row>
    <row r="142">
      <c r="B142" s="34" t="s">
        <v>3149</v>
      </c>
      <c r="C142" s="70" t="s">
        <v>41</v>
      </c>
      <c r="D142" s="34" t="s">
        <v>1243</v>
      </c>
      <c r="E142" s="11" t="str">
        <f>HYPERLINK("https://youtu.be/a5cpa5iTrl4?t=2972","channel 4")</f>
        <v>channel 4</v>
      </c>
    </row>
    <row r="143">
      <c r="B143" s="34" t="s">
        <v>3512</v>
      </c>
      <c r="C143" s="70" t="s">
        <v>45</v>
      </c>
      <c r="D143" s="34" t="s">
        <v>3511</v>
      </c>
      <c r="E143" s="11" t="str">
        <f>HYPERLINK("https://youtu.be/4NMHaulp8kw?t=3916","channel 3")</f>
        <v>channel 3</v>
      </c>
    </row>
    <row r="144">
      <c r="B144" s="34" t="s">
        <v>3149</v>
      </c>
      <c r="C144" s="70" t="s">
        <v>11</v>
      </c>
      <c r="D144" s="32" t="s">
        <v>3510</v>
      </c>
      <c r="E144" s="11" t="str">
        <f>HYPERLINK("https://youtu.be/a5cpa5iTrl4?t=3843","channel 4")</f>
        <v>channel 4</v>
      </c>
    </row>
    <row r="145">
      <c r="B145" s="32" t="s">
        <v>3510</v>
      </c>
      <c r="C145" s="70" t="s">
        <v>72</v>
      </c>
      <c r="D145" s="34" t="s">
        <v>1243</v>
      </c>
      <c r="E145" s="11" t="str">
        <f>HYPERLINK("https://youtu.be/4NMHaulp8kw?t=4827","channel 3")</f>
        <v>channel 3</v>
      </c>
    </row>
    <row r="146">
      <c r="B146" s="34" t="s">
        <v>3149</v>
      </c>
      <c r="C146" s="70" t="s">
        <v>201</v>
      </c>
      <c r="D146" s="34" t="s">
        <v>3511</v>
      </c>
      <c r="E146" s="11" t="str">
        <f>HYPERLINK("https://youtu.be/a5cpa5iTrl4?t=4789","channel 4")</f>
        <v>channel 4</v>
      </c>
    </row>
    <row r="147">
      <c r="B147" s="34" t="s">
        <v>1243</v>
      </c>
      <c r="C147" s="70" t="s">
        <v>494</v>
      </c>
      <c r="D147" s="34" t="s">
        <v>3512</v>
      </c>
      <c r="E147" s="11" t="str">
        <f>HYPERLINK("https://youtu.be/4NMHaulp8kw?t=5750","channel 3")</f>
        <v>channel 3</v>
      </c>
    </row>
    <row r="148">
      <c r="B148" s="32" t="s">
        <v>3510</v>
      </c>
      <c r="C148" s="70" t="s">
        <v>195</v>
      </c>
      <c r="D148" s="34" t="s">
        <v>3511</v>
      </c>
      <c r="E148" s="11" t="str">
        <f>HYPERLINK("https://youtu.be/a5cpa5iTrl4?t=5781","channel 4")</f>
        <v>channel 4</v>
      </c>
    </row>
    <row r="149">
      <c r="B149" s="34" t="s">
        <v>3149</v>
      </c>
      <c r="C149" s="70" t="s">
        <v>201</v>
      </c>
      <c r="D149" s="34" t="s">
        <v>3512</v>
      </c>
      <c r="E149" s="11" t="str">
        <f>HYPERLINK("https://youtu.be/4NMHaulp8kw?t=6676","channel 3")</f>
        <v>channel 3</v>
      </c>
    </row>
    <row r="150">
      <c r="B150" s="34" t="s">
        <v>1243</v>
      </c>
      <c r="C150" s="70" t="s">
        <v>69</v>
      </c>
      <c r="D150" s="34" t="s">
        <v>3511</v>
      </c>
      <c r="E150" s="11" t="str">
        <f>HYPERLINK("https://youtu.be/a5cpa5iTrl4?t=7021","channel 4")</f>
        <v>channel 4</v>
      </c>
    </row>
    <row r="151">
      <c r="B151" s="32" t="s">
        <v>3510</v>
      </c>
      <c r="C151" s="70" t="s">
        <v>41</v>
      </c>
      <c r="D151" s="34" t="s">
        <v>3512</v>
      </c>
      <c r="E151" s="11" t="str">
        <f>HYPERLINK("https://youtu.be/4NMHaulp8kw?t=7628","channel 3")</f>
        <v>channel 3</v>
      </c>
    </row>
    <row r="152">
      <c r="B152" s="34" t="s">
        <v>1243</v>
      </c>
      <c r="C152" s="70" t="s">
        <v>41</v>
      </c>
      <c r="D152" s="34" t="s">
        <v>3149</v>
      </c>
      <c r="E152" s="11" t="str">
        <f>HYPERLINK("https://youtu.be/a5cpa5iTrl4?t=7954","channel 4")</f>
        <v>channel 4</v>
      </c>
    </row>
    <row r="153">
      <c r="B153" s="34" t="s">
        <v>3511</v>
      </c>
      <c r="C153" s="70" t="s">
        <v>305</v>
      </c>
      <c r="D153" s="34" t="s">
        <v>3512</v>
      </c>
      <c r="E153" s="11" t="str">
        <f>HYPERLINK("https://youtu.be/4NMHaulp8kw?t=8579","channel 3")</f>
        <v>channel 3</v>
      </c>
    </row>
    <row r="154">
      <c r="B154" s="32" t="s">
        <v>3510</v>
      </c>
      <c r="C154" s="70" t="s">
        <v>195</v>
      </c>
      <c r="D154" s="34" t="s">
        <v>3149</v>
      </c>
      <c r="E154" s="11" t="str">
        <f>HYPERLINK("https://youtu.be/a5cpa5iTrl4?t=8882","channel 4")</f>
        <v>channel 4</v>
      </c>
    </row>
    <row r="155">
      <c r="B155" s="72" t="s">
        <v>2769</v>
      </c>
      <c r="C155" s="2"/>
      <c r="D155" s="3"/>
      <c r="E155" s="2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34" t="s">
        <v>2126</v>
      </c>
      <c r="C157" s="33" t="s">
        <v>289</v>
      </c>
      <c r="D157" s="32" t="s">
        <v>3513</v>
      </c>
      <c r="E157" s="11" t="str">
        <f>HYPERLINK("https://youtu.be/GHBmiK1giL8","channel 3")</f>
        <v>channel 3</v>
      </c>
    </row>
    <row r="158">
      <c r="B158" s="32" t="s">
        <v>3514</v>
      </c>
      <c r="C158" s="33" t="s">
        <v>87</v>
      </c>
      <c r="D158" s="34" t="s">
        <v>3515</v>
      </c>
      <c r="E158" s="11" t="str">
        <f>HYPERLINK("https://youtu.be/tdNUsi9Ura4","channel 4")</f>
        <v>channel 4</v>
      </c>
    </row>
    <row r="159">
      <c r="B159" s="34" t="s">
        <v>3516</v>
      </c>
      <c r="C159" s="33" t="s">
        <v>69</v>
      </c>
      <c r="D159" s="34" t="s">
        <v>2126</v>
      </c>
      <c r="E159" s="11" t="str">
        <f>HYPERLINK("https://youtu.be/GHBmiK1giL8?t=1053","channel 3")</f>
        <v>channel 3</v>
      </c>
    </row>
    <row r="160">
      <c r="B160" s="32" t="s">
        <v>3514</v>
      </c>
      <c r="C160" s="33" t="s">
        <v>260</v>
      </c>
      <c r="D160" s="32" t="s">
        <v>3513</v>
      </c>
      <c r="E160" s="11" t="str">
        <f>HYPERLINK("https://youtu.be/tdNUsi9Ura4?t=996","channel 4")</f>
        <v>channel 4</v>
      </c>
    </row>
    <row r="161">
      <c r="B161" s="34" t="s">
        <v>3516</v>
      </c>
      <c r="C161" s="33" t="s">
        <v>544</v>
      </c>
      <c r="D161" s="34" t="s">
        <v>3515</v>
      </c>
      <c r="E161" s="11" t="str">
        <f>HYPERLINK("https://youtu.be/GHBmiK1giL8?t=1985","channel 3")</f>
        <v>channel 3</v>
      </c>
    </row>
    <row r="162">
      <c r="B162" s="32" t="s">
        <v>3514</v>
      </c>
      <c r="C162" s="33" t="s">
        <v>78</v>
      </c>
      <c r="D162" s="34" t="s">
        <v>2126</v>
      </c>
      <c r="E162" s="11" t="str">
        <f>HYPERLINK("https://youtu.be/tdNUsi9Ura4?t=1922","channel 4")</f>
        <v>channel 4</v>
      </c>
    </row>
    <row r="163">
      <c r="B163" s="34" t="s">
        <v>3516</v>
      </c>
      <c r="C163" s="33" t="s">
        <v>86</v>
      </c>
      <c r="D163" s="32" t="s">
        <v>3513</v>
      </c>
      <c r="E163" s="11" t="str">
        <f>HYPERLINK("https://youtu.be/GHBmiK1giL8?t=2947","channel 3")</f>
        <v>channel 3</v>
      </c>
    </row>
    <row r="164">
      <c r="B164" s="34" t="s">
        <v>3515</v>
      </c>
      <c r="C164" s="33" t="s">
        <v>282</v>
      </c>
      <c r="D164" s="34" t="s">
        <v>2126</v>
      </c>
      <c r="E164" s="11" t="str">
        <f>HYPERLINK("https://youtu.be/tdNUsi9Ura4?t=2877","channel 4")</f>
        <v>channel 4</v>
      </c>
    </row>
    <row r="165">
      <c r="B165" s="34" t="s">
        <v>3516</v>
      </c>
      <c r="C165" s="33" t="s">
        <v>81</v>
      </c>
      <c r="D165" s="32" t="s">
        <v>3514</v>
      </c>
      <c r="E165" s="11" t="str">
        <f>HYPERLINK("https://youtu.be/GHBmiK1giL8?t=3866","channel 3")</f>
        <v>channel 3</v>
      </c>
    </row>
    <row r="166">
      <c r="B166" s="34" t="s">
        <v>3515</v>
      </c>
      <c r="C166" s="33" t="s">
        <v>19</v>
      </c>
      <c r="D166" s="32" t="s">
        <v>3513</v>
      </c>
      <c r="E166" s="11" t="str">
        <f>HYPERLINK("https://youtu.be/tdNUsi9Ura4?t=3795","channel 4")</f>
        <v>channel 4</v>
      </c>
    </row>
    <row r="167">
      <c r="B167" s="32" t="s">
        <v>3513</v>
      </c>
      <c r="C167" s="33" t="s">
        <v>190</v>
      </c>
      <c r="D167" s="34" t="s">
        <v>2126</v>
      </c>
      <c r="E167" s="11" t="str">
        <f>HYPERLINK("https://youtu.be/GHBmiK1giL8?t=4765","channel 3")</f>
        <v>channel 3</v>
      </c>
    </row>
    <row r="168">
      <c r="B168" s="34" t="s">
        <v>3515</v>
      </c>
      <c r="C168" s="33" t="s">
        <v>81</v>
      </c>
      <c r="D168" s="32" t="s">
        <v>3514</v>
      </c>
      <c r="E168" s="11" t="str">
        <f>HYPERLINK("https://youtu.be/tdNUsi9Ura4?t=4781","channel 4")</f>
        <v>channel 4</v>
      </c>
    </row>
    <row r="169">
      <c r="B169" s="34" t="s">
        <v>2126</v>
      </c>
      <c r="C169" s="33" t="s">
        <v>370</v>
      </c>
      <c r="D169" s="34" t="s">
        <v>3516</v>
      </c>
      <c r="E169" s="11" t="str">
        <f>HYPERLINK("https://youtu.be/GHBmiK1giL8?t=5694","channel 3")</f>
        <v>channel 3</v>
      </c>
    </row>
    <row r="170">
      <c r="B170" s="32" t="s">
        <v>3513</v>
      </c>
      <c r="C170" s="33" t="s">
        <v>7</v>
      </c>
      <c r="D170" s="32" t="s">
        <v>3514</v>
      </c>
      <c r="E170" s="11" t="str">
        <f>HYPERLINK("https://youtu.be/tdNUsi9Ura4?t=5746","channel 4")</f>
        <v>channel 4</v>
      </c>
    </row>
    <row r="171">
      <c r="B171" s="34" t="s">
        <v>3515</v>
      </c>
      <c r="C171" s="33" t="s">
        <v>285</v>
      </c>
      <c r="D171" s="34" t="s">
        <v>3516</v>
      </c>
      <c r="E171" s="11" t="str">
        <f>HYPERLINK("https://youtu.be/GHBmiK1giL8?t=6625","channel 3")</f>
        <v>channel 3</v>
      </c>
    </row>
    <row r="172">
      <c r="B172" s="34" t="s">
        <v>2126</v>
      </c>
      <c r="C172" s="33" t="s">
        <v>81</v>
      </c>
      <c r="D172" s="32" t="s">
        <v>3514</v>
      </c>
      <c r="E172" s="11" t="str">
        <f>HYPERLINK("https://youtu.be/tdNUsi9Ura4?t=6678","channel 4")</f>
        <v>channel 4</v>
      </c>
    </row>
    <row r="173">
      <c r="B173" s="32" t="s">
        <v>3513</v>
      </c>
      <c r="C173" s="33" t="s">
        <v>19</v>
      </c>
      <c r="D173" s="34" t="s">
        <v>3516</v>
      </c>
      <c r="E173" s="11" t="str">
        <f>HYPERLINK("https://youtu.be/GHBmiK1giL8?t=7558","channel 3")</f>
        <v>channel 3</v>
      </c>
    </row>
    <row r="174">
      <c r="B174" s="34" t="s">
        <v>2126</v>
      </c>
      <c r="C174" s="33" t="s">
        <v>2158</v>
      </c>
      <c r="D174" s="34" t="s">
        <v>3515</v>
      </c>
      <c r="E174" s="11" t="str">
        <f>HYPERLINK("https://youtu.be/tdNUsi9Ura4?t=7617","channel 4")</f>
        <v>channel 4</v>
      </c>
    </row>
    <row r="175">
      <c r="B175" s="32" t="s">
        <v>3514</v>
      </c>
      <c r="C175" s="33" t="s">
        <v>55</v>
      </c>
      <c r="D175" s="34" t="s">
        <v>3516</v>
      </c>
      <c r="E175" s="11" t="str">
        <f>HYPERLINK("https://youtu.be/GHBmiK1giL8?t=8453","channel 3")</f>
        <v>channel 3</v>
      </c>
    </row>
    <row r="176">
      <c r="B176" s="32" t="s">
        <v>3513</v>
      </c>
      <c r="C176" s="33" t="s">
        <v>87</v>
      </c>
      <c r="D176" s="34" t="s">
        <v>3515</v>
      </c>
      <c r="E176" s="11" t="str">
        <f>HYPERLINK("https://youtu.be/tdNUsi9Ura4?t=8536","channel 4")</f>
        <v>channel 4</v>
      </c>
    </row>
    <row r="177">
      <c r="B177" s="72" t="s">
        <v>3491</v>
      </c>
      <c r="C177" s="2"/>
      <c r="D177" s="3"/>
      <c r="E177" s="2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34" t="s">
        <v>3517</v>
      </c>
      <c r="C179" s="70" t="s">
        <v>733</v>
      </c>
      <c r="D179" s="34" t="s">
        <v>1629</v>
      </c>
      <c r="E179" s="11" t="str">
        <f>HYPERLINK("https://youtu.be/evMwSpAaYtU","channel 1")</f>
        <v>channel 1</v>
      </c>
    </row>
    <row r="180">
      <c r="B180" s="34" t="s">
        <v>1765</v>
      </c>
      <c r="C180" s="70" t="s">
        <v>195</v>
      </c>
      <c r="D180" s="34" t="s">
        <v>3284</v>
      </c>
      <c r="E180" s="11" t="str">
        <f>HYPERLINK("https://youtu.be/Ouvoum5tdpI","channel 2")</f>
        <v>channel 2</v>
      </c>
    </row>
    <row r="181">
      <c r="B181" s="34" t="s">
        <v>3177</v>
      </c>
      <c r="C181" s="70" t="s">
        <v>724</v>
      </c>
      <c r="D181" s="34" t="s">
        <v>3517</v>
      </c>
      <c r="E181" s="11" t="str">
        <f>HYPERLINK("https://youtu.be/evMwSpAaYtU?t=581","channel 1")</f>
        <v>channel 1</v>
      </c>
    </row>
    <row r="182">
      <c r="B182" s="34" t="s">
        <v>1765</v>
      </c>
      <c r="C182" s="70" t="s">
        <v>337</v>
      </c>
      <c r="D182" s="34" t="s">
        <v>1629</v>
      </c>
      <c r="E182" s="11" t="str">
        <f>HYPERLINK("https://youtu.be/Ouvoum5tdpI?t=959","channel 2")</f>
        <v>channel 2</v>
      </c>
    </row>
    <row r="183">
      <c r="B183" s="34" t="s">
        <v>3177</v>
      </c>
      <c r="C183" s="70" t="s">
        <v>88</v>
      </c>
      <c r="D183" s="34" t="s">
        <v>3284</v>
      </c>
      <c r="E183" s="11" t="str">
        <f>HYPERLINK("https://youtu.be/evMwSpAaYtU?t=1471","channel 1")</f>
        <v>channel 1</v>
      </c>
    </row>
    <row r="184">
      <c r="B184" s="34" t="s">
        <v>1765</v>
      </c>
      <c r="C184" s="70" t="s">
        <v>68</v>
      </c>
      <c r="D184" s="34" t="s">
        <v>3517</v>
      </c>
      <c r="E184" s="11" t="str">
        <f>HYPERLINK("https://youtu.be/Ouvoum5tdpI?t=1864","channel 2")</f>
        <v>channel 2</v>
      </c>
    </row>
    <row r="185">
      <c r="B185" s="34" t="s">
        <v>3177</v>
      </c>
      <c r="C185" s="70" t="s">
        <v>312</v>
      </c>
      <c r="D185" s="34" t="s">
        <v>1629</v>
      </c>
      <c r="E185" s="11" t="str">
        <f>HYPERLINK("https://youtu.be/evMwSpAaYtU?t=2357","channel 1")</f>
        <v>channel 1</v>
      </c>
    </row>
    <row r="186">
      <c r="B186" s="34" t="s">
        <v>3284</v>
      </c>
      <c r="C186" s="70" t="s">
        <v>27</v>
      </c>
      <c r="D186" s="34" t="s">
        <v>3517</v>
      </c>
      <c r="E186" s="11" t="str">
        <f>HYPERLINK("https://youtu.be/Ouvoum5tdpI?t=2747","channel 2")</f>
        <v>channel 2</v>
      </c>
    </row>
    <row r="187">
      <c r="B187" s="34" t="s">
        <v>3177</v>
      </c>
      <c r="C187" s="70" t="s">
        <v>42</v>
      </c>
      <c r="D187" s="34" t="s">
        <v>1765</v>
      </c>
      <c r="E187" s="11" t="str">
        <f>HYPERLINK("https://youtu.be/evMwSpAaYtU?t=3208","channel 1")</f>
        <v>channel 1</v>
      </c>
    </row>
    <row r="188">
      <c r="B188" s="34" t="s">
        <v>3284</v>
      </c>
      <c r="C188" s="70" t="s">
        <v>14</v>
      </c>
      <c r="D188" s="34" t="s">
        <v>1629</v>
      </c>
      <c r="E188" s="11" t="str">
        <f>HYPERLINK("https://youtu.be/Ouvoum5tdpI?t=3606","channel 2")</f>
        <v>channel 2</v>
      </c>
    </row>
    <row r="189">
      <c r="B189" s="34" t="s">
        <v>1629</v>
      </c>
      <c r="C189" s="70" t="s">
        <v>261</v>
      </c>
      <c r="D189" s="34" t="s">
        <v>3517</v>
      </c>
      <c r="E189" s="11" t="str">
        <f>HYPERLINK("https://youtu.be/evMwSpAaYtU?t=4081","channel 1")</f>
        <v>channel 1</v>
      </c>
    </row>
    <row r="190">
      <c r="B190" s="34" t="s">
        <v>3284</v>
      </c>
      <c r="C190" s="70" t="s">
        <v>273</v>
      </c>
      <c r="D190" s="34" t="s">
        <v>1765</v>
      </c>
      <c r="E190" s="11" t="str">
        <f>HYPERLINK("https://youtu.be/Ouvoum5tdpI?t=4452","channel 2")</f>
        <v>channel 2</v>
      </c>
    </row>
    <row r="191">
      <c r="B191" s="34" t="s">
        <v>3517</v>
      </c>
      <c r="C191" s="70" t="s">
        <v>2462</v>
      </c>
      <c r="D191" s="34" t="s">
        <v>3177</v>
      </c>
      <c r="E191" s="11" t="str">
        <f>HYPERLINK("https://youtu.be/evMwSpAaYtU?t=4991","channel 1")</f>
        <v>channel 1</v>
      </c>
    </row>
    <row r="192">
      <c r="B192" s="34" t="s">
        <v>1629</v>
      </c>
      <c r="C192" s="70" t="s">
        <v>190</v>
      </c>
      <c r="D192" s="34" t="s">
        <v>1765</v>
      </c>
      <c r="E192" s="11" t="str">
        <f>HYPERLINK("https://youtu.be/Ouvoum5tdpI?t=5357","channel 2")</f>
        <v>channel 2</v>
      </c>
    </row>
    <row r="193">
      <c r="B193" s="34" t="s">
        <v>3284</v>
      </c>
      <c r="C193" s="70" t="s">
        <v>428</v>
      </c>
      <c r="D193" s="34" t="s">
        <v>3177</v>
      </c>
      <c r="E193" s="11" t="str">
        <f>HYPERLINK("https://youtu.be/evMwSpAaYtU?t=5866","channel 1")</f>
        <v>channel 1</v>
      </c>
    </row>
    <row r="194">
      <c r="B194" s="34" t="s">
        <v>3517</v>
      </c>
      <c r="C194" s="70" t="s">
        <v>201</v>
      </c>
      <c r="D194" s="34" t="s">
        <v>1765</v>
      </c>
      <c r="E194" s="11" t="str">
        <f>HYPERLINK("https://youtu.be/Ouvoum5tdpI?t=6270","channel 2")</f>
        <v>channel 2</v>
      </c>
    </row>
    <row r="195">
      <c r="B195" s="34" t="s">
        <v>1629</v>
      </c>
      <c r="C195" s="70" t="s">
        <v>428</v>
      </c>
      <c r="D195" s="34" t="s">
        <v>3177</v>
      </c>
      <c r="E195" s="11" t="str">
        <f>HYPERLINK("https://youtu.be/evMwSpAaYtU?t=6769","channel 1")</f>
        <v>channel 1</v>
      </c>
    </row>
    <row r="196">
      <c r="B196" s="34" t="s">
        <v>3517</v>
      </c>
      <c r="C196" s="70" t="s">
        <v>363</v>
      </c>
      <c r="D196" s="34" t="s">
        <v>3284</v>
      </c>
      <c r="E196" s="11" t="str">
        <f>HYPERLINK("https://youtu.be/Ouvoum5tdpI?t=7199","channel 2")</f>
        <v>channel 2</v>
      </c>
    </row>
    <row r="197">
      <c r="B197" s="34" t="s">
        <v>1765</v>
      </c>
      <c r="C197" s="70" t="s">
        <v>558</v>
      </c>
      <c r="D197" s="34" t="s">
        <v>3177</v>
      </c>
      <c r="E197" s="11" t="str">
        <f>HYPERLINK("https://youtu.be/evMwSpAaYtU?t=7683","channel 1")</f>
        <v>channel 1</v>
      </c>
    </row>
    <row r="198">
      <c r="B198" s="34" t="s">
        <v>1629</v>
      </c>
      <c r="C198" s="70" t="s">
        <v>411</v>
      </c>
      <c r="D198" s="34" t="s">
        <v>3284</v>
      </c>
      <c r="E198" s="11" t="str">
        <f>HYPERLINK("https://youtu.be/Ouvoum5tdpI?t=8121","channel 2")</f>
        <v>channel 2</v>
      </c>
    </row>
    <row r="199">
      <c r="B199" s="72" t="s">
        <v>2200</v>
      </c>
      <c r="C199" s="2"/>
      <c r="D199" s="3"/>
      <c r="E199" s="2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34" t="s">
        <v>3518</v>
      </c>
      <c r="C201" s="70" t="s">
        <v>260</v>
      </c>
      <c r="D201" s="34" t="s">
        <v>1913</v>
      </c>
      <c r="E201" s="11" t="str">
        <f>HYPERLINK("https://youtu.be/8hwZTiRniL0?t=1475","channel 1")</f>
        <v>channel 1</v>
      </c>
    </row>
    <row r="202">
      <c r="B202" s="34" t="s">
        <v>2335</v>
      </c>
      <c r="C202" s="70" t="s">
        <v>2783</v>
      </c>
      <c r="D202" s="34" t="s">
        <v>1971</v>
      </c>
      <c r="E202" s="11" t="str">
        <f>HYPERLINK("https://youtu.be/6s7rRFkVnTk?t=1455","channel 2")</f>
        <v>channel 2</v>
      </c>
    </row>
    <row r="203">
      <c r="B203" s="34" t="s">
        <v>1589</v>
      </c>
      <c r="C203" s="70" t="s">
        <v>3519</v>
      </c>
      <c r="D203" s="34" t="s">
        <v>3518</v>
      </c>
      <c r="E203" s="11" t="str">
        <f>HYPERLINK("https://youtu.be/8hwZTiRniL0?t=2431","channel 1")</f>
        <v>channel 1</v>
      </c>
    </row>
    <row r="204">
      <c r="B204" s="34" t="s">
        <v>2335</v>
      </c>
      <c r="C204" s="70" t="s">
        <v>260</v>
      </c>
      <c r="D204" s="34" t="s">
        <v>1913</v>
      </c>
      <c r="E204" s="11" t="str">
        <f>HYPERLINK("https://youtu.be/6s7rRFkVnTk?t=2415","channel 2")</f>
        <v>channel 2</v>
      </c>
    </row>
    <row r="205">
      <c r="B205" s="34" t="s">
        <v>1589</v>
      </c>
      <c r="C205" s="70" t="s">
        <v>1019</v>
      </c>
      <c r="D205" s="34" t="s">
        <v>1971</v>
      </c>
      <c r="E205" s="11" t="str">
        <f>HYPERLINK("https://youtu.be/8hwZTiRniL0?t=3387","channel 1")</f>
        <v>channel 1</v>
      </c>
    </row>
    <row r="206">
      <c r="B206" s="34" t="s">
        <v>2335</v>
      </c>
      <c r="C206" s="70" t="s">
        <v>69</v>
      </c>
      <c r="D206" s="34" t="s">
        <v>3518</v>
      </c>
      <c r="E206" s="11" t="str">
        <f>HYPERLINK("https://youtu.be/6s7rRFkVnTk?t=3308","channel 2")</f>
        <v>channel 2</v>
      </c>
    </row>
    <row r="207">
      <c r="B207" s="34" t="s">
        <v>1589</v>
      </c>
      <c r="C207" s="70" t="s">
        <v>239</v>
      </c>
      <c r="D207" s="34" t="s">
        <v>1913</v>
      </c>
      <c r="E207" s="11" t="str">
        <f>HYPERLINK("https://youtu.be/8hwZTiRniL0?t=4294","channel 1")</f>
        <v>channel 1</v>
      </c>
    </row>
    <row r="208">
      <c r="B208" s="34" t="s">
        <v>1971</v>
      </c>
      <c r="C208" s="70" t="s">
        <v>27</v>
      </c>
      <c r="D208" s="34" t="s">
        <v>3518</v>
      </c>
      <c r="E208" s="11" t="str">
        <f>HYPERLINK("https://youtu.be/6s7rRFkVnTk?t=4258","channel 2")</f>
        <v>channel 2</v>
      </c>
    </row>
    <row r="209">
      <c r="B209" s="34" t="s">
        <v>1589</v>
      </c>
      <c r="C209" s="70" t="s">
        <v>239</v>
      </c>
      <c r="D209" s="34" t="s">
        <v>2335</v>
      </c>
      <c r="E209" s="11" t="str">
        <f>HYPERLINK("https://youtu.be/8hwZTiRniL0?t=5298","channel 1")</f>
        <v>channel 1</v>
      </c>
    </row>
    <row r="210">
      <c r="B210" s="34" t="s">
        <v>1971</v>
      </c>
      <c r="C210" s="70" t="s">
        <v>69</v>
      </c>
      <c r="D210" s="34" t="s">
        <v>1913</v>
      </c>
      <c r="E210" s="11" t="str">
        <f>HYPERLINK("https://youtu.be/6s7rRFkVnTk?t=5260","channel 2")</f>
        <v>channel 2</v>
      </c>
    </row>
    <row r="211">
      <c r="B211" s="34" t="s">
        <v>1913</v>
      </c>
      <c r="C211" s="70" t="s">
        <v>72</v>
      </c>
      <c r="D211" s="34" t="s">
        <v>3518</v>
      </c>
      <c r="E211" s="11" t="str">
        <f>HYPERLINK("https://youtu.be/8hwZTiRniL0?t=6231","channel 1")</f>
        <v>channel 1</v>
      </c>
    </row>
    <row r="212">
      <c r="B212" s="34" t="s">
        <v>1971</v>
      </c>
      <c r="C212" s="70" t="s">
        <v>31</v>
      </c>
      <c r="D212" s="34" t="s">
        <v>2335</v>
      </c>
      <c r="E212" s="11" t="str">
        <f>HYPERLINK("https://youtu.be/6s7rRFkVnTk?t=6216","channel 2")</f>
        <v>channel 2</v>
      </c>
    </row>
    <row r="213">
      <c r="B213" s="34" t="s">
        <v>3518</v>
      </c>
      <c r="C213" s="70" t="s">
        <v>370</v>
      </c>
      <c r="D213" s="34" t="s">
        <v>1589</v>
      </c>
      <c r="E213" s="11" t="str">
        <f>HYPERLINK("https://youtu.be/8hwZTiRniL0?t=7170","channel 1")</f>
        <v>channel 1</v>
      </c>
    </row>
    <row r="214">
      <c r="B214" s="34" t="s">
        <v>1913</v>
      </c>
      <c r="C214" s="70" t="s">
        <v>16</v>
      </c>
      <c r="D214" s="34" t="s">
        <v>2335</v>
      </c>
      <c r="E214" s="11" t="str">
        <f>HYPERLINK("https://youtu.be/6s7rRFkVnTk?t=7097","channel 2")</f>
        <v>channel 2</v>
      </c>
    </row>
    <row r="215">
      <c r="B215" s="34" t="s">
        <v>1971</v>
      </c>
      <c r="C215" s="70" t="s">
        <v>66</v>
      </c>
      <c r="D215" s="34" t="s">
        <v>1589</v>
      </c>
      <c r="E215" s="11" t="str">
        <f>HYPERLINK("https://youtu.be/8hwZTiRniL0?t=8085","channel 1")</f>
        <v>channel 1</v>
      </c>
    </row>
    <row r="216">
      <c r="B216" s="34" t="s">
        <v>3518</v>
      </c>
      <c r="C216" s="70" t="s">
        <v>41</v>
      </c>
      <c r="D216" s="34" t="s">
        <v>2335</v>
      </c>
      <c r="E216" s="11" t="str">
        <f>HYPERLINK("https://youtu.be/6s7rRFkVnTk?t=8018","channel 2")</f>
        <v>channel 2</v>
      </c>
    </row>
    <row r="217">
      <c r="B217" s="34" t="s">
        <v>1913</v>
      </c>
      <c r="C217" s="70" t="s">
        <v>193</v>
      </c>
      <c r="D217" s="34" t="s">
        <v>1589</v>
      </c>
      <c r="E217" s="11" t="str">
        <f>HYPERLINK("https://youtu.be/8hwZTiRniL0?t=8979","channel 1")</f>
        <v>channel 1</v>
      </c>
    </row>
    <row r="218">
      <c r="B218" s="34" t="s">
        <v>3518</v>
      </c>
      <c r="C218" s="70" t="s">
        <v>614</v>
      </c>
      <c r="D218" s="34" t="s">
        <v>1971</v>
      </c>
      <c r="E218" s="11" t="str">
        <f>HYPERLINK("https://youtu.be/6s7rRFkVnTk?t=9008","channel 2")</f>
        <v>channel 2</v>
      </c>
    </row>
    <row r="219">
      <c r="B219" s="34" t="s">
        <v>2335</v>
      </c>
      <c r="C219" s="70" t="s">
        <v>443</v>
      </c>
      <c r="D219" s="34" t="s">
        <v>1589</v>
      </c>
      <c r="E219" s="11" t="str">
        <f>HYPERLINK("https://youtu.be/8hwZTiRniL0?t=9872","channel 1")</f>
        <v>channel 1</v>
      </c>
    </row>
    <row r="220">
      <c r="B220" s="34" t="s">
        <v>1913</v>
      </c>
      <c r="C220" s="70" t="s">
        <v>45</v>
      </c>
      <c r="D220" s="34" t="s">
        <v>1971</v>
      </c>
      <c r="E220" s="11" t="str">
        <f>HYPERLINK("https://youtu.be/6s7rRFkVnTk?t=9981","channel 2")</f>
        <v>channel 2</v>
      </c>
    </row>
    <row r="221">
      <c r="B221" s="123"/>
      <c r="C221" s="123"/>
      <c r="D221" s="123"/>
      <c r="E221" s="123"/>
    </row>
    <row r="222">
      <c r="B222" s="123"/>
      <c r="C222" s="123"/>
      <c r="D222" s="123"/>
      <c r="E222" s="123"/>
    </row>
    <row r="223">
      <c r="B223" s="123"/>
      <c r="C223" s="123"/>
      <c r="D223" s="123"/>
      <c r="E223" s="123"/>
    </row>
    <row r="224">
      <c r="B224" s="123"/>
      <c r="C224" s="123"/>
      <c r="D224" s="123"/>
      <c r="E224" s="123"/>
    </row>
    <row r="225">
      <c r="B225" s="123"/>
      <c r="C225" s="123"/>
      <c r="D225" s="123"/>
      <c r="E225" s="123"/>
    </row>
    <row r="226">
      <c r="B226" s="123"/>
      <c r="C226" s="123"/>
      <c r="D226" s="123"/>
      <c r="E226" s="123"/>
    </row>
    <row r="227">
      <c r="B227" s="123"/>
      <c r="C227" s="123"/>
      <c r="D227" s="123"/>
      <c r="E227" s="123"/>
    </row>
    <row r="228">
      <c r="B228" s="123"/>
      <c r="C228" s="123"/>
      <c r="D228" s="123"/>
      <c r="E228" s="123"/>
    </row>
    <row r="229">
      <c r="B229" s="123"/>
      <c r="C229" s="123"/>
      <c r="D229" s="123"/>
      <c r="E229" s="123"/>
    </row>
    <row r="230">
      <c r="B230" s="123"/>
      <c r="C230" s="123"/>
      <c r="D230" s="123"/>
      <c r="E230" s="123"/>
    </row>
    <row r="231">
      <c r="B231" s="123"/>
      <c r="C231" s="123"/>
      <c r="D231" s="123"/>
      <c r="E231" s="123"/>
    </row>
    <row r="232">
      <c r="B232" s="123"/>
      <c r="C232" s="123"/>
      <c r="D232" s="123"/>
      <c r="E232" s="123"/>
    </row>
    <row r="233">
      <c r="B233" s="123"/>
      <c r="C233" s="123"/>
      <c r="D233" s="123"/>
      <c r="E233" s="123"/>
    </row>
    <row r="234">
      <c r="B234" s="123"/>
      <c r="C234" s="123"/>
      <c r="D234" s="123"/>
      <c r="E234" s="123"/>
    </row>
    <row r="235">
      <c r="B235" s="123"/>
      <c r="C235" s="123"/>
      <c r="D235" s="123"/>
      <c r="E235" s="123"/>
    </row>
    <row r="236">
      <c r="B236" s="123"/>
      <c r="C236" s="123"/>
      <c r="D236" s="123"/>
      <c r="E236" s="123"/>
    </row>
    <row r="237">
      <c r="B237" s="123"/>
      <c r="C237" s="123"/>
      <c r="D237" s="123"/>
      <c r="E237" s="123"/>
    </row>
    <row r="238">
      <c r="B238" s="123"/>
      <c r="C238" s="123"/>
      <c r="D238" s="123"/>
      <c r="E238" s="123"/>
    </row>
    <row r="239">
      <c r="B239" s="123"/>
      <c r="C239" s="123"/>
      <c r="D239" s="123"/>
      <c r="E239" s="123"/>
    </row>
    <row r="240">
      <c r="B240" s="123"/>
      <c r="C240" s="123"/>
      <c r="D240" s="123"/>
      <c r="E240" s="123"/>
    </row>
    <row r="241">
      <c r="B241" s="123"/>
      <c r="C241" s="123"/>
      <c r="D241" s="123"/>
      <c r="E241" s="123"/>
    </row>
    <row r="242">
      <c r="B242" s="123"/>
      <c r="C242" s="123"/>
      <c r="D242" s="123"/>
      <c r="E242" s="123"/>
    </row>
    <row r="243">
      <c r="B243" s="123"/>
      <c r="C243" s="123"/>
      <c r="D243" s="123"/>
      <c r="E243" s="123"/>
    </row>
    <row r="244">
      <c r="B244" s="123"/>
      <c r="C244" s="123"/>
      <c r="D244" s="123"/>
      <c r="E244" s="123"/>
    </row>
    <row r="245">
      <c r="B245" s="123"/>
      <c r="C245" s="123"/>
      <c r="D245" s="123"/>
      <c r="E245" s="123"/>
    </row>
    <row r="246">
      <c r="B246" s="123"/>
      <c r="C246" s="123"/>
      <c r="D246" s="123"/>
      <c r="E246" s="123"/>
    </row>
    <row r="247">
      <c r="B247" s="123"/>
      <c r="C247" s="123"/>
      <c r="D247" s="123"/>
      <c r="E247" s="123"/>
    </row>
    <row r="248">
      <c r="B248" s="123"/>
      <c r="C248" s="123"/>
      <c r="D248" s="123"/>
      <c r="E248" s="123"/>
    </row>
    <row r="249">
      <c r="B249" s="123"/>
      <c r="C249" s="123"/>
      <c r="D249" s="123"/>
      <c r="E249" s="123"/>
    </row>
    <row r="250">
      <c r="B250" s="123"/>
      <c r="C250" s="123"/>
      <c r="D250" s="123"/>
      <c r="E250" s="123"/>
    </row>
    <row r="251">
      <c r="B251" s="123"/>
      <c r="C251" s="123"/>
      <c r="D251" s="123"/>
      <c r="E251" s="123"/>
    </row>
    <row r="252">
      <c r="B252" s="123"/>
      <c r="C252" s="123"/>
      <c r="D252" s="123"/>
      <c r="E252" s="123"/>
    </row>
    <row r="253">
      <c r="B253" s="123"/>
      <c r="C253" s="123"/>
      <c r="D253" s="123"/>
      <c r="E253" s="123"/>
    </row>
    <row r="254">
      <c r="B254" s="123"/>
      <c r="C254" s="123"/>
      <c r="D254" s="123"/>
      <c r="E254" s="123"/>
    </row>
    <row r="255">
      <c r="B255" s="123"/>
      <c r="C255" s="123"/>
      <c r="D255" s="123"/>
      <c r="E255" s="123"/>
    </row>
    <row r="256">
      <c r="B256" s="123"/>
      <c r="C256" s="123"/>
      <c r="D256" s="123"/>
      <c r="E256" s="123"/>
    </row>
    <row r="257">
      <c r="B257" s="123"/>
      <c r="C257" s="123"/>
      <c r="D257" s="123"/>
      <c r="E257" s="123"/>
    </row>
    <row r="258">
      <c r="B258" s="123"/>
      <c r="C258" s="123"/>
      <c r="D258" s="123"/>
      <c r="E258" s="123"/>
    </row>
    <row r="259">
      <c r="B259" s="123"/>
      <c r="C259" s="123"/>
      <c r="D259" s="123"/>
      <c r="E259" s="123"/>
    </row>
    <row r="260">
      <c r="B260" s="123"/>
      <c r="C260" s="123"/>
      <c r="D260" s="123"/>
      <c r="E260" s="123"/>
    </row>
    <row r="261">
      <c r="B261" s="123"/>
      <c r="C261" s="123"/>
      <c r="D261" s="123"/>
      <c r="E261" s="123"/>
    </row>
    <row r="262">
      <c r="B262" s="123"/>
      <c r="C262" s="123"/>
      <c r="D262" s="123"/>
      <c r="E262" s="123"/>
    </row>
    <row r="263">
      <c r="B263" s="123"/>
      <c r="C263" s="123"/>
      <c r="D263" s="123"/>
      <c r="E263" s="123"/>
    </row>
    <row r="264">
      <c r="B264" s="123"/>
      <c r="C264" s="123"/>
      <c r="D264" s="123"/>
      <c r="E264" s="123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7"/>
      <c r="B1" s="72" t="s">
        <v>2370</v>
      </c>
      <c r="C1" s="2"/>
      <c r="D1" s="3"/>
      <c r="E1" s="14"/>
    </row>
    <row r="2">
      <c r="A2" s="118"/>
      <c r="B2" s="16" t="s">
        <v>2</v>
      </c>
      <c r="C2" s="16" t="s">
        <v>3</v>
      </c>
      <c r="D2" s="16" t="s">
        <v>4</v>
      </c>
      <c r="E2" s="6" t="s">
        <v>5</v>
      </c>
    </row>
    <row r="3">
      <c r="A3" s="118"/>
      <c r="B3" s="119" t="s">
        <v>2955</v>
      </c>
      <c r="C3" s="70" t="s">
        <v>41</v>
      </c>
      <c r="D3" s="32" t="s">
        <v>3520</v>
      </c>
      <c r="E3" s="11" t="str">
        <f>HYPERLINK("https://youtu.be/Trv7qcciils","channel 1")</f>
        <v>channel 1</v>
      </c>
    </row>
    <row r="4">
      <c r="A4" s="118"/>
      <c r="B4" s="32" t="s">
        <v>3521</v>
      </c>
      <c r="C4" s="70" t="s">
        <v>306</v>
      </c>
      <c r="D4" s="32" t="s">
        <v>3522</v>
      </c>
      <c r="E4" s="11" t="str">
        <f>HYPERLINK("https://youtu.be/QvMl00QbqsA","channel 2")</f>
        <v>channel 2</v>
      </c>
    </row>
    <row r="5">
      <c r="A5" s="118"/>
      <c r="B5" s="32" t="s">
        <v>3119</v>
      </c>
      <c r="C5" s="70" t="s">
        <v>64</v>
      </c>
      <c r="D5" s="32" t="s">
        <v>2955</v>
      </c>
      <c r="E5" s="11" t="str">
        <f>HYPERLINK("https://youtu.be/Trv7qcciils?t=892","channel 1")</f>
        <v>channel 1</v>
      </c>
    </row>
    <row r="6">
      <c r="A6" s="118"/>
      <c r="B6" s="32" t="s">
        <v>3521</v>
      </c>
      <c r="C6" s="70" t="s">
        <v>494</v>
      </c>
      <c r="D6" s="32" t="s">
        <v>3520</v>
      </c>
      <c r="E6" s="11" t="str">
        <f>HYPERLINK("https://youtu.be/QvMl00QbqsA?t=748","channel 2")</f>
        <v>channel 2</v>
      </c>
    </row>
    <row r="7">
      <c r="A7" s="118"/>
      <c r="B7" s="32" t="s">
        <v>3119</v>
      </c>
      <c r="C7" s="70" t="s">
        <v>20</v>
      </c>
      <c r="D7" s="32" t="s">
        <v>3522</v>
      </c>
      <c r="E7" s="11" t="str">
        <f>HYPERLINK("https://youtu.be/Trv7qcciils?t=1804","channel 1")</f>
        <v>channel 1</v>
      </c>
    </row>
    <row r="8">
      <c r="A8" s="118"/>
      <c r="B8" s="32" t="s">
        <v>3521</v>
      </c>
      <c r="C8" s="70" t="s">
        <v>52</v>
      </c>
      <c r="D8" s="32" t="s">
        <v>2955</v>
      </c>
      <c r="E8" s="11" t="str">
        <f>HYPERLINK("https://youtu.be/QvMl00QbqsA?t=1694","channel 2")</f>
        <v>channel 2</v>
      </c>
    </row>
    <row r="9">
      <c r="A9" s="118"/>
      <c r="B9" s="32" t="s">
        <v>3119</v>
      </c>
      <c r="C9" s="70" t="s">
        <v>3523</v>
      </c>
      <c r="D9" s="32" t="s">
        <v>3520</v>
      </c>
      <c r="E9" s="11" t="str">
        <f>HYPERLINK("https://youtu.be/Trv7qcciils?t=2668","channel 1")</f>
        <v>channel 1</v>
      </c>
    </row>
    <row r="10">
      <c r="A10" s="118"/>
      <c r="B10" s="32" t="s">
        <v>3522</v>
      </c>
      <c r="C10" s="70" t="s">
        <v>239</v>
      </c>
      <c r="D10" s="32" t="s">
        <v>2955</v>
      </c>
      <c r="E10" s="11" t="str">
        <f>HYPERLINK("https://youtu.be/QvMl00QbqsA?t=2593","channel 2")</f>
        <v>channel 2</v>
      </c>
    </row>
    <row r="11">
      <c r="A11" s="118"/>
      <c r="B11" s="32" t="s">
        <v>3119</v>
      </c>
      <c r="C11" s="70" t="s">
        <v>284</v>
      </c>
      <c r="D11" s="32" t="s">
        <v>3521</v>
      </c>
      <c r="E11" s="11" t="str">
        <f>HYPERLINK("https://youtu.be/Trv7qcciils?t=3615","channel 1")</f>
        <v>channel 1</v>
      </c>
    </row>
    <row r="12">
      <c r="A12" s="118"/>
      <c r="B12" s="32" t="s">
        <v>3522</v>
      </c>
      <c r="C12" s="70" t="s">
        <v>354</v>
      </c>
      <c r="D12" s="32" t="s">
        <v>3520</v>
      </c>
      <c r="E12" s="11" t="str">
        <f>HYPERLINK("https://youtu.be/QvMl00QbqsA?t=3465","channel 2")</f>
        <v>channel 2</v>
      </c>
    </row>
    <row r="13">
      <c r="A13" s="118"/>
      <c r="B13" s="32" t="s">
        <v>3520</v>
      </c>
      <c r="C13" s="70" t="s">
        <v>268</v>
      </c>
      <c r="D13" s="32" t="s">
        <v>2955</v>
      </c>
      <c r="E13" s="11" t="str">
        <f>HYPERLINK("https://youtu.be/Trv7qcciils?t=4582","channel 1")</f>
        <v>channel 1</v>
      </c>
    </row>
    <row r="14">
      <c r="A14" s="118"/>
      <c r="B14" s="32" t="s">
        <v>3522</v>
      </c>
      <c r="C14" s="70" t="s">
        <v>1364</v>
      </c>
      <c r="D14" s="32" t="s">
        <v>3521</v>
      </c>
      <c r="E14" s="11" t="str">
        <f>HYPERLINK("https://youtu.be/QvMl00QbqsA?t=4440","channel 2")</f>
        <v>channel 2</v>
      </c>
    </row>
    <row r="15">
      <c r="A15" s="118"/>
      <c r="B15" s="32" t="s">
        <v>2955</v>
      </c>
      <c r="C15" s="70" t="s">
        <v>258</v>
      </c>
      <c r="D15" s="32" t="s">
        <v>3119</v>
      </c>
      <c r="E15" s="11" t="str">
        <f>HYPERLINK("https://youtu.be/Trv7qcciils?t=5507","channel 1")</f>
        <v>channel 1</v>
      </c>
    </row>
    <row r="16">
      <c r="A16" s="118"/>
      <c r="B16" s="32" t="s">
        <v>3520</v>
      </c>
      <c r="C16" s="70" t="s">
        <v>20</v>
      </c>
      <c r="D16" s="32" t="s">
        <v>3521</v>
      </c>
      <c r="E16" s="11" t="str">
        <f>HYPERLINK("https://youtu.be/QvMl00QbqsA?t=5355","channel 2")</f>
        <v>channel 2</v>
      </c>
    </row>
    <row r="17">
      <c r="A17" s="118"/>
      <c r="B17" s="32" t="s">
        <v>3522</v>
      </c>
      <c r="C17" s="70" t="s">
        <v>587</v>
      </c>
      <c r="D17" s="32" t="s">
        <v>3119</v>
      </c>
      <c r="E17" s="11" t="str">
        <f>HYPERLINK("https://youtu.be/Trv7qcciils?t=6402","channel 1")</f>
        <v>channel 1</v>
      </c>
    </row>
    <row r="18">
      <c r="A18" s="118"/>
      <c r="B18" s="32" t="s">
        <v>2955</v>
      </c>
      <c r="C18" s="70" t="s">
        <v>62</v>
      </c>
      <c r="D18" s="32" t="s">
        <v>3521</v>
      </c>
      <c r="E18" s="11" t="str">
        <f>HYPERLINK("https://youtu.be/QvMl00QbqsA?t=6379","channel 2")</f>
        <v>channel 2</v>
      </c>
    </row>
    <row r="19">
      <c r="A19" s="118"/>
      <c r="B19" s="32" t="s">
        <v>3520</v>
      </c>
      <c r="C19" s="70" t="s">
        <v>950</v>
      </c>
      <c r="D19" s="32" t="s">
        <v>3119</v>
      </c>
      <c r="E19" s="11" t="str">
        <f>HYPERLINK("https://youtu.be/Trv7qcciils?t=7290","channel 1")</f>
        <v>channel 1</v>
      </c>
    </row>
    <row r="20">
      <c r="A20" s="118"/>
      <c r="B20" s="32" t="s">
        <v>2955</v>
      </c>
      <c r="C20" s="70" t="s">
        <v>25</v>
      </c>
      <c r="D20" s="32" t="s">
        <v>3522</v>
      </c>
      <c r="E20" s="11" t="str">
        <f>HYPERLINK("https://youtu.be/QvMl00QbqsA?t=7255","channel 2")</f>
        <v>channel 2</v>
      </c>
    </row>
    <row r="21">
      <c r="A21" s="118"/>
      <c r="B21" s="32" t="s">
        <v>3521</v>
      </c>
      <c r="C21" s="37" t="s">
        <v>65</v>
      </c>
      <c r="D21" s="32" t="s">
        <v>3119</v>
      </c>
      <c r="E21" s="11" t="str">
        <f>HYPERLINK("https://youtu.be/Trv7qcciils?t=8165","channel 1")</f>
        <v>channel 1</v>
      </c>
    </row>
    <row r="22">
      <c r="A22" s="118"/>
      <c r="B22" s="32" t="s">
        <v>3520</v>
      </c>
      <c r="C22" s="120" t="s">
        <v>509</v>
      </c>
      <c r="D22" s="32" t="s">
        <v>3522</v>
      </c>
      <c r="E22" s="11" t="str">
        <f>HYPERLINK("https://youtu.be/QvMl00QbqsA?t=8111","channel 2")</f>
        <v>channel 2</v>
      </c>
    </row>
    <row r="23">
      <c r="A23" s="118"/>
      <c r="B23" s="72" t="s">
        <v>2231</v>
      </c>
      <c r="C23" s="2"/>
      <c r="D23" s="3"/>
      <c r="E23" s="4"/>
    </row>
    <row r="24">
      <c r="A24" s="118"/>
      <c r="B24" s="16" t="s">
        <v>2</v>
      </c>
      <c r="C24" s="16" t="s">
        <v>3</v>
      </c>
      <c r="D24" s="16" t="s">
        <v>4</v>
      </c>
      <c r="E24" s="6" t="s">
        <v>5</v>
      </c>
    </row>
    <row r="25">
      <c r="A25" s="118"/>
      <c r="B25" s="32" t="s">
        <v>3524</v>
      </c>
      <c r="C25" s="70" t="s">
        <v>67</v>
      </c>
      <c r="D25" s="32" t="s">
        <v>3525</v>
      </c>
      <c r="E25" s="11" t="str">
        <f>HYPERLINK("https://youtu.be/t4z6Uv4IQvk","channel 1")</f>
        <v>channel 1</v>
      </c>
    </row>
    <row r="26">
      <c r="A26" s="118"/>
      <c r="B26" s="32" t="s">
        <v>3526</v>
      </c>
      <c r="C26" s="70" t="s">
        <v>866</v>
      </c>
      <c r="D26" s="32" t="s">
        <v>3527</v>
      </c>
      <c r="E26" s="11" t="str">
        <f>HYPERLINK("https://youtu.be/NgSbpVHKODE","channel 2")</f>
        <v>channel 2</v>
      </c>
    </row>
    <row r="27">
      <c r="A27" s="118"/>
      <c r="B27" s="32" t="s">
        <v>3528</v>
      </c>
      <c r="C27" s="70" t="s">
        <v>260</v>
      </c>
      <c r="D27" s="32" t="s">
        <v>3524</v>
      </c>
      <c r="E27" s="11" t="str">
        <f>HYPERLINK("https://youtu.be/t4z6Uv4IQvk?t=1279","channel 1")</f>
        <v>channel 1</v>
      </c>
    </row>
    <row r="28">
      <c r="A28" s="118"/>
      <c r="B28" s="32" t="s">
        <v>3526</v>
      </c>
      <c r="C28" s="70" t="s">
        <v>81</v>
      </c>
      <c r="D28" s="32" t="s">
        <v>3525</v>
      </c>
      <c r="E28" s="11" t="str">
        <f>HYPERLINK("https://youtu.be/NgSbpVHKODE?t=1414","channel 2")</f>
        <v>channel 2</v>
      </c>
    </row>
    <row r="29">
      <c r="A29" s="118"/>
      <c r="B29" s="32" t="s">
        <v>3528</v>
      </c>
      <c r="C29" s="70" t="s">
        <v>495</v>
      </c>
      <c r="D29" s="32" t="s">
        <v>3527</v>
      </c>
      <c r="E29" s="11" t="str">
        <f>HYPERLINK("https://youtu.be/t4z6Uv4IQvk?t=2340","channel 1")</f>
        <v>channel 1</v>
      </c>
    </row>
    <row r="30">
      <c r="A30" s="118"/>
      <c r="B30" s="32" t="s">
        <v>3526</v>
      </c>
      <c r="C30" s="70" t="s">
        <v>17</v>
      </c>
      <c r="D30" s="32" t="s">
        <v>3524</v>
      </c>
      <c r="E30" s="11" t="str">
        <f>HYPERLINK("https://youtu.be/NgSbpVHKODE?t=2392","channel 2")</f>
        <v>channel 2</v>
      </c>
    </row>
    <row r="31">
      <c r="A31" s="118"/>
      <c r="B31" s="32" t="s">
        <v>3528</v>
      </c>
      <c r="C31" s="70" t="s">
        <v>283</v>
      </c>
      <c r="D31" s="32" t="s">
        <v>3525</v>
      </c>
      <c r="E31" s="11" t="str">
        <f>HYPERLINK("https://youtu.be/t4z6Uv4IQvk?t=3234","channel 1")</f>
        <v>channel 1</v>
      </c>
    </row>
    <row r="32">
      <c r="A32" s="118"/>
      <c r="B32" s="32" t="s">
        <v>3527</v>
      </c>
      <c r="C32" s="70" t="s">
        <v>193</v>
      </c>
      <c r="D32" s="32" t="s">
        <v>3524</v>
      </c>
      <c r="E32" s="11" t="str">
        <f>HYPERLINK("https://youtu.be/NgSbpVHKODE?t=3379","channel 2")</f>
        <v>channel 2</v>
      </c>
    </row>
    <row r="33">
      <c r="A33" s="118"/>
      <c r="B33" s="32" t="s">
        <v>3528</v>
      </c>
      <c r="C33" s="70" t="s">
        <v>55</v>
      </c>
      <c r="D33" s="32" t="s">
        <v>3526</v>
      </c>
      <c r="E33" s="11" t="str">
        <f>HYPERLINK("https://youtu.be/t4z6Uv4IQvk?t=4271","channel 1")</f>
        <v>channel 1</v>
      </c>
    </row>
    <row r="34">
      <c r="A34" s="118"/>
      <c r="B34" s="32" t="s">
        <v>3527</v>
      </c>
      <c r="C34" s="70" t="s">
        <v>239</v>
      </c>
      <c r="D34" s="32" t="s">
        <v>3525</v>
      </c>
      <c r="E34" s="11" t="str">
        <f>HYPERLINK("https://youtu.be/NgSbpVHKODE?t=4280","channel 2")</f>
        <v>channel 2</v>
      </c>
    </row>
    <row r="35">
      <c r="A35" s="118"/>
      <c r="B35" s="32" t="s">
        <v>3525</v>
      </c>
      <c r="C35" s="70" t="s">
        <v>520</v>
      </c>
      <c r="D35" s="32" t="s">
        <v>3524</v>
      </c>
      <c r="E35" s="11" t="str">
        <f>HYPERLINK("https://youtu.be/t4z6Uv4IQvk?t=5176","channel 1")</f>
        <v>channel 1</v>
      </c>
    </row>
    <row r="36">
      <c r="A36" s="118"/>
      <c r="B36" s="32" t="s">
        <v>3527</v>
      </c>
      <c r="C36" s="70" t="s">
        <v>38</v>
      </c>
      <c r="D36" s="32" t="s">
        <v>3526</v>
      </c>
      <c r="E36" s="11" t="str">
        <f>HYPERLINK("https://youtu.be/NgSbpVHKODE?t=5252","channel 2")</f>
        <v>channel 2</v>
      </c>
    </row>
    <row r="37">
      <c r="A37" s="118"/>
      <c r="B37" s="32" t="s">
        <v>3524</v>
      </c>
      <c r="C37" s="70" t="s">
        <v>66</v>
      </c>
      <c r="D37" s="32" t="s">
        <v>3528</v>
      </c>
      <c r="E37" s="11" t="str">
        <f>HYPERLINK("https://youtu.be/t4z6Uv4IQvk?t=6092","channel 1")</f>
        <v>channel 1</v>
      </c>
    </row>
    <row r="38">
      <c r="A38" s="118"/>
      <c r="B38" s="32" t="s">
        <v>3525</v>
      </c>
      <c r="C38" s="70" t="s">
        <v>303</v>
      </c>
      <c r="D38" s="32" t="s">
        <v>3526</v>
      </c>
      <c r="E38" s="11" t="str">
        <f>HYPERLINK("https://youtu.be/NgSbpVHKODE?t=6176","channel 2")</f>
        <v>channel 2</v>
      </c>
    </row>
    <row r="39">
      <c r="A39" s="118"/>
      <c r="B39" s="32" t="s">
        <v>3527</v>
      </c>
      <c r="C39" s="70" t="s">
        <v>71</v>
      </c>
      <c r="D39" s="32" t="s">
        <v>3528</v>
      </c>
      <c r="E39" s="11" t="str">
        <f>HYPERLINK("https://youtu.be/t4z6Uv4IQvk?t=6943","channel 1")</f>
        <v>channel 1</v>
      </c>
    </row>
    <row r="40">
      <c r="A40" s="118"/>
      <c r="B40" s="32" t="s">
        <v>3524</v>
      </c>
      <c r="C40" s="39" t="s">
        <v>226</v>
      </c>
      <c r="D40" s="32" t="s">
        <v>3526</v>
      </c>
      <c r="E40" s="11" t="str">
        <f>HYPERLINK("https://youtu.be/NgSbpVHKODE?t=7114","channel 2")</f>
        <v>channel 2</v>
      </c>
    </row>
    <row r="41">
      <c r="A41" s="118"/>
      <c r="B41" s="32" t="s">
        <v>3525</v>
      </c>
      <c r="C41" s="70" t="s">
        <v>363</v>
      </c>
      <c r="D41" s="32" t="s">
        <v>3528</v>
      </c>
      <c r="E41" s="11" t="str">
        <f>HYPERLINK("https://youtu.be/t4z6Uv4IQvk?t=7861","channel 1")</f>
        <v>channel 1</v>
      </c>
    </row>
    <row r="42">
      <c r="A42" s="118"/>
      <c r="B42" s="32" t="s">
        <v>3524</v>
      </c>
      <c r="C42" s="70" t="s">
        <v>231</v>
      </c>
      <c r="D42" s="32" t="s">
        <v>3527</v>
      </c>
      <c r="E42" s="11" t="str">
        <f>HYPERLINK("https://youtu.be/NgSbpVHKODE?t=7975","channel 2")</f>
        <v>channel 2</v>
      </c>
    </row>
    <row r="43">
      <c r="A43" s="118"/>
      <c r="B43" s="32" t="s">
        <v>3526</v>
      </c>
      <c r="C43" s="70" t="s">
        <v>11</v>
      </c>
      <c r="D43" s="32" t="s">
        <v>3528</v>
      </c>
      <c r="E43" s="11" t="str">
        <f>HYPERLINK("https://youtu.be/t4z6Uv4IQvk?t=8811","channel 1")</f>
        <v>channel 1</v>
      </c>
    </row>
    <row r="44">
      <c r="A44" s="118"/>
      <c r="B44" s="32" t="s">
        <v>3525</v>
      </c>
      <c r="C44" s="70" t="s">
        <v>48</v>
      </c>
      <c r="D44" s="32" t="s">
        <v>3527</v>
      </c>
      <c r="E44" s="102" t="s">
        <v>13</v>
      </c>
    </row>
    <row r="45">
      <c r="A45" s="118"/>
      <c r="B45" s="72" t="s">
        <v>3207</v>
      </c>
      <c r="C45" s="2"/>
      <c r="D45" s="3"/>
      <c r="E45" s="4"/>
    </row>
    <row r="46">
      <c r="A46" s="118"/>
      <c r="B46" s="16" t="s">
        <v>2</v>
      </c>
      <c r="C46" s="16" t="s">
        <v>3</v>
      </c>
      <c r="D46" s="16" t="s">
        <v>4</v>
      </c>
      <c r="E46" s="6" t="s">
        <v>5</v>
      </c>
    </row>
    <row r="47">
      <c r="A47" s="118"/>
      <c r="B47" s="32" t="s">
        <v>3432</v>
      </c>
      <c r="C47" s="70" t="s">
        <v>68</v>
      </c>
      <c r="D47" s="32" t="s">
        <v>3318</v>
      </c>
      <c r="E47" s="11" t="str">
        <f>HYPERLINK("https://youtu.be/ThlrRD7xtVk","channel 3")</f>
        <v>channel 3</v>
      </c>
    </row>
    <row r="48">
      <c r="A48" s="118"/>
      <c r="B48" s="32" t="s">
        <v>3529</v>
      </c>
      <c r="C48" s="70" t="s">
        <v>19</v>
      </c>
      <c r="D48" s="32" t="s">
        <v>3304</v>
      </c>
      <c r="E48" s="11" t="str">
        <f>HYPERLINK("https://youtu.be/mj2k-ylD0Bg","channel 4")</f>
        <v>channel 4</v>
      </c>
    </row>
    <row r="49">
      <c r="A49" s="118"/>
      <c r="B49" s="32" t="s">
        <v>3530</v>
      </c>
      <c r="C49" s="70" t="s">
        <v>23</v>
      </c>
      <c r="D49" s="32" t="s">
        <v>3432</v>
      </c>
      <c r="E49" s="11" t="str">
        <f>HYPERLINK("https://youtu.be/ThlrRD7xtVk?t=1011","channel 3")</f>
        <v>channel 3</v>
      </c>
    </row>
    <row r="50">
      <c r="A50" s="118"/>
      <c r="B50" s="32" t="s">
        <v>3529</v>
      </c>
      <c r="C50" s="70" t="s">
        <v>42</v>
      </c>
      <c r="D50" s="32" t="s">
        <v>3318</v>
      </c>
      <c r="E50" s="11" t="str">
        <f>HYPERLINK("https://youtu.be/mj2k-ylD0Bg?t=998","channel 4")</f>
        <v>channel 4</v>
      </c>
    </row>
    <row r="51">
      <c r="A51" s="118"/>
      <c r="B51" s="32" t="s">
        <v>3530</v>
      </c>
      <c r="C51" s="70" t="s">
        <v>11</v>
      </c>
      <c r="D51" s="32" t="s">
        <v>3304</v>
      </c>
      <c r="E51" s="11" t="str">
        <f>HYPERLINK("https://youtu.be/ThlrRD7xtVk?t=1980","channel 3")</f>
        <v>channel 3</v>
      </c>
    </row>
    <row r="52">
      <c r="A52" s="118"/>
      <c r="B52" s="91" t="s">
        <v>3529</v>
      </c>
      <c r="C52" s="70" t="s">
        <v>196</v>
      </c>
      <c r="D52" s="91" t="s">
        <v>3432</v>
      </c>
      <c r="E52" s="11" t="str">
        <f>HYPERLINK("https://youtu.be/mj2k-ylD0Bg?t=1836","channel 4")</f>
        <v>channel 4</v>
      </c>
    </row>
    <row r="53">
      <c r="A53" s="118"/>
      <c r="B53" s="32" t="s">
        <v>3530</v>
      </c>
      <c r="C53" s="70" t="s">
        <v>1578</v>
      </c>
      <c r="D53" s="32" t="s">
        <v>3318</v>
      </c>
      <c r="E53" s="11" t="str">
        <f>HYPERLINK("https://youtu.be/ThlrRD7xtVk?t=2943","channel 3")</f>
        <v>channel 3</v>
      </c>
    </row>
    <row r="54">
      <c r="A54" s="118"/>
      <c r="B54" s="91" t="s">
        <v>3304</v>
      </c>
      <c r="C54" s="70" t="s">
        <v>66</v>
      </c>
      <c r="D54" s="91" t="s">
        <v>3432</v>
      </c>
      <c r="E54" s="11" t="str">
        <f>HYPERLINK("https://youtu.be/mj2k-ylD0Bg?t=2779","channel 4")</f>
        <v>channel 4</v>
      </c>
    </row>
    <row r="55">
      <c r="A55" s="118"/>
      <c r="B55" s="32" t="s">
        <v>3530</v>
      </c>
      <c r="C55" s="70" t="s">
        <v>369</v>
      </c>
      <c r="D55" s="32" t="s">
        <v>3529</v>
      </c>
      <c r="E55" s="11" t="str">
        <f>HYPERLINK("https://youtu.be/ThlrRD7xtVk?t=3902","channel 3")</f>
        <v>channel 3</v>
      </c>
    </row>
    <row r="56">
      <c r="A56" s="118"/>
      <c r="B56" s="32" t="s">
        <v>3304</v>
      </c>
      <c r="C56" s="70" t="s">
        <v>579</v>
      </c>
      <c r="D56" s="32" t="s">
        <v>3318</v>
      </c>
      <c r="E56" s="11" t="str">
        <f>HYPERLINK("https://youtu.be/mj2k-ylD0Bg?t=3724","channel 4")</f>
        <v>channel 4</v>
      </c>
    </row>
    <row r="57">
      <c r="A57" s="118"/>
      <c r="B57" s="32" t="s">
        <v>3318</v>
      </c>
      <c r="C57" s="70" t="s">
        <v>238</v>
      </c>
      <c r="D57" s="32" t="s">
        <v>3432</v>
      </c>
      <c r="E57" s="11" t="str">
        <f>HYPERLINK("https://youtu.be/ThlrRD7xtVk?t=5026","channel 3")</f>
        <v>channel 3</v>
      </c>
    </row>
    <row r="58">
      <c r="A58" s="118"/>
      <c r="B58" s="91" t="s">
        <v>3304</v>
      </c>
      <c r="C58" s="70" t="s">
        <v>218</v>
      </c>
      <c r="D58" s="91" t="s">
        <v>3529</v>
      </c>
      <c r="E58" s="11" t="str">
        <f>HYPERLINK("https://youtu.be/mj2k-ylD0Bg?t=4691","channel 4")</f>
        <v>channel 4</v>
      </c>
    </row>
    <row r="59">
      <c r="A59" s="118"/>
      <c r="B59" s="32" t="s">
        <v>3432</v>
      </c>
      <c r="C59" s="70" t="s">
        <v>588</v>
      </c>
      <c r="D59" s="32" t="s">
        <v>3530</v>
      </c>
      <c r="E59" s="11" t="str">
        <f>HYPERLINK("https://youtu.be/ThlrRD7xtVk?t=5917","channel 3")</f>
        <v>channel 3</v>
      </c>
    </row>
    <row r="60">
      <c r="A60" s="118"/>
      <c r="B60" s="32" t="s">
        <v>3318</v>
      </c>
      <c r="C60" s="70" t="s">
        <v>3531</v>
      </c>
      <c r="D60" s="32" t="s">
        <v>3529</v>
      </c>
      <c r="E60" s="11" t="str">
        <f>HYPERLINK("https://youtu.be/mj2k-ylD0Bg?t=5555","channel 4")</f>
        <v>channel 4</v>
      </c>
    </row>
    <row r="61">
      <c r="A61" s="118"/>
      <c r="B61" s="32" t="s">
        <v>3304</v>
      </c>
      <c r="C61" s="70" t="s">
        <v>363</v>
      </c>
      <c r="D61" s="32" t="s">
        <v>3530</v>
      </c>
      <c r="E61" s="11" t="str">
        <f>HYPERLINK("https://youtu.be/ThlrRD7xtVk?t=6862","channel 3")</f>
        <v>channel 3</v>
      </c>
    </row>
    <row r="62">
      <c r="A62" s="118"/>
      <c r="B62" s="32" t="s">
        <v>3432</v>
      </c>
      <c r="C62" s="70" t="s">
        <v>72</v>
      </c>
      <c r="D62" s="32" t="s">
        <v>3529</v>
      </c>
      <c r="E62" s="11" t="str">
        <f>HYPERLINK("https://youtu.be/mj2k-ylD0Bg?t=6425","channel 4")</f>
        <v>channel 4</v>
      </c>
    </row>
    <row r="63">
      <c r="A63" s="118"/>
      <c r="B63" s="32" t="s">
        <v>3318</v>
      </c>
      <c r="C63" s="70" t="s">
        <v>3532</v>
      </c>
      <c r="D63" s="32" t="s">
        <v>3530</v>
      </c>
      <c r="E63" s="11" t="str">
        <f>HYPERLINK("https://youtu.be/ThlrRD7xtVk?t=7753","channel 3")</f>
        <v>channel 3</v>
      </c>
    </row>
    <row r="64">
      <c r="A64" s="118"/>
      <c r="B64" s="32" t="s">
        <v>3432</v>
      </c>
      <c r="C64" s="70" t="s">
        <v>45</v>
      </c>
      <c r="D64" s="32" t="s">
        <v>3304</v>
      </c>
      <c r="E64" s="11" t="str">
        <f>HYPERLINK("https://youtu.be/mj2k-ylD0Bg?t=7317","channel 4")</f>
        <v>channel 4</v>
      </c>
    </row>
    <row r="65">
      <c r="A65" s="118"/>
      <c r="B65" s="32" t="s">
        <v>3529</v>
      </c>
      <c r="C65" s="70" t="s">
        <v>194</v>
      </c>
      <c r="D65" s="32" t="s">
        <v>3530</v>
      </c>
      <c r="E65" s="11" t="str">
        <f>HYPERLINK("https://youtu.be/ThlrRD7xtVk?t=8714","channel 3")</f>
        <v>channel 3</v>
      </c>
    </row>
    <row r="66">
      <c r="A66" s="118"/>
      <c r="B66" s="32" t="s">
        <v>3318</v>
      </c>
      <c r="C66" s="70" t="s">
        <v>260</v>
      </c>
      <c r="D66" s="32" t="s">
        <v>3304</v>
      </c>
      <c r="E66" s="11" t="str">
        <f>HYPERLINK("https://youtu.be/mj2k-ylD0Bg?t=8216","channel 4")</f>
        <v>channel 4</v>
      </c>
    </row>
    <row r="67">
      <c r="A67" s="118"/>
      <c r="B67" s="72" t="s">
        <v>2646</v>
      </c>
      <c r="C67" s="2"/>
      <c r="D67" s="3"/>
      <c r="E67" s="4"/>
    </row>
    <row r="68">
      <c r="A68" s="118"/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118"/>
      <c r="B69" s="32" t="s">
        <v>2901</v>
      </c>
      <c r="C69" s="70" t="s">
        <v>17</v>
      </c>
      <c r="D69" s="32" t="s">
        <v>296</v>
      </c>
      <c r="E69" s="11" t="str">
        <f>HYPERLINK("https://youtu.be/vs01te82qEY","channel 3")</f>
        <v>channel 3</v>
      </c>
    </row>
    <row r="70">
      <c r="A70" s="118"/>
      <c r="B70" s="32" t="s">
        <v>3533</v>
      </c>
      <c r="C70" s="70" t="s">
        <v>11</v>
      </c>
      <c r="D70" s="32" t="s">
        <v>1799</v>
      </c>
      <c r="E70" s="11" t="str">
        <f>HYPERLINK("https://youtu.be/f59wC1auDpU","channel 4")</f>
        <v>channel 4</v>
      </c>
    </row>
    <row r="71">
      <c r="A71" s="118"/>
      <c r="B71" s="32" t="s">
        <v>3534</v>
      </c>
      <c r="C71" s="70" t="s">
        <v>699</v>
      </c>
      <c r="D71" s="32" t="s">
        <v>2901</v>
      </c>
      <c r="E71" s="11" t="str">
        <f>HYPERLINK("https://youtu.be/vs01te82qEY?t=1059","channel 3")</f>
        <v>channel 3</v>
      </c>
    </row>
    <row r="72">
      <c r="A72" s="118"/>
      <c r="B72" s="32" t="s">
        <v>3533</v>
      </c>
      <c r="C72" s="70" t="s">
        <v>81</v>
      </c>
      <c r="D72" s="32" t="s">
        <v>296</v>
      </c>
      <c r="E72" s="11" t="str">
        <f>HYPERLINK("https://youtu.be/f59wC1auDpU?t=1095","channel 4")</f>
        <v>channel 4</v>
      </c>
    </row>
    <row r="73">
      <c r="A73" s="118"/>
      <c r="B73" s="32" t="s">
        <v>3534</v>
      </c>
      <c r="C73" s="70" t="s">
        <v>835</v>
      </c>
      <c r="D73" s="32" t="s">
        <v>1799</v>
      </c>
      <c r="E73" s="11" t="str">
        <f>HYPERLINK("https://youtu.be/vs01te82qEY?t=2063","channel 3")</f>
        <v>channel 3</v>
      </c>
    </row>
    <row r="74">
      <c r="A74" s="118"/>
      <c r="B74" s="91" t="s">
        <v>3533</v>
      </c>
      <c r="C74" s="70" t="s">
        <v>66</v>
      </c>
      <c r="D74" s="91" t="s">
        <v>2901</v>
      </c>
      <c r="E74" s="11" t="str">
        <f>HYPERLINK("https://youtu.be/f59wC1auDpU?t=2010","channel 4")</f>
        <v>channel 4</v>
      </c>
    </row>
    <row r="75">
      <c r="A75" s="118"/>
      <c r="B75" s="32" t="s">
        <v>3534</v>
      </c>
      <c r="C75" s="70" t="s">
        <v>626</v>
      </c>
      <c r="D75" s="32" t="s">
        <v>296</v>
      </c>
      <c r="E75" s="11" t="str">
        <f>HYPERLINK("https://youtu.be/vs01te82qEY?t=3032","channel 3")</f>
        <v>channel 3</v>
      </c>
    </row>
    <row r="76">
      <c r="A76" s="118"/>
      <c r="B76" s="91" t="s">
        <v>1799</v>
      </c>
      <c r="C76" s="70" t="s">
        <v>62</v>
      </c>
      <c r="D76" s="91" t="s">
        <v>2901</v>
      </c>
      <c r="E76" s="11" t="str">
        <f>HYPERLINK("https://youtu.be/f59wC1auDpU?t=2970","channel 4")</f>
        <v>channel 4</v>
      </c>
    </row>
    <row r="77">
      <c r="A77" s="118"/>
      <c r="B77" s="32" t="s">
        <v>3534</v>
      </c>
      <c r="C77" s="70" t="s">
        <v>650</v>
      </c>
      <c r="D77" s="32" t="s">
        <v>3533</v>
      </c>
      <c r="E77" s="11" t="str">
        <f>HYPERLINK("https://youtu.be/vs01te82qEY?t=4003","channel 3")</f>
        <v>channel 3</v>
      </c>
    </row>
    <row r="78">
      <c r="A78" s="118"/>
      <c r="B78" s="91" t="s">
        <v>1799</v>
      </c>
      <c r="C78" s="70" t="s">
        <v>64</v>
      </c>
      <c r="D78" s="91" t="s">
        <v>296</v>
      </c>
      <c r="E78" s="11" t="str">
        <f>HYPERLINK("https://youtu.be/f59wC1auDpU?t=3849","channel 4")</f>
        <v>channel 4</v>
      </c>
    </row>
    <row r="79">
      <c r="A79" s="118"/>
      <c r="B79" s="32" t="s">
        <v>296</v>
      </c>
      <c r="C79" s="70" t="s">
        <v>282</v>
      </c>
      <c r="D79" s="32" t="s">
        <v>2901</v>
      </c>
      <c r="E79" s="11" t="str">
        <f>HYPERLINK("https://youtu.be/vs01te82qEY?t=4967","channel 3")</f>
        <v>channel 3</v>
      </c>
    </row>
    <row r="80">
      <c r="A80" s="118"/>
      <c r="B80" s="91" t="s">
        <v>1799</v>
      </c>
      <c r="C80" s="70" t="s">
        <v>283</v>
      </c>
      <c r="D80" s="91" t="s">
        <v>3533</v>
      </c>
      <c r="E80" s="11" t="str">
        <f>HYPERLINK("https://youtu.be/f59wC1auDpU?t=4870","channel 4")</f>
        <v>channel 4</v>
      </c>
    </row>
    <row r="81">
      <c r="A81" s="118"/>
      <c r="B81" s="32" t="s">
        <v>2901</v>
      </c>
      <c r="C81" s="70" t="s">
        <v>351</v>
      </c>
      <c r="D81" s="32" t="s">
        <v>3534</v>
      </c>
      <c r="E81" s="11" t="str">
        <f>HYPERLINK("https://youtu.be/vs01te82qEY?t=5885","channel 3")</f>
        <v>channel 3</v>
      </c>
    </row>
    <row r="82">
      <c r="A82" s="118"/>
      <c r="B82" s="91" t="s">
        <v>296</v>
      </c>
      <c r="C82" s="70" t="s">
        <v>80</v>
      </c>
      <c r="D82" s="91" t="s">
        <v>3533</v>
      </c>
      <c r="E82" s="11" t="str">
        <f>HYPERLINK("https://youtu.be/f59wC1auDpU?t=5853","channel 4")</f>
        <v>channel 4</v>
      </c>
    </row>
    <row r="83">
      <c r="A83" s="118"/>
      <c r="B83" s="32" t="s">
        <v>1799</v>
      </c>
      <c r="C83" s="70" t="s">
        <v>1716</v>
      </c>
      <c r="D83" s="32" t="s">
        <v>3534</v>
      </c>
      <c r="E83" s="11" t="str">
        <f>HYPERLINK("https://youtu.be/vs01te82qEY?t=6826","channel 3")</f>
        <v>channel 3</v>
      </c>
    </row>
    <row r="84">
      <c r="A84" s="118"/>
      <c r="B84" s="91" t="s">
        <v>2901</v>
      </c>
      <c r="C84" s="70" t="s">
        <v>286</v>
      </c>
      <c r="D84" s="91" t="s">
        <v>3533</v>
      </c>
      <c r="E84" s="11" t="str">
        <f>HYPERLINK("https://youtu.be/f59wC1auDpU?t=6808","channel 4")</f>
        <v>channel 4</v>
      </c>
    </row>
    <row r="85">
      <c r="A85" s="118"/>
      <c r="B85" s="91" t="s">
        <v>296</v>
      </c>
      <c r="C85" s="70" t="s">
        <v>389</v>
      </c>
      <c r="D85" s="91" t="s">
        <v>3534</v>
      </c>
      <c r="E85" s="11" t="str">
        <f>HYPERLINK("https://youtu.be/vs01te82qEY?t=7804","channel 3")</f>
        <v>channel 3</v>
      </c>
    </row>
    <row r="86">
      <c r="A86" s="118"/>
      <c r="B86" s="91" t="s">
        <v>2901</v>
      </c>
      <c r="C86" s="70" t="s">
        <v>25</v>
      </c>
      <c r="D86" s="91" t="s">
        <v>1799</v>
      </c>
      <c r="E86" s="11" t="str">
        <f>HYPERLINK("https://youtu.be/f59wC1auDpU?t=7749","channel 4")</f>
        <v>channel 4</v>
      </c>
    </row>
    <row r="87">
      <c r="A87" s="118"/>
      <c r="B87" s="32" t="s">
        <v>3533</v>
      </c>
      <c r="C87" s="70" t="s">
        <v>239</v>
      </c>
      <c r="D87" s="32" t="s">
        <v>3534</v>
      </c>
      <c r="E87" s="11" t="str">
        <f>HYPERLINK("https://youtu.be/vs01te82qEY?t=8724","channel 3")</f>
        <v>channel 3</v>
      </c>
    </row>
    <row r="88">
      <c r="A88" s="118"/>
      <c r="B88" s="91" t="s">
        <v>296</v>
      </c>
      <c r="C88" s="70" t="s">
        <v>212</v>
      </c>
      <c r="D88" s="91" t="s">
        <v>1799</v>
      </c>
      <c r="E88" s="11" t="str">
        <f>HYPERLINK("https://youtu.be/f59wC1auDpU?t=8648","channel 4")</f>
        <v>channel 4</v>
      </c>
    </row>
    <row r="89">
      <c r="A89" s="118"/>
      <c r="B89" s="72" t="s">
        <v>2685</v>
      </c>
      <c r="C89" s="2"/>
      <c r="D89" s="3"/>
      <c r="E89" s="4"/>
    </row>
    <row r="90">
      <c r="A90" s="118"/>
      <c r="B90" s="16" t="s">
        <v>2</v>
      </c>
      <c r="C90" s="16" t="s">
        <v>3</v>
      </c>
      <c r="D90" s="16" t="s">
        <v>4</v>
      </c>
      <c r="E90" s="16" t="s">
        <v>5</v>
      </c>
    </row>
    <row r="91">
      <c r="A91" s="118"/>
      <c r="B91" s="119" t="s">
        <v>3535</v>
      </c>
      <c r="C91" s="70" t="s">
        <v>251</v>
      </c>
      <c r="D91" s="32" t="s">
        <v>838</v>
      </c>
      <c r="E91" s="11" t="str">
        <f>HYPERLINK("https://youtu.be/iw0_Us_ZvB8","channel 1")</f>
        <v>channel 1</v>
      </c>
    </row>
    <row r="92">
      <c r="A92" s="118"/>
      <c r="B92" s="32" t="s">
        <v>3536</v>
      </c>
      <c r="C92" s="70" t="s">
        <v>339</v>
      </c>
      <c r="D92" s="32" t="s">
        <v>3537</v>
      </c>
      <c r="E92" s="11" t="str">
        <f>HYPERLINK("https://youtu.be/4lQ0gAjgsy8","channel 2")</f>
        <v>channel 2</v>
      </c>
    </row>
    <row r="93">
      <c r="A93" s="118"/>
      <c r="B93" s="32" t="s">
        <v>3245</v>
      </c>
      <c r="C93" s="70" t="s">
        <v>302</v>
      </c>
      <c r="D93" s="32" t="s">
        <v>3535</v>
      </c>
      <c r="E93" s="11" t="str">
        <f>HYPERLINK("https://youtu.be/iw0_Us_ZvB8?t=1073","channel 1")</f>
        <v>channel 1</v>
      </c>
    </row>
    <row r="94">
      <c r="A94" s="118"/>
      <c r="B94" s="32" t="s">
        <v>3536</v>
      </c>
      <c r="C94" s="70" t="s">
        <v>226</v>
      </c>
      <c r="D94" s="32" t="s">
        <v>838</v>
      </c>
      <c r="E94" s="11" t="str">
        <f>HYPERLINK("https://youtu.be/4lQ0gAjgsy8?t=957","channel 2")</f>
        <v>channel 2</v>
      </c>
    </row>
    <row r="95">
      <c r="A95" s="118"/>
      <c r="B95" s="32" t="s">
        <v>3245</v>
      </c>
      <c r="C95" s="70" t="s">
        <v>1031</v>
      </c>
      <c r="D95" s="32" t="s">
        <v>3537</v>
      </c>
      <c r="E95" s="11" t="str">
        <f>HYPERLINK("https://youtu.be/iw0_Us_ZvB8?t=1988","channel 1")</f>
        <v>channel 1</v>
      </c>
    </row>
    <row r="96">
      <c r="A96" s="118"/>
      <c r="B96" s="32" t="s">
        <v>3536</v>
      </c>
      <c r="C96" s="70" t="s">
        <v>3538</v>
      </c>
      <c r="D96" s="32" t="s">
        <v>3535</v>
      </c>
      <c r="E96" s="11" t="str">
        <f>HYPERLINK("https://youtu.be/4lQ0gAjgsy8?t=1869","channel 2")</f>
        <v>channel 2</v>
      </c>
    </row>
    <row r="97">
      <c r="A97" s="118"/>
      <c r="B97" s="32" t="s">
        <v>3245</v>
      </c>
      <c r="C97" s="70" t="s">
        <v>481</v>
      </c>
      <c r="D97" s="32" t="s">
        <v>838</v>
      </c>
      <c r="E97" s="11" t="str">
        <f>HYPERLINK("https://youtu.be/iw0_Us_ZvB8?t=2916","channel 1")</f>
        <v>channel 1</v>
      </c>
    </row>
    <row r="98">
      <c r="A98" s="118"/>
      <c r="B98" s="32" t="s">
        <v>3537</v>
      </c>
      <c r="C98" s="70" t="s">
        <v>699</v>
      </c>
      <c r="D98" s="32" t="s">
        <v>3535</v>
      </c>
      <c r="E98" s="11" t="str">
        <f>HYPERLINK("https://youtu.be/4lQ0gAjgsy8?t=2819","channel 2")</f>
        <v>channel 2</v>
      </c>
    </row>
    <row r="99">
      <c r="A99" s="118"/>
      <c r="B99" s="32" t="s">
        <v>3245</v>
      </c>
      <c r="C99" s="70" t="s">
        <v>72</v>
      </c>
      <c r="D99" s="32" t="s">
        <v>3536</v>
      </c>
      <c r="E99" s="11" t="str">
        <f>HYPERLINK("https://youtu.be/iw0_Us_ZvB8?t=3812","channel 1")</f>
        <v>channel 1</v>
      </c>
    </row>
    <row r="100">
      <c r="A100" s="118"/>
      <c r="B100" s="32" t="s">
        <v>3537</v>
      </c>
      <c r="C100" s="70" t="s">
        <v>212</v>
      </c>
      <c r="D100" s="32" t="s">
        <v>838</v>
      </c>
      <c r="E100" s="11" t="str">
        <f>HYPERLINK("https://youtu.be/4lQ0gAjgsy8?t=3738","channel 2")</f>
        <v>channel 2</v>
      </c>
    </row>
    <row r="101">
      <c r="A101" s="118"/>
      <c r="B101" s="32" t="s">
        <v>838</v>
      </c>
      <c r="C101" s="70" t="s">
        <v>62</v>
      </c>
      <c r="D101" s="32" t="s">
        <v>3535</v>
      </c>
      <c r="E101" s="11" t="str">
        <f>HYPERLINK("https://youtu.be/iw0_Us_ZvB8?t=4759","channel 1")</f>
        <v>channel 1</v>
      </c>
    </row>
    <row r="102">
      <c r="A102" s="118"/>
      <c r="B102" s="32" t="s">
        <v>3537</v>
      </c>
      <c r="C102" s="70" t="s">
        <v>544</v>
      </c>
      <c r="D102" s="32" t="s">
        <v>3536</v>
      </c>
      <c r="E102" s="11" t="str">
        <f>HYPERLINK("https://youtu.be/4lQ0gAjgsy8?t=4594","channel 2")</f>
        <v>channel 2</v>
      </c>
    </row>
    <row r="103">
      <c r="A103" s="118"/>
      <c r="B103" s="32" t="s">
        <v>3535</v>
      </c>
      <c r="C103" s="70" t="s">
        <v>283</v>
      </c>
      <c r="D103" s="32" t="s">
        <v>3245</v>
      </c>
      <c r="E103" s="11" t="str">
        <f>HYPERLINK("https://youtu.be/iw0_Us_ZvB8?t=5709","channel 1")</f>
        <v>channel 1</v>
      </c>
    </row>
    <row r="104">
      <c r="A104" s="118"/>
      <c r="B104" s="32" t="s">
        <v>838</v>
      </c>
      <c r="C104" s="70" t="s">
        <v>544</v>
      </c>
      <c r="D104" s="32" t="s">
        <v>3536</v>
      </c>
      <c r="E104" s="11" t="str">
        <f>HYPERLINK("https://youtu.be/4lQ0gAjgsy8?t=5459","channel 2")</f>
        <v>channel 2</v>
      </c>
    </row>
    <row r="105">
      <c r="A105" s="118"/>
      <c r="B105" s="32" t="s">
        <v>3537</v>
      </c>
      <c r="C105" s="70" t="s">
        <v>3539</v>
      </c>
      <c r="D105" s="32" t="s">
        <v>3245</v>
      </c>
      <c r="E105" s="11" t="str">
        <f>HYPERLINK("https://youtu.be/iw0_Us_ZvB8?t=6681","channel 1")</f>
        <v>channel 1</v>
      </c>
    </row>
    <row r="106">
      <c r="A106" s="118"/>
      <c r="B106" s="32" t="s">
        <v>3535</v>
      </c>
      <c r="C106" s="70" t="s">
        <v>190</v>
      </c>
      <c r="D106" s="32" t="s">
        <v>3536</v>
      </c>
      <c r="E106" s="11" t="str">
        <f>HYPERLINK("https://youtu.be/4lQ0gAjgsy8?t=6566","channel 2")</f>
        <v>channel 2</v>
      </c>
    </row>
    <row r="107">
      <c r="A107" s="118"/>
      <c r="B107" s="32" t="s">
        <v>838</v>
      </c>
      <c r="C107" s="70" t="s">
        <v>814</v>
      </c>
      <c r="D107" s="32" t="s">
        <v>3245</v>
      </c>
      <c r="E107" s="11" t="str">
        <f>HYPERLINK("https://youtu.be/iw0_Us_ZvB8?t=7600","channel 1")</f>
        <v>channel 1</v>
      </c>
    </row>
    <row r="108">
      <c r="A108" s="118"/>
      <c r="B108" s="32" t="s">
        <v>3535</v>
      </c>
      <c r="C108" s="70" t="s">
        <v>2721</v>
      </c>
      <c r="D108" s="32" t="s">
        <v>3537</v>
      </c>
      <c r="E108" s="11" t="str">
        <f>HYPERLINK("https://youtu.be/4lQ0gAjgsy8?t=7471","channel 2")</f>
        <v>channel 2</v>
      </c>
    </row>
    <row r="109">
      <c r="A109" s="118"/>
      <c r="B109" s="32" t="s">
        <v>3536</v>
      </c>
      <c r="C109" s="70" t="s">
        <v>86</v>
      </c>
      <c r="D109" s="32" t="s">
        <v>3245</v>
      </c>
      <c r="E109" s="11" t="str">
        <f>HYPERLINK("https://youtu.be/iw0_Us_ZvB8?t=8513","channel 1")</f>
        <v>channel 1</v>
      </c>
    </row>
    <row r="110">
      <c r="A110" s="118"/>
      <c r="B110" s="32" t="s">
        <v>838</v>
      </c>
      <c r="C110" s="70" t="s">
        <v>3027</v>
      </c>
      <c r="D110" s="32" t="s">
        <v>3537</v>
      </c>
      <c r="E110" s="11" t="str">
        <f>HYPERLINK("https://youtu.be/4lQ0gAjgsy8?t=8479","channel 2")</f>
        <v>channel 2</v>
      </c>
    </row>
    <row r="111">
      <c r="A111" s="118"/>
      <c r="B111" s="72" t="s">
        <v>1435</v>
      </c>
      <c r="C111" s="2"/>
      <c r="D111" s="3"/>
      <c r="E111" s="4"/>
    </row>
    <row r="112">
      <c r="A112" s="118"/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A113" s="118"/>
      <c r="B113" s="32" t="s">
        <v>3540</v>
      </c>
      <c r="C113" s="70" t="s">
        <v>194</v>
      </c>
      <c r="D113" s="32" t="s">
        <v>3218</v>
      </c>
      <c r="E113" s="11" t="str">
        <f>HYPERLINK("https://youtu.be/LxCstHrEuJc","channel 1")</f>
        <v>channel 1</v>
      </c>
    </row>
    <row r="114">
      <c r="A114" s="118"/>
      <c r="B114" s="32" t="s">
        <v>3541</v>
      </c>
      <c r="C114" s="70" t="s">
        <v>482</v>
      </c>
      <c r="D114" s="32" t="s">
        <v>3542</v>
      </c>
      <c r="E114" s="11" t="str">
        <f>HYPERLINK("https://youtu.be/Ehz-f0D0LRA","channel 2")</f>
        <v>channel 2</v>
      </c>
    </row>
    <row r="115">
      <c r="A115" s="118"/>
      <c r="B115" s="32" t="s">
        <v>3543</v>
      </c>
      <c r="C115" s="70" t="s">
        <v>268</v>
      </c>
      <c r="D115" s="32" t="s">
        <v>3540</v>
      </c>
      <c r="E115" s="11" t="str">
        <f>HYPERLINK("https://youtu.be/LxCstHrEuJc?t=1064","channel 1")</f>
        <v>channel 1</v>
      </c>
    </row>
    <row r="116">
      <c r="A116" s="118"/>
      <c r="B116" s="32" t="s">
        <v>3541</v>
      </c>
      <c r="C116" s="70" t="s">
        <v>413</v>
      </c>
      <c r="D116" s="32" t="s">
        <v>3218</v>
      </c>
      <c r="E116" s="11" t="str">
        <f>HYPERLINK("https://youtu.be/Ehz-f0D0LRA?t=931","channel 2")</f>
        <v>channel 2</v>
      </c>
    </row>
    <row r="117">
      <c r="A117" s="118"/>
      <c r="B117" s="32" t="s">
        <v>3543</v>
      </c>
      <c r="C117" s="70" t="s">
        <v>217</v>
      </c>
      <c r="D117" s="32" t="s">
        <v>3542</v>
      </c>
      <c r="E117" s="11" t="str">
        <f>HYPERLINK("https://youtu.be/LxCstHrEuJc?t=2017","channel 1")</f>
        <v>channel 1</v>
      </c>
    </row>
    <row r="118">
      <c r="A118" s="118"/>
      <c r="B118" s="32" t="s">
        <v>3541</v>
      </c>
      <c r="C118" s="70" t="s">
        <v>414</v>
      </c>
      <c r="D118" s="32" t="s">
        <v>3540</v>
      </c>
      <c r="E118" s="11" t="str">
        <f>HYPERLINK("https://youtu.be/Ehz-f0D0LRA?t=1855","channel 2")</f>
        <v>channel 2</v>
      </c>
    </row>
    <row r="119">
      <c r="A119" s="118"/>
      <c r="B119" s="32" t="s">
        <v>3543</v>
      </c>
      <c r="C119" s="70" t="s">
        <v>50</v>
      </c>
      <c r="D119" s="32" t="s">
        <v>3218</v>
      </c>
      <c r="E119" s="11" t="str">
        <f>HYPERLINK("https://youtu.be/LxCstHrEuJc?t=2900","channel 1")</f>
        <v>channel 1</v>
      </c>
    </row>
    <row r="120">
      <c r="A120" s="118"/>
      <c r="B120" s="32" t="s">
        <v>3542</v>
      </c>
      <c r="C120" s="70" t="s">
        <v>41</v>
      </c>
      <c r="D120" s="32" t="s">
        <v>3540</v>
      </c>
      <c r="E120" s="11" t="str">
        <f>HYPERLINK("https://youtu.be/Ehz-f0D0LRA?t=2810","channel 2")</f>
        <v>channel 2</v>
      </c>
    </row>
    <row r="121">
      <c r="A121" s="118"/>
      <c r="B121" s="32" t="s">
        <v>3543</v>
      </c>
      <c r="C121" s="70" t="s">
        <v>72</v>
      </c>
      <c r="D121" s="32" t="s">
        <v>3541</v>
      </c>
      <c r="E121" s="11" t="str">
        <f>HYPERLINK("https://youtu.be/LxCstHrEuJc?t=3827","channel 1")</f>
        <v>channel 1</v>
      </c>
    </row>
    <row r="122">
      <c r="A122" s="118"/>
      <c r="B122" s="32" t="s">
        <v>3542</v>
      </c>
      <c r="C122" s="70" t="s">
        <v>212</v>
      </c>
      <c r="D122" s="32" t="s">
        <v>3218</v>
      </c>
      <c r="E122" s="11" t="str">
        <f>HYPERLINK("https://youtu.be/Ehz-f0D0LRA?t=3722","channel 2")</f>
        <v>channel 2</v>
      </c>
    </row>
    <row r="123">
      <c r="A123" s="118"/>
      <c r="B123" s="32" t="s">
        <v>3218</v>
      </c>
      <c r="C123" s="70" t="s">
        <v>201</v>
      </c>
      <c r="D123" s="32" t="s">
        <v>3540</v>
      </c>
      <c r="E123" s="11" t="str">
        <f>HYPERLINK("https://youtu.be/LxCstHrEuJc?t=4824","channel 1")</f>
        <v>channel 1</v>
      </c>
    </row>
    <row r="124">
      <c r="A124" s="118"/>
      <c r="B124" s="32" t="s">
        <v>3542</v>
      </c>
      <c r="C124" s="70" t="s">
        <v>837</v>
      </c>
      <c r="D124" s="32" t="s">
        <v>3541</v>
      </c>
      <c r="E124" s="11" t="str">
        <f>HYPERLINK("https://youtu.be/Ehz-f0D0LRA?t=4669","channel 2")</f>
        <v>channel 2</v>
      </c>
    </row>
    <row r="125">
      <c r="A125" s="118"/>
      <c r="B125" s="32" t="s">
        <v>3540</v>
      </c>
      <c r="C125" s="70" t="s">
        <v>304</v>
      </c>
      <c r="D125" s="32" t="s">
        <v>3543</v>
      </c>
      <c r="E125" s="11" t="str">
        <f>HYPERLINK("https://youtu.be/LxCstHrEuJc?t=5758","channel 1")</f>
        <v>channel 1</v>
      </c>
    </row>
    <row r="126">
      <c r="A126" s="118"/>
      <c r="B126" s="32" t="s">
        <v>3218</v>
      </c>
      <c r="C126" s="70" t="s">
        <v>45</v>
      </c>
      <c r="D126" s="32" t="s">
        <v>3541</v>
      </c>
      <c r="E126" s="11" t="str">
        <f>HYPERLINK("https://youtu.be/Ehz-f0D0LRA?t=4668","channel 2")</f>
        <v>channel 2</v>
      </c>
    </row>
    <row r="127">
      <c r="A127" s="118"/>
      <c r="B127" s="32" t="s">
        <v>3542</v>
      </c>
      <c r="C127" s="70" t="s">
        <v>69</v>
      </c>
      <c r="D127" s="32" t="s">
        <v>3543</v>
      </c>
      <c r="E127" s="11" t="str">
        <f>HYPERLINK("https://youtu.be/LxCstHrEuJc?t=6688","channel 1")</f>
        <v>channel 1</v>
      </c>
    </row>
    <row r="128">
      <c r="A128" s="118"/>
      <c r="B128" s="32" t="s">
        <v>3540</v>
      </c>
      <c r="C128" s="70" t="s">
        <v>72</v>
      </c>
      <c r="D128" s="32" t="s">
        <v>3541</v>
      </c>
      <c r="E128" s="11" t="str">
        <f>HYPERLINK("https://youtu.be/Ehz-f0D0LRA?t=6516","channel 2")</f>
        <v>channel 2</v>
      </c>
    </row>
    <row r="129">
      <c r="A129" s="118"/>
      <c r="B129" s="32" t="s">
        <v>3218</v>
      </c>
      <c r="C129" s="70" t="s">
        <v>722</v>
      </c>
      <c r="D129" s="32" t="s">
        <v>3543</v>
      </c>
      <c r="E129" s="11" t="str">
        <f>HYPERLINK("https://youtu.be/LxCstHrEuJc?t=7610","channel 1")</f>
        <v>channel 1</v>
      </c>
    </row>
    <row r="130">
      <c r="A130" s="118"/>
      <c r="B130" s="32" t="s">
        <v>3540</v>
      </c>
      <c r="C130" s="70" t="s">
        <v>22</v>
      </c>
      <c r="D130" s="32" t="s">
        <v>3542</v>
      </c>
      <c r="E130" s="11" t="str">
        <f>HYPERLINK("https://youtu.be/Ehz-f0D0LRA?t=7467","channel 2")</f>
        <v>channel 2</v>
      </c>
    </row>
    <row r="131">
      <c r="A131" s="118"/>
      <c r="B131" s="32" t="s">
        <v>3541</v>
      </c>
      <c r="C131" s="70" t="s">
        <v>1622</v>
      </c>
      <c r="D131" s="32" t="s">
        <v>3543</v>
      </c>
      <c r="E131" s="11" t="str">
        <f>HYPERLINK("https://youtu.be/LxCstHrEuJc?t=8546","channel 1")</f>
        <v>channel 1</v>
      </c>
    </row>
    <row r="132">
      <c r="A132" s="122"/>
      <c r="B132" s="32" t="s">
        <v>3218</v>
      </c>
      <c r="C132" s="70" t="s">
        <v>19</v>
      </c>
      <c r="D132" s="32" t="s">
        <v>3542</v>
      </c>
      <c r="E132" s="11" t="str">
        <f>HYPERLINK("https://youtu.be/Ehz-f0D0LRA?t=8413","channel 2")</f>
        <v>channel 2</v>
      </c>
    </row>
    <row r="133">
      <c r="B133" s="72" t="s">
        <v>2653</v>
      </c>
      <c r="C133" s="2"/>
      <c r="D133" s="3"/>
      <c r="E133" s="2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34" t="s">
        <v>2234</v>
      </c>
      <c r="C135" s="70" t="s">
        <v>267</v>
      </c>
      <c r="D135" s="32" t="s">
        <v>2248</v>
      </c>
      <c r="E135" s="11" t="str">
        <f>HYPERLINK("https://youtu.be/E-oiE3bC2mQ","channel 3")</f>
        <v>channel 3</v>
      </c>
    </row>
    <row r="136">
      <c r="B136" s="110" t="s">
        <v>3544</v>
      </c>
      <c r="C136" s="70" t="s">
        <v>22</v>
      </c>
      <c r="D136" s="110" t="s">
        <v>2437</v>
      </c>
      <c r="E136" s="11" t="str">
        <f>HYPERLINK("https://youtu.be/HfMGLMgYKCs","channel 4")</f>
        <v>channel 4</v>
      </c>
    </row>
    <row r="137">
      <c r="B137" s="34" t="s">
        <v>3545</v>
      </c>
      <c r="C137" s="70" t="s">
        <v>1068</v>
      </c>
      <c r="D137" s="34" t="s">
        <v>2234</v>
      </c>
      <c r="E137" s="11" t="str">
        <f>HYPERLINK("https://youtu.be/E-oiE3bC2mQ?t=1111","channel 3")</f>
        <v>channel 3</v>
      </c>
    </row>
    <row r="138">
      <c r="B138" s="110" t="s">
        <v>3544</v>
      </c>
      <c r="C138" s="70" t="s">
        <v>66</v>
      </c>
      <c r="D138" s="91" t="s">
        <v>2248</v>
      </c>
      <c r="E138" s="11" t="str">
        <f>HYPERLINK("https://youtu.be/HfMGLMgYKCs?t=1085","channel 4")</f>
        <v>channel 4</v>
      </c>
    </row>
    <row r="139">
      <c r="B139" s="34" t="s">
        <v>3545</v>
      </c>
      <c r="C139" s="70" t="s">
        <v>651</v>
      </c>
      <c r="D139" s="34" t="s">
        <v>2437</v>
      </c>
      <c r="E139" s="11" t="str">
        <f>HYPERLINK("https://youtu.be/E-oiE3bC2mQ?t=2075","channel 3")</f>
        <v>channel 3</v>
      </c>
    </row>
    <row r="140">
      <c r="B140" s="110" t="s">
        <v>3544</v>
      </c>
      <c r="C140" s="70" t="s">
        <v>953</v>
      </c>
      <c r="D140" s="110" t="s">
        <v>2234</v>
      </c>
      <c r="E140" s="11" t="str">
        <f>HYPERLINK("https://youtu.be/HfMGLMgYKCs?t=2008","channel 4")</f>
        <v>channel 4</v>
      </c>
    </row>
    <row r="141">
      <c r="B141" s="34" t="s">
        <v>3545</v>
      </c>
      <c r="C141" s="70" t="s">
        <v>249</v>
      </c>
      <c r="D141" s="32" t="s">
        <v>2248</v>
      </c>
      <c r="E141" s="11" t="str">
        <f>HYPERLINK("https://youtu.be/E-oiE3bC2mQ?t=3023","channel 3")</f>
        <v>channel 3</v>
      </c>
    </row>
    <row r="142">
      <c r="B142" s="110" t="s">
        <v>2437</v>
      </c>
      <c r="C142" s="70" t="s">
        <v>506</v>
      </c>
      <c r="D142" s="110" t="s">
        <v>2234</v>
      </c>
      <c r="E142" s="11" t="str">
        <f>HYPERLINK("https://youtu.be/HfMGLMgYKCs?t=3012","channel 4")</f>
        <v>channel 4</v>
      </c>
    </row>
    <row r="143">
      <c r="B143" s="34" t="s">
        <v>3545</v>
      </c>
      <c r="C143" s="70" t="s">
        <v>68</v>
      </c>
      <c r="D143" s="34" t="s">
        <v>3544</v>
      </c>
      <c r="E143" s="11" t="str">
        <f>HYPERLINK("https://youtu.be/E-oiE3bC2mQ?t=3929","channel 3")</f>
        <v>channel 3</v>
      </c>
    </row>
    <row r="144">
      <c r="B144" s="110" t="s">
        <v>2437</v>
      </c>
      <c r="C144" s="70" t="s">
        <v>352</v>
      </c>
      <c r="D144" s="91" t="s">
        <v>2248</v>
      </c>
      <c r="E144" s="11" t="str">
        <f>HYPERLINK("https://youtu.be/HfMGLMgYKCs?t=3903","channel 4")</f>
        <v>channel 4</v>
      </c>
    </row>
    <row r="145">
      <c r="B145" s="32" t="s">
        <v>2248</v>
      </c>
      <c r="C145" s="70" t="s">
        <v>195</v>
      </c>
      <c r="D145" s="34" t="s">
        <v>2234</v>
      </c>
      <c r="E145" s="11" t="str">
        <f>HYPERLINK("https://youtu.be/E-oiE3bC2mQ?t=4938","channel 3")</f>
        <v>channel 3</v>
      </c>
    </row>
    <row r="146">
      <c r="B146" s="110" t="s">
        <v>2437</v>
      </c>
      <c r="C146" s="70" t="s">
        <v>190</v>
      </c>
      <c r="D146" s="110" t="s">
        <v>3544</v>
      </c>
      <c r="E146" s="11" t="str">
        <f>HYPERLINK("https://youtu.be/HfMGLMgYKCs?t=4827","channel 4")</f>
        <v>channel 4</v>
      </c>
    </row>
    <row r="147">
      <c r="B147" s="110" t="s">
        <v>2234</v>
      </c>
      <c r="C147" s="70" t="s">
        <v>195</v>
      </c>
      <c r="D147" s="110" t="s">
        <v>3545</v>
      </c>
      <c r="E147" s="11" t="str">
        <f>HYPERLINK("https://youtu.be/E-oiE3bC2mQ?t=5876","channel 3")</f>
        <v>channel 3</v>
      </c>
    </row>
    <row r="148">
      <c r="B148" s="91" t="s">
        <v>2248</v>
      </c>
      <c r="C148" s="70" t="s">
        <v>400</v>
      </c>
      <c r="D148" s="110" t="s">
        <v>3544</v>
      </c>
      <c r="E148" s="11" t="str">
        <f>HYPERLINK("https://youtu.be/HfMGLMgYKCs?t=5803","channel 4")</f>
        <v>channel 4</v>
      </c>
    </row>
    <row r="149">
      <c r="B149" s="34" t="s">
        <v>2437</v>
      </c>
      <c r="C149" s="70" t="s">
        <v>48</v>
      </c>
      <c r="D149" s="34" t="s">
        <v>3545</v>
      </c>
      <c r="E149" s="11" t="str">
        <f>HYPERLINK("https://youtu.be/E-oiE3bC2mQ?t=6801","channel 3")</f>
        <v>channel 3</v>
      </c>
    </row>
    <row r="150">
      <c r="B150" s="110" t="s">
        <v>2234</v>
      </c>
      <c r="C150" s="70" t="s">
        <v>218</v>
      </c>
      <c r="D150" s="110" t="s">
        <v>3544</v>
      </c>
      <c r="E150" s="11" t="str">
        <f>HYPERLINK("https://youtu.be/HfMGLMgYKCs?t=6722","channel 4")</f>
        <v>channel 4</v>
      </c>
    </row>
    <row r="151">
      <c r="B151" s="32" t="s">
        <v>2248</v>
      </c>
      <c r="C151" s="70" t="s">
        <v>83</v>
      </c>
      <c r="D151" s="34" t="s">
        <v>3545</v>
      </c>
      <c r="E151" s="11" t="str">
        <f>HYPERLINK("https://youtu.be/E-oiE3bC2mQ?t=7795","channel 3")</f>
        <v>channel 3</v>
      </c>
    </row>
    <row r="152">
      <c r="B152" s="110" t="s">
        <v>2234</v>
      </c>
      <c r="C152" s="70" t="s">
        <v>43</v>
      </c>
      <c r="D152" s="110" t="s">
        <v>2437</v>
      </c>
      <c r="E152" s="11" t="str">
        <f>HYPERLINK("https://youtu.be/HfMGLMgYKCs?t=7725","channel 4")</f>
        <v>channel 4</v>
      </c>
    </row>
    <row r="153">
      <c r="B153" s="110" t="s">
        <v>3544</v>
      </c>
      <c r="C153" s="70" t="s">
        <v>86</v>
      </c>
      <c r="D153" s="110" t="s">
        <v>3545</v>
      </c>
      <c r="E153" s="11" t="str">
        <f>HYPERLINK("https://youtu.be/E-oiE3bC2mQ?t=8749","channel 3")</f>
        <v>channel 3</v>
      </c>
    </row>
    <row r="154">
      <c r="B154" s="91" t="s">
        <v>2248</v>
      </c>
      <c r="C154" s="70" t="s">
        <v>17</v>
      </c>
      <c r="D154" s="110" t="s">
        <v>2437</v>
      </c>
      <c r="E154" s="11" t="str">
        <f>HYPERLINK("https://youtu.be/HfMGLMgYKCs?t=8621","channel 4")</f>
        <v>channel 4</v>
      </c>
    </row>
    <row r="155">
      <c r="B155" s="72" t="s">
        <v>2769</v>
      </c>
      <c r="C155" s="2"/>
      <c r="D155" s="3"/>
      <c r="E155" s="2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7" t="s">
        <v>2038</v>
      </c>
      <c r="C157" s="70" t="s">
        <v>193</v>
      </c>
      <c r="D157" s="32" t="s">
        <v>3546</v>
      </c>
      <c r="E157" s="11" t="str">
        <f>HYPERLINK("https://youtu.be/7F2h5nVS2AE","channel 3")</f>
        <v>channel 3</v>
      </c>
    </row>
    <row r="158">
      <c r="B158" s="91" t="s">
        <v>3547</v>
      </c>
      <c r="C158" s="70" t="s">
        <v>239</v>
      </c>
      <c r="D158" s="110" t="s">
        <v>1608</v>
      </c>
      <c r="E158" s="102" t="s">
        <v>37</v>
      </c>
    </row>
    <row r="159">
      <c r="B159" s="34" t="s">
        <v>3548</v>
      </c>
      <c r="C159" s="70" t="s">
        <v>270</v>
      </c>
      <c r="D159" s="34" t="s">
        <v>2038</v>
      </c>
      <c r="E159" s="11" t="str">
        <f>HYPERLINK("https://youtu.be/7F2h5nVS2AE?t=1063","channel 3")</f>
        <v>channel 3</v>
      </c>
    </row>
    <row r="160">
      <c r="B160" s="91" t="s">
        <v>3547</v>
      </c>
      <c r="C160" s="70" t="s">
        <v>239</v>
      </c>
      <c r="D160" s="91" t="s">
        <v>3546</v>
      </c>
      <c r="E160" s="102" t="s">
        <v>37</v>
      </c>
    </row>
    <row r="161">
      <c r="B161" s="34" t="s">
        <v>3548</v>
      </c>
      <c r="C161" s="70" t="s">
        <v>68</v>
      </c>
      <c r="D161" s="34" t="s">
        <v>1608</v>
      </c>
      <c r="E161" s="11" t="str">
        <f>HYPERLINK("https://youtu.be/7F2h5nVS2AE?t=2024","channel 3")</f>
        <v>channel 3</v>
      </c>
    </row>
    <row r="162">
      <c r="B162" s="91" t="s">
        <v>3547</v>
      </c>
      <c r="C162" s="70" t="s">
        <v>297</v>
      </c>
      <c r="D162" s="110" t="s">
        <v>2038</v>
      </c>
      <c r="E162" s="102" t="s">
        <v>37</v>
      </c>
    </row>
    <row r="163">
      <c r="B163" s="34" t="s">
        <v>3548</v>
      </c>
      <c r="C163" s="70" t="s">
        <v>570</v>
      </c>
      <c r="D163" s="32" t="s">
        <v>3546</v>
      </c>
      <c r="E163" s="11" t="str">
        <f>HYPERLINK("https://youtu.be/7F2h5nVS2AE?t=2928","channel 3")</f>
        <v>channel 3</v>
      </c>
    </row>
    <row r="164">
      <c r="B164" s="110" t="s">
        <v>1608</v>
      </c>
      <c r="C164" s="70" t="s">
        <v>82</v>
      </c>
      <c r="D164" s="110" t="s">
        <v>2038</v>
      </c>
      <c r="E164" s="102" t="s">
        <v>37</v>
      </c>
    </row>
    <row r="165">
      <c r="B165" s="34" t="s">
        <v>3548</v>
      </c>
      <c r="C165" s="70" t="s">
        <v>250</v>
      </c>
      <c r="D165" s="32" t="s">
        <v>3547</v>
      </c>
      <c r="E165" s="11" t="str">
        <f>HYPERLINK("https://youtu.be/7F2h5nVS2AE?t=3818","channel 3")</f>
        <v>channel 3</v>
      </c>
    </row>
    <row r="166">
      <c r="B166" s="110" t="s">
        <v>1608</v>
      </c>
      <c r="C166" s="70" t="s">
        <v>190</v>
      </c>
      <c r="D166" s="91" t="s">
        <v>3546</v>
      </c>
      <c r="E166" s="102" t="s">
        <v>37</v>
      </c>
    </row>
    <row r="167">
      <c r="B167" s="32" t="s">
        <v>3546</v>
      </c>
      <c r="C167" s="70" t="s">
        <v>536</v>
      </c>
      <c r="D167" s="34" t="s">
        <v>2038</v>
      </c>
      <c r="E167" s="11" t="str">
        <f>HYPERLINK("https://youtu.be/7F2h5nVS2AE?t=4760","channel 3")</f>
        <v>channel 3</v>
      </c>
    </row>
    <row r="168">
      <c r="B168" s="110" t="s">
        <v>1608</v>
      </c>
      <c r="C168" s="70" t="s">
        <v>3549</v>
      </c>
      <c r="D168" s="91" t="s">
        <v>3547</v>
      </c>
      <c r="E168" s="102" t="s">
        <v>37</v>
      </c>
    </row>
    <row r="169">
      <c r="B169" s="34" t="s">
        <v>2038</v>
      </c>
      <c r="C169" s="70" t="s">
        <v>337</v>
      </c>
      <c r="D169" s="34" t="s">
        <v>3548</v>
      </c>
      <c r="E169" s="11" t="str">
        <f>HYPERLINK("https://youtu.be/7F2h5nVS2AE?t=5708","channel 3")</f>
        <v>channel 3</v>
      </c>
    </row>
    <row r="170">
      <c r="B170" s="91" t="s">
        <v>3546</v>
      </c>
      <c r="C170" s="70" t="s">
        <v>81</v>
      </c>
      <c r="D170" s="91" t="s">
        <v>3547</v>
      </c>
      <c r="E170" s="11" t="str">
        <f>HYPERLINK("https://youtu.be/OqxLHYJ_phY","channel 4")</f>
        <v>channel 4</v>
      </c>
      <c r="F170" s="124"/>
    </row>
    <row r="171">
      <c r="B171" s="34" t="s">
        <v>1608</v>
      </c>
      <c r="C171" s="70" t="s">
        <v>389</v>
      </c>
      <c r="D171" s="34" t="s">
        <v>3548</v>
      </c>
      <c r="E171" s="11" t="str">
        <f>HYPERLINK("https://youtu.be/7F2h5nVS2AE?t=6644","channel 3")</f>
        <v>channel 3</v>
      </c>
    </row>
    <row r="172">
      <c r="B172" s="110" t="s">
        <v>2038</v>
      </c>
      <c r="C172" s="70" t="s">
        <v>23</v>
      </c>
      <c r="D172" s="91" t="s">
        <v>3547</v>
      </c>
      <c r="E172" s="11" t="str">
        <f>HYPERLINK("https://youtu.be/OqxLHYJ_phY?t=852","channel 4")</f>
        <v>channel 4</v>
      </c>
    </row>
    <row r="173">
      <c r="B173" s="32" t="s">
        <v>3546</v>
      </c>
      <c r="C173" s="70" t="s">
        <v>267</v>
      </c>
      <c r="D173" s="34" t="s">
        <v>3548</v>
      </c>
      <c r="E173" s="11" t="str">
        <f>HYPERLINK("https://youtu.be/7F2h5nVS2AE?t=7574","channel 3")</f>
        <v>channel 3</v>
      </c>
    </row>
    <row r="174">
      <c r="B174" s="110" t="s">
        <v>2038</v>
      </c>
      <c r="C174" s="70" t="s">
        <v>201</v>
      </c>
      <c r="D174" s="110" t="s">
        <v>1608</v>
      </c>
      <c r="E174" s="11" t="str">
        <f>HYPERLINK("https://youtu.be/OqxLHYJ_phY?t=1869","channel 4")</f>
        <v>channel 4</v>
      </c>
    </row>
    <row r="175">
      <c r="B175" s="32" t="s">
        <v>3547</v>
      </c>
      <c r="C175" s="70" t="s">
        <v>197</v>
      </c>
      <c r="D175" s="34" t="s">
        <v>3548</v>
      </c>
      <c r="E175" s="11" t="str">
        <f>HYPERLINK("https://youtu.be/7F2h5nVS2AE?t=8507","channel 3")</f>
        <v>channel 3</v>
      </c>
    </row>
    <row r="176">
      <c r="B176" s="91" t="s">
        <v>3546</v>
      </c>
      <c r="C176" s="70" t="s">
        <v>21</v>
      </c>
      <c r="D176" s="110" t="s">
        <v>1608</v>
      </c>
      <c r="E176" s="11" t="str">
        <f>HYPERLINK("https://youtu.be/OqxLHYJ_phY?t=2756","channel 4")</f>
        <v>channel 4</v>
      </c>
    </row>
    <row r="177">
      <c r="B177" s="72" t="s">
        <v>1441</v>
      </c>
      <c r="C177" s="2"/>
      <c r="D177" s="3"/>
      <c r="E177" s="2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34" t="s">
        <v>3550</v>
      </c>
      <c r="C179" s="70" t="s">
        <v>87</v>
      </c>
      <c r="D179" s="34" t="s">
        <v>3551</v>
      </c>
      <c r="E179" s="11" t="str">
        <f>HYPERLINK("https://youtu.be/OzDGOVsR7hc","channel 1")</f>
        <v>channel 1</v>
      </c>
    </row>
    <row r="180">
      <c r="B180" s="34" t="s">
        <v>2363</v>
      </c>
      <c r="C180" s="70" t="s">
        <v>194</v>
      </c>
      <c r="D180" s="34" t="s">
        <v>760</v>
      </c>
      <c r="E180" s="11" t="str">
        <f>HYPERLINK("https://youtu.be/ILKHE6BC6cY","channel 2")</f>
        <v>channel 2</v>
      </c>
    </row>
    <row r="181">
      <c r="B181" s="34" t="s">
        <v>1925</v>
      </c>
      <c r="C181" s="70" t="s">
        <v>16</v>
      </c>
      <c r="D181" s="34" t="s">
        <v>3550</v>
      </c>
      <c r="E181" s="11" t="str">
        <f>HYPERLINK("https://youtu.be/OzDGOVsR7hc?t=950","channel 1")</f>
        <v>channel 1</v>
      </c>
    </row>
    <row r="182">
      <c r="B182" s="34" t="s">
        <v>2363</v>
      </c>
      <c r="C182" s="70" t="s">
        <v>380</v>
      </c>
      <c r="D182" s="34" t="s">
        <v>3551</v>
      </c>
      <c r="E182" s="11" t="str">
        <f>HYPERLINK("https://youtu.be/ILKHE6BC6cY?t=924","channel 2")</f>
        <v>channel 2</v>
      </c>
    </row>
    <row r="183">
      <c r="B183" s="34" t="s">
        <v>1925</v>
      </c>
      <c r="C183" s="70" t="s">
        <v>404</v>
      </c>
      <c r="D183" s="34" t="s">
        <v>760</v>
      </c>
      <c r="E183" s="11" t="str">
        <f>HYPERLINK("https://youtu.be/OzDGOVsR7hc?t=1802","channel 1")</f>
        <v>channel 1</v>
      </c>
    </row>
    <row r="184">
      <c r="B184" s="34" t="s">
        <v>2363</v>
      </c>
      <c r="C184" s="70" t="s">
        <v>509</v>
      </c>
      <c r="D184" s="34" t="s">
        <v>3550</v>
      </c>
      <c r="E184" s="11" t="str">
        <f>HYPERLINK("https://youtu.be/ILKHE6BC6cY?t=1799","channel 2")</f>
        <v>channel 2</v>
      </c>
    </row>
    <row r="185">
      <c r="B185" s="34" t="s">
        <v>1925</v>
      </c>
      <c r="C185" s="70" t="s">
        <v>190</v>
      </c>
      <c r="D185" s="34" t="s">
        <v>3551</v>
      </c>
      <c r="E185" s="11" t="str">
        <f>HYPERLINK("https://youtu.be/OzDGOVsR7hc?t=2694","channel 1")</f>
        <v>channel 1</v>
      </c>
    </row>
    <row r="186">
      <c r="B186" s="34" t="s">
        <v>760</v>
      </c>
      <c r="C186" s="70" t="s">
        <v>243</v>
      </c>
      <c r="D186" s="34" t="s">
        <v>3550</v>
      </c>
      <c r="E186" s="11" t="str">
        <f>HYPERLINK("https://youtu.be/ILKHE6BC6cY?t=2670","channel 2")</f>
        <v>channel 2</v>
      </c>
    </row>
    <row r="187">
      <c r="B187" s="34" t="s">
        <v>1925</v>
      </c>
      <c r="C187" s="70" t="s">
        <v>14</v>
      </c>
      <c r="D187" s="34" t="s">
        <v>2363</v>
      </c>
      <c r="E187" s="11" t="str">
        <f>HYPERLINK("https://youtu.be/OzDGOVsR7hc?t=3603","channel 1")</f>
        <v>channel 1</v>
      </c>
    </row>
    <row r="188">
      <c r="B188" s="34" t="s">
        <v>760</v>
      </c>
      <c r="C188" s="70" t="s">
        <v>390</v>
      </c>
      <c r="D188" s="34" t="s">
        <v>3551</v>
      </c>
      <c r="E188" s="11" t="str">
        <f>HYPERLINK("https://youtu.be/ILKHE6BC6cY?t=3581","channel 2")</f>
        <v>channel 2</v>
      </c>
    </row>
    <row r="189">
      <c r="B189" s="34" t="s">
        <v>3551</v>
      </c>
      <c r="C189" s="70" t="s">
        <v>370</v>
      </c>
      <c r="D189" s="34" t="s">
        <v>3550</v>
      </c>
      <c r="E189" s="11" t="str">
        <f>HYPERLINK("https://youtu.be/OzDGOVsR7hc?t=4466","channel 1")</f>
        <v>channel 1</v>
      </c>
    </row>
    <row r="190">
      <c r="B190" s="34" t="s">
        <v>760</v>
      </c>
      <c r="C190" s="70" t="s">
        <v>197</v>
      </c>
      <c r="D190" s="34" t="s">
        <v>2363</v>
      </c>
      <c r="E190" s="11" t="str">
        <f>HYPERLINK("https://youtu.be/ILKHE6BC6cY?t=4444","channel 2")</f>
        <v>channel 2</v>
      </c>
    </row>
    <row r="191">
      <c r="B191" s="34" t="s">
        <v>3550</v>
      </c>
      <c r="C191" s="70" t="s">
        <v>25</v>
      </c>
      <c r="D191" s="34" t="s">
        <v>1925</v>
      </c>
      <c r="E191" s="11" t="str">
        <f>HYPERLINK("https://youtu.be/OzDGOVsR7hc?t=5405","channel 1")</f>
        <v>channel 1</v>
      </c>
    </row>
    <row r="192">
      <c r="B192" s="34" t="s">
        <v>3551</v>
      </c>
      <c r="C192" s="70" t="s">
        <v>835</v>
      </c>
      <c r="D192" s="34" t="s">
        <v>2363</v>
      </c>
      <c r="E192" s="11" t="str">
        <f>HYPERLINK("https://youtu.be/ILKHE6BC6cY?t=5363","channel 2")</f>
        <v>channel 2</v>
      </c>
    </row>
    <row r="193">
      <c r="B193" s="34" t="s">
        <v>760</v>
      </c>
      <c r="C193" s="70" t="s">
        <v>17</v>
      </c>
      <c r="D193" s="34" t="s">
        <v>1925</v>
      </c>
      <c r="E193" s="11" t="str">
        <f>HYPERLINK("https://youtu.be/OzDGOVsR7hc?t=6328","channel 1")</f>
        <v>channel 1</v>
      </c>
    </row>
    <row r="194">
      <c r="B194" s="34" t="s">
        <v>3550</v>
      </c>
      <c r="C194" s="70" t="s">
        <v>482</v>
      </c>
      <c r="D194" s="34" t="s">
        <v>2363</v>
      </c>
      <c r="E194" s="11" t="str">
        <f>HYPERLINK("https://youtu.be/ILKHE6BC6cY?t=6301","channel 2")</f>
        <v>channel 2</v>
      </c>
    </row>
    <row r="195">
      <c r="B195" s="34" t="s">
        <v>3551</v>
      </c>
      <c r="C195" s="70" t="s">
        <v>25</v>
      </c>
      <c r="D195" s="34" t="s">
        <v>1925</v>
      </c>
      <c r="E195" s="11" t="str">
        <f>HYPERLINK("https://youtu.be/OzDGOVsR7hc?t=7215","channel 1")</f>
        <v>channel 1</v>
      </c>
    </row>
    <row r="196">
      <c r="B196" s="34" t="s">
        <v>3550</v>
      </c>
      <c r="C196" s="70" t="s">
        <v>535</v>
      </c>
      <c r="D196" s="34" t="s">
        <v>760</v>
      </c>
      <c r="E196" s="11" t="str">
        <f>HYPERLINK("https://youtu.be/ILKHE6BC6cY?t=7219","channel 2")</f>
        <v>channel 2</v>
      </c>
    </row>
    <row r="197">
      <c r="B197" s="34" t="s">
        <v>2363</v>
      </c>
      <c r="C197" s="70" t="s">
        <v>201</v>
      </c>
      <c r="D197" s="34" t="s">
        <v>1925</v>
      </c>
      <c r="E197" s="11" t="str">
        <f>HYPERLINK("https://youtu.be/OzDGOVsR7hc?t=8109","channel 1")</f>
        <v>channel 1</v>
      </c>
    </row>
    <row r="198">
      <c r="B198" s="34" t="s">
        <v>3551</v>
      </c>
      <c r="C198" s="70" t="s">
        <v>64</v>
      </c>
      <c r="D198" s="34" t="s">
        <v>760</v>
      </c>
      <c r="E198" s="11" t="str">
        <f>HYPERLINK("https://youtu.be/ILKHE6BC6cY?t=8196","channel 2")</f>
        <v>channel 2</v>
      </c>
    </row>
    <row r="199">
      <c r="B199" s="72" t="s">
        <v>3552</v>
      </c>
      <c r="C199" s="2"/>
      <c r="D199" s="3"/>
      <c r="E199" s="2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34" t="s">
        <v>3518</v>
      </c>
      <c r="C201" s="70" t="s">
        <v>190</v>
      </c>
      <c r="D201" s="34" t="s">
        <v>3196</v>
      </c>
      <c r="E201" s="11" t="str">
        <f>HYPERLINK("https://youtu.be/Cu6hGsqT5QA","channel 1")</f>
        <v>channel 1</v>
      </c>
    </row>
    <row r="202">
      <c r="B202" s="34" t="s">
        <v>3553</v>
      </c>
      <c r="C202" s="70" t="s">
        <v>251</v>
      </c>
      <c r="D202" s="34" t="s">
        <v>3554</v>
      </c>
      <c r="E202" s="11" t="str">
        <f>HYPERLINK("https://youtu.be/zOpALSStW50","channel 2")</f>
        <v>channel 2</v>
      </c>
    </row>
    <row r="203">
      <c r="B203" s="34" t="s">
        <v>2031</v>
      </c>
      <c r="C203" s="70" t="s">
        <v>389</v>
      </c>
      <c r="D203" s="34" t="s">
        <v>3518</v>
      </c>
      <c r="E203" s="11" t="str">
        <f>HYPERLINK("https://youtu.be/Cu6hGsqT5QA?t=1080","channel 1")</f>
        <v>channel 1</v>
      </c>
    </row>
    <row r="204">
      <c r="B204" s="34" t="s">
        <v>3553</v>
      </c>
      <c r="C204" s="70" t="s">
        <v>21</v>
      </c>
      <c r="D204" s="34" t="s">
        <v>3196</v>
      </c>
      <c r="E204" s="11" t="str">
        <f>HYPERLINK("https://youtu.be/zOpALSStW50?t=1097","channel 2")</f>
        <v>channel 2</v>
      </c>
    </row>
    <row r="205">
      <c r="B205" s="34" t="s">
        <v>2031</v>
      </c>
      <c r="C205" s="70" t="s">
        <v>82</v>
      </c>
      <c r="D205" s="34" t="s">
        <v>3554</v>
      </c>
      <c r="E205" s="11" t="str">
        <f>HYPERLINK("https://youtu.be/Cu6hGsqT5QA?t=2063","channel 1")</f>
        <v>channel 1</v>
      </c>
    </row>
    <row r="206">
      <c r="B206" s="34" t="s">
        <v>3553</v>
      </c>
      <c r="C206" s="70" t="s">
        <v>201</v>
      </c>
      <c r="D206" s="34" t="s">
        <v>3518</v>
      </c>
      <c r="E206" s="11" t="str">
        <f>HYPERLINK("https://youtu.be/zOpALSStW50?t=2252","channel 2")</f>
        <v>channel 2</v>
      </c>
    </row>
    <row r="207">
      <c r="B207" s="34" t="s">
        <v>2031</v>
      </c>
      <c r="C207" s="70" t="s">
        <v>24</v>
      </c>
      <c r="D207" s="34" t="s">
        <v>3196</v>
      </c>
      <c r="E207" s="11" t="str">
        <f>HYPERLINK("https://youtu.be/Cu6hGsqT5QA?t=3148","channel 1")</f>
        <v>channel 1</v>
      </c>
    </row>
    <row r="208">
      <c r="B208" s="34" t="s">
        <v>3554</v>
      </c>
      <c r="C208" s="70" t="s">
        <v>950</v>
      </c>
      <c r="D208" s="34" t="s">
        <v>3518</v>
      </c>
      <c r="E208" s="11" t="str">
        <f>HYPERLINK("https://youtu.be/zOpALSStW50?t=3155","channel 2")</f>
        <v>channel 2</v>
      </c>
    </row>
    <row r="209">
      <c r="B209" s="34" t="s">
        <v>2031</v>
      </c>
      <c r="C209" s="70" t="s">
        <v>71</v>
      </c>
      <c r="D209" s="34" t="s">
        <v>3553</v>
      </c>
      <c r="E209" s="11" t="str">
        <f>HYPERLINK("https://youtu.be/Cu6hGsqT5QA?t=4042","channel 1")</f>
        <v>channel 1</v>
      </c>
    </row>
    <row r="210">
      <c r="B210" s="34" t="s">
        <v>3554</v>
      </c>
      <c r="C210" s="70" t="s">
        <v>239</v>
      </c>
      <c r="D210" s="34" t="s">
        <v>3196</v>
      </c>
      <c r="E210" s="11" t="str">
        <f>HYPERLINK("https://youtu.be/zOpALSStW50?t=4072","channel 2")</f>
        <v>channel 2</v>
      </c>
    </row>
    <row r="211">
      <c r="B211" s="34" t="s">
        <v>3196</v>
      </c>
      <c r="C211" s="70" t="s">
        <v>286</v>
      </c>
      <c r="D211" s="34" t="s">
        <v>3518</v>
      </c>
      <c r="E211" s="11" t="str">
        <f>HYPERLINK("https://youtu.be/Cu6hGsqT5QA?t=5001","channel 1")</f>
        <v>channel 1</v>
      </c>
    </row>
    <row r="212">
      <c r="B212" s="34" t="s">
        <v>3554</v>
      </c>
      <c r="C212" s="70" t="s">
        <v>282</v>
      </c>
      <c r="D212" s="34" t="s">
        <v>3553</v>
      </c>
      <c r="E212" s="11" t="str">
        <f>HYPERLINK("https://youtu.be/zOpALSStW50?t=5008","channel 2")</f>
        <v>channel 2</v>
      </c>
    </row>
    <row r="213">
      <c r="B213" s="34" t="s">
        <v>3518</v>
      </c>
      <c r="C213" s="70" t="s">
        <v>64</v>
      </c>
      <c r="D213" s="34" t="s">
        <v>2031</v>
      </c>
      <c r="E213" s="11" t="str">
        <f>HYPERLINK("https://youtu.be/Cu6hGsqT5QA?t=5921","channel 1")</f>
        <v>channel 1</v>
      </c>
    </row>
    <row r="214">
      <c r="B214" s="34" t="s">
        <v>3196</v>
      </c>
      <c r="C214" s="70" t="s">
        <v>220</v>
      </c>
      <c r="D214" s="34" t="s">
        <v>3553</v>
      </c>
      <c r="E214" s="11" t="str">
        <f>HYPERLINK("https://youtu.be/zOpALSStW50?t=5924","channel 2")</f>
        <v>channel 2</v>
      </c>
    </row>
    <row r="215">
      <c r="B215" s="34" t="s">
        <v>3554</v>
      </c>
      <c r="C215" s="70" t="s">
        <v>66</v>
      </c>
      <c r="D215" s="34" t="s">
        <v>2031</v>
      </c>
      <c r="E215" s="11" t="str">
        <f>HYPERLINK("https://youtu.be/Cu6hGsqT5QA?t=6775","channel 1")</f>
        <v>channel 1</v>
      </c>
    </row>
    <row r="216">
      <c r="B216" s="34" t="s">
        <v>3518</v>
      </c>
      <c r="C216" s="70" t="s">
        <v>69</v>
      </c>
      <c r="D216" s="34" t="s">
        <v>3553</v>
      </c>
      <c r="E216" s="11" t="str">
        <f>HYPERLINK("https://youtu.be/zOpALSStW50?t=6772","channel 2")</f>
        <v>channel 2</v>
      </c>
    </row>
    <row r="217">
      <c r="B217" s="34" t="s">
        <v>3196</v>
      </c>
      <c r="C217" s="70" t="s">
        <v>66</v>
      </c>
      <c r="D217" s="34" t="s">
        <v>2031</v>
      </c>
      <c r="E217" s="11" t="str">
        <f>HYPERLINK("https://youtu.be/Cu6hGsqT5QA?t=7662","channel 1")</f>
        <v>channel 1</v>
      </c>
    </row>
    <row r="218">
      <c r="B218" s="34" t="s">
        <v>3518</v>
      </c>
      <c r="C218" s="70" t="s">
        <v>3555</v>
      </c>
      <c r="D218" s="34" t="s">
        <v>3554</v>
      </c>
      <c r="E218" s="11" t="str">
        <f>HYPERLINK("https://youtu.be/zOpALSStW50?t=7702","channel 2")</f>
        <v>channel 2</v>
      </c>
    </row>
    <row r="219">
      <c r="B219" s="34" t="s">
        <v>3553</v>
      </c>
      <c r="C219" s="70" t="s">
        <v>190</v>
      </c>
      <c r="D219" s="34" t="s">
        <v>2031</v>
      </c>
      <c r="E219" s="11" t="str">
        <f>HYPERLINK("https://youtu.be/Cu6hGsqT5QA?t=8558","channel 1")</f>
        <v>channel 1</v>
      </c>
    </row>
    <row r="220">
      <c r="B220" s="34" t="s">
        <v>3196</v>
      </c>
      <c r="C220" s="70" t="s">
        <v>445</v>
      </c>
      <c r="D220" s="34" t="s">
        <v>3554</v>
      </c>
      <c r="E220" s="11" t="str">
        <f>HYPERLINK("https://youtu.be/zOpALSStW50?t=8621","channel 2")</f>
        <v>channel 2</v>
      </c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7"/>
      <c r="B1" s="72" t="s">
        <v>2154</v>
      </c>
      <c r="C1" s="2"/>
      <c r="D1" s="3"/>
      <c r="E1" s="14"/>
    </row>
    <row r="2">
      <c r="A2" s="118"/>
      <c r="B2" s="16" t="s">
        <v>2</v>
      </c>
      <c r="C2" s="16" t="s">
        <v>3</v>
      </c>
      <c r="D2" s="16" t="s">
        <v>4</v>
      </c>
      <c r="E2" s="6" t="s">
        <v>5</v>
      </c>
    </row>
    <row r="3">
      <c r="A3" s="118"/>
      <c r="B3" s="119" t="s">
        <v>3556</v>
      </c>
      <c r="C3" s="70" t="s">
        <v>14</v>
      </c>
      <c r="D3" s="32" t="s">
        <v>3557</v>
      </c>
      <c r="E3" s="11" t="str">
        <f>HYPERLINK("https://youtu.be/QXwcbPsyiUo","channel 1")</f>
        <v>channel 1</v>
      </c>
    </row>
    <row r="4">
      <c r="A4" s="118"/>
      <c r="B4" s="32" t="s">
        <v>3558</v>
      </c>
      <c r="C4" s="70" t="s">
        <v>231</v>
      </c>
      <c r="D4" s="32" t="s">
        <v>3559</v>
      </c>
      <c r="E4" s="11" t="str">
        <f>HYPERLINK("https://youtu.be/qJHtNnTfxGY","channel 2")</f>
        <v>channel 2</v>
      </c>
    </row>
    <row r="5">
      <c r="A5" s="118"/>
      <c r="B5" s="32" t="s">
        <v>3293</v>
      </c>
      <c r="C5" s="70" t="s">
        <v>325</v>
      </c>
      <c r="D5" s="32" t="s">
        <v>3556</v>
      </c>
      <c r="E5" s="11" t="str">
        <f>HYPERLINK("https://youtu.be/QXwcbPsyiUo?t=857","channel 1")</f>
        <v>channel 1</v>
      </c>
    </row>
    <row r="6">
      <c r="A6" s="118"/>
      <c r="B6" s="32" t="s">
        <v>3558</v>
      </c>
      <c r="C6" s="70" t="s">
        <v>363</v>
      </c>
      <c r="D6" s="32" t="s">
        <v>3557</v>
      </c>
      <c r="E6" s="11" t="str">
        <f>HYPERLINK("https://youtu.be/9usbguFJThI","channel 2")</f>
        <v>channel 2</v>
      </c>
    </row>
    <row r="7">
      <c r="A7" s="118"/>
      <c r="B7" s="32" t="s">
        <v>3293</v>
      </c>
      <c r="C7" s="70" t="s">
        <v>289</v>
      </c>
      <c r="D7" s="32" t="s">
        <v>3559</v>
      </c>
      <c r="E7" s="11" t="str">
        <f>HYPERLINK("https://youtu.be/QXwcbPsyiUo?t=1763","channel 1")</f>
        <v>channel 1</v>
      </c>
    </row>
    <row r="8">
      <c r="A8" s="118"/>
      <c r="B8" s="32" t="s">
        <v>3558</v>
      </c>
      <c r="C8" s="70" t="s">
        <v>78</v>
      </c>
      <c r="D8" s="32" t="s">
        <v>3556</v>
      </c>
      <c r="E8" s="11" t="str">
        <f>HYPERLINK("https://youtu.be/9usbguFJThI","channel 2")</f>
        <v>channel 2</v>
      </c>
    </row>
    <row r="9">
      <c r="A9" s="118"/>
      <c r="B9" s="32" t="s">
        <v>3293</v>
      </c>
      <c r="C9" s="70" t="s">
        <v>239</v>
      </c>
      <c r="D9" s="32" t="s">
        <v>3557</v>
      </c>
      <c r="E9" s="11" t="str">
        <f>HYPERLINK("https://youtu.be/QXwcbPsyiUo?t=2662","channel 1")</f>
        <v>channel 1</v>
      </c>
    </row>
    <row r="10">
      <c r="A10" s="118"/>
      <c r="B10" s="32" t="s">
        <v>3559</v>
      </c>
      <c r="C10" s="70" t="s">
        <v>19</v>
      </c>
      <c r="D10" s="32" t="s">
        <v>3556</v>
      </c>
      <c r="E10" s="11" t="str">
        <f>HYPERLINK("https://youtu.be/9usbguFJThI","channel 2")</f>
        <v>channel 2</v>
      </c>
    </row>
    <row r="11">
      <c r="A11" s="118"/>
      <c r="B11" s="32" t="s">
        <v>3293</v>
      </c>
      <c r="C11" s="70" t="s">
        <v>239</v>
      </c>
      <c r="D11" s="32" t="s">
        <v>3558</v>
      </c>
      <c r="E11" s="11" t="str">
        <f>HYPERLINK("https://youtu.be/QXwcbPsyiUo?t=3641","channel 1")</f>
        <v>channel 1</v>
      </c>
    </row>
    <row r="12">
      <c r="A12" s="118"/>
      <c r="B12" s="32" t="s">
        <v>3559</v>
      </c>
      <c r="C12" s="70" t="s">
        <v>329</v>
      </c>
      <c r="D12" s="32" t="s">
        <v>3557</v>
      </c>
      <c r="E12" s="11" t="str">
        <f>HYPERLINK("https://youtu.be/9usbguFJThI","channel 2")</f>
        <v>channel 2</v>
      </c>
    </row>
    <row r="13">
      <c r="A13" s="118"/>
      <c r="B13" s="32" t="s">
        <v>3557</v>
      </c>
      <c r="C13" s="70" t="s">
        <v>87</v>
      </c>
      <c r="D13" s="32" t="s">
        <v>3556</v>
      </c>
      <c r="E13" s="11" t="str">
        <f>HYPERLINK("https://youtu.be/QXwcbPsyiUo?t=4628","channel 1")</f>
        <v>channel 1</v>
      </c>
    </row>
    <row r="14">
      <c r="A14" s="118"/>
      <c r="B14" s="32" t="s">
        <v>3559</v>
      </c>
      <c r="C14" s="70" t="s">
        <v>71</v>
      </c>
      <c r="D14" s="32" t="s">
        <v>3558</v>
      </c>
      <c r="E14" s="11" t="str">
        <f>HYPERLINK("https://youtu.be/9usbguFJThI","channel 2")</f>
        <v>channel 2</v>
      </c>
    </row>
    <row r="15">
      <c r="A15" s="118"/>
      <c r="B15" s="32" t="s">
        <v>3556</v>
      </c>
      <c r="C15" s="70" t="s">
        <v>88</v>
      </c>
      <c r="D15" s="32" t="s">
        <v>3293</v>
      </c>
      <c r="E15" s="11" t="str">
        <f>HYPERLINK("https://youtu.be/QXwcbPsyiUo?t=5740","channel 1")</f>
        <v>channel 1</v>
      </c>
    </row>
    <row r="16">
      <c r="A16" s="118"/>
      <c r="B16" s="32" t="s">
        <v>3557</v>
      </c>
      <c r="C16" s="70" t="s">
        <v>722</v>
      </c>
      <c r="D16" s="32" t="s">
        <v>3558</v>
      </c>
      <c r="E16" s="11" t="str">
        <f>HYPERLINK("https://youtu.be/9usbguFJThI","channel 2")</f>
        <v>channel 2</v>
      </c>
    </row>
    <row r="17">
      <c r="A17" s="118"/>
      <c r="B17" s="32" t="s">
        <v>3559</v>
      </c>
      <c r="C17" s="70" t="s">
        <v>770</v>
      </c>
      <c r="D17" s="32" t="s">
        <v>3293</v>
      </c>
      <c r="E17" s="11" t="str">
        <f>HYPERLINK("https://youtu.be/QXwcbPsyiUo?t=6661","channel 1")</f>
        <v>channel 1</v>
      </c>
    </row>
    <row r="18">
      <c r="A18" s="118"/>
      <c r="B18" s="32" t="s">
        <v>3556</v>
      </c>
      <c r="C18" s="70" t="s">
        <v>68</v>
      </c>
      <c r="D18" s="32" t="s">
        <v>3558</v>
      </c>
      <c r="E18" s="11" t="str">
        <f>HYPERLINK("https://youtu.be/9usbguFJThI","channel 2")</f>
        <v>channel 2</v>
      </c>
    </row>
    <row r="19">
      <c r="A19" s="118"/>
      <c r="B19" s="32" t="s">
        <v>3557</v>
      </c>
      <c r="C19" s="70" t="s">
        <v>31</v>
      </c>
      <c r="D19" s="32" t="s">
        <v>3293</v>
      </c>
      <c r="E19" s="11" t="str">
        <f>HYPERLINK("https://youtu.be/QXwcbPsyiUo?t=7559","channel 1")</f>
        <v>channel 1</v>
      </c>
    </row>
    <row r="20">
      <c r="A20" s="118"/>
      <c r="B20" s="32" t="s">
        <v>3556</v>
      </c>
      <c r="C20" s="70" t="s">
        <v>543</v>
      </c>
      <c r="D20" s="32" t="s">
        <v>3559</v>
      </c>
      <c r="E20" s="11" t="str">
        <f>HYPERLINK("https://youtu.be/9usbguFJThI","channel 2")</f>
        <v>channel 2</v>
      </c>
    </row>
    <row r="21">
      <c r="A21" s="118"/>
      <c r="B21" s="32" t="s">
        <v>3558</v>
      </c>
      <c r="C21" s="37" t="s">
        <v>719</v>
      </c>
      <c r="D21" s="32" t="s">
        <v>3293</v>
      </c>
      <c r="E21" s="11" t="str">
        <f>HYPERLINK("https://youtu.be/QXwcbPsyiUo?t=8472","channel 1")</f>
        <v>channel 1</v>
      </c>
    </row>
    <row r="22">
      <c r="A22" s="118"/>
      <c r="B22" s="32" t="s">
        <v>3557</v>
      </c>
      <c r="C22" s="120" t="s">
        <v>21</v>
      </c>
      <c r="D22" s="32" t="s">
        <v>3559</v>
      </c>
      <c r="E22" s="11" t="str">
        <f>HYPERLINK("https://youtu.be/9usbguFJThI","channel 2")</f>
        <v>channel 2</v>
      </c>
    </row>
    <row r="23">
      <c r="A23" s="118"/>
      <c r="B23" s="72" t="s">
        <v>2099</v>
      </c>
      <c r="C23" s="2"/>
      <c r="D23" s="3"/>
      <c r="E23" s="4"/>
    </row>
    <row r="24">
      <c r="A24" s="118"/>
      <c r="B24" s="16" t="s">
        <v>2</v>
      </c>
      <c r="C24" s="16" t="s">
        <v>3</v>
      </c>
      <c r="D24" s="16" t="s">
        <v>4</v>
      </c>
      <c r="E24" s="6" t="s">
        <v>5</v>
      </c>
    </row>
    <row r="25">
      <c r="A25" s="118"/>
      <c r="B25" s="32" t="s">
        <v>2543</v>
      </c>
      <c r="C25" s="70" t="s">
        <v>47</v>
      </c>
      <c r="D25" s="32" t="s">
        <v>3560</v>
      </c>
      <c r="E25" s="11" t="str">
        <f>HYPERLINK("https://youtu.be/VYfaohAVhas","channel 1")</f>
        <v>channel 1</v>
      </c>
    </row>
    <row r="26">
      <c r="A26" s="118"/>
      <c r="B26" s="32" t="s">
        <v>3561</v>
      </c>
      <c r="C26" s="70" t="s">
        <v>239</v>
      </c>
      <c r="D26" s="32" t="s">
        <v>3562</v>
      </c>
      <c r="E26" s="11" t="str">
        <f>HYPERLINK("https://youtu.be/9usbguFJThI","channel 2")</f>
        <v>channel 2</v>
      </c>
    </row>
    <row r="27">
      <c r="A27" s="118"/>
      <c r="B27" s="32" t="s">
        <v>3563</v>
      </c>
      <c r="C27" s="70" t="s">
        <v>289</v>
      </c>
      <c r="D27" s="32" t="s">
        <v>2543</v>
      </c>
      <c r="E27" s="11" t="str">
        <f>HYPERLINK("https://youtu.be/VYfaohAVhas?t=900","channel 1")</f>
        <v>channel 1</v>
      </c>
    </row>
    <row r="28">
      <c r="A28" s="118"/>
      <c r="B28" s="32" t="s">
        <v>3561</v>
      </c>
      <c r="C28" s="70" t="s">
        <v>414</v>
      </c>
      <c r="D28" s="32" t="s">
        <v>3560</v>
      </c>
      <c r="E28" s="11" t="str">
        <f>HYPERLINK("https://youtu.be/9usbguFJThI?t=1172","channel 2")</f>
        <v>channel 2</v>
      </c>
    </row>
    <row r="29">
      <c r="A29" s="118"/>
      <c r="B29" s="32" t="s">
        <v>3563</v>
      </c>
      <c r="C29" s="70" t="s">
        <v>81</v>
      </c>
      <c r="D29" s="32" t="s">
        <v>3562</v>
      </c>
      <c r="E29" s="11" t="str">
        <f>HYPERLINK("https://youtu.be/VYfaohAVhas?t=1871","channel 1")</f>
        <v>channel 1</v>
      </c>
    </row>
    <row r="30">
      <c r="A30" s="118"/>
      <c r="B30" s="32" t="s">
        <v>3561</v>
      </c>
      <c r="C30" s="70" t="s">
        <v>64</v>
      </c>
      <c r="D30" s="32" t="s">
        <v>2543</v>
      </c>
      <c r="E30" s="11" t="str">
        <f>HYPERLINK("https://youtu.be/9usbguFJThI?t=2099","channel 2")</f>
        <v>channel 2</v>
      </c>
    </row>
    <row r="31">
      <c r="A31" s="118"/>
      <c r="B31" s="32" t="s">
        <v>3563</v>
      </c>
      <c r="C31" s="70" t="s">
        <v>47</v>
      </c>
      <c r="D31" s="32" t="s">
        <v>3560</v>
      </c>
      <c r="E31" s="11" t="str">
        <f>HYPERLINK("https://youtu.be/VYfaohAVhas?t=3013","channel 1")</f>
        <v>channel 1</v>
      </c>
    </row>
    <row r="32">
      <c r="A32" s="118"/>
      <c r="B32" s="32" t="s">
        <v>3562</v>
      </c>
      <c r="C32" s="70" t="s">
        <v>19</v>
      </c>
      <c r="D32" s="32" t="s">
        <v>2543</v>
      </c>
      <c r="E32" s="11" t="str">
        <f>HYPERLINK("https://youtu.be/9usbguFJThI?t=2996","channel 2")</f>
        <v>channel 2</v>
      </c>
    </row>
    <row r="33">
      <c r="A33" s="118"/>
      <c r="B33" s="32" t="s">
        <v>3563</v>
      </c>
      <c r="C33" s="70" t="s">
        <v>289</v>
      </c>
      <c r="D33" s="32" t="s">
        <v>3561</v>
      </c>
      <c r="E33" s="11" t="str">
        <f>HYPERLINK("https://youtu.be/VYfaohAVhas?t=3806","channel 1")</f>
        <v>channel 1</v>
      </c>
    </row>
    <row r="34">
      <c r="A34" s="118"/>
      <c r="B34" s="32" t="s">
        <v>3562</v>
      </c>
      <c r="C34" s="70" t="s">
        <v>187</v>
      </c>
      <c r="D34" s="32" t="s">
        <v>3560</v>
      </c>
      <c r="E34" s="11" t="str">
        <f>HYPERLINK("https://youtu.be/9usbguFJThI?t=4008","channel 2")</f>
        <v>channel 2</v>
      </c>
    </row>
    <row r="35">
      <c r="A35" s="118"/>
      <c r="B35" s="32" t="s">
        <v>3560</v>
      </c>
      <c r="C35" s="70" t="s">
        <v>68</v>
      </c>
      <c r="D35" s="32" t="s">
        <v>2543</v>
      </c>
      <c r="E35" s="11" t="str">
        <f>HYPERLINK("https://youtu.be/VYfaohAVhas?t=4762","channel 1")</f>
        <v>channel 1</v>
      </c>
    </row>
    <row r="36">
      <c r="A36" s="118"/>
      <c r="B36" s="32" t="s">
        <v>3562</v>
      </c>
      <c r="C36" s="70" t="s">
        <v>285</v>
      </c>
      <c r="D36" s="32" t="s">
        <v>3561</v>
      </c>
      <c r="E36" s="11" t="str">
        <f>HYPERLINK("https://youtu.be/9usbguFJThI?t=5007","channel 2")</f>
        <v>channel 2</v>
      </c>
    </row>
    <row r="37">
      <c r="A37" s="118"/>
      <c r="B37" s="32" t="s">
        <v>2543</v>
      </c>
      <c r="C37" s="70" t="s">
        <v>41</v>
      </c>
      <c r="D37" s="32" t="s">
        <v>3563</v>
      </c>
      <c r="E37" s="11" t="str">
        <f>HYPERLINK("https://youtu.be/VYfaohAVhas?t=5770","channel 1")</f>
        <v>channel 1</v>
      </c>
    </row>
    <row r="38">
      <c r="A38" s="118"/>
      <c r="B38" s="32" t="s">
        <v>3560</v>
      </c>
      <c r="C38" s="70" t="s">
        <v>21</v>
      </c>
      <c r="D38" s="32" t="s">
        <v>3561</v>
      </c>
      <c r="E38" s="11" t="str">
        <f>HYPERLINK("https://youtu.be/9usbguFJThI?t=5979","channel 2")</f>
        <v>channel 2</v>
      </c>
    </row>
    <row r="39">
      <c r="A39" s="118"/>
      <c r="B39" s="32" t="s">
        <v>3562</v>
      </c>
      <c r="C39" s="70" t="s">
        <v>62</v>
      </c>
      <c r="D39" s="32" t="s">
        <v>3563</v>
      </c>
      <c r="E39" s="11" t="str">
        <f>HYPERLINK("https://youtu.be/VYfaohAVhas?t=6712","channel 1")</f>
        <v>channel 1</v>
      </c>
    </row>
    <row r="40">
      <c r="A40" s="118"/>
      <c r="B40" s="32" t="s">
        <v>2543</v>
      </c>
      <c r="C40" s="70" t="s">
        <v>190</v>
      </c>
      <c r="D40" s="32" t="s">
        <v>3561</v>
      </c>
      <c r="E40" s="11" t="str">
        <f>HYPERLINK("https://youtu.be/9usbguFJThI?t=6898","channel 2")</f>
        <v>channel 2</v>
      </c>
    </row>
    <row r="41">
      <c r="A41" s="118"/>
      <c r="B41" s="32" t="s">
        <v>3560</v>
      </c>
      <c r="C41" s="70" t="s">
        <v>509</v>
      </c>
      <c r="D41" s="32" t="s">
        <v>3563</v>
      </c>
      <c r="E41" s="11" t="str">
        <f>HYPERLINK("https://youtu.be/VYfaohAVhas?t=7601","channel 1")</f>
        <v>channel 1</v>
      </c>
    </row>
    <row r="42">
      <c r="A42" s="118"/>
      <c r="B42" s="32" t="s">
        <v>2543</v>
      </c>
      <c r="C42" s="70" t="s">
        <v>81</v>
      </c>
      <c r="D42" s="32" t="s">
        <v>3562</v>
      </c>
      <c r="E42" s="11" t="str">
        <f>HYPERLINK("https://youtu.be/9usbguFJThI?t=7808","channel 2")</f>
        <v>channel 2</v>
      </c>
    </row>
    <row r="43">
      <c r="A43" s="118"/>
      <c r="B43" s="32" t="s">
        <v>3561</v>
      </c>
      <c r="C43" s="70" t="s">
        <v>293</v>
      </c>
      <c r="D43" s="32" t="s">
        <v>3563</v>
      </c>
      <c r="E43" s="11" t="str">
        <f>HYPERLINK("https://youtu.be/VYfaohAVhas?t=8498","channel 1")</f>
        <v>channel 1</v>
      </c>
    </row>
    <row r="44">
      <c r="A44" s="118"/>
      <c r="B44" s="32" t="s">
        <v>3560</v>
      </c>
      <c r="C44" s="70" t="s">
        <v>88</v>
      </c>
      <c r="D44" s="32" t="s">
        <v>3562</v>
      </c>
      <c r="E44" s="11" t="str">
        <f>HYPERLINK("https://youtu.be/9usbguFJThI?t=8714","channel 2")</f>
        <v>channel 2</v>
      </c>
    </row>
    <row r="45">
      <c r="A45" s="118"/>
      <c r="B45" s="72" t="s">
        <v>2547</v>
      </c>
      <c r="C45" s="2"/>
      <c r="D45" s="3"/>
      <c r="E45" s="4"/>
    </row>
    <row r="46">
      <c r="A46" s="118"/>
      <c r="B46" s="16" t="s">
        <v>2</v>
      </c>
      <c r="C46" s="16" t="s">
        <v>3</v>
      </c>
      <c r="D46" s="16" t="s">
        <v>4</v>
      </c>
      <c r="E46" s="6" t="s">
        <v>5</v>
      </c>
    </row>
    <row r="47">
      <c r="A47" s="118"/>
      <c r="B47" s="32" t="s">
        <v>3564</v>
      </c>
      <c r="C47" s="70" t="s">
        <v>793</v>
      </c>
      <c r="D47" s="32" t="s">
        <v>3099</v>
      </c>
      <c r="E47" s="11" t="str">
        <f>HYPERLINK("https://youtu.be/-T-pmR3JCvc","channel 3")</f>
        <v>channel 3</v>
      </c>
    </row>
    <row r="48">
      <c r="A48" s="118"/>
      <c r="B48" s="32" t="s">
        <v>3565</v>
      </c>
      <c r="C48" s="70" t="s">
        <v>64</v>
      </c>
      <c r="D48" s="32" t="s">
        <v>1531</v>
      </c>
      <c r="E48" s="11" t="str">
        <f>HYPERLINK("https://youtu.be/7cg-fp7D50g","channel 4")</f>
        <v>channel 4</v>
      </c>
    </row>
    <row r="49">
      <c r="A49" s="118"/>
      <c r="B49" s="32" t="s">
        <v>1665</v>
      </c>
      <c r="C49" s="70" t="s">
        <v>45</v>
      </c>
      <c r="D49" s="32" t="s">
        <v>3564</v>
      </c>
      <c r="E49" s="11" t="str">
        <f>HYPERLINK("https://youtu.be/-T-pmR3JCvc?t=1001","channel 3")</f>
        <v>channel 3</v>
      </c>
    </row>
    <row r="50">
      <c r="A50" s="118"/>
      <c r="B50" s="32" t="s">
        <v>3565</v>
      </c>
      <c r="C50" s="70" t="s">
        <v>261</v>
      </c>
      <c r="D50" s="32" t="s">
        <v>3099</v>
      </c>
      <c r="E50" s="11" t="str">
        <f>HYPERLINK("https://youtu.be/7cg-fp7D50g?t=849","channel 4")</f>
        <v>channel 4</v>
      </c>
    </row>
    <row r="51">
      <c r="A51" s="118"/>
      <c r="B51" s="32" t="s">
        <v>1665</v>
      </c>
      <c r="C51" s="70" t="s">
        <v>284</v>
      </c>
      <c r="D51" s="32" t="s">
        <v>1531</v>
      </c>
      <c r="E51" s="11" t="str">
        <f>HYPERLINK("https://youtu.be/-T-pmR3JCvc?t=2021","channel 3")</f>
        <v>channel 3</v>
      </c>
    </row>
    <row r="52">
      <c r="A52" s="118"/>
      <c r="B52" s="32" t="s">
        <v>3565</v>
      </c>
      <c r="C52" s="70" t="s">
        <v>31</v>
      </c>
      <c r="D52" s="32" t="s">
        <v>3564</v>
      </c>
      <c r="E52" s="11" t="str">
        <f>HYPERLINK("https://youtu.be/7cg-fp7D50g?t=1815","channel 4")</f>
        <v>channel 4</v>
      </c>
    </row>
    <row r="53">
      <c r="A53" s="118"/>
      <c r="B53" s="32" t="s">
        <v>1665</v>
      </c>
      <c r="C53" s="70" t="s">
        <v>218</v>
      </c>
      <c r="D53" s="32" t="s">
        <v>3099</v>
      </c>
      <c r="E53" s="11" t="str">
        <f>HYPERLINK("https://youtu.be/-T-pmR3JCvc?t=2903","channel 3")</f>
        <v>channel 3</v>
      </c>
    </row>
    <row r="54">
      <c r="A54" s="118"/>
      <c r="B54" s="32" t="s">
        <v>1531</v>
      </c>
      <c r="C54" s="70" t="s">
        <v>197</v>
      </c>
      <c r="D54" s="32" t="s">
        <v>3564</v>
      </c>
      <c r="E54" s="11" t="str">
        <f>HYPERLINK("https://youtu.be/7cg-fp7D50g?t=2781","channel 4")</f>
        <v>channel 4</v>
      </c>
    </row>
    <row r="55">
      <c r="A55" s="118"/>
      <c r="B55" s="32" t="s">
        <v>1665</v>
      </c>
      <c r="C55" s="70" t="s">
        <v>17</v>
      </c>
      <c r="D55" s="32" t="s">
        <v>3565</v>
      </c>
      <c r="E55" s="11" t="str">
        <f>HYPERLINK("https://youtu.be/-T-pmR3JCvc?t=3810","channel 3")</f>
        <v>channel 3</v>
      </c>
    </row>
    <row r="56">
      <c r="A56" s="118"/>
      <c r="B56" s="32" t="s">
        <v>1531</v>
      </c>
      <c r="C56" s="70" t="s">
        <v>65</v>
      </c>
      <c r="D56" s="32" t="s">
        <v>3099</v>
      </c>
      <c r="E56" s="11" t="str">
        <f>HYPERLINK("https://youtu.be/7cg-fp7D50g?t=3669","channel 4")</f>
        <v>channel 4</v>
      </c>
    </row>
    <row r="57">
      <c r="A57" s="118"/>
      <c r="B57" s="32" t="s">
        <v>3099</v>
      </c>
      <c r="C57" s="70" t="s">
        <v>217</v>
      </c>
      <c r="D57" s="32" t="s">
        <v>3564</v>
      </c>
      <c r="E57" s="11" t="str">
        <f>HYPERLINK("https://youtu.be/-T-pmR3JCvc?t=4745","channel 3")</f>
        <v>channel 3</v>
      </c>
    </row>
    <row r="58">
      <c r="A58" s="118"/>
      <c r="B58" s="32" t="s">
        <v>1531</v>
      </c>
      <c r="C58" s="70" t="s">
        <v>488</v>
      </c>
      <c r="D58" s="32" t="s">
        <v>3565</v>
      </c>
      <c r="E58" s="11" t="str">
        <f>HYPERLINK("https://youtu.be/7cg-fp7D50g?t=4582","channel 4")</f>
        <v>channel 4</v>
      </c>
    </row>
    <row r="59">
      <c r="A59" s="118"/>
      <c r="B59" s="32" t="s">
        <v>3564</v>
      </c>
      <c r="C59" s="70" t="s">
        <v>269</v>
      </c>
      <c r="D59" s="32" t="s">
        <v>1665</v>
      </c>
      <c r="E59" s="11" t="str">
        <f>HYPERLINK("https://youtu.be/-T-pmR3JCvc?t=5638","channel 3")</f>
        <v>channel 3</v>
      </c>
    </row>
    <row r="60">
      <c r="A60" s="118"/>
      <c r="B60" s="32" t="s">
        <v>3099</v>
      </c>
      <c r="C60" s="70" t="s">
        <v>3566</v>
      </c>
      <c r="D60" s="32" t="s">
        <v>3565</v>
      </c>
      <c r="E60" s="11" t="str">
        <f>HYPERLINK("https://youtu.be/7cg-fp7D50g?t=5509","channel 4")</f>
        <v>channel 4</v>
      </c>
    </row>
    <row r="61">
      <c r="A61" s="118"/>
      <c r="B61" s="32" t="s">
        <v>1531</v>
      </c>
      <c r="C61" s="70" t="s">
        <v>89</v>
      </c>
      <c r="D61" s="32" t="s">
        <v>1665</v>
      </c>
      <c r="E61" s="11" t="str">
        <f>HYPERLINK("https://youtu.be/-T-pmR3JCvc?t=6619","channel 3")</f>
        <v>channel 3</v>
      </c>
    </row>
    <row r="62">
      <c r="A62" s="118"/>
      <c r="B62" s="32" t="s">
        <v>3564</v>
      </c>
      <c r="C62" s="70" t="s">
        <v>1831</v>
      </c>
      <c r="D62" s="32" t="s">
        <v>3565</v>
      </c>
      <c r="E62" s="11" t="str">
        <f>HYPERLINK("https://youtu.be/7cg-fp7D50g?t=6446","channel 4")</f>
        <v>channel 4</v>
      </c>
    </row>
    <row r="63">
      <c r="A63" s="118"/>
      <c r="B63" s="32" t="s">
        <v>3099</v>
      </c>
      <c r="C63" s="70" t="s">
        <v>533</v>
      </c>
      <c r="D63" s="32" t="s">
        <v>1665</v>
      </c>
      <c r="E63" s="11" t="str">
        <f>HYPERLINK("https://youtu.be/-T-pmR3JCvc?t=7574","channel 3")</f>
        <v>channel 3</v>
      </c>
    </row>
    <row r="64">
      <c r="A64" s="118"/>
      <c r="B64" s="32" t="s">
        <v>3564</v>
      </c>
      <c r="C64" s="70" t="s">
        <v>83</v>
      </c>
      <c r="D64" s="32" t="s">
        <v>1531</v>
      </c>
      <c r="E64" s="11" t="str">
        <f>HYPERLINK("https://youtu.be/7cg-fp7D50g?t=7445","channel 4")</f>
        <v>channel 4</v>
      </c>
    </row>
    <row r="65">
      <c r="A65" s="118"/>
      <c r="B65" s="32" t="s">
        <v>3565</v>
      </c>
      <c r="C65" s="70" t="s">
        <v>19</v>
      </c>
      <c r="D65" s="32" t="s">
        <v>1665</v>
      </c>
      <c r="E65" s="11" t="str">
        <f>HYPERLINK("https://youtu.be/-T-pmR3JCvc?t=8462","channel 3")</f>
        <v>channel 3</v>
      </c>
    </row>
    <row r="66">
      <c r="A66" s="118"/>
      <c r="B66" s="32" t="s">
        <v>3099</v>
      </c>
      <c r="C66" s="70" t="s">
        <v>55</v>
      </c>
      <c r="D66" s="32" t="s">
        <v>1531</v>
      </c>
      <c r="E66" s="11" t="str">
        <f>HYPERLINK("https://youtu.be/7cg-fp7D50g?t=8375","channel 4")</f>
        <v>channel 4</v>
      </c>
    </row>
    <row r="67">
      <c r="A67" s="118"/>
      <c r="B67" s="72" t="s">
        <v>2603</v>
      </c>
      <c r="C67" s="2"/>
      <c r="D67" s="3"/>
      <c r="E67" s="4"/>
    </row>
    <row r="68">
      <c r="A68" s="118"/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118"/>
      <c r="B69" s="32" t="s">
        <v>3567</v>
      </c>
      <c r="C69" s="70" t="s">
        <v>218</v>
      </c>
      <c r="D69" s="32" t="s">
        <v>2979</v>
      </c>
      <c r="E69" s="11" t="str">
        <f>HYPERLINK("https://youtu.be/CU1G2tCh5w8","channel 3")</f>
        <v>channel 3</v>
      </c>
    </row>
    <row r="70">
      <c r="A70" s="118"/>
      <c r="B70" s="32" t="s">
        <v>3568</v>
      </c>
      <c r="C70" s="70" t="s">
        <v>16</v>
      </c>
      <c r="D70" s="32" t="s">
        <v>1879</v>
      </c>
      <c r="E70" s="11" t="str">
        <f>HYPERLINK("https://youtu.be/8tsaEDDDimM","channel 4")</f>
        <v>channel 4</v>
      </c>
    </row>
    <row r="71">
      <c r="A71" s="118"/>
      <c r="B71" s="32" t="s">
        <v>3569</v>
      </c>
      <c r="C71" s="70" t="s">
        <v>284</v>
      </c>
      <c r="D71" s="32" t="s">
        <v>3567</v>
      </c>
      <c r="E71" s="11" t="str">
        <f>HYPERLINK("https://youtu.be/CU1G2tCh5w8?t=1060","channel 3")</f>
        <v>channel 3</v>
      </c>
    </row>
    <row r="72">
      <c r="A72" s="118"/>
      <c r="B72" s="32" t="s">
        <v>3568</v>
      </c>
      <c r="C72" s="70" t="s">
        <v>82</v>
      </c>
      <c r="D72" s="32" t="s">
        <v>2979</v>
      </c>
      <c r="E72" s="11" t="str">
        <f>HYPERLINK("https://youtu.be/8tsaEDDDimM?t=985","channel 4")</f>
        <v>channel 4</v>
      </c>
    </row>
    <row r="73">
      <c r="A73" s="118"/>
      <c r="B73" s="32" t="s">
        <v>3569</v>
      </c>
      <c r="C73" s="70" t="s">
        <v>28</v>
      </c>
      <c r="D73" s="32" t="s">
        <v>1879</v>
      </c>
      <c r="E73" s="11" t="str">
        <f>HYPERLINK("https://youtu.be/CU1G2tCh5w8?t=2011","channel 3")</f>
        <v>channel 3</v>
      </c>
    </row>
    <row r="74">
      <c r="A74" s="118"/>
      <c r="B74" s="32" t="s">
        <v>3568</v>
      </c>
      <c r="C74" s="70" t="s">
        <v>81</v>
      </c>
      <c r="D74" s="32" t="s">
        <v>3567</v>
      </c>
      <c r="E74" s="11" t="str">
        <f>HYPERLINK("https://youtu.be/8tsaEDDDimM?t=1943","channel 4")</f>
        <v>channel 4</v>
      </c>
    </row>
    <row r="75">
      <c r="A75" s="118"/>
      <c r="B75" s="32" t="s">
        <v>3569</v>
      </c>
      <c r="C75" s="70" t="s">
        <v>17</v>
      </c>
      <c r="D75" s="32" t="s">
        <v>2979</v>
      </c>
      <c r="E75" s="11" t="str">
        <f>HYPERLINK("https://youtu.be/CU1G2tCh5w8?t=2948","channel 3")</f>
        <v>channel 3</v>
      </c>
    </row>
    <row r="76">
      <c r="A76" s="118"/>
      <c r="B76" s="32" t="s">
        <v>1879</v>
      </c>
      <c r="C76" s="70" t="s">
        <v>43</v>
      </c>
      <c r="D76" s="32" t="s">
        <v>3567</v>
      </c>
      <c r="E76" s="11" t="str">
        <f>HYPERLINK("https://youtu.be/8tsaEDDDimM?t=2871","channel 4")</f>
        <v>channel 4</v>
      </c>
    </row>
    <row r="77">
      <c r="A77" s="118"/>
      <c r="B77" s="32" t="s">
        <v>3569</v>
      </c>
      <c r="C77" s="70" t="s">
        <v>16</v>
      </c>
      <c r="D77" s="32" t="s">
        <v>3568</v>
      </c>
      <c r="E77" s="11" t="str">
        <f>HYPERLINK("https://youtu.be/CU1G2tCh5w8?t=3843","channel 3")</f>
        <v>channel 3</v>
      </c>
    </row>
    <row r="78">
      <c r="A78" s="118"/>
      <c r="B78" s="32" t="s">
        <v>1879</v>
      </c>
      <c r="C78" s="70" t="s">
        <v>19</v>
      </c>
      <c r="D78" s="32" t="s">
        <v>2979</v>
      </c>
      <c r="E78" s="11" t="str">
        <f>HYPERLINK("https://youtu.be/8tsaEDDDimM?t=3832","channel 4")</f>
        <v>channel 4</v>
      </c>
    </row>
    <row r="79">
      <c r="A79" s="118"/>
      <c r="B79" s="32" t="s">
        <v>2979</v>
      </c>
      <c r="C79" s="70" t="s">
        <v>494</v>
      </c>
      <c r="D79" s="32" t="s">
        <v>3567</v>
      </c>
      <c r="E79" s="11" t="str">
        <f>HYPERLINK("https://youtu.be/CU1G2tCh5w8?t=4790","channel 3")</f>
        <v>channel 3</v>
      </c>
    </row>
    <row r="80">
      <c r="A80" s="118"/>
      <c r="B80" s="32" t="s">
        <v>1879</v>
      </c>
      <c r="C80" s="70" t="s">
        <v>240</v>
      </c>
      <c r="D80" s="32" t="s">
        <v>3568</v>
      </c>
      <c r="E80" s="11" t="str">
        <f>HYPERLINK("https://youtu.be/8tsaEDDDimM?t=4651","channel 4")</f>
        <v>channel 4</v>
      </c>
    </row>
    <row r="81">
      <c r="A81" s="118"/>
      <c r="B81" s="32" t="s">
        <v>3567</v>
      </c>
      <c r="C81" s="70" t="s">
        <v>400</v>
      </c>
      <c r="D81" s="32" t="s">
        <v>3569</v>
      </c>
      <c r="E81" s="11" t="str">
        <f>HYPERLINK("https://youtu.be/CU1G2tCh5w8?t=5719","channel 3")</f>
        <v>channel 3</v>
      </c>
    </row>
    <row r="82">
      <c r="A82" s="118"/>
      <c r="B82" s="32" t="s">
        <v>2979</v>
      </c>
      <c r="C82" s="70" t="s">
        <v>71</v>
      </c>
      <c r="D82" s="32" t="s">
        <v>3568</v>
      </c>
      <c r="E82" s="11" t="str">
        <f>HYPERLINK("https://youtu.be/8tsaEDDDimM?t=5556","channel 4")</f>
        <v>channel 4</v>
      </c>
    </row>
    <row r="83">
      <c r="A83" s="118"/>
      <c r="B83" s="32" t="s">
        <v>1879</v>
      </c>
      <c r="C83" s="70" t="s">
        <v>249</v>
      </c>
      <c r="D83" s="32" t="s">
        <v>3569</v>
      </c>
      <c r="E83" s="11" t="str">
        <f>HYPERLINK("https://youtu.be/CU1G2tCh5w8?t=6692","channel 3")</f>
        <v>channel 3</v>
      </c>
    </row>
    <row r="84">
      <c r="A84" s="118"/>
      <c r="B84" s="32" t="s">
        <v>3567</v>
      </c>
      <c r="C84" s="70" t="s">
        <v>31</v>
      </c>
      <c r="D84" s="32" t="s">
        <v>3568</v>
      </c>
      <c r="E84" s="11" t="str">
        <f>HYPERLINK("https://youtu.be/8tsaEDDDimM?t=6441","channel 4")</f>
        <v>channel 4</v>
      </c>
    </row>
    <row r="85">
      <c r="A85" s="118"/>
      <c r="B85" s="32" t="s">
        <v>2979</v>
      </c>
      <c r="C85" s="70" t="s">
        <v>66</v>
      </c>
      <c r="D85" s="32" t="s">
        <v>3569</v>
      </c>
      <c r="E85" s="11" t="str">
        <f>HYPERLINK("https://youtu.be/CU1G2tCh5w8?t=7551","channel 3")</f>
        <v>channel 3</v>
      </c>
    </row>
    <row r="86">
      <c r="A86" s="118"/>
      <c r="B86" s="32" t="s">
        <v>3567</v>
      </c>
      <c r="C86" s="70" t="s">
        <v>286</v>
      </c>
      <c r="D86" s="32" t="s">
        <v>1879</v>
      </c>
      <c r="E86" s="11" t="str">
        <f>HYPERLINK("https://youtu.be/8tsaEDDDimM?t=7392","channel 4")</f>
        <v>channel 4</v>
      </c>
    </row>
    <row r="87">
      <c r="A87" s="118"/>
      <c r="B87" s="32" t="s">
        <v>3568</v>
      </c>
      <c r="C87" s="70" t="s">
        <v>378</v>
      </c>
      <c r="D87" s="32" t="s">
        <v>3569</v>
      </c>
      <c r="E87" s="11" t="str">
        <f>HYPERLINK("https://youtu.be/CU1G2tCh5w8?t=8439","channel 3")</f>
        <v>channel 3</v>
      </c>
    </row>
    <row r="88">
      <c r="A88" s="118"/>
      <c r="B88" s="32" t="s">
        <v>2979</v>
      </c>
      <c r="C88" s="70" t="s">
        <v>3570</v>
      </c>
      <c r="D88" s="32" t="s">
        <v>1879</v>
      </c>
      <c r="E88" s="11" t="str">
        <f>HYPERLINK("https://youtu.be/8tsaEDDDimM?t=8345","channel 4")</f>
        <v>channel 4</v>
      </c>
    </row>
    <row r="89">
      <c r="A89" s="118"/>
      <c r="B89" s="72" t="s">
        <v>2316</v>
      </c>
      <c r="C89" s="2"/>
      <c r="D89" s="3"/>
      <c r="E89" s="4"/>
    </row>
    <row r="90">
      <c r="A90" s="118"/>
      <c r="B90" s="16" t="s">
        <v>2</v>
      </c>
      <c r="C90" s="16" t="s">
        <v>3</v>
      </c>
      <c r="D90" s="16" t="s">
        <v>4</v>
      </c>
      <c r="E90" s="16" t="s">
        <v>5</v>
      </c>
    </row>
    <row r="91">
      <c r="A91" s="118"/>
      <c r="B91" s="119" t="s">
        <v>3571</v>
      </c>
      <c r="C91" s="33" t="s">
        <v>289</v>
      </c>
      <c r="D91" s="32" t="s">
        <v>3572</v>
      </c>
      <c r="E91" s="11" t="str">
        <f>HYPERLINK("https://youtu.be/8kv8IiYm8EY","channel 1")</f>
        <v>channel 1</v>
      </c>
    </row>
    <row r="92">
      <c r="A92" s="118"/>
      <c r="B92" s="32" t="s">
        <v>3573</v>
      </c>
      <c r="C92" s="33" t="s">
        <v>16</v>
      </c>
      <c r="D92" s="32" t="s">
        <v>3574</v>
      </c>
      <c r="E92" s="11" t="str">
        <f>HYPERLINK("https://youtu.be/TmqrkTWxnLI","channel 2")</f>
        <v>channel 2</v>
      </c>
    </row>
    <row r="93">
      <c r="A93" s="118"/>
      <c r="B93" s="32" t="s">
        <v>3575</v>
      </c>
      <c r="C93" s="33" t="s">
        <v>488</v>
      </c>
      <c r="D93" s="32" t="s">
        <v>3571</v>
      </c>
      <c r="E93" s="11" t="str">
        <f>HYPERLINK("https://youtu.be/8kv8IiYm8EY?t=1120","channel 1")</f>
        <v>channel 1</v>
      </c>
    </row>
    <row r="94">
      <c r="A94" s="118"/>
      <c r="B94" s="32" t="s">
        <v>3573</v>
      </c>
      <c r="C94" s="33" t="s">
        <v>215</v>
      </c>
      <c r="D94" s="32" t="s">
        <v>3572</v>
      </c>
      <c r="E94" s="11" t="str">
        <f>HYPERLINK("https://youtu.be/TmqrkTWxnLI?t=1023","channel 2")</f>
        <v>channel 2</v>
      </c>
    </row>
    <row r="95">
      <c r="A95" s="118"/>
      <c r="B95" s="32" t="s">
        <v>3575</v>
      </c>
      <c r="C95" s="33" t="s">
        <v>291</v>
      </c>
      <c r="D95" s="32" t="s">
        <v>3574</v>
      </c>
      <c r="E95" s="11" t="str">
        <f>HYPERLINK("https://youtu.be/8kv8IiYm8EY?t=1979","channel 1")</f>
        <v>channel 1</v>
      </c>
    </row>
    <row r="96">
      <c r="A96" s="118"/>
      <c r="B96" s="32" t="s">
        <v>3573</v>
      </c>
      <c r="C96" s="33" t="s">
        <v>196</v>
      </c>
      <c r="D96" s="32" t="s">
        <v>3571</v>
      </c>
      <c r="E96" s="11" t="str">
        <f>HYPERLINK("https://youtu.be/TmqrkTWxnLI?t=1894","channel 2")</f>
        <v>channel 2</v>
      </c>
    </row>
    <row r="97">
      <c r="A97" s="118"/>
      <c r="B97" s="32" t="s">
        <v>3575</v>
      </c>
      <c r="C97" s="33" t="s">
        <v>201</v>
      </c>
      <c r="D97" s="32" t="s">
        <v>3572</v>
      </c>
      <c r="E97" s="11" t="str">
        <f>HYPERLINK("https://youtu.be/8kv8IiYm8EY?t=2887","channel 1")</f>
        <v>channel 1</v>
      </c>
    </row>
    <row r="98">
      <c r="A98" s="118"/>
      <c r="B98" s="32" t="s">
        <v>3574</v>
      </c>
      <c r="C98" s="33" t="s">
        <v>194</v>
      </c>
      <c r="D98" s="32" t="s">
        <v>3571</v>
      </c>
      <c r="E98" s="11" t="str">
        <f>HYPERLINK("https://youtu.be/TmqrkTWxnLI?t=2801","channel 2")</f>
        <v>channel 2</v>
      </c>
    </row>
    <row r="99">
      <c r="A99" s="118"/>
      <c r="B99" s="32" t="s">
        <v>3575</v>
      </c>
      <c r="C99" s="33" t="s">
        <v>72</v>
      </c>
      <c r="D99" s="32" t="s">
        <v>3573</v>
      </c>
      <c r="E99" s="11" t="str">
        <f>HYPERLINK("https://youtu.be/8kv8IiYm8EY?t=3792","channel 1")</f>
        <v>channel 1</v>
      </c>
    </row>
    <row r="100">
      <c r="A100" s="118"/>
      <c r="B100" s="32" t="s">
        <v>3574</v>
      </c>
      <c r="C100" s="33" t="s">
        <v>472</v>
      </c>
      <c r="D100" s="32" t="s">
        <v>3572</v>
      </c>
      <c r="E100" s="11" t="str">
        <f>HYPERLINK("https://youtu.be/TmqrkTWxnLI?t=3728","channel 2")</f>
        <v>channel 2</v>
      </c>
    </row>
    <row r="101">
      <c r="A101" s="118"/>
      <c r="B101" s="32" t="s">
        <v>3572</v>
      </c>
      <c r="C101" s="33" t="s">
        <v>48</v>
      </c>
      <c r="D101" s="32" t="s">
        <v>3571</v>
      </c>
      <c r="E101" s="11" t="str">
        <f>HYPERLINK("https://youtu.be/8kv8IiYm8EY?t=4934","channel 1")</f>
        <v>channel 1</v>
      </c>
    </row>
    <row r="102">
      <c r="A102" s="118"/>
      <c r="B102" s="32" t="s">
        <v>3574</v>
      </c>
      <c r="C102" s="33" t="s">
        <v>363</v>
      </c>
      <c r="D102" s="32" t="s">
        <v>3573</v>
      </c>
      <c r="E102" s="11" t="str">
        <f>HYPERLINK("https://youtu.be/TmqrkTWxnLI?t=4862","channel 2")</f>
        <v>channel 2</v>
      </c>
    </row>
    <row r="103">
      <c r="A103" s="118"/>
      <c r="B103" s="32" t="s">
        <v>3571</v>
      </c>
      <c r="C103" s="33" t="s">
        <v>55</v>
      </c>
      <c r="D103" s="32" t="s">
        <v>3575</v>
      </c>
      <c r="E103" s="11" t="str">
        <f>HYPERLINK("https://youtu.be/8kv8IiYm8EY?t=5947","channel 1")</f>
        <v>channel 1</v>
      </c>
    </row>
    <row r="104">
      <c r="A104" s="118"/>
      <c r="B104" s="32" t="s">
        <v>3572</v>
      </c>
      <c r="C104" s="33" t="s">
        <v>273</v>
      </c>
      <c r="D104" s="32" t="s">
        <v>3573</v>
      </c>
      <c r="E104" s="11" t="str">
        <f>HYPERLINK("https://youtu.be/TmqrkTWxnLI?t=5825","channel 2")</f>
        <v>channel 2</v>
      </c>
    </row>
    <row r="105">
      <c r="A105" s="118"/>
      <c r="B105" s="32" t="s">
        <v>3574</v>
      </c>
      <c r="C105" s="33" t="s">
        <v>65</v>
      </c>
      <c r="D105" s="32" t="s">
        <v>3575</v>
      </c>
      <c r="E105" s="11" t="str">
        <f>HYPERLINK("https://youtu.be/8kv8IiYm8EY?t=6839","channel 1")</f>
        <v>channel 1</v>
      </c>
    </row>
    <row r="106">
      <c r="A106" s="118"/>
      <c r="B106" s="32" t="s">
        <v>3571</v>
      </c>
      <c r="C106" s="33" t="s">
        <v>331</v>
      </c>
      <c r="D106" s="32" t="s">
        <v>3573</v>
      </c>
      <c r="E106" s="11" t="str">
        <f>HYPERLINK("https://youtu.be/TmqrkTWxnLI?t=6709","channel 2")</f>
        <v>channel 2</v>
      </c>
    </row>
    <row r="107">
      <c r="A107" s="118"/>
      <c r="B107" s="32" t="s">
        <v>3572</v>
      </c>
      <c r="C107" s="33" t="s">
        <v>19</v>
      </c>
      <c r="D107" s="32" t="s">
        <v>3575</v>
      </c>
      <c r="E107" s="11" t="str">
        <f>HYPERLINK("https://youtu.be/8kv8IiYm8EY?t=7707","channel 1")</f>
        <v>channel 1</v>
      </c>
    </row>
    <row r="108">
      <c r="A108" s="118"/>
      <c r="B108" s="32" t="s">
        <v>3571</v>
      </c>
      <c r="C108" s="33" t="s">
        <v>1022</v>
      </c>
      <c r="D108" s="32" t="s">
        <v>3574</v>
      </c>
      <c r="E108" s="11" t="str">
        <f>HYPERLINK("https://youtu.be/TmqrkTWxnLI?t=7596","channel 2")</f>
        <v>channel 2</v>
      </c>
    </row>
    <row r="109">
      <c r="A109" s="118"/>
      <c r="B109" s="32" t="s">
        <v>3573</v>
      </c>
      <c r="C109" s="33" t="s">
        <v>283</v>
      </c>
      <c r="D109" s="32" t="s">
        <v>3575</v>
      </c>
      <c r="E109" s="11" t="str">
        <f>HYPERLINK("https://youtu.be/8kv8IiYm8EY?t=8608","channel 1")</f>
        <v>channel 1</v>
      </c>
    </row>
    <row r="110">
      <c r="A110" s="118"/>
      <c r="B110" s="32" t="s">
        <v>3572</v>
      </c>
      <c r="C110" s="33" t="s">
        <v>41</v>
      </c>
      <c r="D110" s="32" t="s">
        <v>3574</v>
      </c>
      <c r="E110" s="11" t="str">
        <f>HYPERLINK("https://youtu.be/TmqrkTWxnLI?t=8484","channel 2")</f>
        <v>channel 2</v>
      </c>
    </row>
    <row r="111">
      <c r="A111" s="118"/>
      <c r="B111" s="72" t="s">
        <v>1435</v>
      </c>
      <c r="C111" s="2"/>
      <c r="D111" s="3"/>
      <c r="E111" s="4"/>
    </row>
    <row r="112">
      <c r="A112" s="118"/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A113" s="118"/>
      <c r="B113" s="32" t="s">
        <v>3576</v>
      </c>
      <c r="C113" s="70" t="s">
        <v>297</v>
      </c>
      <c r="D113" s="32" t="s">
        <v>1509</v>
      </c>
      <c r="E113" s="11" t="str">
        <f>HYPERLINK("https://youtu.be/JduXUYW9zK4","channel 1")</f>
        <v>channel 1</v>
      </c>
    </row>
    <row r="114">
      <c r="A114" s="118"/>
      <c r="B114" s="32" t="s">
        <v>3362</v>
      </c>
      <c r="C114" s="70" t="s">
        <v>2783</v>
      </c>
      <c r="D114" s="32" t="s">
        <v>3577</v>
      </c>
      <c r="E114" s="11" t="str">
        <f>HYPERLINK("https://youtu.be/N3cXWSmERoQ","channel 2")</f>
        <v>channel 2</v>
      </c>
    </row>
    <row r="115">
      <c r="A115" s="118"/>
      <c r="B115" s="32" t="s">
        <v>3361</v>
      </c>
      <c r="C115" s="70" t="s">
        <v>218</v>
      </c>
      <c r="D115" s="32" t="s">
        <v>3576</v>
      </c>
      <c r="E115" s="11" t="str">
        <f>HYPERLINK("https://youtu.be/JduXUYW9zK4?t=1145","channel 1")</f>
        <v>channel 1</v>
      </c>
    </row>
    <row r="116">
      <c r="A116" s="118"/>
      <c r="B116" s="32" t="s">
        <v>3362</v>
      </c>
      <c r="C116" s="70" t="s">
        <v>363</v>
      </c>
      <c r="D116" s="32" t="s">
        <v>1509</v>
      </c>
      <c r="E116" s="11" t="str">
        <f>HYPERLINK("https://youtu.be/N3cXWSmERoQ?t=1030","channel 2")</f>
        <v>channel 2</v>
      </c>
    </row>
    <row r="117">
      <c r="A117" s="118"/>
      <c r="B117" s="32" t="s">
        <v>3361</v>
      </c>
      <c r="C117" s="70" t="s">
        <v>239</v>
      </c>
      <c r="D117" s="32" t="s">
        <v>3577</v>
      </c>
      <c r="E117" s="11" t="str">
        <f>HYPERLINK("https://youtu.be/JduXUYW9zK4?t=2147","channel 1")</f>
        <v>channel 1</v>
      </c>
    </row>
    <row r="118">
      <c r="A118" s="118"/>
      <c r="B118" s="32" t="s">
        <v>3362</v>
      </c>
      <c r="C118" s="70" t="s">
        <v>86</v>
      </c>
      <c r="D118" s="32" t="s">
        <v>3576</v>
      </c>
      <c r="E118" s="11" t="str">
        <f>HYPERLINK("https://youtu.be/N3cXWSmERoQ?t=1973]","channel 2")</f>
        <v>channel 2</v>
      </c>
    </row>
    <row r="119">
      <c r="A119" s="118"/>
      <c r="B119" s="32" t="s">
        <v>3361</v>
      </c>
      <c r="C119" s="70" t="s">
        <v>354</v>
      </c>
      <c r="D119" s="32" t="s">
        <v>1509</v>
      </c>
      <c r="E119" s="11" t="str">
        <f>HYPERLINK("https://youtu.be/JduXUYW9zK4?t=3137","channel 1")</f>
        <v>channel 1</v>
      </c>
    </row>
    <row r="120">
      <c r="A120" s="118"/>
      <c r="B120" s="32" t="s">
        <v>3577</v>
      </c>
      <c r="C120" s="70" t="s">
        <v>2326</v>
      </c>
      <c r="D120" s="32" t="s">
        <v>3576</v>
      </c>
      <c r="E120" s="11" t="str">
        <f>HYPERLINK("https://youtu.be/N3cXWSmERoQ?t=2948","channel 2")</f>
        <v>channel 2</v>
      </c>
    </row>
    <row r="121">
      <c r="A121" s="118"/>
      <c r="B121" s="32" t="s">
        <v>3361</v>
      </c>
      <c r="C121" s="70" t="s">
        <v>18</v>
      </c>
      <c r="D121" s="32" t="s">
        <v>3362</v>
      </c>
      <c r="E121" s="11" t="str">
        <f>HYPERLINK("https://youtu.be/JduXUYW9zK4?t=4091","channel 1")</f>
        <v>channel 1</v>
      </c>
    </row>
    <row r="122">
      <c r="A122" s="118"/>
      <c r="B122" s="32" t="s">
        <v>3577</v>
      </c>
      <c r="C122" s="70" t="s">
        <v>947</v>
      </c>
      <c r="D122" s="32" t="s">
        <v>1509</v>
      </c>
      <c r="E122" s="11" t="str">
        <f>HYPERLINK("https://youtu.be/N3cXWSmERoQ?t=3947","channel 2")</f>
        <v>channel 2</v>
      </c>
    </row>
    <row r="123">
      <c r="A123" s="118"/>
      <c r="B123" s="32" t="s">
        <v>1509</v>
      </c>
      <c r="C123" s="70" t="s">
        <v>239</v>
      </c>
      <c r="D123" s="32" t="s">
        <v>3576</v>
      </c>
      <c r="E123" s="11" t="str">
        <f>HYPERLINK("https://youtu.be/JduXUYW9zK4?t=5035","channel 1")</f>
        <v>channel 1</v>
      </c>
    </row>
    <row r="124">
      <c r="A124" s="118"/>
      <c r="B124" s="32" t="s">
        <v>3577</v>
      </c>
      <c r="C124" s="70" t="s">
        <v>218</v>
      </c>
      <c r="D124" s="32" t="s">
        <v>3362</v>
      </c>
      <c r="E124" s="11" t="str">
        <f>HYPERLINK("https://youtu.be/N3cXWSmERoQ?t=4835","channel 2")</f>
        <v>channel 2</v>
      </c>
    </row>
    <row r="125">
      <c r="A125" s="118"/>
      <c r="B125" s="32" t="s">
        <v>3576</v>
      </c>
      <c r="C125" s="70" t="s">
        <v>3578</v>
      </c>
      <c r="D125" s="32" t="s">
        <v>3361</v>
      </c>
      <c r="E125" s="11" t="str">
        <f>HYPERLINK("https://youtu.be/JduXUYW9zK4?t=5975","channel 1")</f>
        <v>channel 1</v>
      </c>
    </row>
    <row r="126">
      <c r="A126" s="118"/>
      <c r="B126" s="32" t="s">
        <v>1509</v>
      </c>
      <c r="C126" s="70" t="s">
        <v>16</v>
      </c>
      <c r="D126" s="32" t="s">
        <v>3362</v>
      </c>
      <c r="E126" s="11" t="str">
        <f>HYPERLINK("https://youtu.be/N3cXWSmERoQ?t=5806","channel 2")</f>
        <v>channel 2</v>
      </c>
    </row>
    <row r="127">
      <c r="A127" s="118"/>
      <c r="B127" s="32" t="s">
        <v>3577</v>
      </c>
      <c r="C127" s="70" t="s">
        <v>7</v>
      </c>
      <c r="D127" s="32" t="s">
        <v>3361</v>
      </c>
      <c r="E127" s="11" t="str">
        <f>HYPERLINK("https://youtu.be/JduXUYW9zK4?t=6974","channel 1")</f>
        <v>channel 1</v>
      </c>
    </row>
    <row r="128">
      <c r="A128" s="118"/>
      <c r="B128" s="32" t="s">
        <v>3576</v>
      </c>
      <c r="C128" s="70" t="s">
        <v>587</v>
      </c>
      <c r="D128" s="32" t="s">
        <v>3362</v>
      </c>
      <c r="E128" s="11" t="str">
        <f>HYPERLINK("https://youtu.be/N3cXWSmERoQ?t=6782","channel 2")</f>
        <v>channel 2</v>
      </c>
    </row>
    <row r="129">
      <c r="A129" s="118"/>
      <c r="B129" s="32" t="s">
        <v>1509</v>
      </c>
      <c r="C129" s="70" t="s">
        <v>193</v>
      </c>
      <c r="D129" s="32" t="s">
        <v>3361</v>
      </c>
      <c r="E129" s="11" t="str">
        <f>HYPERLINK("https://youtu.be/JduXUYW9zK4?t=7862","channel 1")</f>
        <v>channel 1</v>
      </c>
    </row>
    <row r="130">
      <c r="A130" s="118"/>
      <c r="B130" s="32" t="s">
        <v>3576</v>
      </c>
      <c r="C130" s="70" t="s">
        <v>687</v>
      </c>
      <c r="D130" s="32" t="s">
        <v>3577</v>
      </c>
      <c r="E130" s="11" t="str">
        <f>HYPERLINK("https://youtu.be/N3cXWSmERoQ?t=7663","channel 2")</f>
        <v>channel 2</v>
      </c>
    </row>
    <row r="131">
      <c r="A131" s="118"/>
      <c r="B131" s="32" t="s">
        <v>3362</v>
      </c>
      <c r="C131" s="70" t="s">
        <v>460</v>
      </c>
      <c r="D131" s="32" t="s">
        <v>3361</v>
      </c>
      <c r="E131" s="11" t="str">
        <f>HYPERLINK("https://youtu.be/JduXUYW9zK4?t=8724","channel 1")</f>
        <v>channel 1</v>
      </c>
    </row>
    <row r="132">
      <c r="A132" s="122"/>
      <c r="B132" s="32" t="s">
        <v>1509</v>
      </c>
      <c r="C132" s="70" t="s">
        <v>190</v>
      </c>
      <c r="D132" s="32" t="s">
        <v>3577</v>
      </c>
      <c r="E132" s="11" t="str">
        <f>HYPERLINK("https://youtu.be/N3cXWSmERoQ?t=8584","channel 2")</f>
        <v>channel 2</v>
      </c>
    </row>
    <row r="133">
      <c r="B133" s="72" t="s">
        <v>2653</v>
      </c>
      <c r="C133" s="2"/>
      <c r="D133" s="3"/>
      <c r="E133" s="2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34" t="s">
        <v>3579</v>
      </c>
      <c r="C135" s="70" t="s">
        <v>48</v>
      </c>
      <c r="D135" s="32" t="s">
        <v>3580</v>
      </c>
      <c r="E135" s="11" t="str">
        <f>HYPERLINK("https://youtu.be/wP0OKjLfrvM","channel 3")</f>
        <v>channel 3</v>
      </c>
    </row>
    <row r="136">
      <c r="B136" s="34" t="s">
        <v>3581</v>
      </c>
      <c r="C136" s="70" t="s">
        <v>68</v>
      </c>
      <c r="D136" s="34" t="s">
        <v>1475</v>
      </c>
      <c r="E136" s="11" t="str">
        <f>HYPERLINK("https://youtu.be/X9mQfGxWOaA","channel 4")</f>
        <v>channel 4</v>
      </c>
    </row>
    <row r="137">
      <c r="B137" s="34" t="s">
        <v>2420</v>
      </c>
      <c r="C137" s="70" t="s">
        <v>68</v>
      </c>
      <c r="D137" s="34" t="s">
        <v>3579</v>
      </c>
      <c r="E137" s="11" t="str">
        <f>HYPERLINK("https://youtu.be/wP0OKjLfrvM?t=958","channel 3")</f>
        <v>channel 3</v>
      </c>
    </row>
    <row r="138">
      <c r="B138" s="34" t="s">
        <v>3581</v>
      </c>
      <c r="C138" s="70" t="s">
        <v>534</v>
      </c>
      <c r="D138" s="32" t="s">
        <v>3580</v>
      </c>
      <c r="E138" s="11" t="str">
        <f>HYPERLINK("https://youtu.be/X9mQfGxWOaA?t=970","channel 4")</f>
        <v>channel 4</v>
      </c>
    </row>
    <row r="139">
      <c r="B139" s="34" t="s">
        <v>2420</v>
      </c>
      <c r="C139" s="70" t="s">
        <v>58</v>
      </c>
      <c r="D139" s="34" t="s">
        <v>1475</v>
      </c>
      <c r="E139" s="11" t="str">
        <f>HYPERLINK("https://youtu.be/wP0OKjLfrvM?t=1892","channel 3")</f>
        <v>channel 3</v>
      </c>
    </row>
    <row r="140">
      <c r="B140" s="34" t="s">
        <v>3581</v>
      </c>
      <c r="C140" s="70" t="s">
        <v>250</v>
      </c>
      <c r="D140" s="34" t="s">
        <v>3579</v>
      </c>
      <c r="E140" s="11" t="str">
        <f>HYPERLINK("https://youtu.be/X9mQfGxWOaA?t=1959","channel 4")</f>
        <v>channel 4</v>
      </c>
    </row>
    <row r="141">
      <c r="B141" s="34" t="s">
        <v>2420</v>
      </c>
      <c r="C141" s="70" t="s">
        <v>362</v>
      </c>
      <c r="D141" s="32" t="s">
        <v>3580</v>
      </c>
      <c r="E141" s="11" t="str">
        <f>HYPERLINK("https://youtu.be/wP0OKjLfrvM?t=2866","channel 3")</f>
        <v>channel 3</v>
      </c>
    </row>
    <row r="142">
      <c r="B142" s="34" t="s">
        <v>1475</v>
      </c>
      <c r="C142" s="70" t="s">
        <v>22</v>
      </c>
      <c r="D142" s="34" t="s">
        <v>3579</v>
      </c>
      <c r="E142" s="11" t="str">
        <f>HYPERLINK("https://youtu.be/X9mQfGxWOaA?t=2895","channel 4")</f>
        <v>channel 4</v>
      </c>
    </row>
    <row r="143">
      <c r="B143" s="34" t="s">
        <v>2420</v>
      </c>
      <c r="C143" s="70" t="s">
        <v>62</v>
      </c>
      <c r="D143" s="34" t="s">
        <v>3581</v>
      </c>
      <c r="E143" s="11" t="str">
        <f>HYPERLINK("https://youtu.be/wP0OKjLfrvM?t=3823","channel 3")</f>
        <v>channel 3</v>
      </c>
    </row>
    <row r="144">
      <c r="B144" s="34" t="s">
        <v>1475</v>
      </c>
      <c r="C144" s="70" t="s">
        <v>282</v>
      </c>
      <c r="D144" s="32" t="s">
        <v>3580</v>
      </c>
      <c r="E144" s="11" t="str">
        <f>HYPERLINK("https://youtu.be/X9mQfGxWOaA?t=3867","channel 4")</f>
        <v>channel 4</v>
      </c>
    </row>
    <row r="145">
      <c r="B145" s="32" t="s">
        <v>3580</v>
      </c>
      <c r="C145" s="70" t="s">
        <v>232</v>
      </c>
      <c r="D145" s="34" t="s">
        <v>3579</v>
      </c>
      <c r="E145" s="11" t="str">
        <f>HYPERLINK("https://youtu.be/wP0OKjLfrvM?t=4774","channel 3")</f>
        <v>channel 3</v>
      </c>
    </row>
    <row r="146">
      <c r="B146" s="34" t="s">
        <v>1475</v>
      </c>
      <c r="C146" s="70" t="s">
        <v>1728</v>
      </c>
      <c r="D146" s="34" t="s">
        <v>3581</v>
      </c>
      <c r="E146" s="11" t="str">
        <f>HYPERLINK("https://youtu.be/X9mQfGxWOaA?t=4798","channel 4")</f>
        <v>channel 4</v>
      </c>
    </row>
    <row r="147">
      <c r="B147" s="34" t="s">
        <v>3579</v>
      </c>
      <c r="C147" s="70" t="s">
        <v>64</v>
      </c>
      <c r="D147" s="34" t="s">
        <v>2420</v>
      </c>
      <c r="E147" s="11" t="str">
        <f>HYPERLINK("https://youtu.be/wP0OKjLfrvM?t=5699","channel 3")</f>
        <v>channel 3</v>
      </c>
    </row>
    <row r="148">
      <c r="B148" s="32" t="s">
        <v>3580</v>
      </c>
      <c r="C148" s="70" t="s">
        <v>312</v>
      </c>
      <c r="D148" s="34" t="s">
        <v>3581</v>
      </c>
      <c r="E148" s="11" t="str">
        <f>HYPERLINK("https://youtu.be/X9mQfGxWOaA?t=5780","channel 4")</f>
        <v>channel 4</v>
      </c>
    </row>
    <row r="149">
      <c r="B149" s="34" t="s">
        <v>1475</v>
      </c>
      <c r="C149" s="70" t="s">
        <v>270</v>
      </c>
      <c r="D149" s="34" t="s">
        <v>2420</v>
      </c>
      <c r="E149" s="11" t="str">
        <f>HYPERLINK("https://youtu.be/wP0OKjLfrvM?t=6719","channel 3")</f>
        <v>channel 3</v>
      </c>
    </row>
    <row r="150">
      <c r="B150" s="34" t="s">
        <v>3579</v>
      </c>
      <c r="C150" s="70" t="s">
        <v>304</v>
      </c>
      <c r="D150" s="34" t="s">
        <v>3581</v>
      </c>
      <c r="E150" s="11" t="str">
        <f>HYPERLINK("https://youtu.be/X9mQfGxWOaA?t=6761","channel 4")</f>
        <v>channel 4</v>
      </c>
    </row>
    <row r="151">
      <c r="B151" s="32" t="s">
        <v>3580</v>
      </c>
      <c r="C151" s="70" t="s">
        <v>378</v>
      </c>
      <c r="D151" s="34" t="s">
        <v>2420</v>
      </c>
      <c r="E151" s="11" t="str">
        <f>HYPERLINK("https://youtu.be/wP0OKjLfrvM?t=7706","channel 3")</f>
        <v>channel 3</v>
      </c>
    </row>
    <row r="152">
      <c r="B152" s="34" t="s">
        <v>3579</v>
      </c>
      <c r="C152" s="70" t="s">
        <v>282</v>
      </c>
      <c r="D152" s="34" t="s">
        <v>1475</v>
      </c>
      <c r="E152" s="11" t="str">
        <f>HYPERLINK("https://youtu.be/X9mQfGxWOaA?t=7740","channel 4")</f>
        <v>channel 4</v>
      </c>
    </row>
    <row r="153">
      <c r="B153" s="34" t="s">
        <v>3581</v>
      </c>
      <c r="C153" s="70" t="s">
        <v>460</v>
      </c>
      <c r="D153" s="34" t="s">
        <v>2420</v>
      </c>
      <c r="E153" s="11" t="str">
        <f>HYPERLINK("https://youtu.be/wP0OKjLfrvM?t=8640","channel 3")</f>
        <v>channel 3</v>
      </c>
    </row>
    <row r="154">
      <c r="B154" s="32" t="s">
        <v>3580</v>
      </c>
      <c r="C154" s="70" t="s">
        <v>201</v>
      </c>
      <c r="D154" s="34" t="s">
        <v>1475</v>
      </c>
      <c r="E154" s="11" t="str">
        <f>HYPERLINK("https://youtu.be/X9mQfGxWOaA?t=8671","channel 4")</f>
        <v>channel 4</v>
      </c>
    </row>
    <row r="155">
      <c r="B155" s="72" t="s">
        <v>2769</v>
      </c>
      <c r="C155" s="2"/>
      <c r="D155" s="3"/>
      <c r="E155" s="2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34" t="s">
        <v>3582</v>
      </c>
      <c r="C157" s="70" t="s">
        <v>412</v>
      </c>
      <c r="D157" s="32" t="s">
        <v>3583</v>
      </c>
      <c r="E157" s="11" t="str">
        <f>HYPERLINK("https://youtu.be/M0LNJ9MLxv0","channel 3")</f>
        <v>channel 3</v>
      </c>
    </row>
    <row r="158">
      <c r="B158" s="32" t="s">
        <v>3584</v>
      </c>
      <c r="C158" s="70" t="s">
        <v>41</v>
      </c>
      <c r="D158" s="34" t="s">
        <v>3585</v>
      </c>
      <c r="E158" s="11" t="str">
        <f>HYPERLINK("https://youtu.be/JUUTh92sjQo","channel 4")</f>
        <v>channel 4</v>
      </c>
    </row>
    <row r="159">
      <c r="B159" s="34" t="s">
        <v>1352</v>
      </c>
      <c r="C159" s="70" t="s">
        <v>16</v>
      </c>
      <c r="D159" s="34" t="s">
        <v>3582</v>
      </c>
      <c r="E159" s="11" t="str">
        <f>HYPERLINK("https://youtu.be/M0LNJ9MLxv0?t=881","channel 3")</f>
        <v>channel 3</v>
      </c>
    </row>
    <row r="160">
      <c r="B160" s="32" t="s">
        <v>3584</v>
      </c>
      <c r="C160" s="70" t="s">
        <v>814</v>
      </c>
      <c r="D160" s="32" t="s">
        <v>3583</v>
      </c>
      <c r="E160" s="11" t="str">
        <f>HYPERLINK("https://youtu.be/JUUTh92sjQo?t=1042","channel 4")</f>
        <v>channel 4</v>
      </c>
    </row>
    <row r="161">
      <c r="B161" s="34" t="s">
        <v>1352</v>
      </c>
      <c r="C161" s="70" t="s">
        <v>354</v>
      </c>
      <c r="D161" s="34" t="s">
        <v>3585</v>
      </c>
      <c r="E161" s="11" t="str">
        <f>HYPERLINK("https://youtu.be/M0LNJ9MLxv0?t=1829","channel 3")</f>
        <v>channel 3</v>
      </c>
    </row>
    <row r="162">
      <c r="B162" s="32" t="s">
        <v>3584</v>
      </c>
      <c r="C162" s="70" t="s">
        <v>261</v>
      </c>
      <c r="D162" s="34" t="s">
        <v>3582</v>
      </c>
      <c r="E162" s="11" t="str">
        <f>HYPERLINK("https://youtu.be/JUUTh92sjQo?t=2008","channel 4")</f>
        <v>channel 4</v>
      </c>
    </row>
    <row r="163">
      <c r="B163" s="34" t="s">
        <v>1352</v>
      </c>
      <c r="C163" s="70" t="s">
        <v>193</v>
      </c>
      <c r="D163" s="32" t="s">
        <v>3583</v>
      </c>
      <c r="E163" s="11" t="str">
        <f>HYPERLINK("https://youtu.be/M0LNJ9MLxv0?t=2762","channel 3")</f>
        <v>channel 3</v>
      </c>
    </row>
    <row r="164">
      <c r="B164" s="34" t="s">
        <v>3585</v>
      </c>
      <c r="C164" s="70" t="s">
        <v>81</v>
      </c>
      <c r="D164" s="34" t="s">
        <v>3582</v>
      </c>
      <c r="E164" s="11" t="str">
        <f>HYPERLINK("https://youtu.be/JUUTh92sjQo?t=3046","channel 4")</f>
        <v>channel 4</v>
      </c>
    </row>
    <row r="165">
      <c r="B165" s="34" t="s">
        <v>1352</v>
      </c>
      <c r="C165" s="70" t="s">
        <v>48</v>
      </c>
      <c r="D165" s="32" t="s">
        <v>3584</v>
      </c>
      <c r="E165" s="11" t="str">
        <f>HYPERLINK("https://youtu.be/M0LNJ9MLxv0?t=3677","channel 3")</f>
        <v>channel 3</v>
      </c>
    </row>
    <row r="166">
      <c r="B166" s="34" t="s">
        <v>3585</v>
      </c>
      <c r="C166" s="70" t="s">
        <v>190</v>
      </c>
      <c r="D166" s="32" t="s">
        <v>3583</v>
      </c>
      <c r="E166" s="11" t="str">
        <f>HYPERLINK("https://youtu.be/JUUTh92sjQo?t=3998","channel 4")</f>
        <v>channel 4</v>
      </c>
    </row>
    <row r="167">
      <c r="B167" s="32" t="s">
        <v>3583</v>
      </c>
      <c r="C167" s="70" t="s">
        <v>413</v>
      </c>
      <c r="D167" s="34" t="s">
        <v>3582</v>
      </c>
      <c r="E167" s="11" t="str">
        <f>HYPERLINK("https://youtu.be/M0LNJ9MLxv0?t=4724","channel 3")</f>
        <v>channel 3</v>
      </c>
    </row>
    <row r="168">
      <c r="B168" s="34" t="s">
        <v>3585</v>
      </c>
      <c r="C168" s="70" t="s">
        <v>197</v>
      </c>
      <c r="D168" s="32" t="s">
        <v>3584</v>
      </c>
      <c r="E168" s="11" t="str">
        <f>HYPERLINK("https://youtu.be/JUUTh92sjQo?t=4941","channel 4")</f>
        <v>channel 4</v>
      </c>
    </row>
    <row r="169">
      <c r="B169" s="34" t="s">
        <v>3582</v>
      </c>
      <c r="C169" s="70" t="s">
        <v>197</v>
      </c>
      <c r="D169" s="34" t="s">
        <v>1352</v>
      </c>
      <c r="E169" s="11" t="str">
        <f>HYPERLINK("https://youtu.be/M0LNJ9MLxv0?t=5626","channel 3")</f>
        <v>channel 3</v>
      </c>
    </row>
    <row r="170">
      <c r="B170" s="32" t="s">
        <v>3583</v>
      </c>
      <c r="C170" s="70" t="s">
        <v>71</v>
      </c>
      <c r="D170" s="32" t="s">
        <v>3584</v>
      </c>
      <c r="E170" s="11" t="str">
        <f>HYPERLINK("https://youtu.be/JUUTh92sjQo?t=5854","channel 4")</f>
        <v>channel 4</v>
      </c>
    </row>
    <row r="171">
      <c r="B171" s="34" t="s">
        <v>3585</v>
      </c>
      <c r="C171" s="70" t="s">
        <v>81</v>
      </c>
      <c r="D171" s="34" t="s">
        <v>1352</v>
      </c>
      <c r="E171" s="11" t="str">
        <f>HYPERLINK("https://youtu.be/M0LNJ9MLxv0?t=6602","channel 3")</f>
        <v>channel 3</v>
      </c>
    </row>
    <row r="172">
      <c r="B172" s="34" t="s">
        <v>3582</v>
      </c>
      <c r="C172" s="70" t="s">
        <v>460</v>
      </c>
      <c r="D172" s="32" t="s">
        <v>3584</v>
      </c>
      <c r="E172" s="11" t="str">
        <f>HYPERLINK("https://youtu.be/JUUTh92sjQo?t=6778","channel 4")</f>
        <v>channel 4</v>
      </c>
    </row>
    <row r="173">
      <c r="B173" s="32" t="s">
        <v>3583</v>
      </c>
      <c r="C173" s="70" t="s">
        <v>81</v>
      </c>
      <c r="D173" s="34" t="s">
        <v>1352</v>
      </c>
      <c r="E173" s="11" t="str">
        <f>HYPERLINK("https://youtu.be/M0LNJ9MLxv0?t=7514","channel 3")</f>
        <v>channel 3</v>
      </c>
    </row>
    <row r="174">
      <c r="B174" s="34" t="s">
        <v>3582</v>
      </c>
      <c r="C174" s="70" t="s">
        <v>201</v>
      </c>
      <c r="D174" s="34" t="s">
        <v>3585</v>
      </c>
      <c r="E174" s="11" t="str">
        <f>HYPERLINK("https://youtu.be/JUUTh92sjQo?t=7794","channel 4")</f>
        <v>channel 4</v>
      </c>
    </row>
    <row r="175">
      <c r="B175" s="32" t="s">
        <v>3584</v>
      </c>
      <c r="C175" s="70" t="s">
        <v>239</v>
      </c>
      <c r="D175" s="34" t="s">
        <v>1352</v>
      </c>
      <c r="E175" s="11" t="str">
        <f>HYPERLINK("https://youtu.be/M0LNJ9MLxv0?t=8409","channel 3")</f>
        <v>channel 3</v>
      </c>
    </row>
    <row r="176">
      <c r="B176" s="32" t="s">
        <v>3583</v>
      </c>
      <c r="C176" s="70"/>
      <c r="D176" s="34" t="s">
        <v>3585</v>
      </c>
      <c r="E176" s="11" t="str">
        <f>HYPERLINK("https://youtu.be/JUUTh92sjQo?t=8725","channel 4")</f>
        <v>channel 4</v>
      </c>
    </row>
    <row r="177">
      <c r="B177" s="72" t="s">
        <v>2735</v>
      </c>
      <c r="C177" s="2"/>
      <c r="D177" s="3"/>
      <c r="E177" s="2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34" t="s">
        <v>3586</v>
      </c>
      <c r="C179" s="70" t="s">
        <v>390</v>
      </c>
      <c r="D179" s="34" t="s">
        <v>661</v>
      </c>
      <c r="E179" s="11" t="str">
        <f>HYPERLINK("https://youtu.be/Owzf-q_HwDI","channel 1")</f>
        <v>channel 1</v>
      </c>
    </row>
    <row r="180">
      <c r="B180" s="34" t="s">
        <v>3587</v>
      </c>
      <c r="C180" s="70" t="s">
        <v>16</v>
      </c>
      <c r="D180" s="34" t="s">
        <v>3588</v>
      </c>
      <c r="E180" s="11" t="str">
        <f>HYPERLINK("https://youtu.be/_rJb0Oh_r50","channel 2")</f>
        <v>channel 2</v>
      </c>
    </row>
    <row r="181">
      <c r="B181" s="34" t="s">
        <v>3589</v>
      </c>
      <c r="C181" s="70" t="s">
        <v>67</v>
      </c>
      <c r="D181" s="34" t="s">
        <v>3586</v>
      </c>
      <c r="E181" s="11" t="str">
        <f>HYPERLINK("https://youtu.be/Owzf-q_HwDI?t=654","channel 1")</f>
        <v>channel 1</v>
      </c>
    </row>
    <row r="182">
      <c r="B182" s="34" t="s">
        <v>3587</v>
      </c>
      <c r="C182" s="70" t="s">
        <v>218</v>
      </c>
      <c r="D182" s="34" t="s">
        <v>661</v>
      </c>
      <c r="E182" s="11" t="str">
        <f>HYPERLINK("https://youtu.be/_rJb0Oh_r50?t=1058","channel 2")</f>
        <v>channel 2</v>
      </c>
    </row>
    <row r="183">
      <c r="B183" s="34" t="s">
        <v>3589</v>
      </c>
      <c r="C183" s="70" t="s">
        <v>3006</v>
      </c>
      <c r="D183" s="34" t="s">
        <v>3588</v>
      </c>
      <c r="E183" s="11" t="str">
        <f>HYPERLINK("https://youtu.be/Owzf-q_HwDI?t=1562","channel 1")</f>
        <v>channel 1</v>
      </c>
    </row>
    <row r="184">
      <c r="B184" s="34" t="s">
        <v>3587</v>
      </c>
      <c r="C184" s="70" t="s">
        <v>238</v>
      </c>
      <c r="D184" s="34" t="s">
        <v>3586</v>
      </c>
      <c r="E184" s="11" t="str">
        <f>HYPERLINK("https://youtu.be/_rJb0Oh_r50?t=1973","channel 2")</f>
        <v>channel 2</v>
      </c>
    </row>
    <row r="185">
      <c r="B185" s="34" t="s">
        <v>3589</v>
      </c>
      <c r="C185" s="70" t="s">
        <v>239</v>
      </c>
      <c r="D185" s="34" t="s">
        <v>661</v>
      </c>
      <c r="E185" s="11" t="str">
        <f>HYPERLINK("https://youtu.be/Owzf-q_HwDI?t=2462","channel 1")</f>
        <v>channel 1</v>
      </c>
    </row>
    <row r="186">
      <c r="B186" s="34" t="s">
        <v>3588</v>
      </c>
      <c r="C186" s="70" t="s">
        <v>835</v>
      </c>
      <c r="D186" s="34" t="s">
        <v>3586</v>
      </c>
      <c r="E186" s="11" t="str">
        <f>HYPERLINK("https://youtu.be/_rJb0Oh_r50?t=2880","channel 2")</f>
        <v>channel 2</v>
      </c>
    </row>
    <row r="187">
      <c r="B187" s="34" t="s">
        <v>3589</v>
      </c>
      <c r="C187" s="70" t="s">
        <v>403</v>
      </c>
      <c r="D187" s="34" t="s">
        <v>3587</v>
      </c>
      <c r="E187" s="11" t="str">
        <f>HYPERLINK("https://youtu.be/Owzf-q_HwDI?t=3359","channel 1")</f>
        <v>channel 1</v>
      </c>
    </row>
    <row r="188">
      <c r="B188" s="34" t="s">
        <v>3588</v>
      </c>
      <c r="C188" s="70" t="s">
        <v>72</v>
      </c>
      <c r="D188" s="34" t="s">
        <v>661</v>
      </c>
      <c r="E188" s="11" t="str">
        <f>HYPERLINK("https://youtu.be/_rJb0Oh_r50?t=3778","channel 2")</f>
        <v>channel 2</v>
      </c>
    </row>
    <row r="189">
      <c r="B189" s="34" t="s">
        <v>661</v>
      </c>
      <c r="C189" s="70" t="s">
        <v>14</v>
      </c>
      <c r="D189" s="34" t="s">
        <v>3586</v>
      </c>
      <c r="E189" s="11" t="str">
        <f>HYPERLINK("https://youtu.be/Owzf-q_HwDI?t=4444","channel 1")</f>
        <v>channel 1</v>
      </c>
    </row>
    <row r="190">
      <c r="B190" s="34" t="s">
        <v>3588</v>
      </c>
      <c r="C190" s="70" t="s">
        <v>71</v>
      </c>
      <c r="D190" s="34" t="s">
        <v>3587</v>
      </c>
      <c r="E190" s="11" t="str">
        <f>HYPERLINK("https://youtu.be/_rJb0Oh_r50?t=4849","channel 2")</f>
        <v>channel 2</v>
      </c>
    </row>
    <row r="191">
      <c r="B191" s="34" t="s">
        <v>3586</v>
      </c>
      <c r="C191" s="70" t="s">
        <v>7</v>
      </c>
      <c r="D191" s="34" t="s">
        <v>3589</v>
      </c>
      <c r="E191" s="11" t="str">
        <f>HYPERLINK("https://youtu.be/Owzf-q_HwDI?t=5371","channel 1")</f>
        <v>channel 1</v>
      </c>
    </row>
    <row r="192">
      <c r="B192" s="34" t="s">
        <v>661</v>
      </c>
      <c r="C192" s="70" t="s">
        <v>201</v>
      </c>
      <c r="D192" s="34" t="s">
        <v>3587</v>
      </c>
      <c r="E192" s="11" t="str">
        <f>HYPERLINK("https://youtu.be/_rJb0Oh_r50?t=5770","channel 2")</f>
        <v>channel 2</v>
      </c>
    </row>
    <row r="193">
      <c r="B193" s="34" t="s">
        <v>3588</v>
      </c>
      <c r="C193" s="70" t="s">
        <v>305</v>
      </c>
      <c r="D193" s="34" t="s">
        <v>3589</v>
      </c>
      <c r="E193" s="11" t="str">
        <f>HYPERLINK("https://youtu.be/Owzf-q_HwDI?t=6360","channel 1")</f>
        <v>channel 1</v>
      </c>
    </row>
    <row r="194">
      <c r="B194" s="34" t="s">
        <v>3586</v>
      </c>
      <c r="C194" s="70" t="s">
        <v>197</v>
      </c>
      <c r="D194" s="34" t="s">
        <v>3587</v>
      </c>
      <c r="E194" s="11" t="str">
        <f>HYPERLINK("https://youtu.be/_rJb0Oh_r50?t=6754","channel 2")</f>
        <v>channel 2</v>
      </c>
    </row>
    <row r="195">
      <c r="B195" s="34" t="s">
        <v>661</v>
      </c>
      <c r="C195" s="70" t="s">
        <v>687</v>
      </c>
      <c r="D195" s="34" t="s">
        <v>3589</v>
      </c>
      <c r="E195" s="11" t="str">
        <f>HYPERLINK("https://youtu.be/Owzf-q_HwDI?t=7277","channel 1")</f>
        <v>channel 1</v>
      </c>
    </row>
    <row r="196">
      <c r="B196" s="34" t="s">
        <v>3586</v>
      </c>
      <c r="C196" s="70" t="s">
        <v>11</v>
      </c>
      <c r="D196" s="34" t="s">
        <v>3588</v>
      </c>
      <c r="E196" s="11" t="str">
        <f>HYPERLINK("https://youtu.be/_rJb0Oh_r50?t=7664","channel 2")</f>
        <v>channel 2</v>
      </c>
    </row>
    <row r="197">
      <c r="B197" s="34" t="s">
        <v>3587</v>
      </c>
      <c r="C197" s="70" t="s">
        <v>83</v>
      </c>
      <c r="D197" s="34" t="s">
        <v>3589</v>
      </c>
      <c r="E197" s="11" t="str">
        <f>HYPERLINK("https://youtu.be/Owzf-q_HwDI?t=8232","channel 1")</f>
        <v>channel 1</v>
      </c>
    </row>
    <row r="198">
      <c r="B198" s="34" t="s">
        <v>661</v>
      </c>
      <c r="C198" s="70" t="s">
        <v>71</v>
      </c>
      <c r="D198" s="34" t="s">
        <v>3588</v>
      </c>
      <c r="E198" s="11" t="str">
        <f>HYPERLINK("https://youtu.be/_rJb0Oh_r50?t=8568","channel 2")</f>
        <v>channel 2</v>
      </c>
    </row>
    <row r="199">
      <c r="B199" s="72" t="s">
        <v>2200</v>
      </c>
      <c r="C199" s="2"/>
      <c r="D199" s="3"/>
      <c r="E199" s="2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34" t="s">
        <v>3590</v>
      </c>
      <c r="C201" s="70" t="s">
        <v>270</v>
      </c>
      <c r="D201" s="34" t="s">
        <v>1231</v>
      </c>
      <c r="E201" s="11" t="str">
        <f>HYPERLINK("https://youtu.be/X3VRoHSQQhs","channel 1")</f>
        <v>channel 1</v>
      </c>
    </row>
    <row r="202">
      <c r="B202" s="34" t="s">
        <v>3591</v>
      </c>
      <c r="C202" s="70" t="s">
        <v>197</v>
      </c>
      <c r="D202" s="34" t="s">
        <v>3428</v>
      </c>
      <c r="E202" s="11" t="str">
        <f>HYPERLINK("https://youtu.be/MIlefc8D6-8","channel 2")</f>
        <v>channel 2</v>
      </c>
    </row>
    <row r="203">
      <c r="B203" s="34" t="s">
        <v>3592</v>
      </c>
      <c r="C203" s="70" t="s">
        <v>533</v>
      </c>
      <c r="D203" s="34" t="s">
        <v>3590</v>
      </c>
      <c r="E203" s="11" t="str">
        <f>HYPERLINK("https://youtu.be/X3VRoHSQQhs?t=958","channel 1")</f>
        <v>channel 1</v>
      </c>
    </row>
    <row r="204">
      <c r="B204" s="34" t="s">
        <v>3591</v>
      </c>
      <c r="C204" s="70" t="s">
        <v>283</v>
      </c>
      <c r="D204" s="34" t="s">
        <v>1231</v>
      </c>
      <c r="E204" s="11" t="str">
        <f>HYPERLINK("https://youtu.be/MIlefc8D6-8?t=796","channel 2")</f>
        <v>channel 2</v>
      </c>
    </row>
    <row r="205">
      <c r="B205" s="34" t="s">
        <v>3592</v>
      </c>
      <c r="C205" s="70" t="s">
        <v>2326</v>
      </c>
      <c r="D205" s="34" t="s">
        <v>3428</v>
      </c>
      <c r="E205" s="11" t="str">
        <f>HYPERLINK("https://youtu.be/X3VRoHSQQhs?t=1910","channel 1")</f>
        <v>channel 1</v>
      </c>
    </row>
    <row r="206">
      <c r="B206" s="34" t="s">
        <v>3591</v>
      </c>
      <c r="C206" s="70" t="s">
        <v>460</v>
      </c>
      <c r="D206" s="34" t="s">
        <v>3590</v>
      </c>
      <c r="E206" s="11" t="str">
        <f>HYPERLINK("https://youtu.be/MIlefc8D6-8?t=1754","channel 2")</f>
        <v>channel 2</v>
      </c>
    </row>
    <row r="207">
      <c r="B207" s="34" t="s">
        <v>3592</v>
      </c>
      <c r="C207" s="70" t="s">
        <v>71</v>
      </c>
      <c r="D207" s="34" t="s">
        <v>1231</v>
      </c>
      <c r="E207" s="11" t="str">
        <f>HYPERLINK("https://youtu.be/X3VRoHSQQhs?t=2854","channel 1")</f>
        <v>channel 1</v>
      </c>
    </row>
    <row r="208">
      <c r="B208" s="34" t="s">
        <v>3428</v>
      </c>
      <c r="C208" s="70" t="s">
        <v>291</v>
      </c>
      <c r="D208" s="34" t="s">
        <v>3590</v>
      </c>
      <c r="E208" s="11" t="str">
        <f>HYPERLINK("https://youtu.be/MIlefc8D6-8?t=2695","channel 2")</f>
        <v>channel 2</v>
      </c>
    </row>
    <row r="209">
      <c r="B209" s="34" t="s">
        <v>3592</v>
      </c>
      <c r="C209" s="70" t="s">
        <v>25</v>
      </c>
      <c r="D209" s="34" t="s">
        <v>3591</v>
      </c>
      <c r="E209" s="11" t="str">
        <f>HYPERLINK("https://youtu.be/X3VRoHSQQhs?t=3738","channel 1")</f>
        <v>channel 1</v>
      </c>
    </row>
    <row r="210">
      <c r="B210" s="34" t="s">
        <v>3428</v>
      </c>
      <c r="C210" s="70" t="s">
        <v>693</v>
      </c>
      <c r="D210" s="34" t="s">
        <v>1231</v>
      </c>
      <c r="E210" s="11" t="str">
        <f>HYPERLINK("https://youtu.be/MIlefc8D6-8?t=3606","channel 2")</f>
        <v>channel 2</v>
      </c>
    </row>
    <row r="211">
      <c r="B211" s="34" t="s">
        <v>1231</v>
      </c>
      <c r="C211" s="70" t="s">
        <v>17</v>
      </c>
      <c r="D211" s="34" t="s">
        <v>3590</v>
      </c>
      <c r="E211" s="11" t="str">
        <f>HYPERLINK("https://youtu.be/X3VRoHSQQhs?t=4726","channel 1")</f>
        <v>channel 1</v>
      </c>
    </row>
    <row r="212">
      <c r="B212" s="34" t="s">
        <v>3428</v>
      </c>
      <c r="C212" s="70" t="s">
        <v>481</v>
      </c>
      <c r="D212" s="34" t="s">
        <v>3591</v>
      </c>
      <c r="E212" s="11" t="str">
        <f>HYPERLINK("https://youtu.be/MIlefc8D6-8?t=4573","channel 2")</f>
        <v>channel 2</v>
      </c>
    </row>
    <row r="213">
      <c r="B213" s="34" t="s">
        <v>3590</v>
      </c>
      <c r="C213" s="70" t="s">
        <v>14</v>
      </c>
      <c r="D213" s="34" t="s">
        <v>3592</v>
      </c>
      <c r="E213" s="11" t="str">
        <f>HYPERLINK("https://youtu.be/X3VRoHSQQhs?t=5655","channel 1")</f>
        <v>channel 1</v>
      </c>
    </row>
    <row r="214">
      <c r="B214" s="34" t="s">
        <v>1231</v>
      </c>
      <c r="C214" s="70" t="s">
        <v>220</v>
      </c>
      <c r="D214" s="34" t="s">
        <v>3591</v>
      </c>
      <c r="E214" s="11" t="str">
        <f>HYPERLINK("https://youtu.be/MIlefc8D6-8?t=5496","channel 2")</f>
        <v>channel 2</v>
      </c>
    </row>
    <row r="215">
      <c r="B215" s="34" t="s">
        <v>3428</v>
      </c>
      <c r="C215" s="70" t="s">
        <v>351</v>
      </c>
      <c r="D215" s="34" t="s">
        <v>3592</v>
      </c>
      <c r="E215" s="11" t="str">
        <f>HYPERLINK("https://youtu.be/X3VRoHSQQhs?t=6653","channel 1")</f>
        <v>channel 1</v>
      </c>
    </row>
    <row r="216">
      <c r="B216" s="34" t="s">
        <v>3590</v>
      </c>
      <c r="C216" s="70" t="s">
        <v>55</v>
      </c>
      <c r="D216" s="34" t="s">
        <v>3591</v>
      </c>
      <c r="E216" s="11" t="str">
        <f>HYPERLINK("https://youtu.be/MIlefc8D6-8?t=6493","channel 2")</f>
        <v>channel 2</v>
      </c>
    </row>
    <row r="217">
      <c r="B217" s="34" t="s">
        <v>1231</v>
      </c>
      <c r="C217" s="70" t="s">
        <v>284</v>
      </c>
      <c r="D217" s="34" t="s">
        <v>3592</v>
      </c>
      <c r="E217" s="11" t="str">
        <f>HYPERLINK("https://youtu.be/X3VRoHSQQhs?t=7514","channel 1")</f>
        <v>channel 1</v>
      </c>
    </row>
    <row r="218">
      <c r="B218" s="34" t="s">
        <v>3590</v>
      </c>
      <c r="C218" s="70" t="s">
        <v>536</v>
      </c>
      <c r="D218" s="34" t="s">
        <v>3428</v>
      </c>
      <c r="E218" s="11" t="str">
        <f>HYPERLINK("https://youtu.be/MIlefc8D6-8?t=7320","channel 2")</f>
        <v>channel 2</v>
      </c>
    </row>
    <row r="219">
      <c r="B219" s="34" t="s">
        <v>3591</v>
      </c>
      <c r="C219" s="70" t="s">
        <v>357</v>
      </c>
      <c r="D219" s="34" t="s">
        <v>3592</v>
      </c>
      <c r="E219" s="11" t="str">
        <f>HYPERLINK("https://youtu.be/X3VRoHSQQhs?t=8412","channel 1")</f>
        <v>channel 1</v>
      </c>
    </row>
    <row r="220">
      <c r="B220" s="34" t="s">
        <v>1231</v>
      </c>
      <c r="C220" s="70" t="s">
        <v>3593</v>
      </c>
      <c r="D220" s="34" t="s">
        <v>3428</v>
      </c>
      <c r="E220" s="11" t="str">
        <f>HYPERLINK("https://youtu.be/MIlefc8D6-8?t=8246","channel 2")</f>
        <v>channel 2</v>
      </c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7"/>
      <c r="B1" s="72" t="s">
        <v>2790</v>
      </c>
      <c r="C1" s="2"/>
      <c r="D1" s="3"/>
      <c r="E1" s="14"/>
    </row>
    <row r="2">
      <c r="A2" s="118"/>
      <c r="B2" s="16" t="s">
        <v>2</v>
      </c>
      <c r="C2" s="16" t="s">
        <v>3</v>
      </c>
      <c r="D2" s="16" t="s">
        <v>4</v>
      </c>
      <c r="E2" s="6" t="s">
        <v>5</v>
      </c>
    </row>
    <row r="3">
      <c r="A3" s="118"/>
      <c r="B3" s="119" t="s">
        <v>3061</v>
      </c>
      <c r="C3" s="70" t="s">
        <v>81</v>
      </c>
      <c r="D3" s="32" t="s">
        <v>3202</v>
      </c>
      <c r="E3" s="11" t="str">
        <f>HYPERLINK("https://youtu.be/OioSRye2w-o","channel 1")</f>
        <v>channel 1</v>
      </c>
    </row>
    <row r="4">
      <c r="A4" s="118"/>
      <c r="B4" s="32" t="s">
        <v>3594</v>
      </c>
      <c r="C4" s="70" t="s">
        <v>72</v>
      </c>
      <c r="D4" s="32" t="s">
        <v>3595</v>
      </c>
      <c r="E4" s="11" t="str">
        <f>HYPERLINK("https://youtu.be/Jj_PE6N0xUI","channel 2")</f>
        <v>channel 2</v>
      </c>
    </row>
    <row r="5">
      <c r="A5" s="118"/>
      <c r="B5" s="32" t="s">
        <v>3596</v>
      </c>
      <c r="C5" s="70" t="s">
        <v>19</v>
      </c>
      <c r="D5" s="32" t="s">
        <v>3061</v>
      </c>
      <c r="E5" s="11" t="str">
        <f>HYPERLINK("https://youtu.be/OioSRye2w-o?t=928","channel 1")</f>
        <v>channel 1</v>
      </c>
    </row>
    <row r="6">
      <c r="A6" s="118"/>
      <c r="B6" s="32" t="s">
        <v>3594</v>
      </c>
      <c r="C6" s="70" t="s">
        <v>193</v>
      </c>
      <c r="D6" s="32" t="s">
        <v>3202</v>
      </c>
      <c r="E6" s="11" t="str">
        <f>HYPERLINK("https://youtu.be/Jj_PE6N0xUI?t=1038","channel 2")</f>
        <v>channel 2</v>
      </c>
    </row>
    <row r="7">
      <c r="A7" s="118"/>
      <c r="B7" s="32" t="s">
        <v>3596</v>
      </c>
      <c r="C7" s="70" t="s">
        <v>48</v>
      </c>
      <c r="D7" s="32" t="s">
        <v>3595</v>
      </c>
      <c r="E7" s="11" t="str">
        <f>HYPERLINK("https://youtu.be/OioSRye2w-o?t=1802","channel 1")</f>
        <v>channel 1</v>
      </c>
    </row>
    <row r="8">
      <c r="A8" s="118"/>
      <c r="B8" s="32" t="s">
        <v>3594</v>
      </c>
      <c r="C8" s="70" t="s">
        <v>201</v>
      </c>
      <c r="D8" s="32" t="s">
        <v>3061</v>
      </c>
      <c r="E8" s="11" t="str">
        <f>HYPERLINK("https://youtu.be/Jj_PE6N0xUI?t=1905","channel 2")</f>
        <v>channel 2</v>
      </c>
    </row>
    <row r="9">
      <c r="A9" s="118"/>
      <c r="B9" s="32" t="s">
        <v>3596</v>
      </c>
      <c r="C9" s="70" t="s">
        <v>28</v>
      </c>
      <c r="D9" s="32" t="s">
        <v>3202</v>
      </c>
      <c r="E9" s="11" t="str">
        <f>HYPERLINK("https://youtu.be/OioSRye2w-o?t=2779","channel 1")</f>
        <v>channel 1</v>
      </c>
    </row>
    <row r="10">
      <c r="A10" s="118"/>
      <c r="B10" s="32" t="s">
        <v>3595</v>
      </c>
      <c r="C10" s="70" t="s">
        <v>22</v>
      </c>
      <c r="D10" s="32" t="s">
        <v>3061</v>
      </c>
      <c r="E10" s="11" t="str">
        <f>HYPERLINK("https://youtu.be/Jj_PE6N0xUI?t=2767","channel 2")</f>
        <v>channel 2</v>
      </c>
    </row>
    <row r="11">
      <c r="A11" s="118"/>
      <c r="B11" s="32" t="s">
        <v>3596</v>
      </c>
      <c r="C11" s="70" t="s">
        <v>836</v>
      </c>
      <c r="D11" s="32" t="s">
        <v>3594</v>
      </c>
      <c r="E11" s="11" t="str">
        <f>HYPERLINK("https://youtu.be/OioSRye2w-o?t=3631","channel 1")</f>
        <v>channel 1</v>
      </c>
    </row>
    <row r="12">
      <c r="A12" s="118"/>
      <c r="B12" s="32" t="s">
        <v>3595</v>
      </c>
      <c r="C12" s="70" t="s">
        <v>19</v>
      </c>
      <c r="D12" s="32" t="s">
        <v>3202</v>
      </c>
      <c r="E12" s="11" t="str">
        <f>HYPERLINK("https://youtu.be/Jj_PE6N0xUI?t=3672","channel 2")</f>
        <v>channel 2</v>
      </c>
    </row>
    <row r="13">
      <c r="A13" s="118"/>
      <c r="B13" s="32" t="s">
        <v>3202</v>
      </c>
      <c r="C13" s="70" t="s">
        <v>43</v>
      </c>
      <c r="D13" s="32" t="s">
        <v>3061</v>
      </c>
      <c r="E13" s="11" t="str">
        <f>HYPERLINK("https://youtu.be/OioSRye2w-o?t=4578","channel 1")</f>
        <v>channel 1</v>
      </c>
    </row>
    <row r="14">
      <c r="A14" s="118"/>
      <c r="B14" s="32" t="s">
        <v>3595</v>
      </c>
      <c r="C14" s="70" t="s">
        <v>76</v>
      </c>
      <c r="D14" s="32" t="s">
        <v>3594</v>
      </c>
      <c r="E14" s="11" t="str">
        <f>HYPERLINK("https://youtu.be/Jj_PE6N0xUI?t=4555","channel 2")</f>
        <v>channel 2</v>
      </c>
    </row>
    <row r="15">
      <c r="A15" s="118"/>
      <c r="B15" s="32" t="s">
        <v>3061</v>
      </c>
      <c r="C15" s="70" t="s">
        <v>194</v>
      </c>
      <c r="D15" s="32" t="s">
        <v>3596</v>
      </c>
      <c r="E15" s="11" t="str">
        <f>HYPERLINK("https://youtu.be/OioSRye2w-o?t=5452","channel 1")</f>
        <v>channel 1</v>
      </c>
    </row>
    <row r="16">
      <c r="A16" s="118"/>
      <c r="B16" s="32" t="s">
        <v>3202</v>
      </c>
      <c r="C16" s="70" t="s">
        <v>31</v>
      </c>
      <c r="D16" s="32" t="s">
        <v>3594</v>
      </c>
      <c r="E16" s="11" t="str">
        <f>HYPERLINK("https://youtu.be/Jj_PE6N0xUI?t=5501","channel 2")</f>
        <v>channel 2</v>
      </c>
    </row>
    <row r="17">
      <c r="A17" s="118"/>
      <c r="B17" s="32" t="s">
        <v>3595</v>
      </c>
      <c r="C17" s="70" t="s">
        <v>81</v>
      </c>
      <c r="D17" s="32" t="s">
        <v>3596</v>
      </c>
      <c r="E17" s="11" t="str">
        <f>HYPERLINK("https://youtu.be/OioSRye2w-o?t=6377","channel 1")</f>
        <v>channel 1</v>
      </c>
    </row>
    <row r="18">
      <c r="A18" s="118"/>
      <c r="B18" s="32" t="s">
        <v>3061</v>
      </c>
      <c r="C18" s="70" t="s">
        <v>3355</v>
      </c>
      <c r="D18" s="32" t="s">
        <v>3594</v>
      </c>
      <c r="E18" s="11" t="str">
        <f>HYPERLINK("https://youtu.be/Jj_PE6N0xUI?t=6445","channel 2")</f>
        <v>channel 2</v>
      </c>
    </row>
    <row r="19">
      <c r="A19" s="118"/>
      <c r="B19" s="32" t="s">
        <v>3202</v>
      </c>
      <c r="C19" s="70" t="s">
        <v>318</v>
      </c>
      <c r="D19" s="32" t="s">
        <v>3596</v>
      </c>
      <c r="E19" s="11" t="str">
        <f>HYPERLINK("https://youtu.be/OioSRye2w-o?t=7222","channel 1")</f>
        <v>channel 1</v>
      </c>
    </row>
    <row r="20">
      <c r="A20" s="118"/>
      <c r="B20" s="32" t="s">
        <v>3061</v>
      </c>
      <c r="C20" s="70" t="s">
        <v>43</v>
      </c>
      <c r="D20" s="32" t="s">
        <v>3595</v>
      </c>
      <c r="E20" s="11" t="str">
        <f>HYPERLINK("https://youtu.be/Jj_PE6N0xUI?t=7352","channel 2")</f>
        <v>channel 2</v>
      </c>
    </row>
    <row r="21">
      <c r="A21" s="118"/>
      <c r="B21" s="32" t="s">
        <v>3594</v>
      </c>
      <c r="C21" s="70" t="s">
        <v>17</v>
      </c>
      <c r="D21" s="32" t="s">
        <v>3596</v>
      </c>
      <c r="E21" s="11" t="str">
        <f>HYPERLINK("https://youtu.be/OioSRye2w-o?t=8271","channel 1")</f>
        <v>channel 1</v>
      </c>
    </row>
    <row r="22">
      <c r="A22" s="118"/>
      <c r="B22" s="32" t="s">
        <v>3202</v>
      </c>
      <c r="C22" s="125" t="s">
        <v>244</v>
      </c>
      <c r="D22" s="32" t="s">
        <v>3595</v>
      </c>
      <c r="E22" s="11" t="str">
        <f>HYPERLINK("https://youtu.be/Jj_PE6N0xUI?t=8318","channel 2")</f>
        <v>channel 2</v>
      </c>
    </row>
    <row r="23">
      <c r="A23" s="118"/>
      <c r="B23" s="72" t="s">
        <v>2099</v>
      </c>
      <c r="C23" s="2"/>
      <c r="D23" s="3"/>
      <c r="E23" s="4"/>
    </row>
    <row r="24">
      <c r="A24" s="118"/>
      <c r="B24" s="16" t="s">
        <v>2</v>
      </c>
      <c r="C24" s="16" t="s">
        <v>3</v>
      </c>
      <c r="D24" s="16" t="s">
        <v>4</v>
      </c>
      <c r="E24" s="6" t="s">
        <v>5</v>
      </c>
    </row>
    <row r="25">
      <c r="A25" s="118"/>
      <c r="B25" s="32" t="s">
        <v>1589</v>
      </c>
      <c r="C25" s="70" t="s">
        <v>11</v>
      </c>
      <c r="D25" s="32" t="s">
        <v>3597</v>
      </c>
      <c r="E25" s="11" t="str">
        <f>HYPERLINK("https://youtu.be/BdGfe-DzsoU","channel 1")</f>
        <v>channel 1</v>
      </c>
    </row>
    <row r="26">
      <c r="A26" s="118"/>
      <c r="B26" s="32" t="s">
        <v>3598</v>
      </c>
      <c r="C26" s="70" t="s">
        <v>509</v>
      </c>
      <c r="D26" s="32" t="s">
        <v>3599</v>
      </c>
      <c r="E26" s="11" t="str">
        <f>HYPERLINK("https://youtu.be/ud4VQHD0720","channel 2")</f>
        <v>channel 2</v>
      </c>
    </row>
    <row r="27">
      <c r="A27" s="118"/>
      <c r="B27" s="32" t="s">
        <v>3600</v>
      </c>
      <c r="C27" s="70" t="s">
        <v>67</v>
      </c>
      <c r="D27" s="32" t="s">
        <v>1589</v>
      </c>
      <c r="E27" s="11" t="str">
        <f>HYPERLINK("https://youtu.be/BdGfe-DzsoU?t=985","channel 1")</f>
        <v>channel 1</v>
      </c>
    </row>
    <row r="28">
      <c r="A28" s="118"/>
      <c r="B28" s="32" t="s">
        <v>3598</v>
      </c>
      <c r="C28" s="70" t="s">
        <v>193</v>
      </c>
      <c r="D28" s="32" t="s">
        <v>3597</v>
      </c>
      <c r="E28" s="11" t="str">
        <f>HYPERLINK("https://youtu.be/ud4VQHD0720?t=1410","channel 2")</f>
        <v>channel 2</v>
      </c>
    </row>
    <row r="29">
      <c r="A29" s="118"/>
      <c r="B29" s="32" t="s">
        <v>3600</v>
      </c>
      <c r="C29" s="70" t="s">
        <v>190</v>
      </c>
      <c r="D29" s="32" t="s">
        <v>3599</v>
      </c>
      <c r="E29" s="11" t="str">
        <f>HYPERLINK("https://youtu.be/BdGfe-DzsoU?t=2330","channel 1")</f>
        <v>channel 1</v>
      </c>
    </row>
    <row r="30">
      <c r="A30" s="118"/>
      <c r="B30" s="32" t="s">
        <v>3598</v>
      </c>
      <c r="C30" s="70" t="s">
        <v>239</v>
      </c>
      <c r="D30" s="32" t="s">
        <v>1589</v>
      </c>
      <c r="E30" s="11" t="str">
        <f>HYPERLINK("https://youtu.be/ud4VQHD0720?t=2228","channel 2")</f>
        <v>channel 2</v>
      </c>
    </row>
    <row r="31">
      <c r="A31" s="118"/>
      <c r="B31" s="32" t="s">
        <v>3600</v>
      </c>
      <c r="C31" s="70" t="s">
        <v>190</v>
      </c>
      <c r="D31" s="32" t="s">
        <v>3597</v>
      </c>
      <c r="E31" s="11" t="str">
        <f>HYPERLINK("https://youtu.be/BdGfe-DzsoU?t=3252","channel 1")</f>
        <v>channel 1</v>
      </c>
    </row>
    <row r="32">
      <c r="A32" s="118"/>
      <c r="B32" s="32" t="s">
        <v>3599</v>
      </c>
      <c r="C32" s="70" t="s">
        <v>193</v>
      </c>
      <c r="D32" s="32" t="s">
        <v>1589</v>
      </c>
      <c r="E32" s="11" t="str">
        <f>HYPERLINK("https://youtu.be/ud4VQHD0720?t=3133","channel 2")</f>
        <v>channel 2</v>
      </c>
    </row>
    <row r="33">
      <c r="A33" s="118"/>
      <c r="B33" s="32" t="s">
        <v>3600</v>
      </c>
      <c r="C33" s="70" t="s">
        <v>47</v>
      </c>
      <c r="D33" s="32" t="s">
        <v>3598</v>
      </c>
      <c r="E33" s="11" t="str">
        <f>HYPERLINK("https://youtu.be/CVXlhERvWBo","channel 1")</f>
        <v>channel 1</v>
      </c>
    </row>
    <row r="34">
      <c r="A34" s="118"/>
      <c r="B34" s="32" t="s">
        <v>3599</v>
      </c>
      <c r="C34" s="70" t="s">
        <v>719</v>
      </c>
      <c r="D34" s="32" t="s">
        <v>3597</v>
      </c>
      <c r="E34" s="11" t="str">
        <f>HYPERLINK("https://youtu.be/ud4VQHD0720?t=4041","channel 2")</f>
        <v>channel 2</v>
      </c>
    </row>
    <row r="35">
      <c r="A35" s="118"/>
      <c r="B35" s="32" t="s">
        <v>3597</v>
      </c>
      <c r="C35" s="70" t="s">
        <v>1186</v>
      </c>
      <c r="D35" s="32" t="s">
        <v>1589</v>
      </c>
      <c r="E35" s="11" t="str">
        <f>HYPERLINK("https://youtu.be/CVXlhERvWBo?t=1047","channel 1")</f>
        <v>channel 1</v>
      </c>
    </row>
    <row r="36">
      <c r="A36" s="118"/>
      <c r="B36" s="32" t="s">
        <v>3599</v>
      </c>
      <c r="C36" s="70" t="s">
        <v>81</v>
      </c>
      <c r="D36" s="32" t="s">
        <v>3598</v>
      </c>
      <c r="E36" s="11" t="str">
        <f>HYPERLINK("https://youtu.be/ud4VQHD0720?t=4959","channel 2")</f>
        <v>channel 2</v>
      </c>
    </row>
    <row r="37">
      <c r="A37" s="118"/>
      <c r="B37" s="32" t="s">
        <v>1589</v>
      </c>
      <c r="C37" s="70" t="s">
        <v>1952</v>
      </c>
      <c r="D37" s="32" t="s">
        <v>3600</v>
      </c>
      <c r="E37" s="11" t="str">
        <f>HYPERLINK("https://youtu.be/CVXlhERvWBo?t=1963","channel 1")</f>
        <v>channel 1</v>
      </c>
    </row>
    <row r="38">
      <c r="A38" s="118"/>
      <c r="B38" s="32" t="s">
        <v>3597</v>
      </c>
      <c r="C38" s="70" t="s">
        <v>25</v>
      </c>
      <c r="D38" s="32" t="s">
        <v>3598</v>
      </c>
      <c r="E38" s="11" t="str">
        <f>HYPERLINK("https://youtu.be/ud4VQHD0720?t=5829","channel 2")</f>
        <v>channel 2</v>
      </c>
    </row>
    <row r="39">
      <c r="A39" s="118"/>
      <c r="B39" s="32" t="s">
        <v>3599</v>
      </c>
      <c r="C39" s="70" t="s">
        <v>203</v>
      </c>
      <c r="D39" s="32" t="s">
        <v>3600</v>
      </c>
      <c r="E39" s="11" t="str">
        <f>HYPERLINK("https://youtu.be/CVXlhERvWBo?t=2865","channel 1")</f>
        <v>channel 1</v>
      </c>
    </row>
    <row r="40">
      <c r="A40" s="118"/>
      <c r="B40" s="32" t="s">
        <v>1589</v>
      </c>
      <c r="C40" s="70" t="s">
        <v>14</v>
      </c>
      <c r="D40" s="32" t="s">
        <v>3598</v>
      </c>
      <c r="E40" s="11" t="str">
        <f>HYPERLINK("https://youtu.be/ud4VQHD0720?t=6665","channel 2")</f>
        <v>channel 2</v>
      </c>
    </row>
    <row r="41">
      <c r="A41" s="118"/>
      <c r="B41" s="32" t="s">
        <v>3597</v>
      </c>
      <c r="C41" s="70" t="s">
        <v>41</v>
      </c>
      <c r="D41" s="32" t="s">
        <v>3600</v>
      </c>
      <c r="E41" s="11" t="str">
        <f>HYPERLINK("https://youtu.be/CVXlhERvWBo?t=3824","channel 1")</f>
        <v>channel 1</v>
      </c>
    </row>
    <row r="42">
      <c r="A42" s="118"/>
      <c r="B42" s="32" t="s">
        <v>1589</v>
      </c>
      <c r="C42" s="70" t="s">
        <v>16</v>
      </c>
      <c r="D42" s="32" t="s">
        <v>3599</v>
      </c>
      <c r="E42" s="11" t="str">
        <f>HYPERLINK("https://youtu.be/ud4VQHD0720?t=7631","channel 2")</f>
        <v>channel 2</v>
      </c>
    </row>
    <row r="43">
      <c r="A43" s="118"/>
      <c r="B43" s="32" t="s">
        <v>3598</v>
      </c>
      <c r="C43" s="70" t="s">
        <v>411</v>
      </c>
      <c r="D43" s="32" t="s">
        <v>3600</v>
      </c>
      <c r="E43" s="11" t="str">
        <f>HYPERLINK("https://youtu.be/CVXlhERvWBo?t=4610","channel 1")</f>
        <v>channel 1</v>
      </c>
    </row>
    <row r="44">
      <c r="A44" s="118"/>
      <c r="B44" s="32" t="s">
        <v>3597</v>
      </c>
      <c r="C44" s="70" t="s">
        <v>52</v>
      </c>
      <c r="D44" s="32" t="s">
        <v>3599</v>
      </c>
      <c r="E44" s="11" t="str">
        <f>HYPERLINK("https://youtu.be/ud4VQHD0720?t=8495","channel 2")</f>
        <v>channel 2</v>
      </c>
    </row>
    <row r="45">
      <c r="A45" s="118"/>
      <c r="B45" s="72" t="s">
        <v>2828</v>
      </c>
      <c r="C45" s="2"/>
      <c r="D45" s="3"/>
      <c r="E45" s="4"/>
    </row>
    <row r="46">
      <c r="A46" s="118"/>
      <c r="B46" s="16" t="s">
        <v>2</v>
      </c>
      <c r="C46" s="16" t="s">
        <v>3</v>
      </c>
      <c r="D46" s="16" t="s">
        <v>4</v>
      </c>
      <c r="E46" s="6" t="s">
        <v>5</v>
      </c>
    </row>
    <row r="47">
      <c r="A47" s="118"/>
      <c r="B47" s="32" t="s">
        <v>3567</v>
      </c>
      <c r="C47" s="70" t="s">
        <v>28</v>
      </c>
      <c r="D47" s="32" t="s">
        <v>3601</v>
      </c>
      <c r="E47" s="11" t="str">
        <f>HYPERLINK("https://youtu.be/3t_sDZ5VJM4","channel 3")</f>
        <v>channel 3</v>
      </c>
    </row>
    <row r="48">
      <c r="A48" s="118"/>
      <c r="B48" s="32" t="s">
        <v>788</v>
      </c>
      <c r="C48" s="70" t="s">
        <v>282</v>
      </c>
      <c r="D48" s="32" t="s">
        <v>1879</v>
      </c>
      <c r="E48" s="11" t="str">
        <f>HYPERLINK("https://youtu.be/O6k6WuEnE6Q","channel 4")</f>
        <v>channel 4</v>
      </c>
    </row>
    <row r="49">
      <c r="A49" s="118"/>
      <c r="B49" s="32" t="s">
        <v>3602</v>
      </c>
      <c r="C49" s="70" t="s">
        <v>3603</v>
      </c>
      <c r="D49" s="32" t="s">
        <v>3567</v>
      </c>
      <c r="E49" s="11" t="str">
        <f>HYPERLINK("https://youtu.be/3t_sDZ5VJM4?t=1074","channel 3")</f>
        <v>channel 3</v>
      </c>
    </row>
    <row r="50">
      <c r="A50" s="118"/>
      <c r="B50" s="32" t="s">
        <v>788</v>
      </c>
      <c r="C50" s="70" t="s">
        <v>64</v>
      </c>
      <c r="D50" s="32" t="s">
        <v>3601</v>
      </c>
      <c r="E50" s="11" t="str">
        <f>HYPERLINK("https://youtu.be/O6k6WuEnE6Q?t=1045","channel 4")</f>
        <v>channel 4</v>
      </c>
    </row>
    <row r="51">
      <c r="A51" s="118"/>
      <c r="B51" s="32" t="s">
        <v>3602</v>
      </c>
      <c r="C51" s="70" t="s">
        <v>55</v>
      </c>
      <c r="D51" s="32" t="s">
        <v>1879</v>
      </c>
      <c r="E51" s="11" t="str">
        <f>HYPERLINK("https://youtu.be/3t_sDZ5VJM4?t=2011","channel 3")</f>
        <v>channel 3</v>
      </c>
    </row>
    <row r="52">
      <c r="A52" s="118"/>
      <c r="B52" s="32" t="s">
        <v>788</v>
      </c>
      <c r="C52" s="70" t="s">
        <v>195</v>
      </c>
      <c r="D52" s="32" t="s">
        <v>3567</v>
      </c>
      <c r="E52" s="11" t="str">
        <f>HYPERLINK("https://youtu.be/O6k6WuEnE6Q?t=2311","channel 4")</f>
        <v>channel 4</v>
      </c>
    </row>
    <row r="53">
      <c r="A53" s="118"/>
      <c r="B53" s="32" t="s">
        <v>3602</v>
      </c>
      <c r="C53" s="70" t="s">
        <v>16</v>
      </c>
      <c r="D53" s="32" t="s">
        <v>3601</v>
      </c>
      <c r="E53" s="11" t="str">
        <f>HYPERLINK("https://youtu.be/3t_sDZ5VJM4?t=2951","channel 3")</f>
        <v>channel 3</v>
      </c>
    </row>
    <row r="54">
      <c r="A54" s="118"/>
      <c r="B54" s="32" t="s">
        <v>1879</v>
      </c>
      <c r="C54" s="70" t="s">
        <v>66</v>
      </c>
      <c r="D54" s="32" t="s">
        <v>3567</v>
      </c>
      <c r="E54" s="11" t="str">
        <f>HYPERLINK("https://youtu.be/O6k6WuEnE6Q?t=3283","channel 4")</f>
        <v>channel 4</v>
      </c>
    </row>
    <row r="55">
      <c r="A55" s="118"/>
      <c r="B55" s="32" t="s">
        <v>3602</v>
      </c>
      <c r="C55" s="70" t="s">
        <v>472</v>
      </c>
      <c r="D55" s="32" t="s">
        <v>788</v>
      </c>
      <c r="E55" s="11" t="str">
        <f>HYPERLINK("https://youtu.be/3t_sDZ5VJM4?t=3938","channel 3")</f>
        <v>channel 3</v>
      </c>
    </row>
    <row r="56">
      <c r="A56" s="118"/>
      <c r="B56" s="32" t="s">
        <v>1879</v>
      </c>
      <c r="C56" s="70" t="s">
        <v>232</v>
      </c>
      <c r="D56" s="32" t="s">
        <v>3601</v>
      </c>
      <c r="E56" s="11" t="str">
        <f>HYPERLINK("https://youtu.be/O6k6WuEnE6Q?t=4183","channel 4")</f>
        <v>channel 4</v>
      </c>
    </row>
    <row r="57">
      <c r="A57" s="118"/>
      <c r="B57" s="32" t="s">
        <v>3601</v>
      </c>
      <c r="C57" s="70" t="s">
        <v>239</v>
      </c>
      <c r="D57" s="32" t="s">
        <v>3567</v>
      </c>
      <c r="E57" s="11" t="str">
        <f>HYPERLINK("https://youtu.be/3t_sDZ5VJM4?t=5041","channel 3")</f>
        <v>channel 3</v>
      </c>
    </row>
    <row r="58">
      <c r="A58" s="118"/>
      <c r="B58" s="32" t="s">
        <v>1879</v>
      </c>
      <c r="C58" s="70" t="s">
        <v>250</v>
      </c>
      <c r="D58" s="32" t="s">
        <v>788</v>
      </c>
      <c r="E58" s="11" t="str">
        <f>HYPERLINK("https://youtu.be/O6k6WuEnE6Q?t=5036","channel 4")</f>
        <v>channel 4</v>
      </c>
    </row>
    <row r="59">
      <c r="A59" s="118"/>
      <c r="B59" s="32" t="s">
        <v>3567</v>
      </c>
      <c r="C59" s="70" t="s">
        <v>67</v>
      </c>
      <c r="D59" s="32" t="s">
        <v>3602</v>
      </c>
      <c r="E59" s="11" t="str">
        <f>HYPERLINK("https://youtu.be/3t_sDZ5VJM4?t=5946","channel 3")</f>
        <v>channel 3</v>
      </c>
    </row>
    <row r="60">
      <c r="A60" s="118"/>
      <c r="B60" s="32" t="s">
        <v>3601</v>
      </c>
      <c r="C60" s="70" t="s">
        <v>19</v>
      </c>
      <c r="D60" s="32" t="s">
        <v>788</v>
      </c>
      <c r="E60" s="11" t="str">
        <f>HYPERLINK("https://youtu.be/O6k6WuEnE6Q?t=5898","channel 4")</f>
        <v>channel 4</v>
      </c>
    </row>
    <row r="61">
      <c r="A61" s="118"/>
      <c r="B61" s="32" t="s">
        <v>1879</v>
      </c>
      <c r="C61" s="70" t="s">
        <v>41</v>
      </c>
      <c r="D61" s="32" t="s">
        <v>3602</v>
      </c>
      <c r="E61" s="11" t="str">
        <f>HYPERLINK("https://youtu.be/3t_sDZ5VJM4?t=6907","channel 3")</f>
        <v>channel 3</v>
      </c>
    </row>
    <row r="62">
      <c r="A62" s="118"/>
      <c r="B62" s="32" t="s">
        <v>3567</v>
      </c>
      <c r="C62" s="70" t="s">
        <v>295</v>
      </c>
      <c r="D62" s="32" t="s">
        <v>788</v>
      </c>
      <c r="E62" s="11" t="str">
        <f>HYPERLINK("https://youtu.be/O6k6WuEnE6Q?t=6877","channel 4")</f>
        <v>channel 4</v>
      </c>
    </row>
    <row r="63">
      <c r="A63" s="118"/>
      <c r="B63" s="32" t="s">
        <v>3601</v>
      </c>
      <c r="C63" s="70" t="s">
        <v>35</v>
      </c>
      <c r="D63" s="32" t="s">
        <v>3602</v>
      </c>
      <c r="E63" s="11" t="str">
        <f>HYPERLINK("https://youtu.be/3t_sDZ5VJM4?t=7804","channel 3")</f>
        <v>channel 3</v>
      </c>
    </row>
    <row r="64">
      <c r="A64" s="118"/>
      <c r="B64" s="32" t="s">
        <v>3567</v>
      </c>
      <c r="C64" s="70" t="s">
        <v>190</v>
      </c>
      <c r="D64" s="32" t="s">
        <v>1879</v>
      </c>
      <c r="E64" s="11" t="str">
        <f>HYPERLINK("https://youtu.be/O6k6WuEnE6Q?t=7820","channel 4")</f>
        <v>channel 4</v>
      </c>
    </row>
    <row r="65">
      <c r="A65" s="118"/>
      <c r="B65" s="32" t="s">
        <v>788</v>
      </c>
      <c r="C65" s="70" t="s">
        <v>631</v>
      </c>
      <c r="D65" s="32" t="s">
        <v>3602</v>
      </c>
      <c r="E65" s="11" t="str">
        <f>HYPERLINK("https://youtu.be/3t_sDZ5VJM4?t=8724","channel 3")</f>
        <v>channel 3</v>
      </c>
    </row>
    <row r="66">
      <c r="A66" s="118"/>
      <c r="B66" s="32" t="s">
        <v>3601</v>
      </c>
      <c r="C66" s="70" t="s">
        <v>218</v>
      </c>
      <c r="D66" s="32" t="s">
        <v>1879</v>
      </c>
      <c r="E66" s="11" t="str">
        <f>HYPERLINK("https://youtu.be/O6k6WuEnE6Q?t=8789","channel 4")</f>
        <v>channel 4</v>
      </c>
    </row>
    <row r="67">
      <c r="A67" s="118"/>
      <c r="B67" s="72" t="s">
        <v>2960</v>
      </c>
      <c r="C67" s="2"/>
      <c r="D67" s="3"/>
      <c r="E67" s="4"/>
    </row>
    <row r="68">
      <c r="A68" s="118"/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118"/>
      <c r="B69" s="32" t="s">
        <v>3604</v>
      </c>
      <c r="C69" s="70" t="s">
        <v>11</v>
      </c>
      <c r="D69" s="32" t="s">
        <v>3605</v>
      </c>
      <c r="E69" s="11" t="str">
        <f>HYPERLINK("https://youtu.be/48lIkOiI1TE","channel 3")</f>
        <v>channel 3</v>
      </c>
    </row>
    <row r="70">
      <c r="A70" s="118"/>
      <c r="B70" s="32" t="s">
        <v>3017</v>
      </c>
      <c r="C70" s="70" t="s">
        <v>83</v>
      </c>
      <c r="D70" s="32" t="s">
        <v>3606</v>
      </c>
      <c r="E70" s="11" t="str">
        <f>HYPERLINK("https://youtu.be/g_F2A3xeYwA","channel 4")</f>
        <v>channel 4</v>
      </c>
    </row>
    <row r="71">
      <c r="A71" s="118"/>
      <c r="B71" s="32" t="s">
        <v>3580</v>
      </c>
      <c r="C71" s="70" t="s">
        <v>319</v>
      </c>
      <c r="D71" s="32" t="s">
        <v>3604</v>
      </c>
      <c r="E71" s="11" t="str">
        <f>HYPERLINK("https://youtu.be/48lIkOiI1TE?t=982","channel 3")</f>
        <v>channel 3</v>
      </c>
    </row>
    <row r="72">
      <c r="A72" s="118"/>
      <c r="B72" s="32" t="s">
        <v>3017</v>
      </c>
      <c r="C72" s="70" t="s">
        <v>31</v>
      </c>
      <c r="D72" s="32" t="s">
        <v>3605</v>
      </c>
      <c r="E72" s="11" t="str">
        <f>HYPERLINK("https://youtu.be/g_F2A3xeYwA?t=948","channel 4")</f>
        <v>channel 4</v>
      </c>
    </row>
    <row r="73">
      <c r="A73" s="118"/>
      <c r="B73" s="32" t="s">
        <v>3580</v>
      </c>
      <c r="C73" s="70" t="s">
        <v>25</v>
      </c>
      <c r="D73" s="32" t="s">
        <v>3606</v>
      </c>
      <c r="E73" s="11" t="str">
        <f>HYPERLINK("https://youtu.be/48lIkOiI1TE?t=1899","channel 3")</f>
        <v>channel 3</v>
      </c>
    </row>
    <row r="74">
      <c r="A74" s="118"/>
      <c r="B74" s="32" t="s">
        <v>3017</v>
      </c>
      <c r="C74" s="70" t="s">
        <v>11</v>
      </c>
      <c r="D74" s="32" t="s">
        <v>3604</v>
      </c>
      <c r="E74" s="11" t="str">
        <f>HYPERLINK("https://youtu.be/g_F2A3xeYwA?t=1886","channel 4")</f>
        <v>channel 4</v>
      </c>
    </row>
    <row r="75">
      <c r="A75" s="118"/>
      <c r="B75" s="32" t="s">
        <v>3580</v>
      </c>
      <c r="C75" s="70" t="s">
        <v>66</v>
      </c>
      <c r="D75" s="32" t="s">
        <v>3605</v>
      </c>
      <c r="E75" s="11" t="str">
        <f>HYPERLINK("https://youtu.be/48lIkOiI1TE?t=2847","channel 3")</f>
        <v>channel 3</v>
      </c>
    </row>
    <row r="76">
      <c r="A76" s="118"/>
      <c r="B76" s="32" t="s">
        <v>3606</v>
      </c>
      <c r="C76" s="70" t="s">
        <v>64</v>
      </c>
      <c r="D76" s="32" t="s">
        <v>3604</v>
      </c>
      <c r="E76" s="11" t="str">
        <f>HYPERLINK("https://youtu.be/g_F2A3xeYwA?t=2971","channel 4")</f>
        <v>channel 4</v>
      </c>
    </row>
    <row r="77">
      <c r="A77" s="118"/>
      <c r="B77" s="32" t="s">
        <v>3580</v>
      </c>
      <c r="C77" s="70" t="s">
        <v>20</v>
      </c>
      <c r="D77" s="32" t="s">
        <v>3017</v>
      </c>
      <c r="E77" s="11" t="str">
        <f>HYPERLINK("https://youtu.be/48lIkOiI1TE?t=3807","channel 3")</f>
        <v>channel 3</v>
      </c>
    </row>
    <row r="78">
      <c r="A78" s="118"/>
      <c r="B78" s="32" t="s">
        <v>3606</v>
      </c>
      <c r="C78" s="70" t="s">
        <v>87</v>
      </c>
      <c r="D78" s="32" t="s">
        <v>3605</v>
      </c>
      <c r="E78" s="11" t="str">
        <f>HYPERLINK("https://youtu.be/g_F2A3xeYwA?t=3899","channel 4")</f>
        <v>channel 4</v>
      </c>
    </row>
    <row r="79">
      <c r="A79" s="118"/>
      <c r="B79" s="32" t="s">
        <v>3605</v>
      </c>
      <c r="C79" s="70" t="s">
        <v>43</v>
      </c>
      <c r="D79" s="32" t="s">
        <v>3604</v>
      </c>
      <c r="E79" s="11" t="str">
        <f>HYPERLINK("https://youtu.be/48lIkOiI1TE?t=4832","channel 3")</f>
        <v>channel 3</v>
      </c>
    </row>
    <row r="80">
      <c r="A80" s="118"/>
      <c r="B80" s="32" t="s">
        <v>3606</v>
      </c>
      <c r="C80" s="70" t="s">
        <v>197</v>
      </c>
      <c r="D80" s="32" t="s">
        <v>3017</v>
      </c>
      <c r="E80" s="11" t="str">
        <f>HYPERLINK("https://youtu.be/g_F2A3xeYwA?t=4797","channel 4")</f>
        <v>channel 4</v>
      </c>
    </row>
    <row r="81">
      <c r="A81" s="118"/>
      <c r="B81" s="32" t="s">
        <v>3604</v>
      </c>
      <c r="C81" s="70" t="s">
        <v>286</v>
      </c>
      <c r="D81" s="32" t="s">
        <v>3580</v>
      </c>
      <c r="E81" s="11" t="str">
        <f>HYPERLINK("https://youtu.be/48lIkOiI1TE?t=6148","channel 3")</f>
        <v>channel 3</v>
      </c>
    </row>
    <row r="82">
      <c r="A82" s="118"/>
      <c r="B82" s="32" t="s">
        <v>3605</v>
      </c>
      <c r="C82" s="70" t="s">
        <v>261</v>
      </c>
      <c r="D82" s="32" t="s">
        <v>3017</v>
      </c>
      <c r="E82" s="11" t="str">
        <f>HYPERLINK("https://youtu.be/g_F2A3xeYwA?t=6143","channel 4")</f>
        <v>channel 4</v>
      </c>
    </row>
    <row r="83">
      <c r="A83" s="118"/>
      <c r="B83" s="32" t="s">
        <v>3606</v>
      </c>
      <c r="C83" s="70" t="s">
        <v>201</v>
      </c>
      <c r="D83" s="32" t="s">
        <v>3580</v>
      </c>
      <c r="E83" s="11" t="str">
        <f>HYPERLINK("https://youtu.be/48lIkOiI1TE?t=7070","channel 3")</f>
        <v>channel 3</v>
      </c>
    </row>
    <row r="84">
      <c r="A84" s="118"/>
      <c r="B84" s="32" t="s">
        <v>3604</v>
      </c>
      <c r="C84" s="70" t="s">
        <v>193</v>
      </c>
      <c r="D84" s="32" t="s">
        <v>3017</v>
      </c>
      <c r="E84" s="11" t="str">
        <f>HYPERLINK("https://youtu.be/g_F2A3xeYwA?t=7072","channel 4")</f>
        <v>channel 4</v>
      </c>
    </row>
    <row r="85">
      <c r="A85" s="118"/>
      <c r="B85" s="32" t="s">
        <v>3605</v>
      </c>
      <c r="C85" s="70" t="s">
        <v>193</v>
      </c>
      <c r="D85" s="32" t="s">
        <v>3580</v>
      </c>
      <c r="E85" s="11" t="str">
        <f>HYPERLINK("https://youtu.be/48lIkOiI1TE?t=7978","channel 3")</f>
        <v>channel 3</v>
      </c>
    </row>
    <row r="86">
      <c r="A86" s="118"/>
      <c r="B86" s="32" t="s">
        <v>3604</v>
      </c>
      <c r="C86" s="70" t="s">
        <v>17</v>
      </c>
      <c r="D86" s="32" t="s">
        <v>3606</v>
      </c>
      <c r="E86" s="11" t="str">
        <f>HYPERLINK("https://youtu.be/g_F2A3xeYwA?t=8009","channel 4")</f>
        <v>channel 4</v>
      </c>
    </row>
    <row r="87">
      <c r="A87" s="118"/>
      <c r="B87" s="32" t="s">
        <v>3017</v>
      </c>
      <c r="C87" s="70" t="s">
        <v>249</v>
      </c>
      <c r="D87" s="32" t="s">
        <v>3580</v>
      </c>
      <c r="E87" s="11" t="str">
        <f>HYPERLINK("https://youtu.be/48lIkOiI1TE?t=8867","channel 3")</f>
        <v>channel 3</v>
      </c>
    </row>
    <row r="88">
      <c r="A88" s="118"/>
      <c r="B88" s="32" t="s">
        <v>3605</v>
      </c>
      <c r="C88" s="70" t="s">
        <v>578</v>
      </c>
      <c r="D88" s="32" t="s">
        <v>3606</v>
      </c>
      <c r="E88" s="11" t="str">
        <f>HYPERLINK("https://youtu.be/g_F2A3xeYwA?t=8933","channel 4")</f>
        <v>channel 4</v>
      </c>
    </row>
    <row r="89">
      <c r="A89" s="118"/>
      <c r="B89" s="72" t="s">
        <v>3214</v>
      </c>
      <c r="C89" s="2"/>
      <c r="D89" s="3"/>
      <c r="E89" s="4"/>
    </row>
    <row r="90">
      <c r="A90" s="118"/>
      <c r="B90" s="16" t="s">
        <v>2</v>
      </c>
      <c r="C90" s="16" t="s">
        <v>3</v>
      </c>
      <c r="D90" s="16" t="s">
        <v>4</v>
      </c>
      <c r="E90" s="16" t="s">
        <v>5</v>
      </c>
    </row>
    <row r="91">
      <c r="A91" s="118"/>
      <c r="B91" s="119" t="s">
        <v>2290</v>
      </c>
      <c r="C91" s="70" t="s">
        <v>370</v>
      </c>
      <c r="D91" s="32" t="s">
        <v>1280</v>
      </c>
      <c r="E91" s="11" t="str">
        <f>HYPERLINK("https://youtu.be/jgtVceaGZd0","channel 1")</f>
        <v>channel 1</v>
      </c>
    </row>
    <row r="92">
      <c r="A92" s="118"/>
      <c r="B92" s="32" t="s">
        <v>3607</v>
      </c>
      <c r="C92" s="70" t="s">
        <v>273</v>
      </c>
      <c r="D92" s="32" t="s">
        <v>3389</v>
      </c>
      <c r="E92" s="11" t="str">
        <f>HYPERLINK("https://youtu.be/grG2nbaX2UI","channel 2")</f>
        <v>channel 2</v>
      </c>
    </row>
    <row r="93">
      <c r="A93" s="118"/>
      <c r="B93" s="32" t="s">
        <v>3390</v>
      </c>
      <c r="C93" s="70" t="s">
        <v>352</v>
      </c>
      <c r="D93" s="32" t="s">
        <v>2290</v>
      </c>
      <c r="E93" s="11" t="str">
        <f>HYPERLINK("https://youtu.be/jgtVceaGZd0?t=1034","channel 1")</f>
        <v>channel 1</v>
      </c>
    </row>
    <row r="94">
      <c r="A94" s="118"/>
      <c r="B94" s="32" t="s">
        <v>3607</v>
      </c>
      <c r="C94" s="70" t="s">
        <v>87</v>
      </c>
      <c r="D94" s="32" t="s">
        <v>1280</v>
      </c>
      <c r="E94" s="11" t="str">
        <f>HYPERLINK("https://youtu.be/grG2nbaX2UI?t=1049","channel 2")</f>
        <v>channel 2</v>
      </c>
    </row>
    <row r="95">
      <c r="A95" s="118"/>
      <c r="B95" s="32" t="s">
        <v>3390</v>
      </c>
      <c r="C95" s="70" t="s">
        <v>80</v>
      </c>
      <c r="D95" s="32" t="s">
        <v>3389</v>
      </c>
      <c r="E95" s="11" t="str">
        <f>HYPERLINK("https://youtu.be/jgtVceaGZd0?t=1968","channel 1")</f>
        <v>channel 1</v>
      </c>
    </row>
    <row r="96">
      <c r="A96" s="118"/>
      <c r="B96" s="32" t="s">
        <v>3607</v>
      </c>
      <c r="C96" s="70" t="s">
        <v>24</v>
      </c>
      <c r="D96" s="32" t="s">
        <v>2290</v>
      </c>
      <c r="E96" s="11" t="str">
        <f>HYPERLINK("https://youtu.be/grG2nbaX2UI?t=1960","channel 2")</f>
        <v>channel 2</v>
      </c>
    </row>
    <row r="97">
      <c r="A97" s="118"/>
      <c r="B97" s="32" t="s">
        <v>3390</v>
      </c>
      <c r="C97" s="70" t="s">
        <v>190</v>
      </c>
      <c r="D97" s="32" t="s">
        <v>1280</v>
      </c>
      <c r="E97" s="11" t="str">
        <f>HYPERLINK("https://youtu.be/jgtVceaGZd0?t=2904","channel 1")</f>
        <v>channel 1</v>
      </c>
    </row>
    <row r="98">
      <c r="A98" s="118"/>
      <c r="B98" s="32" t="s">
        <v>3389</v>
      </c>
      <c r="C98" s="70" t="s">
        <v>1088</v>
      </c>
      <c r="D98" s="32" t="s">
        <v>2290</v>
      </c>
      <c r="E98" s="11" t="str">
        <f>HYPERLINK("https://youtu.be/grG2nbaX2UI?t=2913","channel 2")</f>
        <v>channel 2</v>
      </c>
    </row>
    <row r="99">
      <c r="A99" s="118"/>
      <c r="B99" s="32" t="s">
        <v>3390</v>
      </c>
      <c r="C99" s="70" t="s">
        <v>21</v>
      </c>
      <c r="D99" s="32" t="s">
        <v>3607</v>
      </c>
      <c r="E99" s="11" t="str">
        <f>HYPERLINK("https://youtu.be/jgtVceaGZd0?t=3856","channel 1")</f>
        <v>channel 1</v>
      </c>
    </row>
    <row r="100">
      <c r="A100" s="118"/>
      <c r="B100" s="32" t="s">
        <v>3389</v>
      </c>
      <c r="C100" s="70" t="s">
        <v>218</v>
      </c>
      <c r="D100" s="32" t="s">
        <v>1280</v>
      </c>
      <c r="E100" s="11" t="str">
        <f>HYPERLINK("https://youtu.be/grG2nbaX2UI?t=3843","channel 2")</f>
        <v>channel 2</v>
      </c>
    </row>
    <row r="101">
      <c r="A101" s="118"/>
      <c r="B101" s="32" t="s">
        <v>1280</v>
      </c>
      <c r="C101" s="70" t="s">
        <v>190</v>
      </c>
      <c r="D101" s="32" t="s">
        <v>2290</v>
      </c>
      <c r="E101" s="11" t="str">
        <f>HYPERLINK("https://youtu.be/jgtVceaGZd0?t=4876","channel 1")</f>
        <v>channel 1</v>
      </c>
    </row>
    <row r="102">
      <c r="A102" s="118"/>
      <c r="B102" s="32" t="s">
        <v>3389</v>
      </c>
      <c r="C102" s="70" t="s">
        <v>220</v>
      </c>
      <c r="D102" s="32" t="s">
        <v>3607</v>
      </c>
      <c r="E102" s="11" t="str">
        <f>HYPERLINK("https://youtu.be/grG2nbaX2UI?t=4884","channel 2")</f>
        <v>channel 2</v>
      </c>
    </row>
    <row r="103">
      <c r="A103" s="118"/>
      <c r="B103" s="32" t="s">
        <v>2290</v>
      </c>
      <c r="C103" s="70" t="s">
        <v>285</v>
      </c>
      <c r="D103" s="32" t="s">
        <v>3390</v>
      </c>
      <c r="E103" s="11" t="str">
        <f>HYPERLINK("https://youtu.be/jgtVceaGZd0?t=5781","channel 1")</f>
        <v>channel 1</v>
      </c>
    </row>
    <row r="104">
      <c r="A104" s="118"/>
      <c r="B104" s="32" t="s">
        <v>1280</v>
      </c>
      <c r="C104" s="70" t="s">
        <v>297</v>
      </c>
      <c r="D104" s="32" t="s">
        <v>3607</v>
      </c>
      <c r="E104" s="11" t="str">
        <f>HYPERLINK("https://youtu.be/grG2nbaX2UI?t=5814","channel 2")</f>
        <v>channel 2</v>
      </c>
    </row>
    <row r="105">
      <c r="A105" s="118"/>
      <c r="B105" s="32" t="s">
        <v>3389</v>
      </c>
      <c r="C105" s="70" t="s">
        <v>259</v>
      </c>
      <c r="D105" s="32" t="s">
        <v>3390</v>
      </c>
      <c r="E105" s="11" t="str">
        <f>HYPERLINK("https://youtu.be/jgtVceaGZd0?t=6725","channel 1")</f>
        <v>channel 1</v>
      </c>
    </row>
    <row r="106">
      <c r="A106" s="118"/>
      <c r="B106" s="32" t="s">
        <v>2290</v>
      </c>
      <c r="C106" s="70" t="s">
        <v>3608</v>
      </c>
      <c r="D106" s="32" t="s">
        <v>3607</v>
      </c>
      <c r="E106" s="11" t="str">
        <f>HYPERLINK("https://youtu.be/grG2nbaX2UI?t=6729","channel 2")</f>
        <v>channel 2</v>
      </c>
    </row>
    <row r="107">
      <c r="A107" s="118"/>
      <c r="B107" s="32" t="s">
        <v>1280</v>
      </c>
      <c r="C107" s="70" t="s">
        <v>260</v>
      </c>
      <c r="D107" s="32" t="s">
        <v>3390</v>
      </c>
      <c r="E107" s="11" t="str">
        <f>HYPERLINK("https://youtu.be/jgtVceaGZd0?t=7658","channel 1")</f>
        <v>channel 1</v>
      </c>
    </row>
    <row r="108">
      <c r="A108" s="118"/>
      <c r="B108" s="32" t="s">
        <v>2290</v>
      </c>
      <c r="C108" s="70" t="s">
        <v>16</v>
      </c>
      <c r="D108" s="32" t="s">
        <v>3389</v>
      </c>
      <c r="E108" s="11" t="str">
        <f>HYPERLINK("https://youtu.be/grG2nbaX2UI?t=7644","channel 2")</f>
        <v>channel 2</v>
      </c>
    </row>
    <row r="109">
      <c r="A109" s="118"/>
      <c r="B109" s="32" t="s">
        <v>3607</v>
      </c>
      <c r="C109" s="70" t="s">
        <v>187</v>
      </c>
      <c r="D109" s="32" t="s">
        <v>3390</v>
      </c>
      <c r="E109" s="11" t="str">
        <f>HYPERLINK("https://youtu.be/jgtVceaGZd0?t=8541","channel 1")</f>
        <v>channel 1</v>
      </c>
    </row>
    <row r="110">
      <c r="A110" s="118"/>
      <c r="B110" s="32" t="s">
        <v>1280</v>
      </c>
      <c r="C110" s="70" t="s">
        <v>66</v>
      </c>
      <c r="D110" s="32" t="s">
        <v>3389</v>
      </c>
      <c r="E110" s="11" t="str">
        <f>HYPERLINK("https://youtu.be/grG2nbaX2UI?t=8607","channel 2")</f>
        <v>channel 2</v>
      </c>
    </row>
    <row r="111">
      <c r="A111" s="118"/>
      <c r="B111" s="72" t="s">
        <v>1435</v>
      </c>
      <c r="C111" s="2"/>
      <c r="D111" s="3"/>
      <c r="E111" s="4"/>
    </row>
    <row r="112">
      <c r="A112" s="118"/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A113" s="118"/>
      <c r="B113" s="32" t="s">
        <v>3609</v>
      </c>
      <c r="C113" s="70" t="s">
        <v>201</v>
      </c>
      <c r="D113" s="32" t="s">
        <v>3610</v>
      </c>
      <c r="E113" s="11" t="str">
        <f>HYPERLINK("https://youtu.be/ahnah1LVYGc","channel 1")</f>
        <v>channel 1</v>
      </c>
    </row>
    <row r="114">
      <c r="A114" s="118"/>
      <c r="B114" s="32" t="s">
        <v>3611</v>
      </c>
      <c r="C114" s="70" t="s">
        <v>506</v>
      </c>
      <c r="D114" s="32" t="s">
        <v>3612</v>
      </c>
      <c r="E114" s="11" t="str">
        <f>HYPERLINK("https://youtu.be/2O_Kh1vfcIY","channel 2")</f>
        <v>channel 2</v>
      </c>
    </row>
    <row r="115">
      <c r="A115" s="118"/>
      <c r="B115" s="32" t="s">
        <v>1214</v>
      </c>
      <c r="C115" s="70" t="s">
        <v>757</v>
      </c>
      <c r="D115" s="32" t="s">
        <v>3609</v>
      </c>
      <c r="E115" s="11" t="str">
        <f>HYPERLINK("https://youtu.be/ahnah1LVYGc?t=1169","channel 1")</f>
        <v>channel 1</v>
      </c>
    </row>
    <row r="116">
      <c r="A116" s="118"/>
      <c r="B116" s="32" t="s">
        <v>3611</v>
      </c>
      <c r="C116" s="70" t="s">
        <v>87</v>
      </c>
      <c r="D116" s="32" t="s">
        <v>3610</v>
      </c>
      <c r="E116" s="11" t="str">
        <f>HYPERLINK("https://youtu.be/2O_Kh1vfcIY?t=1116","channel 2")</f>
        <v>channel 2</v>
      </c>
    </row>
    <row r="117">
      <c r="A117" s="118"/>
      <c r="B117" s="32" t="s">
        <v>1214</v>
      </c>
      <c r="C117" s="70" t="s">
        <v>68</v>
      </c>
      <c r="D117" s="32" t="s">
        <v>3612</v>
      </c>
      <c r="E117" s="11" t="str">
        <f>HYPERLINK("https://youtu.be/ahnah1LVYGc?t=2137","channel 1")</f>
        <v>channel 1</v>
      </c>
    </row>
    <row r="118">
      <c r="A118" s="118"/>
      <c r="B118" s="32" t="s">
        <v>3611</v>
      </c>
      <c r="C118" s="70" t="s">
        <v>16</v>
      </c>
      <c r="D118" s="32" t="s">
        <v>3609</v>
      </c>
      <c r="E118" s="11" t="str">
        <f>HYPERLINK("https://youtu.be/2O_Kh1vfcIY?t=2057","channel 2")</f>
        <v>channel 2</v>
      </c>
    </row>
    <row r="119">
      <c r="A119" s="118"/>
      <c r="B119" s="32" t="s">
        <v>1214</v>
      </c>
      <c r="C119" s="70" t="s">
        <v>42</v>
      </c>
      <c r="D119" s="32" t="s">
        <v>3610</v>
      </c>
      <c r="E119" s="11" t="str">
        <f>HYPERLINK("https://youtu.be/ahnah1LVYGc?t=3035","channel 1")</f>
        <v>channel 1</v>
      </c>
    </row>
    <row r="120">
      <c r="A120" s="118"/>
      <c r="B120" s="32" t="s">
        <v>3612</v>
      </c>
      <c r="C120" s="70" t="s">
        <v>1578</v>
      </c>
      <c r="D120" s="32" t="s">
        <v>3609</v>
      </c>
      <c r="E120" s="11" t="str">
        <f>HYPERLINK("https://youtu.be/2O_Kh1vfcIY?t=3018","channel 2")</f>
        <v>channel 2</v>
      </c>
    </row>
    <row r="121">
      <c r="A121" s="118"/>
      <c r="B121" s="32" t="s">
        <v>1214</v>
      </c>
      <c r="C121" s="70" t="s">
        <v>28</v>
      </c>
      <c r="D121" s="32" t="s">
        <v>3611</v>
      </c>
      <c r="E121" s="11" t="str">
        <f>HYPERLINK("https://youtu.be/ahnah1LVYGc?t=3980","channel 1")</f>
        <v>channel 1</v>
      </c>
    </row>
    <row r="122">
      <c r="A122" s="118"/>
      <c r="B122" s="32" t="s">
        <v>3612</v>
      </c>
      <c r="C122" s="70" t="s">
        <v>260</v>
      </c>
      <c r="D122" s="32" t="s">
        <v>3610</v>
      </c>
      <c r="E122" s="11" t="str">
        <f>HYPERLINK("https://youtu.be/2O_Kh1vfcIY?t=3961","channel 2")</f>
        <v>channel 2</v>
      </c>
    </row>
    <row r="123">
      <c r="A123" s="118"/>
      <c r="B123" s="32" t="s">
        <v>3610</v>
      </c>
      <c r="C123" s="70" t="s">
        <v>793</v>
      </c>
      <c r="D123" s="32" t="s">
        <v>3609</v>
      </c>
      <c r="E123" s="11" t="str">
        <f>HYPERLINK("https://youtu.be/ahnah1LVYGc?t=4943","channel 1")</f>
        <v>channel 1</v>
      </c>
    </row>
    <row r="124">
      <c r="A124" s="118"/>
      <c r="B124" s="32" t="s">
        <v>3612</v>
      </c>
      <c r="C124" s="70" t="s">
        <v>197</v>
      </c>
      <c r="D124" s="32" t="s">
        <v>3611</v>
      </c>
      <c r="E124" s="11" t="str">
        <f>HYPERLINK("https://youtu.be/2O_Kh1vfcIY?t=4870","channel 2")</f>
        <v>channel 2</v>
      </c>
    </row>
    <row r="125">
      <c r="A125" s="118"/>
      <c r="B125" s="32" t="s">
        <v>3609</v>
      </c>
      <c r="C125" s="70" t="s">
        <v>885</v>
      </c>
      <c r="D125" s="32" t="s">
        <v>1214</v>
      </c>
      <c r="E125" s="11" t="str">
        <f>HYPERLINK("https://youtu.be/ahnah1LVYGc?t=5856","channel 1")</f>
        <v>channel 1</v>
      </c>
    </row>
    <row r="126">
      <c r="A126" s="118"/>
      <c r="B126" s="32" t="s">
        <v>3610</v>
      </c>
      <c r="C126" s="70" t="s">
        <v>196</v>
      </c>
      <c r="D126" s="32" t="s">
        <v>3611</v>
      </c>
      <c r="E126" s="11" t="str">
        <f>HYPERLINK("https://youtu.be/2O_Kh1vfcIY?t=5820","channel 2")</f>
        <v>channel 2</v>
      </c>
    </row>
    <row r="127">
      <c r="A127" s="118"/>
      <c r="B127" s="32" t="s">
        <v>3612</v>
      </c>
      <c r="C127" s="70" t="s">
        <v>58</v>
      </c>
      <c r="D127" s="32" t="s">
        <v>1214</v>
      </c>
      <c r="E127" s="11" t="str">
        <f>HYPERLINK("https://youtu.be/ahnah1LVYGc?t=6795","channel 1")</f>
        <v>channel 1</v>
      </c>
    </row>
    <row r="128">
      <c r="A128" s="118"/>
      <c r="B128" s="32" t="s">
        <v>3609</v>
      </c>
      <c r="C128" s="70" t="s">
        <v>232</v>
      </c>
      <c r="D128" s="32" t="s">
        <v>3611</v>
      </c>
      <c r="E128" s="11" t="str">
        <f>HYPERLINK("https://youtu.be/2O_Kh1vfcIY?t=6729","channel 2")</f>
        <v>channel 2</v>
      </c>
    </row>
    <row r="129">
      <c r="A129" s="118"/>
      <c r="B129" s="32" t="s">
        <v>3610</v>
      </c>
      <c r="C129" s="70" t="s">
        <v>506</v>
      </c>
      <c r="D129" s="32" t="s">
        <v>1214</v>
      </c>
      <c r="E129" s="11" t="str">
        <f>HYPERLINK("https://youtu.be/ahnah1LVYGc?t=7738","channel 1")</f>
        <v>channel 1</v>
      </c>
    </row>
    <row r="130">
      <c r="A130" s="118"/>
      <c r="B130" s="32" t="s">
        <v>3609</v>
      </c>
      <c r="C130" s="70" t="s">
        <v>43</v>
      </c>
      <c r="D130" s="32" t="s">
        <v>3612</v>
      </c>
      <c r="E130" s="11" t="str">
        <f>HYPERLINK("https://youtu.be/2O_Kh1vfcIY?t=7689","channel 2")</f>
        <v>channel 2</v>
      </c>
    </row>
    <row r="131">
      <c r="A131" s="118"/>
      <c r="B131" s="32" t="s">
        <v>3611</v>
      </c>
      <c r="C131" s="70" t="s">
        <v>35</v>
      </c>
      <c r="D131" s="32" t="s">
        <v>1214</v>
      </c>
      <c r="E131" s="11" t="str">
        <f>HYPERLINK("https://youtu.be/ahnah1LVYGc?t=8705","channel 1")</f>
        <v>channel 1</v>
      </c>
    </row>
    <row r="132">
      <c r="A132" s="122"/>
      <c r="B132" s="32" t="s">
        <v>3610</v>
      </c>
      <c r="C132" s="70" t="s">
        <v>544</v>
      </c>
      <c r="D132" s="32" t="s">
        <v>3612</v>
      </c>
      <c r="E132" s="11" t="str">
        <f>HYPERLINK("https://youtu.be/2O_Kh1vfcIY?t=8597","channel 2")</f>
        <v>channel 2</v>
      </c>
    </row>
    <row r="133">
      <c r="B133" s="72" t="s">
        <v>2997</v>
      </c>
      <c r="C133" s="2"/>
      <c r="D133" s="3"/>
      <c r="E133" s="2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34" t="s">
        <v>3156</v>
      </c>
      <c r="C135" s="70" t="s">
        <v>64</v>
      </c>
      <c r="D135" s="32" t="s">
        <v>3613</v>
      </c>
      <c r="E135" s="11" t="str">
        <f>HYPERLINK("https://youtu.be/aq3a90lgBjk","channel 3")</f>
        <v>channel 3</v>
      </c>
    </row>
    <row r="136">
      <c r="B136" s="34" t="s">
        <v>2400</v>
      </c>
      <c r="C136" s="70" t="s">
        <v>20</v>
      </c>
      <c r="D136" s="34" t="s">
        <v>1945</v>
      </c>
      <c r="E136" s="11" t="str">
        <f>HYPERLINK("https://youtu.be/gKhXxF6Rfxk","channel 4")</f>
        <v>channel 4</v>
      </c>
    </row>
    <row r="137">
      <c r="B137" s="34" t="s">
        <v>2736</v>
      </c>
      <c r="C137" s="70" t="s">
        <v>353</v>
      </c>
      <c r="D137" s="34" t="s">
        <v>3156</v>
      </c>
      <c r="E137" s="11" t="str">
        <f>HYPERLINK("https://youtu.be/aq3a90lgBjk?t=938","channel 3")</f>
        <v>channel 3</v>
      </c>
    </row>
    <row r="138">
      <c r="B138" s="34" t="s">
        <v>2400</v>
      </c>
      <c r="C138" s="70" t="s">
        <v>218</v>
      </c>
      <c r="D138" s="32" t="s">
        <v>3613</v>
      </c>
      <c r="E138" s="11" t="str">
        <f>HYPERLINK("https://youtu.be/gKhXxF6Rfxk?t=968","channel 4")</f>
        <v>channel 4</v>
      </c>
    </row>
    <row r="139">
      <c r="B139" s="34" t="s">
        <v>2736</v>
      </c>
      <c r="C139" s="70" t="s">
        <v>64</v>
      </c>
      <c r="D139" s="34" t="s">
        <v>1945</v>
      </c>
      <c r="E139" s="11" t="str">
        <f>HYPERLINK("https://youtu.be/aq3a90lgBjk?t=1878","channel 3")</f>
        <v>channel 3</v>
      </c>
    </row>
    <row r="140">
      <c r="B140" s="34" t="s">
        <v>2400</v>
      </c>
      <c r="C140" s="70" t="s">
        <v>435</v>
      </c>
      <c r="D140" s="34" t="s">
        <v>3156</v>
      </c>
      <c r="E140" s="11" t="str">
        <f>HYPERLINK("https://youtu.be/gKhXxF6Rfxk?t=1953","channel 4")</f>
        <v>channel 4</v>
      </c>
    </row>
    <row r="141">
      <c r="B141" s="34" t="s">
        <v>2736</v>
      </c>
      <c r="C141" s="70" t="s">
        <v>48</v>
      </c>
      <c r="D141" s="32" t="s">
        <v>3613</v>
      </c>
      <c r="E141" s="11" t="str">
        <f>HYPERLINK("https://youtu.be/aq3a90lgBjk?t=2778","channel 3")</f>
        <v>channel 3</v>
      </c>
    </row>
    <row r="142">
      <c r="B142" s="34" t="s">
        <v>1945</v>
      </c>
      <c r="C142" s="70" t="s">
        <v>87</v>
      </c>
      <c r="D142" s="34" t="s">
        <v>3156</v>
      </c>
      <c r="E142" s="11" t="str">
        <f>HYPERLINK("https://youtu.be/gKhXxF6Rfxk?t=3012","channel 4")</f>
        <v>channel 4</v>
      </c>
    </row>
    <row r="143">
      <c r="B143" s="34" t="s">
        <v>2736</v>
      </c>
      <c r="C143" s="70" t="s">
        <v>83</v>
      </c>
      <c r="D143" s="34" t="s">
        <v>2400</v>
      </c>
      <c r="E143" s="11" t="str">
        <f>HYPERLINK("https://youtu.be/aq3a90lgBjk?t=3748","channel 3")</f>
        <v>channel 3</v>
      </c>
    </row>
    <row r="144">
      <c r="B144" s="34" t="s">
        <v>1945</v>
      </c>
      <c r="C144" s="70" t="s">
        <v>45</v>
      </c>
      <c r="D144" s="32" t="s">
        <v>3613</v>
      </c>
      <c r="E144" s="11" t="str">
        <f>HYPERLINK("https://youtu.be/gKhXxF6Rfxk?t=3908","channel 4")</f>
        <v>channel 4</v>
      </c>
    </row>
    <row r="145">
      <c r="B145" s="32" t="s">
        <v>3613</v>
      </c>
      <c r="C145" s="70" t="s">
        <v>404</v>
      </c>
      <c r="D145" s="34" t="s">
        <v>3156</v>
      </c>
      <c r="E145" s="11" t="str">
        <f>HYPERLINK("https://youtu.be/aq3a90lgBjk?t=4713","channel 3")</f>
        <v>channel 3</v>
      </c>
    </row>
    <row r="146">
      <c r="B146" s="34" t="s">
        <v>1945</v>
      </c>
      <c r="C146" s="70" t="s">
        <v>16</v>
      </c>
      <c r="D146" s="34" t="s">
        <v>2400</v>
      </c>
      <c r="E146" s="11" t="str">
        <f>HYPERLINK("https://youtu.be/gKhXxF6Rfxk?t=4959","channel 4")</f>
        <v>channel 4</v>
      </c>
    </row>
    <row r="147">
      <c r="B147" s="34" t="s">
        <v>3156</v>
      </c>
      <c r="C147" s="70" t="s">
        <v>24</v>
      </c>
      <c r="D147" s="34" t="s">
        <v>2736</v>
      </c>
      <c r="E147" s="11" t="str">
        <f>HYPERLINK("https://youtu.be/aq3a90lgBjk?t=5710","channel 3")</f>
        <v>channel 3</v>
      </c>
    </row>
    <row r="148">
      <c r="B148" s="32" t="s">
        <v>3613</v>
      </c>
      <c r="C148" s="70" t="s">
        <v>544</v>
      </c>
      <c r="D148" s="34" t="s">
        <v>2400</v>
      </c>
      <c r="E148" s="11" t="str">
        <f>HYPERLINK("https://youtu.be/gKhXxF6Rfxk?t=5792","channel 4")</f>
        <v>channel 4</v>
      </c>
    </row>
    <row r="149">
      <c r="B149" s="34" t="s">
        <v>1945</v>
      </c>
      <c r="C149" s="70" t="s">
        <v>23</v>
      </c>
      <c r="D149" s="34" t="s">
        <v>2736</v>
      </c>
      <c r="E149" s="11" t="str">
        <f>HYPERLINK("https://youtu.be/aq3a90lgBjk?t=6714","channel 3")</f>
        <v>channel 3</v>
      </c>
    </row>
    <row r="150">
      <c r="B150" s="34" t="s">
        <v>3156</v>
      </c>
      <c r="C150" s="70" t="s">
        <v>17</v>
      </c>
      <c r="D150" s="34" t="s">
        <v>2400</v>
      </c>
      <c r="E150" s="11" t="str">
        <f>HYPERLINK("https://youtu.be/gKhXxF6Rfxk?t=6648","channel 4")</f>
        <v>channel 4</v>
      </c>
    </row>
    <row r="151">
      <c r="B151" s="32" t="s">
        <v>3613</v>
      </c>
      <c r="C151" s="70" t="s">
        <v>49</v>
      </c>
      <c r="D151" s="34" t="s">
        <v>2736</v>
      </c>
      <c r="E151" s="11" t="str">
        <f>HYPERLINK("https://youtu.be/aq3a90lgBjk?t=7705","channel 3")</f>
        <v>channel 3</v>
      </c>
    </row>
    <row r="152">
      <c r="B152" s="34" t="s">
        <v>3156</v>
      </c>
      <c r="C152" s="70" t="s">
        <v>38</v>
      </c>
      <c r="D152" s="34" t="s">
        <v>1945</v>
      </c>
      <c r="E152" s="11" t="str">
        <f>HYPERLINK("https://youtu.be/gKhXxF6Rfxk?t=7617","channel 4")</f>
        <v>channel 4</v>
      </c>
    </row>
    <row r="153">
      <c r="B153" s="34" t="s">
        <v>2400</v>
      </c>
      <c r="C153" s="70" t="s">
        <v>28</v>
      </c>
      <c r="D153" s="34" t="s">
        <v>2736</v>
      </c>
      <c r="E153" s="11" t="str">
        <f>HYPERLINK("https://youtu.be/aq3a90lgBjk?t=8601","channel 3")</f>
        <v>channel 3</v>
      </c>
    </row>
    <row r="154">
      <c r="B154" s="32" t="s">
        <v>3613</v>
      </c>
      <c r="C154" s="70" t="s">
        <v>81</v>
      </c>
      <c r="D154" s="34" t="s">
        <v>1945</v>
      </c>
      <c r="E154" s="11" t="str">
        <f>HYPERLINK("https://youtu.be/gKhXxF6Rfxk?t=8530","channel 4")</f>
        <v>channel 4</v>
      </c>
    </row>
    <row r="155">
      <c r="B155" s="72" t="s">
        <v>2571</v>
      </c>
      <c r="C155" s="2"/>
      <c r="D155" s="3"/>
      <c r="E155" s="2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7" t="s">
        <v>3614</v>
      </c>
      <c r="C157" s="70" t="s">
        <v>87</v>
      </c>
      <c r="D157" s="32" t="s">
        <v>3615</v>
      </c>
      <c r="E157" s="11" t="str">
        <f>HYPERLINK("https://youtu.be/uEbVnzA8If0","channel 3")</f>
        <v>channel 3</v>
      </c>
    </row>
    <row r="158">
      <c r="B158" s="32" t="s">
        <v>1225</v>
      </c>
      <c r="C158" s="70" t="s">
        <v>45</v>
      </c>
      <c r="D158" s="34" t="s">
        <v>3616</v>
      </c>
      <c r="E158" s="11" t="str">
        <f>HYPERLINK("https://youtu.be/G1pPLB-f238","channel 4")</f>
        <v>channel 4</v>
      </c>
    </row>
    <row r="159">
      <c r="B159" s="34" t="s">
        <v>3617</v>
      </c>
      <c r="C159" s="70" t="s">
        <v>66</v>
      </c>
      <c r="D159" s="34" t="s">
        <v>3614</v>
      </c>
      <c r="E159" s="11" t="str">
        <f>HYPERLINK("https://youtu.be/uEbVnzA8If0?t=1046","channel 3")</f>
        <v>channel 3</v>
      </c>
    </row>
    <row r="160">
      <c r="B160" s="32" t="s">
        <v>1225</v>
      </c>
      <c r="C160" s="70" t="s">
        <v>43</v>
      </c>
      <c r="D160" s="32" t="s">
        <v>3615</v>
      </c>
      <c r="E160" s="11" t="str">
        <f>HYPERLINK("https://youtu.be/G1pPLB-f238?t=1173","channel 4")</f>
        <v>channel 4</v>
      </c>
    </row>
    <row r="161">
      <c r="B161" s="34" t="s">
        <v>3617</v>
      </c>
      <c r="C161" s="70" t="s">
        <v>2959</v>
      </c>
      <c r="D161" s="34" t="s">
        <v>3616</v>
      </c>
      <c r="E161" s="11" t="str">
        <f>HYPERLINK("https://youtu.be/uEbVnzA8If0?t=1997","channel 3")</f>
        <v>channel 3</v>
      </c>
    </row>
    <row r="162">
      <c r="B162" s="32" t="s">
        <v>1225</v>
      </c>
      <c r="C162" s="70" t="s">
        <v>82</v>
      </c>
      <c r="D162" s="34" t="s">
        <v>3614</v>
      </c>
      <c r="E162" s="11" t="str">
        <f>HYPERLINK("https://youtu.be/G1pPLB-f238?t=2018","channel 4")</f>
        <v>channel 4</v>
      </c>
    </row>
    <row r="163">
      <c r="B163" s="34" t="s">
        <v>3617</v>
      </c>
      <c r="C163" s="70" t="s">
        <v>357</v>
      </c>
      <c r="D163" s="32" t="s">
        <v>3615</v>
      </c>
      <c r="E163" s="11" t="str">
        <f>HYPERLINK("https://youtu.be/uEbVnzA8If0?t=3019","channel 3")</f>
        <v>channel 3</v>
      </c>
    </row>
    <row r="164">
      <c r="B164" s="34" t="s">
        <v>3616</v>
      </c>
      <c r="C164" s="70" t="s">
        <v>203</v>
      </c>
      <c r="D164" s="34" t="s">
        <v>3614</v>
      </c>
      <c r="E164" s="11" t="str">
        <f>HYPERLINK("https://youtu.be/G1pPLB-f238?t=2902","channel 4")</f>
        <v>channel 4</v>
      </c>
    </row>
    <row r="165">
      <c r="B165" s="34" t="s">
        <v>3617</v>
      </c>
      <c r="C165" s="70" t="s">
        <v>355</v>
      </c>
      <c r="D165" s="32" t="s">
        <v>1225</v>
      </c>
      <c r="E165" s="11" t="str">
        <f>HYPERLINK("https://youtu.be/uEbVnzA8If0?t=3908","channel 3")</f>
        <v>channel 3</v>
      </c>
    </row>
    <row r="166">
      <c r="B166" s="34" t="s">
        <v>3616</v>
      </c>
      <c r="C166" s="70" t="s">
        <v>522</v>
      </c>
      <c r="D166" s="32" t="s">
        <v>3615</v>
      </c>
      <c r="E166" s="11" t="str">
        <f>HYPERLINK("https://youtu.be/G1pPLB-f238?t=3782","channel 4")</f>
        <v>channel 4</v>
      </c>
    </row>
    <row r="167">
      <c r="B167" s="32" t="s">
        <v>3615</v>
      </c>
      <c r="C167" s="70" t="s">
        <v>87</v>
      </c>
      <c r="D167" s="34" t="s">
        <v>3614</v>
      </c>
      <c r="E167" s="11" t="str">
        <f>HYPERLINK("https://youtu.be/uEbVnzA8If0?t=4821","channel 3")</f>
        <v>channel 3</v>
      </c>
    </row>
    <row r="168">
      <c r="B168" s="34" t="s">
        <v>3616</v>
      </c>
      <c r="C168" s="70" t="s">
        <v>17</v>
      </c>
      <c r="D168" s="32" t="s">
        <v>1225</v>
      </c>
      <c r="E168" s="11" t="str">
        <f>HYPERLINK("https://youtu.be/G1pPLB-f238?t=4775","channel 4")</f>
        <v>channel 4</v>
      </c>
    </row>
    <row r="169">
      <c r="B169" s="34" t="s">
        <v>3614</v>
      </c>
      <c r="C169" s="70" t="s">
        <v>328</v>
      </c>
      <c r="D169" s="34" t="s">
        <v>3617</v>
      </c>
      <c r="E169" s="11" t="str">
        <f>HYPERLINK("https://youtu.be/uEbVnzA8If0?t=5768","channel 3")</f>
        <v>channel 3</v>
      </c>
    </row>
    <row r="170">
      <c r="B170" s="32" t="s">
        <v>3615</v>
      </c>
      <c r="C170" s="70" t="s">
        <v>520</v>
      </c>
      <c r="D170" s="32" t="s">
        <v>1225</v>
      </c>
      <c r="E170" s="11" t="str">
        <f>HYPERLINK("https://youtu.be/G1pPLB-f238?t=5723","channel 4")</f>
        <v>channel 4</v>
      </c>
    </row>
    <row r="171">
      <c r="B171" s="34" t="s">
        <v>3616</v>
      </c>
      <c r="C171" s="70" t="s">
        <v>218</v>
      </c>
      <c r="D171" s="34" t="s">
        <v>3617</v>
      </c>
      <c r="E171" s="11" t="str">
        <f>HYPERLINK("https://youtu.be/uEbVnzA8If0?t=6704","channel 3")</f>
        <v>channel 3</v>
      </c>
    </row>
    <row r="172">
      <c r="B172" s="34" t="s">
        <v>3614</v>
      </c>
      <c r="C172" s="70" t="s">
        <v>31</v>
      </c>
      <c r="D172" s="32" t="s">
        <v>1225</v>
      </c>
      <c r="E172" s="11" t="str">
        <f>HYPERLINK("https://youtu.be/G1pPLB-f238?t=6660","channel 4")</f>
        <v>channel 4</v>
      </c>
    </row>
    <row r="173">
      <c r="B173" s="32" t="s">
        <v>3615</v>
      </c>
      <c r="C173" s="70" t="s">
        <v>48</v>
      </c>
      <c r="D173" s="34" t="s">
        <v>3617</v>
      </c>
      <c r="E173" s="11" t="str">
        <f>HYPERLINK("https://youtu.be/uEbVnzA8If0?t=7615","channel 3")</f>
        <v>channel 3</v>
      </c>
    </row>
    <row r="174">
      <c r="B174" s="34" t="s">
        <v>3614</v>
      </c>
      <c r="C174" s="70" t="s">
        <v>273</v>
      </c>
      <c r="D174" s="34" t="s">
        <v>3616</v>
      </c>
      <c r="E174" s="11" t="str">
        <f>HYPERLINK("https://youtu.be/G1pPLB-f238?t=7576","channel 4")</f>
        <v>channel 4</v>
      </c>
    </row>
    <row r="175">
      <c r="B175" s="32" t="s">
        <v>1225</v>
      </c>
      <c r="C175" s="70" t="s">
        <v>797</v>
      </c>
      <c r="D175" s="34" t="s">
        <v>3617</v>
      </c>
      <c r="E175" s="11" t="str">
        <f>HYPERLINK("https://youtu.be/uEbVnzA8If0?t=8508","channel 3")</f>
        <v>channel 3</v>
      </c>
    </row>
    <row r="176">
      <c r="B176" s="32" t="s">
        <v>3615</v>
      </c>
      <c r="C176" s="70" t="s">
        <v>3618</v>
      </c>
      <c r="D176" s="34" t="s">
        <v>3616</v>
      </c>
      <c r="E176" s="11" t="str">
        <f>HYPERLINK("https://youtu.be/G1pPLB-f238?t=8488","channel 4")</f>
        <v>channel 4</v>
      </c>
    </row>
    <row r="177">
      <c r="B177" s="72" t="s">
        <v>2394</v>
      </c>
      <c r="C177" s="2"/>
      <c r="D177" s="3"/>
      <c r="E177" s="2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34" t="s">
        <v>1024</v>
      </c>
      <c r="C179" s="70" t="s">
        <v>814</v>
      </c>
      <c r="D179" s="34" t="s">
        <v>1247</v>
      </c>
      <c r="E179" s="11" t="str">
        <f>HYPERLINK("https://youtu.be/FWCIJxkhOf4","channel 1")</f>
        <v>channel 1</v>
      </c>
    </row>
    <row r="180">
      <c r="B180" s="34" t="s">
        <v>1573</v>
      </c>
      <c r="C180" s="70" t="s">
        <v>48</v>
      </c>
      <c r="D180" s="34" t="s">
        <v>2371</v>
      </c>
      <c r="E180" s="11" t="str">
        <f>HYPERLINK("https://youtu.be/0V2_P_xr3xs","channel 2")</f>
        <v>channel 2</v>
      </c>
    </row>
    <row r="181">
      <c r="B181" s="34" t="s">
        <v>1571</v>
      </c>
      <c r="C181" s="70" t="s">
        <v>68</v>
      </c>
      <c r="D181" s="34" t="s">
        <v>1024</v>
      </c>
      <c r="E181" s="11" t="str">
        <f>HYPERLINK("https://youtu.be/FWCIJxkhOf4?t=954","channel 1")</f>
        <v>channel 1</v>
      </c>
    </row>
    <row r="182">
      <c r="B182" s="34" t="s">
        <v>1573</v>
      </c>
      <c r="C182" s="70" t="s">
        <v>87</v>
      </c>
      <c r="D182" s="34" t="s">
        <v>1247</v>
      </c>
      <c r="E182" s="11" t="str">
        <f>HYPERLINK("https://youtu.be/0V2_P_xr3xs?t=967","channel 2")</f>
        <v>channel 2</v>
      </c>
    </row>
    <row r="183">
      <c r="B183" s="34" t="s">
        <v>1571</v>
      </c>
      <c r="C183" s="70" t="s">
        <v>81</v>
      </c>
      <c r="D183" s="34" t="s">
        <v>2371</v>
      </c>
      <c r="E183" s="11" t="str">
        <f>HYPERLINK("https://youtu.be/FWCIJxkhOf4?t=1780","channel 1")</f>
        <v>channel 1</v>
      </c>
    </row>
    <row r="184">
      <c r="B184" s="34" t="s">
        <v>1573</v>
      </c>
      <c r="C184" s="70" t="s">
        <v>7</v>
      </c>
      <c r="D184" s="34" t="s">
        <v>1024</v>
      </c>
      <c r="E184" s="11" t="str">
        <f>HYPERLINK("https://youtu.be/0V2_P_xr3xs?t=1864","channel 2")</f>
        <v>channel 2</v>
      </c>
    </row>
    <row r="185">
      <c r="B185" s="34" t="s">
        <v>1571</v>
      </c>
      <c r="C185" s="70" t="s">
        <v>67</v>
      </c>
      <c r="D185" s="34" t="s">
        <v>1247</v>
      </c>
      <c r="E185" s="11" t="str">
        <f>HYPERLINK("https://youtu.be/FWCIJxkhOf4?t=2669","channel 1")</f>
        <v>channel 1</v>
      </c>
    </row>
    <row r="186">
      <c r="B186" s="34" t="s">
        <v>2371</v>
      </c>
      <c r="C186" s="70" t="s">
        <v>81</v>
      </c>
      <c r="D186" s="34" t="s">
        <v>1024</v>
      </c>
      <c r="E186" s="11" t="str">
        <f>HYPERLINK("https://youtu.be/0V2_P_xr3xs?t=2670","channel 2")</f>
        <v>channel 2</v>
      </c>
    </row>
    <row r="187">
      <c r="B187" s="34" t="s">
        <v>1571</v>
      </c>
      <c r="C187" s="70" t="s">
        <v>11</v>
      </c>
      <c r="D187" s="34" t="s">
        <v>1573</v>
      </c>
      <c r="E187" s="11" t="str">
        <f>HYPERLINK("https://youtu.be/FWCIJxkhOf4?t=3691","channel 1")</f>
        <v>channel 1</v>
      </c>
    </row>
    <row r="188">
      <c r="B188" s="34" t="s">
        <v>2371</v>
      </c>
      <c r="C188" s="70" t="s">
        <v>534</v>
      </c>
      <c r="D188" s="34" t="s">
        <v>1247</v>
      </c>
      <c r="E188" s="11" t="str">
        <f>HYPERLINK("https://youtu.be/0V2_P_xr3xs?t=3686","channel 2")</f>
        <v>channel 2</v>
      </c>
    </row>
    <row r="189">
      <c r="B189" s="34" t="s">
        <v>1247</v>
      </c>
      <c r="C189" s="70" t="s">
        <v>578</v>
      </c>
      <c r="D189" s="34" t="s">
        <v>1024</v>
      </c>
      <c r="E189" s="11" t="str">
        <f>HYPERLINK("https://youtu.be/FWCIJxkhOf4?t=4575","channel 1")</f>
        <v>channel 1</v>
      </c>
    </row>
    <row r="190">
      <c r="B190" s="34" t="s">
        <v>2371</v>
      </c>
      <c r="C190" s="70" t="s">
        <v>41</v>
      </c>
      <c r="D190" s="34" t="s">
        <v>1573</v>
      </c>
      <c r="E190" s="11" t="str">
        <f>HYPERLINK("https://youtu.be/0V2_P_xr3xs?t=4577","channel 2")</f>
        <v>channel 2</v>
      </c>
    </row>
    <row r="191">
      <c r="B191" s="34" t="s">
        <v>1024</v>
      </c>
      <c r="C191" s="70" t="s">
        <v>389</v>
      </c>
      <c r="D191" s="34" t="s">
        <v>1571</v>
      </c>
      <c r="E191" s="11" t="str">
        <f>HYPERLINK("https://youtu.be/FWCIJxkhOf4?t=5537","channel 1")</f>
        <v>channel 1</v>
      </c>
    </row>
    <row r="192">
      <c r="B192" s="34" t="s">
        <v>1247</v>
      </c>
      <c r="C192" s="70" t="s">
        <v>769</v>
      </c>
      <c r="D192" s="34" t="s">
        <v>1573</v>
      </c>
      <c r="E192" s="11" t="str">
        <f>HYPERLINK("https://youtu.be/0V2_P_xr3xs?t=5568","channel 2")</f>
        <v>channel 2</v>
      </c>
    </row>
    <row r="193">
      <c r="B193" s="34" t="s">
        <v>2371</v>
      </c>
      <c r="C193" s="70" t="s">
        <v>270</v>
      </c>
      <c r="D193" s="34" t="s">
        <v>1571</v>
      </c>
      <c r="E193" s="11" t="str">
        <f>HYPERLINK("https://youtu.be/FWCIJxkhOf4?t=6460","channel 1")</f>
        <v>channel 1</v>
      </c>
    </row>
    <row r="194">
      <c r="B194" s="34" t="s">
        <v>1024</v>
      </c>
      <c r="C194" s="70" t="s">
        <v>218</v>
      </c>
      <c r="D194" s="34" t="s">
        <v>1573</v>
      </c>
      <c r="E194" s="11" t="str">
        <f>HYPERLINK("https://youtu.be/0V2_P_xr3xs?t=6406","channel 2")</f>
        <v>channel 2</v>
      </c>
    </row>
    <row r="195">
      <c r="B195" s="34" t="s">
        <v>1247</v>
      </c>
      <c r="C195" s="70" t="s">
        <v>71</v>
      </c>
      <c r="D195" s="34" t="s">
        <v>1571</v>
      </c>
      <c r="E195" s="11" t="str">
        <f>HYPERLINK("https://youtu.be/FWCIJxkhOf4?t=7372","channel 1")</f>
        <v>channel 1</v>
      </c>
    </row>
    <row r="196">
      <c r="B196" s="34" t="s">
        <v>1024</v>
      </c>
      <c r="C196" s="70" t="s">
        <v>89</v>
      </c>
      <c r="D196" s="34" t="s">
        <v>2371</v>
      </c>
      <c r="E196" s="11" t="str">
        <f>HYPERLINK("https://youtu.be/0V2_P_xr3xs?t=7369","channel 2")</f>
        <v>channel 2</v>
      </c>
    </row>
    <row r="197">
      <c r="B197" s="34" t="s">
        <v>1573</v>
      </c>
      <c r="C197" s="70" t="s">
        <v>270</v>
      </c>
      <c r="D197" s="34" t="s">
        <v>1571</v>
      </c>
      <c r="E197" s="11" t="str">
        <f>HYPERLINK("https://youtu.be/FWCIJxkhOf4?t=8232","channel 1")</f>
        <v>channel 1</v>
      </c>
    </row>
    <row r="198">
      <c r="B198" s="34" t="s">
        <v>1247</v>
      </c>
      <c r="C198" s="70" t="s">
        <v>1342</v>
      </c>
      <c r="D198" s="34" t="s">
        <v>2371</v>
      </c>
      <c r="E198" s="11" t="str">
        <f>HYPERLINK("https://youtu.be/0V2_P_xr3xs?t=8243","channel 2")</f>
        <v>channel 2</v>
      </c>
    </row>
    <row r="199">
      <c r="B199" s="72" t="s">
        <v>3552</v>
      </c>
      <c r="C199" s="2"/>
      <c r="D199" s="3"/>
      <c r="E199" s="2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34" t="s">
        <v>1537</v>
      </c>
      <c r="C201" s="70" t="s">
        <v>22</v>
      </c>
      <c r="D201" s="34" t="s">
        <v>2149</v>
      </c>
      <c r="E201" s="11" t="str">
        <f>HYPERLINK("https://youtu.be/31V6Y0y6g2k","channel 1")</f>
        <v>channel 1</v>
      </c>
    </row>
    <row r="202">
      <c r="B202" s="34" t="s">
        <v>3619</v>
      </c>
      <c r="C202" s="70" t="s">
        <v>240</v>
      </c>
      <c r="D202" s="34" t="s">
        <v>3620</v>
      </c>
      <c r="E202" s="11" t="str">
        <f>HYPERLINK("https://youtu.be/fq4rq02sz6s","channel 2")</f>
        <v>channel 2</v>
      </c>
    </row>
    <row r="203">
      <c r="B203" s="34" t="s">
        <v>3621</v>
      </c>
      <c r="C203" s="70" t="s">
        <v>64</v>
      </c>
      <c r="D203" s="34" t="s">
        <v>1537</v>
      </c>
      <c r="E203" s="11" t="str">
        <f>HYPERLINK("https://youtu.be/31V6Y0y6g2k?t=1094","channel 1")</f>
        <v>channel 1</v>
      </c>
    </row>
    <row r="204">
      <c r="B204" s="34" t="s">
        <v>3619</v>
      </c>
      <c r="C204" s="70" t="s">
        <v>352</v>
      </c>
      <c r="D204" s="34" t="s">
        <v>2149</v>
      </c>
      <c r="E204" s="11" t="str">
        <f>HYPERLINK("https://youtu.be/fq4rq02sz6s?t=1087","channel 2")</f>
        <v>channel 2</v>
      </c>
    </row>
    <row r="205">
      <c r="B205" s="34" t="s">
        <v>3621</v>
      </c>
      <c r="C205" s="70" t="s">
        <v>87</v>
      </c>
      <c r="D205" s="34" t="s">
        <v>3620</v>
      </c>
      <c r="E205" s="11" t="str">
        <f>HYPERLINK("https://youtu.be/31V6Y0y6g2k?t=2078","channel 1")</f>
        <v>channel 1</v>
      </c>
    </row>
    <row r="206">
      <c r="B206" s="34" t="s">
        <v>3619</v>
      </c>
      <c r="C206" s="70" t="s">
        <v>43</v>
      </c>
      <c r="D206" s="34" t="s">
        <v>1537</v>
      </c>
      <c r="E206" s="11" t="str">
        <f>HYPERLINK("https://youtu.be/fq4rq02sz6s?t=2015","channel 2")</f>
        <v>channel 2</v>
      </c>
    </row>
    <row r="207">
      <c r="B207" s="34" t="s">
        <v>3621</v>
      </c>
      <c r="C207" s="70" t="s">
        <v>16</v>
      </c>
      <c r="D207" s="34" t="s">
        <v>2149</v>
      </c>
      <c r="E207" s="11" t="str">
        <f>HYPERLINK("https://youtu.be/31V6Y0y6g2k?t=2988","channel 1")</f>
        <v>channel 1</v>
      </c>
    </row>
    <row r="208">
      <c r="B208" s="34" t="s">
        <v>3620</v>
      </c>
      <c r="C208" s="70" t="s">
        <v>7</v>
      </c>
      <c r="D208" s="34" t="s">
        <v>1537</v>
      </c>
      <c r="E208" s="11" t="str">
        <f>HYPERLINK("https://youtu.be/fq4rq02sz6s?t=3016","channel 2")</f>
        <v>channel 2</v>
      </c>
    </row>
    <row r="209">
      <c r="B209" s="34" t="s">
        <v>3621</v>
      </c>
      <c r="C209" s="70" t="s">
        <v>215</v>
      </c>
      <c r="D209" s="34" t="s">
        <v>3619</v>
      </c>
      <c r="E209" s="11" t="str">
        <f>HYPERLINK("https://youtu.be/31V6Y0y6g2k?t=3892","channel 1")</f>
        <v>channel 1</v>
      </c>
    </row>
    <row r="210">
      <c r="B210" s="34" t="s">
        <v>3620</v>
      </c>
      <c r="C210" s="70" t="s">
        <v>442</v>
      </c>
      <c r="D210" s="34" t="s">
        <v>2149</v>
      </c>
      <c r="E210" s="11" t="str">
        <f>HYPERLINK("https://youtu.be/fq4rq02sz6s?t=3894","channel 2")</f>
        <v>channel 2</v>
      </c>
    </row>
    <row r="211">
      <c r="B211" s="34" t="s">
        <v>2149</v>
      </c>
      <c r="C211" s="70" t="s">
        <v>81</v>
      </c>
      <c r="D211" s="34" t="s">
        <v>1537</v>
      </c>
      <c r="E211" s="11" t="str">
        <f>HYPERLINK("https://youtu.be/31V6Y0y6g2k?t=4836","channel 1")</f>
        <v>channel 1</v>
      </c>
    </row>
    <row r="212">
      <c r="B212" s="34" t="s">
        <v>3620</v>
      </c>
      <c r="C212" s="70" t="s">
        <v>240</v>
      </c>
      <c r="D212" s="34" t="s">
        <v>3619</v>
      </c>
      <c r="E212" s="11" t="str">
        <f>HYPERLINK("https://youtu.be/fq4rq02sz6s?t=4850","channel 2")</f>
        <v>channel 2</v>
      </c>
    </row>
    <row r="213">
      <c r="B213" s="34" t="s">
        <v>1537</v>
      </c>
      <c r="C213" s="70" t="s">
        <v>22</v>
      </c>
      <c r="D213" s="34" t="s">
        <v>3621</v>
      </c>
      <c r="E213" s="11" t="str">
        <f>HYPERLINK("https://youtu.be/31V6Y0y6g2k?t=5752","channel 1")</f>
        <v>channel 1</v>
      </c>
    </row>
    <row r="214">
      <c r="B214" s="34" t="s">
        <v>2149</v>
      </c>
      <c r="C214" s="70" t="s">
        <v>601</v>
      </c>
      <c r="D214" s="34" t="s">
        <v>3619</v>
      </c>
      <c r="E214" s="11" t="str">
        <f>HYPERLINK("https://youtu.be/fq4rq02sz6s?t=5745","channel 2")</f>
        <v>channel 2</v>
      </c>
    </row>
    <row r="215">
      <c r="B215" s="34" t="s">
        <v>3620</v>
      </c>
      <c r="C215" s="70" t="s">
        <v>201</v>
      </c>
      <c r="D215" s="34" t="s">
        <v>3621</v>
      </c>
      <c r="E215" s="11" t="str">
        <f>HYPERLINK("https://youtu.be/31V6Y0y6g2k?t=6735","channel 1")</f>
        <v>channel 1</v>
      </c>
    </row>
    <row r="216">
      <c r="B216" s="34" t="s">
        <v>1537</v>
      </c>
      <c r="C216" s="70" t="s">
        <v>2666</v>
      </c>
      <c r="D216" s="34" t="s">
        <v>3619</v>
      </c>
      <c r="E216" s="11" t="str">
        <f>HYPERLINK("https://youtu.be/fq4rq02sz6s?t=6751","channel 2")</f>
        <v>channel 2</v>
      </c>
    </row>
    <row r="217">
      <c r="B217" s="34" t="s">
        <v>2149</v>
      </c>
      <c r="C217" s="70" t="s">
        <v>87</v>
      </c>
      <c r="D217" s="34" t="s">
        <v>3621</v>
      </c>
      <c r="E217" s="11" t="str">
        <f>HYPERLINK("https://youtu.be/31V6Y0y6g2k?t=7772","channel 1")</f>
        <v>channel 1</v>
      </c>
    </row>
    <row r="218">
      <c r="B218" s="34" t="s">
        <v>1537</v>
      </c>
      <c r="C218" s="70" t="s">
        <v>578</v>
      </c>
      <c r="D218" s="34" t="s">
        <v>3620</v>
      </c>
      <c r="E218" s="11" t="str">
        <f>HYPERLINK("https://youtu.be/fq4rq02sz6s?t=7737","channel 2")</f>
        <v>channel 2</v>
      </c>
    </row>
    <row r="219">
      <c r="B219" s="34" t="s">
        <v>3619</v>
      </c>
      <c r="C219" s="70" t="s">
        <v>584</v>
      </c>
      <c r="D219" s="34" t="s">
        <v>3621</v>
      </c>
      <c r="E219" s="11" t="str">
        <f>HYPERLINK("https://youtu.be/31V6Y0y6g2k?t=8797","channel 1")</f>
        <v>channel 1</v>
      </c>
    </row>
    <row r="220">
      <c r="B220" s="34" t="s">
        <v>2149</v>
      </c>
      <c r="C220" s="70" t="s">
        <v>319</v>
      </c>
      <c r="D220" s="34" t="s">
        <v>3620</v>
      </c>
      <c r="E220" s="11" t="str">
        <f>HYPERLINK("https://youtu.be/fq4rq02sz6s?t=8681","channel 2")</f>
        <v>channel 2</v>
      </c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6.29"/>
    <col customWidth="1" min="3" max="3" width="19.57"/>
    <col customWidth="1" min="4" max="4" width="46.71"/>
    <col customWidth="1" min="5" max="5" width="19.14"/>
  </cols>
  <sheetData>
    <row r="1">
      <c r="A1" s="117"/>
      <c r="B1" s="72" t="s">
        <v>2154</v>
      </c>
      <c r="C1" s="2"/>
      <c r="D1" s="3"/>
      <c r="E1" s="14"/>
    </row>
    <row r="2">
      <c r="A2" s="118"/>
      <c r="B2" s="16" t="s">
        <v>2</v>
      </c>
      <c r="C2" s="16" t="s">
        <v>3</v>
      </c>
      <c r="D2" s="16" t="s">
        <v>4</v>
      </c>
      <c r="E2" s="6" t="s">
        <v>5</v>
      </c>
    </row>
    <row r="3">
      <c r="A3" s="118"/>
      <c r="B3" s="119" t="s">
        <v>1780</v>
      </c>
      <c r="C3" s="70" t="s">
        <v>306</v>
      </c>
      <c r="D3" s="32" t="s">
        <v>3425</v>
      </c>
      <c r="E3" s="11" t="str">
        <f>HYPERLINK("https://youtu.be/0CfsRTS1Ivg","channel 1")</f>
        <v>channel 1</v>
      </c>
    </row>
    <row r="4">
      <c r="A4" s="118"/>
      <c r="B4" s="32" t="s">
        <v>1280</v>
      </c>
      <c r="C4" s="70" t="s">
        <v>81</v>
      </c>
      <c r="D4" s="32" t="s">
        <v>830</v>
      </c>
      <c r="E4" s="11" t="str">
        <f>HYPERLINK("https://youtu.be/Y8jeFXTo2Vk","channel 2")</f>
        <v>channel 2</v>
      </c>
    </row>
    <row r="5">
      <c r="A5" s="118"/>
      <c r="B5" s="32" t="s">
        <v>3505</v>
      </c>
      <c r="C5" s="70" t="s">
        <v>243</v>
      </c>
      <c r="D5" s="32" t="s">
        <v>1780</v>
      </c>
      <c r="E5" s="11" t="str">
        <f>HYPERLINK("https://youtu.be/0CfsRTS1Ivg?t=1077","channel 1")</f>
        <v>channel 1</v>
      </c>
    </row>
    <row r="6">
      <c r="A6" s="118"/>
      <c r="B6" s="32" t="s">
        <v>1280</v>
      </c>
      <c r="C6" s="70" t="s">
        <v>218</v>
      </c>
      <c r="D6" s="32" t="s">
        <v>3425</v>
      </c>
      <c r="E6" s="11" t="str">
        <f>HYPERLINK("https://youtu.be/Y8jeFXTo2Vk?t=912","channel 2")</f>
        <v>channel 2</v>
      </c>
    </row>
    <row r="7">
      <c r="A7" s="118"/>
      <c r="B7" s="32" t="s">
        <v>3505</v>
      </c>
      <c r="C7" s="70" t="s">
        <v>18</v>
      </c>
      <c r="D7" s="32" t="s">
        <v>830</v>
      </c>
      <c r="E7" s="11" t="str">
        <f>HYPERLINK("https://youtu.be/0CfsRTS1Ivg?t=2006","channel 1")</f>
        <v>channel 1</v>
      </c>
    </row>
    <row r="8">
      <c r="A8" s="118"/>
      <c r="B8" s="32" t="s">
        <v>1280</v>
      </c>
      <c r="C8" s="70" t="s">
        <v>218</v>
      </c>
      <c r="D8" s="32" t="s">
        <v>1780</v>
      </c>
      <c r="E8" s="11" t="str">
        <f>HYPERLINK("https://youtu.be/Y8jeFXTo2Vk?t=1743","channel 2")</f>
        <v>channel 2</v>
      </c>
    </row>
    <row r="9">
      <c r="A9" s="118"/>
      <c r="B9" s="32" t="s">
        <v>3505</v>
      </c>
      <c r="C9" s="70" t="s">
        <v>21</v>
      </c>
      <c r="D9" s="32" t="s">
        <v>3425</v>
      </c>
      <c r="E9" s="11" t="str">
        <f>HYPERLINK("https://youtu.be/0CfsRTS1Ivg?t=2912","channel 1")</f>
        <v>channel 1</v>
      </c>
    </row>
    <row r="10">
      <c r="A10" s="118"/>
      <c r="B10" s="32" t="s">
        <v>830</v>
      </c>
      <c r="C10" s="70" t="s">
        <v>72</v>
      </c>
      <c r="D10" s="32" t="s">
        <v>1780</v>
      </c>
      <c r="E10" s="11" t="str">
        <f>HYPERLINK("https://youtu.be/Y8jeFXTo2Vk?t=2738","channel 2")</f>
        <v>channel 2</v>
      </c>
    </row>
    <row r="11">
      <c r="A11" s="118"/>
      <c r="B11" s="32" t="s">
        <v>3505</v>
      </c>
      <c r="C11" s="70" t="s">
        <v>87</v>
      </c>
      <c r="D11" s="32" t="s">
        <v>1280</v>
      </c>
      <c r="E11" s="11" t="str">
        <f>HYPERLINK("https://youtu.be/0CfsRTS1Ivg?t=3754","channel 1")</f>
        <v>channel 1</v>
      </c>
    </row>
    <row r="12">
      <c r="A12" s="118"/>
      <c r="B12" s="32" t="s">
        <v>830</v>
      </c>
      <c r="C12" s="70" t="s">
        <v>21</v>
      </c>
      <c r="D12" s="32" t="s">
        <v>3425</v>
      </c>
      <c r="E12" s="11" t="str">
        <f>HYPERLINK("https://youtu.be/Y8jeFXTo2Vk?t=3654","channel 2")</f>
        <v>channel 2</v>
      </c>
    </row>
    <row r="13">
      <c r="A13" s="118"/>
      <c r="B13" s="32" t="s">
        <v>3425</v>
      </c>
      <c r="C13" s="70" t="s">
        <v>58</v>
      </c>
      <c r="D13" s="32" t="s">
        <v>1780</v>
      </c>
      <c r="E13" s="11" t="str">
        <f>HYPERLINK("https://youtu.be/0CfsRTS1Ivg?t=4641","channel 1")</f>
        <v>channel 1</v>
      </c>
    </row>
    <row r="14">
      <c r="A14" s="118"/>
      <c r="B14" s="32" t="s">
        <v>830</v>
      </c>
      <c r="C14" s="70" t="s">
        <v>291</v>
      </c>
      <c r="D14" s="32" t="s">
        <v>1280</v>
      </c>
      <c r="E14" s="11" t="str">
        <f>HYPERLINK("https://youtu.be/Y8jeFXTo2Vk?t=4575","channel 2")</f>
        <v>channel 2</v>
      </c>
    </row>
    <row r="15">
      <c r="A15" s="118"/>
      <c r="B15" s="32" t="s">
        <v>1780</v>
      </c>
      <c r="C15" s="70" t="s">
        <v>3622</v>
      </c>
      <c r="D15" s="32" t="s">
        <v>3505</v>
      </c>
      <c r="E15" s="11" t="str">
        <f>HYPERLINK("https://youtu.be/0CfsRTS1Ivg?t=5557","channel 1")</f>
        <v>channel 1</v>
      </c>
    </row>
    <row r="16">
      <c r="A16" s="118"/>
      <c r="B16" s="32" t="s">
        <v>3425</v>
      </c>
      <c r="C16" s="70" t="s">
        <v>215</v>
      </c>
      <c r="D16" s="32" t="s">
        <v>1280</v>
      </c>
      <c r="E16" s="11" t="str">
        <f>HYPERLINK("https://youtu.be/Y8jeFXTo2Vk?t=5453","channel 2")</f>
        <v>channel 2</v>
      </c>
    </row>
    <row r="17">
      <c r="A17" s="118"/>
      <c r="B17" s="32" t="s">
        <v>830</v>
      </c>
      <c r="C17" s="70" t="s">
        <v>35</v>
      </c>
      <c r="D17" s="32" t="s">
        <v>3505</v>
      </c>
      <c r="E17" s="11" t="str">
        <f>HYPERLINK("https://youtu.be/0CfsRTS1Ivg?t=6475","channel 1")</f>
        <v>channel 1</v>
      </c>
    </row>
    <row r="18">
      <c r="A18" s="118"/>
      <c r="B18" s="32" t="s">
        <v>1780</v>
      </c>
      <c r="C18" s="70" t="s">
        <v>18</v>
      </c>
      <c r="D18" s="32" t="s">
        <v>1280</v>
      </c>
      <c r="E18" s="11" t="str">
        <f>HYPERLINK("https://youtu.be/Y8jeFXTo2Vk?t=6307","channel 2")</f>
        <v>channel 2</v>
      </c>
    </row>
    <row r="19">
      <c r="A19" s="118"/>
      <c r="B19" s="32" t="s">
        <v>3425</v>
      </c>
      <c r="C19" s="70" t="s">
        <v>52</v>
      </c>
      <c r="D19" s="32" t="s">
        <v>3505</v>
      </c>
      <c r="E19" s="11" t="str">
        <f>HYPERLINK("https://youtu.be/0CfsRTS1Ivg?t=7398","channel 1")</f>
        <v>channel 1</v>
      </c>
    </row>
    <row r="20">
      <c r="A20" s="118"/>
      <c r="B20" s="32" t="s">
        <v>1780</v>
      </c>
      <c r="C20" s="70" t="s">
        <v>197</v>
      </c>
      <c r="D20" s="32" t="s">
        <v>830</v>
      </c>
      <c r="E20" s="11" t="str">
        <f>HYPERLINK("https://youtu.be/Y8jeFXTo2Vk?t=7255","channel 2")</f>
        <v>channel 2</v>
      </c>
    </row>
    <row r="21">
      <c r="A21" s="118"/>
      <c r="B21" s="32" t="s">
        <v>1280</v>
      </c>
      <c r="C21" s="70" t="s">
        <v>196</v>
      </c>
      <c r="D21" s="32" t="s">
        <v>3505</v>
      </c>
      <c r="E21" s="11" t="str">
        <f>HYPERLINK("https://youtu.be/0CfsRTS1Ivg?t=8320","channel 1")</f>
        <v>channel 1</v>
      </c>
    </row>
    <row r="22">
      <c r="A22" s="118"/>
      <c r="B22" s="32" t="s">
        <v>3425</v>
      </c>
      <c r="C22" s="70" t="s">
        <v>370</v>
      </c>
      <c r="D22" s="32" t="s">
        <v>830</v>
      </c>
      <c r="E22" s="11" t="str">
        <f>HYPERLINK("https://youtu.be/Y8jeFXTo2Vk?t=8097","channel 2")</f>
        <v>channel 2</v>
      </c>
    </row>
    <row r="23">
      <c r="A23" s="118"/>
      <c r="B23" s="72" t="s">
        <v>2308</v>
      </c>
      <c r="C23" s="2"/>
      <c r="D23" s="3"/>
      <c r="E23" s="4"/>
    </row>
    <row r="24">
      <c r="A24" s="118"/>
      <c r="B24" s="16" t="s">
        <v>2</v>
      </c>
      <c r="C24" s="16" t="s">
        <v>3</v>
      </c>
      <c r="D24" s="16" t="s">
        <v>4</v>
      </c>
      <c r="E24" s="6" t="s">
        <v>5</v>
      </c>
    </row>
    <row r="25">
      <c r="A25" s="118"/>
      <c r="B25" s="32" t="s">
        <v>3623</v>
      </c>
      <c r="C25" s="70" t="s">
        <v>71</v>
      </c>
      <c r="D25" s="32" t="s">
        <v>12</v>
      </c>
      <c r="E25" s="11" t="str">
        <f>HYPERLINK("https://youtu.be/reG7G5KG_z4","channel 1")</f>
        <v>channel 1</v>
      </c>
    </row>
    <row r="26">
      <c r="A26" s="118"/>
      <c r="B26" s="32" t="s">
        <v>3092</v>
      </c>
      <c r="C26" s="70" t="s">
        <v>217</v>
      </c>
      <c r="D26" s="32" t="s">
        <v>816</v>
      </c>
      <c r="E26" s="11" t="str">
        <f>HYPERLINK("https://youtu.be/HVKea6SUgMI","channel 2")</f>
        <v>channel 2</v>
      </c>
    </row>
    <row r="27">
      <c r="A27" s="118"/>
      <c r="B27" s="32" t="s">
        <v>3624</v>
      </c>
      <c r="C27" s="70" t="s">
        <v>243</v>
      </c>
      <c r="D27" s="32" t="s">
        <v>3623</v>
      </c>
      <c r="E27" s="11" t="str">
        <f>HYPERLINK("https://youtu.be/reG7G5KG_z4?t=1021","channel 1")</f>
        <v>channel 1</v>
      </c>
    </row>
    <row r="28">
      <c r="A28" s="118"/>
      <c r="B28" s="32" t="s">
        <v>3092</v>
      </c>
      <c r="C28" s="70" t="s">
        <v>267</v>
      </c>
      <c r="D28" s="32" t="s">
        <v>12</v>
      </c>
      <c r="E28" s="11" t="str">
        <f>HYPERLINK("https://youtu.be/HVKea6SUgMI?t=905","channel 2")</f>
        <v>channel 2</v>
      </c>
    </row>
    <row r="29">
      <c r="A29" s="118"/>
      <c r="B29" s="32" t="s">
        <v>3624</v>
      </c>
      <c r="C29" s="70" t="s">
        <v>218</v>
      </c>
      <c r="D29" s="32" t="s">
        <v>816</v>
      </c>
      <c r="E29" s="11" t="str">
        <f>HYPERLINK("https://youtu.be/reG7G5KG_z4?t=1921","channel 1")</f>
        <v>channel 1</v>
      </c>
    </row>
    <row r="30">
      <c r="A30" s="118"/>
      <c r="B30" s="32" t="s">
        <v>3092</v>
      </c>
      <c r="C30" s="70" t="s">
        <v>286</v>
      </c>
      <c r="D30" s="32" t="s">
        <v>3623</v>
      </c>
      <c r="E30" s="11" t="str">
        <f>HYPERLINK("https://youtu.be/HVKea6SUgMI?t=1908","channel 2")</f>
        <v>channel 2</v>
      </c>
    </row>
    <row r="31">
      <c r="A31" s="118"/>
      <c r="B31" s="32" t="s">
        <v>3624</v>
      </c>
      <c r="C31" s="70" t="s">
        <v>17</v>
      </c>
      <c r="D31" s="32" t="s">
        <v>12</v>
      </c>
      <c r="E31" s="11" t="str">
        <f>HYPERLINK("https://youtu.be/reG7G5KG_z4?t=2849","channel 1")</f>
        <v>channel 1</v>
      </c>
    </row>
    <row r="32">
      <c r="A32" s="118"/>
      <c r="B32" s="32" t="s">
        <v>816</v>
      </c>
      <c r="C32" s="70" t="s">
        <v>42</v>
      </c>
      <c r="D32" s="32" t="s">
        <v>3623</v>
      </c>
      <c r="E32" s="11" t="str">
        <f>HYPERLINK("https://youtu.be/qdfGcTWi8Yg","channel 2")</f>
        <v>channel 2</v>
      </c>
    </row>
    <row r="33">
      <c r="A33" s="118"/>
      <c r="B33" s="32" t="s">
        <v>3624</v>
      </c>
      <c r="C33" s="70" t="s">
        <v>284</v>
      </c>
      <c r="D33" s="32" t="s">
        <v>3092</v>
      </c>
      <c r="E33" s="11" t="str">
        <f>HYPERLINK("https://youtu.be/reG7G5KG_z4?t=3771","channel 1")</f>
        <v>channel 1</v>
      </c>
    </row>
    <row r="34">
      <c r="A34" s="118"/>
      <c r="B34" s="32" t="s">
        <v>816</v>
      </c>
      <c r="C34" s="70" t="s">
        <v>21</v>
      </c>
      <c r="D34" s="32" t="s">
        <v>12</v>
      </c>
      <c r="E34" s="11" t="str">
        <f>HYPERLINK("https://youtu.be/qdfGcTWi8Yg?t=805","channel 2")</f>
        <v>channel 2</v>
      </c>
    </row>
    <row r="35">
      <c r="A35" s="118"/>
      <c r="B35" s="32" t="s">
        <v>12</v>
      </c>
      <c r="C35" s="70" t="s">
        <v>578</v>
      </c>
      <c r="D35" s="32" t="s">
        <v>3623</v>
      </c>
      <c r="E35" s="11" t="str">
        <f>HYPERLINK("https://youtu.be/reG7G5KG_z4?t=4645","channel 1")</f>
        <v>channel 1</v>
      </c>
    </row>
    <row r="36">
      <c r="A36" s="118"/>
      <c r="B36" s="32" t="s">
        <v>816</v>
      </c>
      <c r="C36" s="70" t="s">
        <v>24</v>
      </c>
      <c r="D36" s="32" t="s">
        <v>3092</v>
      </c>
      <c r="E36" s="11" t="str">
        <f>HYPERLINK("https://youtu.be/qdfGcTWi8Yg?t=1679","channel 2")</f>
        <v>channel 2</v>
      </c>
    </row>
    <row r="37">
      <c r="A37" s="118"/>
      <c r="B37" s="32" t="s">
        <v>3623</v>
      </c>
      <c r="C37" s="70" t="s">
        <v>260</v>
      </c>
      <c r="D37" s="32" t="s">
        <v>3624</v>
      </c>
      <c r="E37" s="11" t="str">
        <f>HYPERLINK("https://youtu.be/reG7G5KG_z4?t=5566","channel 1")</f>
        <v>channel 1</v>
      </c>
    </row>
    <row r="38">
      <c r="A38" s="118"/>
      <c r="B38" s="32" t="s">
        <v>12</v>
      </c>
      <c r="C38" s="70" t="s">
        <v>218</v>
      </c>
      <c r="D38" s="32" t="s">
        <v>3092</v>
      </c>
      <c r="E38" s="11" t="str">
        <f>HYPERLINK("https://youtu.be/qdfGcTWi8Yg?t=2518","channel 2")</f>
        <v>channel 2</v>
      </c>
    </row>
    <row r="39">
      <c r="A39" s="118"/>
      <c r="B39" s="32" t="s">
        <v>816</v>
      </c>
      <c r="C39" s="70" t="s">
        <v>836</v>
      </c>
      <c r="D39" s="32" t="s">
        <v>3624</v>
      </c>
      <c r="E39" s="11" t="str">
        <f>HYPERLINK("https://youtu.be/reG7G5KG_z4?t=6445","channel 1")</f>
        <v>channel 1</v>
      </c>
    </row>
    <row r="40">
      <c r="A40" s="118"/>
      <c r="B40" s="32" t="s">
        <v>3623</v>
      </c>
      <c r="C40" s="70" t="s">
        <v>197</v>
      </c>
      <c r="D40" s="32" t="s">
        <v>3092</v>
      </c>
      <c r="E40" s="11" t="str">
        <f>HYPERLINK("https://youtu.be/qdfGcTWi8Yg?t=3464","channel 2")</f>
        <v>channel 2</v>
      </c>
    </row>
    <row r="41">
      <c r="A41" s="118"/>
      <c r="B41" s="32" t="s">
        <v>12</v>
      </c>
      <c r="C41" s="70" t="s">
        <v>195</v>
      </c>
      <c r="D41" s="32" t="s">
        <v>3624</v>
      </c>
      <c r="E41" s="11" t="str">
        <f>HYPERLINK("https://youtu.be/reG7G5KG_z4?t=7373","channel 1")</f>
        <v>channel 1</v>
      </c>
    </row>
    <row r="42">
      <c r="A42" s="118"/>
      <c r="B42" s="32" t="s">
        <v>3623</v>
      </c>
      <c r="C42" s="70" t="s">
        <v>215</v>
      </c>
      <c r="D42" s="32" t="s">
        <v>816</v>
      </c>
      <c r="E42" s="11" t="str">
        <f>HYPERLINK("https://youtu.be/qdfGcTWi8Yg?t=4517","channel 2")</f>
        <v>channel 2</v>
      </c>
    </row>
    <row r="43">
      <c r="A43" s="118"/>
      <c r="B43" s="32" t="s">
        <v>3092</v>
      </c>
      <c r="C43" s="70" t="s">
        <v>21</v>
      </c>
      <c r="D43" s="32" t="s">
        <v>3624</v>
      </c>
      <c r="E43" s="11" t="str">
        <f>HYPERLINK("https://youtu.be/reG7G5KG_z4?t=8245","channel 1")</f>
        <v>channel 1</v>
      </c>
    </row>
    <row r="44">
      <c r="A44" s="118"/>
      <c r="B44" s="32" t="s">
        <v>12</v>
      </c>
      <c r="C44" s="70" t="s">
        <v>1412</v>
      </c>
      <c r="D44" s="32" t="s">
        <v>816</v>
      </c>
      <c r="E44" s="11" t="str">
        <f>HYPERLINK("https://youtu.be/qdfGcTWi8Yg?t=5355","channel 2")</f>
        <v>channel 2</v>
      </c>
    </row>
    <row r="45">
      <c r="A45" s="118"/>
      <c r="B45" s="72" t="s">
        <v>2828</v>
      </c>
      <c r="C45" s="2"/>
      <c r="D45" s="3"/>
      <c r="E45" s="4"/>
    </row>
    <row r="46">
      <c r="A46" s="118"/>
      <c r="B46" s="16" t="s">
        <v>2</v>
      </c>
      <c r="C46" s="16" t="s">
        <v>3</v>
      </c>
      <c r="D46" s="16" t="s">
        <v>4</v>
      </c>
      <c r="E46" s="6" t="s">
        <v>5</v>
      </c>
    </row>
    <row r="47">
      <c r="A47" s="118"/>
      <c r="B47" s="32" t="s">
        <v>1898</v>
      </c>
      <c r="C47" s="70" t="s">
        <v>239</v>
      </c>
      <c r="D47" s="32" t="s">
        <v>3625</v>
      </c>
      <c r="E47" s="11" t="str">
        <f>HYPERLINK("https://youtu.be/rM_Ez7y0SIo","channel 3")</f>
        <v>channel 3</v>
      </c>
    </row>
    <row r="48">
      <c r="A48" s="118"/>
      <c r="B48" s="32" t="s">
        <v>659</v>
      </c>
      <c r="C48" s="70" t="s">
        <v>17</v>
      </c>
      <c r="D48" s="32" t="s">
        <v>3626</v>
      </c>
      <c r="E48" s="11" t="str">
        <f>HYPERLINK("https://youtu.be/gHc7lXPcESs","channel 4")</f>
        <v>channel 4</v>
      </c>
    </row>
    <row r="49">
      <c r="A49" s="118"/>
      <c r="B49" s="32" t="s">
        <v>3627</v>
      </c>
      <c r="C49" s="70" t="s">
        <v>699</v>
      </c>
      <c r="D49" s="32" t="s">
        <v>1898</v>
      </c>
      <c r="E49" s="11" t="str">
        <f>HYPERLINK("https://youtu.be/rM_Ez7y0SIo?t=932","channel 3")</f>
        <v>channel 3</v>
      </c>
    </row>
    <row r="50">
      <c r="A50" s="118"/>
      <c r="B50" s="32" t="s">
        <v>659</v>
      </c>
      <c r="C50" s="70" t="s">
        <v>43</v>
      </c>
      <c r="D50" s="32" t="s">
        <v>3625</v>
      </c>
      <c r="E50" s="11" t="str">
        <f>HYPERLINK("https://youtu.be/gHc7lXPcESs?t=910","channel 4")</f>
        <v>channel 4</v>
      </c>
    </row>
    <row r="51">
      <c r="A51" s="118"/>
      <c r="B51" s="32" t="s">
        <v>3627</v>
      </c>
      <c r="C51" s="70" t="s">
        <v>87</v>
      </c>
      <c r="D51" s="32" t="s">
        <v>3626</v>
      </c>
      <c r="E51" s="11" t="str">
        <f>HYPERLINK("https://youtu.be/rM_Ez7y0SIo?t=1883","channel 3")</f>
        <v>channel 3</v>
      </c>
    </row>
    <row r="52">
      <c r="A52" s="118"/>
      <c r="B52" s="32" t="s">
        <v>659</v>
      </c>
      <c r="C52" s="70" t="s">
        <v>218</v>
      </c>
      <c r="D52" s="32" t="s">
        <v>1898</v>
      </c>
      <c r="E52" s="11" t="str">
        <f>HYPERLINK("https://youtu.be/gHc7lXPcESs?t=1932","channel 4")</f>
        <v>channel 4</v>
      </c>
    </row>
    <row r="53">
      <c r="A53" s="118"/>
      <c r="B53" s="32" t="s">
        <v>3627</v>
      </c>
      <c r="C53" s="70" t="s">
        <v>71</v>
      </c>
      <c r="D53" s="32" t="s">
        <v>3625</v>
      </c>
      <c r="E53" s="11" t="str">
        <f>HYPERLINK("https://youtu.be/rM_Ez7y0SIo?t=2826","channel 3")</f>
        <v>channel 3</v>
      </c>
    </row>
    <row r="54">
      <c r="A54" s="118"/>
      <c r="B54" s="32" t="s">
        <v>3626</v>
      </c>
      <c r="C54" s="70" t="s">
        <v>17</v>
      </c>
      <c r="D54" s="32" t="s">
        <v>1898</v>
      </c>
      <c r="E54" s="11" t="str">
        <f>HYPERLINK("https://youtu.be/gHc7lXPcESs?t=2875","channel 4")</f>
        <v>channel 4</v>
      </c>
    </row>
    <row r="55">
      <c r="A55" s="118"/>
      <c r="B55" s="32" t="s">
        <v>3627</v>
      </c>
      <c r="C55" s="70" t="s">
        <v>201</v>
      </c>
      <c r="D55" s="32" t="s">
        <v>659</v>
      </c>
      <c r="E55" s="11" t="str">
        <f>HYPERLINK("https://youtu.be/rM_Ez7y0SIo?t=3739","channel 3")</f>
        <v>channel 3</v>
      </c>
    </row>
    <row r="56">
      <c r="A56" s="118"/>
      <c r="B56" s="32" t="s">
        <v>3626</v>
      </c>
      <c r="C56" s="70" t="s">
        <v>87</v>
      </c>
      <c r="D56" s="32" t="s">
        <v>3625</v>
      </c>
      <c r="E56" s="11" t="str">
        <f>HYPERLINK("https://youtu.be/gHc7lXPcESs?t=3796","channel 4")</f>
        <v>channel 4</v>
      </c>
    </row>
    <row r="57">
      <c r="A57" s="118"/>
      <c r="B57" s="32" t="s">
        <v>3625</v>
      </c>
      <c r="C57" s="70" t="s">
        <v>87</v>
      </c>
      <c r="D57" s="32" t="s">
        <v>1898</v>
      </c>
      <c r="E57" s="11" t="str">
        <f>HYPERLINK("https://youtu.be/rM_Ez7y0SIo?t=4656","channel 3")</f>
        <v>channel 3</v>
      </c>
    </row>
    <row r="58">
      <c r="A58" s="118"/>
      <c r="B58" s="32" t="s">
        <v>3626</v>
      </c>
      <c r="C58" s="70" t="s">
        <v>65</v>
      </c>
      <c r="D58" s="32" t="s">
        <v>659</v>
      </c>
      <c r="E58" s="11" t="str">
        <f>HYPERLINK("https://youtu.be/gHc7lXPcESs?t=4748","channel 4")</f>
        <v>channel 4</v>
      </c>
    </row>
    <row r="59">
      <c r="A59" s="118"/>
      <c r="B59" s="32" t="s">
        <v>1898</v>
      </c>
      <c r="C59" s="70" t="s">
        <v>28</v>
      </c>
      <c r="D59" s="32" t="s">
        <v>3627</v>
      </c>
      <c r="E59" s="11" t="str">
        <f>HYPERLINK("https://youtu.be/rM_Ez7y0SIo?t=5515","channel 3")</f>
        <v>channel 3</v>
      </c>
    </row>
    <row r="60">
      <c r="A60" s="118"/>
      <c r="B60" s="32" t="s">
        <v>3625</v>
      </c>
      <c r="C60" s="70" t="s">
        <v>269</v>
      </c>
      <c r="D60" s="32" t="s">
        <v>659</v>
      </c>
      <c r="E60" s="11" t="str">
        <f>HYPERLINK("https://youtu.be/gHc7lXPcESs?t=5676","channel 4")</f>
        <v>channel 4</v>
      </c>
    </row>
    <row r="61">
      <c r="A61" s="118"/>
      <c r="B61" s="32" t="s">
        <v>3626</v>
      </c>
      <c r="C61" s="70" t="s">
        <v>195</v>
      </c>
      <c r="D61" s="32" t="s">
        <v>3627</v>
      </c>
      <c r="E61" s="11" t="str">
        <f>HYPERLINK("https://youtu.be/rM_Ez7y0SIo?t=6397","channel 3")</f>
        <v>channel 3</v>
      </c>
    </row>
    <row r="62">
      <c r="A62" s="118"/>
      <c r="B62" s="32" t="s">
        <v>1898</v>
      </c>
      <c r="C62" s="70" t="s">
        <v>62</v>
      </c>
      <c r="D62" s="32" t="s">
        <v>659</v>
      </c>
      <c r="E62" s="11" t="str">
        <f>HYPERLINK("https://youtu.be/gHc7lXPcESs?t=6499","channel 4")</f>
        <v>channel 4</v>
      </c>
    </row>
    <row r="63">
      <c r="A63" s="118"/>
      <c r="B63" s="32" t="s">
        <v>3625</v>
      </c>
      <c r="C63" s="70" t="s">
        <v>270</v>
      </c>
      <c r="D63" s="32" t="s">
        <v>3627</v>
      </c>
      <c r="E63" s="11" t="str">
        <f>HYPERLINK("https://youtu.be/rM_Ez7y0SIo?t=7264","channel 3")</f>
        <v>channel 3</v>
      </c>
    </row>
    <row r="64">
      <c r="A64" s="118"/>
      <c r="B64" s="32" t="s">
        <v>1898</v>
      </c>
      <c r="C64" s="70" t="s">
        <v>64</v>
      </c>
      <c r="D64" s="32" t="s">
        <v>3626</v>
      </c>
      <c r="E64" s="11" t="str">
        <f>HYPERLINK("https://youtu.be/gHc7lXPcESs?t=7431","channel 4")</f>
        <v>channel 4</v>
      </c>
    </row>
    <row r="65">
      <c r="A65" s="118"/>
      <c r="B65" s="32" t="s">
        <v>659</v>
      </c>
      <c r="C65" s="70" t="s">
        <v>533</v>
      </c>
      <c r="D65" s="32" t="s">
        <v>3627</v>
      </c>
      <c r="E65" s="11" t="str">
        <f>HYPERLINK("https://youtu.be/rM_Ez7y0SIo?t=8152","channel 3")</f>
        <v>channel 3</v>
      </c>
    </row>
    <row r="66">
      <c r="A66" s="118"/>
      <c r="B66" s="32" t="s">
        <v>3625</v>
      </c>
      <c r="C66" s="70" t="s">
        <v>22</v>
      </c>
      <c r="D66" s="32" t="s">
        <v>3626</v>
      </c>
      <c r="E66" s="11" t="str">
        <f>HYPERLINK("https://youtu.be/gHc7lXPcESs?t=8315","channel 4")</f>
        <v>channel 4</v>
      </c>
    </row>
    <row r="67">
      <c r="A67" s="118"/>
      <c r="B67" s="72" t="s">
        <v>3055</v>
      </c>
      <c r="C67" s="2"/>
      <c r="D67" s="3"/>
      <c r="E67" s="4"/>
    </row>
    <row r="68">
      <c r="A68" s="118"/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118"/>
      <c r="B69" s="32" t="s">
        <v>1890</v>
      </c>
      <c r="C69" s="70" t="s">
        <v>354</v>
      </c>
      <c r="D69" s="32" t="s">
        <v>3628</v>
      </c>
      <c r="E69" s="11" t="str">
        <f>HYPERLINK("https://youtu.be/_QsdNuVAyOM","channel 3")</f>
        <v>channel 3</v>
      </c>
    </row>
    <row r="70">
      <c r="A70" s="118"/>
      <c r="B70" s="32" t="s">
        <v>3056</v>
      </c>
      <c r="C70" s="70" t="s">
        <v>27</v>
      </c>
      <c r="D70" s="32" t="s">
        <v>3377</v>
      </c>
      <c r="E70" s="11" t="str">
        <f>HYPERLINK("https://youtu.be/nPRb29IidY4","channel 4")</f>
        <v>channel 4</v>
      </c>
    </row>
    <row r="71">
      <c r="A71" s="118"/>
      <c r="B71" s="32" t="s">
        <v>3629</v>
      </c>
      <c r="C71" s="70" t="s">
        <v>55</v>
      </c>
      <c r="D71" s="32" t="s">
        <v>1890</v>
      </c>
      <c r="E71" s="11" t="str">
        <f>HYPERLINK("https://youtu.be/_QsdNuVAyOM?t=978","channel 3")</f>
        <v>channel 3</v>
      </c>
    </row>
    <row r="72">
      <c r="A72" s="118"/>
      <c r="B72" s="32" t="s">
        <v>3056</v>
      </c>
      <c r="C72" s="70" t="s">
        <v>260</v>
      </c>
      <c r="D72" s="32" t="s">
        <v>3628</v>
      </c>
      <c r="E72" s="11" t="str">
        <f>HYPERLINK("https://youtu.be/nPRb29IidY4?t=925","channel 4")</f>
        <v>channel 4</v>
      </c>
    </row>
    <row r="73">
      <c r="A73" s="118"/>
      <c r="B73" s="32" t="s">
        <v>3629</v>
      </c>
      <c r="C73" s="70" t="s">
        <v>337</v>
      </c>
      <c r="D73" s="32" t="s">
        <v>3377</v>
      </c>
      <c r="E73" s="11" t="str">
        <f>HYPERLINK("https://youtu.be/_QsdNuVAyOM?t=1861","channel 3")</f>
        <v>channel 3</v>
      </c>
    </row>
    <row r="74">
      <c r="A74" s="118"/>
      <c r="B74" s="32" t="s">
        <v>3056</v>
      </c>
      <c r="C74" s="70" t="s">
        <v>303</v>
      </c>
      <c r="D74" s="32" t="s">
        <v>1890</v>
      </c>
      <c r="E74" s="11" t="str">
        <f>HYPERLINK("https://youtu.be/nPRb29IidY4?t=1948","channel 4")</f>
        <v>channel 4</v>
      </c>
    </row>
    <row r="75">
      <c r="A75" s="118"/>
      <c r="B75" s="32" t="s">
        <v>3629</v>
      </c>
      <c r="C75" s="70" t="s">
        <v>22</v>
      </c>
      <c r="D75" s="32" t="s">
        <v>3628</v>
      </c>
      <c r="E75" s="11" t="str">
        <f>HYPERLINK("https://youtu.be/_QsdNuVAyOM?t=2778","channel 3")</f>
        <v>channel 3</v>
      </c>
    </row>
    <row r="76">
      <c r="A76" s="118"/>
      <c r="B76" s="32" t="s">
        <v>3377</v>
      </c>
      <c r="C76" s="70" t="s">
        <v>83</v>
      </c>
      <c r="D76" s="32" t="s">
        <v>1890</v>
      </c>
      <c r="E76" s="11" t="str">
        <f>HYPERLINK("https://youtu.be/nPRb29IidY4?t=2808","channel 4")</f>
        <v>channel 4</v>
      </c>
    </row>
    <row r="77">
      <c r="A77" s="118"/>
      <c r="B77" s="32" t="s">
        <v>3629</v>
      </c>
      <c r="C77" s="70" t="s">
        <v>400</v>
      </c>
      <c r="D77" s="32" t="s">
        <v>3056</v>
      </c>
      <c r="E77" s="11" t="str">
        <f>HYPERLINK("https://youtu.be/_QsdNuVAyOM?t=3684","channel 3")</f>
        <v>channel 3</v>
      </c>
    </row>
    <row r="78">
      <c r="A78" s="118"/>
      <c r="B78" s="32" t="s">
        <v>3377</v>
      </c>
      <c r="C78" s="70" t="s">
        <v>260</v>
      </c>
      <c r="D78" s="32" t="s">
        <v>3628</v>
      </c>
      <c r="E78" s="11" t="str">
        <f>HYPERLINK("https://youtu.be/nPRb29IidY4?t=3759","channel 4")</f>
        <v>channel 4</v>
      </c>
    </row>
    <row r="79">
      <c r="A79" s="118"/>
      <c r="B79" s="32" t="s">
        <v>3628</v>
      </c>
      <c r="C79" s="70" t="s">
        <v>11</v>
      </c>
      <c r="D79" s="32" t="s">
        <v>1890</v>
      </c>
      <c r="E79" s="11" t="str">
        <f>HYPERLINK("https://youtu.be/_QsdNuVAyOM?t=4681","channel 3")</f>
        <v>channel 3</v>
      </c>
    </row>
    <row r="80">
      <c r="A80" s="118"/>
      <c r="B80" s="32" t="s">
        <v>3377</v>
      </c>
      <c r="C80" s="70" t="s">
        <v>55</v>
      </c>
      <c r="D80" s="32" t="s">
        <v>3056</v>
      </c>
      <c r="E80" s="11" t="str">
        <f>HYPERLINK("https://youtu.be/nPRb29IidY4?t=4610","channel 4")</f>
        <v>channel 4</v>
      </c>
    </row>
    <row r="81">
      <c r="A81" s="118"/>
      <c r="B81" s="32" t="s">
        <v>1890</v>
      </c>
      <c r="C81" s="70" t="s">
        <v>55</v>
      </c>
      <c r="D81" s="32" t="s">
        <v>3629</v>
      </c>
      <c r="E81" s="11" t="str">
        <f>HYPERLINK("https://youtu.be/_QsdNuVAyOM?t=5557","channel 3")</f>
        <v>channel 3</v>
      </c>
    </row>
    <row r="82">
      <c r="A82" s="118"/>
      <c r="B82" s="32" t="s">
        <v>3628</v>
      </c>
      <c r="C82" s="70" t="s">
        <v>88</v>
      </c>
      <c r="D82" s="32" t="s">
        <v>3056</v>
      </c>
      <c r="E82" s="11" t="str">
        <f>HYPERLINK("https://youtu.be/nPRb29IidY4?t=5517","channel 4")</f>
        <v>channel 4</v>
      </c>
    </row>
    <row r="83">
      <c r="A83" s="118"/>
      <c r="B83" s="32" t="s">
        <v>3377</v>
      </c>
      <c r="C83" s="70" t="s">
        <v>260</v>
      </c>
      <c r="D83" s="32" t="s">
        <v>3629</v>
      </c>
      <c r="E83" s="11" t="str">
        <f>HYPERLINK("https://youtu.be/_QsdNuVAyOM?t=6456","channel 3")</f>
        <v>channel 3</v>
      </c>
    </row>
    <row r="84">
      <c r="A84" s="118"/>
      <c r="B84" s="32" t="s">
        <v>1890</v>
      </c>
      <c r="C84" s="70" t="s">
        <v>875</v>
      </c>
      <c r="D84" s="32" t="s">
        <v>3056</v>
      </c>
      <c r="E84" s="11" t="str">
        <f>HYPERLINK("https://youtu.be/nPRb29IidY4?t=6401","channel 4")</f>
        <v>channel 4</v>
      </c>
    </row>
    <row r="85">
      <c r="A85" s="118"/>
      <c r="B85" s="32" t="s">
        <v>3628</v>
      </c>
      <c r="C85" s="70" t="s">
        <v>217</v>
      </c>
      <c r="D85" s="32" t="s">
        <v>3629</v>
      </c>
      <c r="E85" s="11" t="str">
        <f>HYPERLINK("https://youtu.be/_QsdNuVAyOM?t=7541","channel 3")</f>
        <v>channel 3</v>
      </c>
    </row>
    <row r="86">
      <c r="A86" s="118"/>
      <c r="B86" s="32" t="s">
        <v>1890</v>
      </c>
      <c r="C86" s="70" t="s">
        <v>81</v>
      </c>
      <c r="D86" s="32" t="s">
        <v>3377</v>
      </c>
      <c r="E86" s="11" t="str">
        <f>HYPERLINK("https://youtu.be/nPRb29IidY4?t=7484","channel 4")</f>
        <v>channel 4</v>
      </c>
    </row>
    <row r="87">
      <c r="A87" s="118"/>
      <c r="B87" s="32" t="s">
        <v>3056</v>
      </c>
      <c r="C87" s="70" t="s">
        <v>17</v>
      </c>
      <c r="D87" s="32" t="s">
        <v>3629</v>
      </c>
      <c r="E87" s="11" t="str">
        <f>HYPERLINK("https://youtu.be/_QsdNuVAyOM?t=8472","channel 3")</f>
        <v>channel 3</v>
      </c>
    </row>
    <row r="88">
      <c r="A88" s="118"/>
      <c r="B88" s="32" t="s">
        <v>3628</v>
      </c>
      <c r="C88" s="70" t="s">
        <v>472</v>
      </c>
      <c r="D88" s="32" t="s">
        <v>3377</v>
      </c>
      <c r="E88" s="11" t="str">
        <f>HYPERLINK("https://youtu.be/nPRb29IidY4?t=8414","channel 4")</f>
        <v>channel 4</v>
      </c>
    </row>
    <row r="89">
      <c r="A89" s="118"/>
      <c r="B89" s="72" t="s">
        <v>2316</v>
      </c>
      <c r="C89" s="2"/>
      <c r="D89" s="3"/>
      <c r="E89" s="4"/>
    </row>
    <row r="90">
      <c r="A90" s="118"/>
      <c r="B90" s="16" t="s">
        <v>2</v>
      </c>
      <c r="C90" s="16" t="s">
        <v>3</v>
      </c>
      <c r="D90" s="16" t="s">
        <v>4</v>
      </c>
      <c r="E90" s="16" t="s">
        <v>5</v>
      </c>
    </row>
    <row r="91">
      <c r="A91" s="118"/>
      <c r="B91" s="32" t="s">
        <v>3630</v>
      </c>
      <c r="C91" s="70" t="s">
        <v>71</v>
      </c>
      <c r="D91" s="32" t="s">
        <v>3631</v>
      </c>
      <c r="E91" s="11" t="str">
        <f>HYPERLINK("https://youtu.be/5AlTz4b5de4","channel 1")</f>
        <v>channel 1</v>
      </c>
    </row>
    <row r="92">
      <c r="A92" s="118"/>
      <c r="B92" s="32" t="s">
        <v>3571</v>
      </c>
      <c r="C92" s="70" t="s">
        <v>87</v>
      </c>
      <c r="D92" s="32" t="s">
        <v>3632</v>
      </c>
      <c r="E92" s="11" t="str">
        <f>HYPERLINK("https://youtu.be/9pKbb5fuGtc","channel 2")</f>
        <v>channel 2</v>
      </c>
    </row>
    <row r="93">
      <c r="A93" s="118"/>
      <c r="B93" s="32" t="s">
        <v>2588</v>
      </c>
      <c r="C93" s="70" t="s">
        <v>319</v>
      </c>
      <c r="D93" s="32" t="s">
        <v>3630</v>
      </c>
      <c r="E93" s="11" t="str">
        <f>HYPERLINK("https://youtu.be/5AlTz4b5de4?t=1252","channel 1")</f>
        <v>channel 1</v>
      </c>
    </row>
    <row r="94">
      <c r="A94" s="118"/>
      <c r="B94" s="32" t="s">
        <v>3571</v>
      </c>
      <c r="C94" s="70" t="s">
        <v>190</v>
      </c>
      <c r="D94" s="32" t="s">
        <v>3631</v>
      </c>
      <c r="E94" s="11" t="str">
        <f>HYPERLINK("https://youtu.be/9pKbb5fuGtc?t=1185","channel 2")</f>
        <v>channel 2</v>
      </c>
    </row>
    <row r="95">
      <c r="A95" s="118"/>
      <c r="B95" s="32" t="s">
        <v>2588</v>
      </c>
      <c r="C95" s="70" t="s">
        <v>22</v>
      </c>
      <c r="D95" s="32" t="s">
        <v>3632</v>
      </c>
      <c r="E95" s="11" t="str">
        <f>HYPERLINK("https://youtu.be/5AlTz4b5de4?t=2156","channel 1")</f>
        <v>channel 1</v>
      </c>
    </row>
    <row r="96">
      <c r="A96" s="118"/>
      <c r="B96" s="32" t="s">
        <v>3571</v>
      </c>
      <c r="C96" s="70" t="s">
        <v>426</v>
      </c>
      <c r="D96" s="32" t="s">
        <v>3630</v>
      </c>
      <c r="E96" s="11" t="str">
        <f>HYPERLINK("https://youtu.be/9pKbb5fuGtc?t=2114","channel 2")</f>
        <v>channel 2</v>
      </c>
    </row>
    <row r="97">
      <c r="A97" s="118"/>
      <c r="B97" s="32" t="s">
        <v>2588</v>
      </c>
      <c r="C97" s="70" t="s">
        <v>76</v>
      </c>
      <c r="D97" s="32" t="s">
        <v>3631</v>
      </c>
      <c r="E97" s="11" t="str">
        <f>HYPERLINK("https://youtu.be/5AlTz4b5de4?t=3086","channel 1")</f>
        <v>channel 1</v>
      </c>
    </row>
    <row r="98">
      <c r="A98" s="118"/>
      <c r="B98" s="32" t="s">
        <v>3632</v>
      </c>
      <c r="C98" s="70" t="s">
        <v>545</v>
      </c>
      <c r="D98" s="32" t="s">
        <v>3630</v>
      </c>
      <c r="E98" s="11" t="str">
        <f>HYPERLINK("https://youtu.be/9pKbb5fuGtc?t=3020","channel 2")</f>
        <v>channel 2</v>
      </c>
    </row>
    <row r="99">
      <c r="A99" s="118"/>
      <c r="B99" s="32" t="s">
        <v>2588</v>
      </c>
      <c r="C99" s="70" t="s">
        <v>207</v>
      </c>
      <c r="D99" s="32" t="s">
        <v>3571</v>
      </c>
      <c r="E99" s="11" t="str">
        <f>HYPERLINK("https://youtu.be/5AlTz4b5de4?t=3992","channel 1")</f>
        <v>channel 1</v>
      </c>
    </row>
    <row r="100">
      <c r="A100" s="118"/>
      <c r="B100" s="32" t="s">
        <v>3632</v>
      </c>
      <c r="C100" s="70" t="s">
        <v>195</v>
      </c>
      <c r="D100" s="32" t="s">
        <v>3631</v>
      </c>
      <c r="E100" s="11" t="str">
        <f>HYPERLINK("https://youtu.be/9pKbb5fuGtc?t=3932","channel 2")</f>
        <v>channel 2</v>
      </c>
    </row>
    <row r="101">
      <c r="A101" s="118"/>
      <c r="B101" s="32" t="s">
        <v>3631</v>
      </c>
      <c r="C101" s="70" t="s">
        <v>389</v>
      </c>
      <c r="D101" s="32" t="s">
        <v>3630</v>
      </c>
      <c r="E101" s="11" t="str">
        <f>HYPERLINK("https://youtu.be/5AlTz4b5de4?t=4896","channel 1")</f>
        <v>channel 1</v>
      </c>
    </row>
    <row r="102">
      <c r="A102" s="118"/>
      <c r="B102" s="32" t="s">
        <v>3632</v>
      </c>
      <c r="C102" s="70" t="s">
        <v>285</v>
      </c>
      <c r="D102" s="32" t="s">
        <v>3571</v>
      </c>
      <c r="E102" s="11" t="str">
        <f>HYPERLINK("https://youtu.be/9pKbb5fuGtc?t=4846","channel 2")</f>
        <v>channel 2</v>
      </c>
    </row>
    <row r="103">
      <c r="A103" s="118"/>
      <c r="B103" s="32" t="s">
        <v>3630</v>
      </c>
      <c r="C103" s="70" t="s">
        <v>28</v>
      </c>
      <c r="D103" s="32" t="s">
        <v>2588</v>
      </c>
      <c r="E103" s="11" t="str">
        <f>HYPERLINK("https://youtu.be/5AlTz4b5de4?t=5851","channel 1")</f>
        <v>channel 1</v>
      </c>
    </row>
    <row r="104">
      <c r="A104" s="118"/>
      <c r="B104" s="32" t="s">
        <v>3631</v>
      </c>
      <c r="C104" s="70" t="s">
        <v>88</v>
      </c>
      <c r="D104" s="32" t="s">
        <v>3571</v>
      </c>
      <c r="E104" s="11" t="str">
        <f>HYPERLINK("https://youtu.be/9pKbb5fuGtc?t=5805","channel 2")</f>
        <v>channel 2</v>
      </c>
    </row>
    <row r="105">
      <c r="A105" s="118"/>
      <c r="B105" s="32" t="s">
        <v>3632</v>
      </c>
      <c r="C105" s="70" t="s">
        <v>68</v>
      </c>
      <c r="D105" s="32" t="s">
        <v>2588</v>
      </c>
      <c r="E105" s="11" t="str">
        <f>HYPERLINK("https://youtu.be/5AlTz4b5de4?t=6796","channel 1")</f>
        <v>channel 1</v>
      </c>
    </row>
    <row r="106">
      <c r="A106" s="118"/>
      <c r="B106" s="32" t="s">
        <v>3630</v>
      </c>
      <c r="C106" s="70" t="s">
        <v>686</v>
      </c>
      <c r="D106" s="32" t="s">
        <v>3571</v>
      </c>
      <c r="E106" s="11" t="str">
        <f>HYPERLINK("https://youtu.be/9pKbb5fuGtc?t=6720","channel 2")</f>
        <v>channel 2</v>
      </c>
    </row>
    <row r="107">
      <c r="A107" s="118"/>
      <c r="B107" s="32" t="s">
        <v>3631</v>
      </c>
      <c r="C107" s="70" t="s">
        <v>72</v>
      </c>
      <c r="D107" s="32" t="s">
        <v>2588</v>
      </c>
      <c r="E107" s="11" t="str">
        <f>HYPERLINK("https://youtu.be/5AlTz4b5de4?t=7718","channel 1")</f>
        <v>channel 1</v>
      </c>
    </row>
    <row r="108">
      <c r="A108" s="118"/>
      <c r="B108" s="32" t="s">
        <v>3630</v>
      </c>
      <c r="C108" s="70" t="s">
        <v>25</v>
      </c>
      <c r="D108" s="32" t="s">
        <v>3632</v>
      </c>
      <c r="E108" s="11" t="str">
        <f>HYPERLINK("https://youtu.be/9pKbb5fuGtc?t=7641","channel 2")</f>
        <v>channel 2</v>
      </c>
    </row>
    <row r="109">
      <c r="A109" s="118"/>
      <c r="B109" s="32" t="s">
        <v>3571</v>
      </c>
      <c r="C109" s="70" t="s">
        <v>426</v>
      </c>
      <c r="D109" s="32" t="s">
        <v>2588</v>
      </c>
      <c r="E109" s="11" t="str">
        <f>HYPERLINK("https://youtu.be/5AlTz4b5de4?t=8665","channel 1")</f>
        <v>channel 1</v>
      </c>
    </row>
    <row r="110">
      <c r="A110" s="118"/>
      <c r="B110" s="32" t="s">
        <v>3631</v>
      </c>
      <c r="C110" s="70" t="s">
        <v>196</v>
      </c>
      <c r="D110" s="32" t="s">
        <v>3632</v>
      </c>
      <c r="E110" s="11" t="str">
        <f>HYPERLINK("https://youtu.be/9pKbb5fuGtc?t=8572","channel 2")</f>
        <v>channel 2</v>
      </c>
    </row>
    <row r="111">
      <c r="A111" s="118"/>
      <c r="B111" s="72" t="s">
        <v>1685</v>
      </c>
      <c r="C111" s="2"/>
      <c r="D111" s="3"/>
      <c r="E111" s="4"/>
    </row>
    <row r="112">
      <c r="A112" s="118"/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A113" s="118"/>
      <c r="B113" s="32" t="s">
        <v>3633</v>
      </c>
      <c r="C113" s="70" t="s">
        <v>400</v>
      </c>
      <c r="D113" s="32" t="s">
        <v>3634</v>
      </c>
      <c r="E113" s="11" t="str">
        <f>HYPERLINK("https://youtu.be/Jljo9H3Aef0","channel 1")</f>
        <v>channel 1</v>
      </c>
    </row>
    <row r="114">
      <c r="A114" s="118"/>
      <c r="B114" s="32" t="s">
        <v>3635</v>
      </c>
      <c r="C114" s="70" t="s">
        <v>58</v>
      </c>
      <c r="D114" s="32" t="s">
        <v>3636</v>
      </c>
      <c r="E114" s="11" t="str">
        <f>HYPERLINK("https://youtu.be/FYCU8g6WBA0","channel 2")</f>
        <v>channel 2</v>
      </c>
    </row>
    <row r="115">
      <c r="A115" s="118"/>
      <c r="B115" s="32" t="s">
        <v>3039</v>
      </c>
      <c r="C115" s="70" t="s">
        <v>55</v>
      </c>
      <c r="D115" s="32" t="s">
        <v>3633</v>
      </c>
      <c r="E115" s="11" t="str">
        <f>HYPERLINK("https://youtu.be/Jljo9H3Aef0?t=1172","channel 1")</f>
        <v>channel 1</v>
      </c>
    </row>
    <row r="116">
      <c r="A116" s="118"/>
      <c r="B116" s="32" t="s">
        <v>3635</v>
      </c>
      <c r="C116" s="70" t="s">
        <v>72</v>
      </c>
      <c r="D116" s="32" t="s">
        <v>3634</v>
      </c>
      <c r="E116" s="11" t="str">
        <f>HYPERLINK("https://youtu.be/FYCU8g6WBA0?t=1033","channel 2")</f>
        <v>channel 2</v>
      </c>
    </row>
    <row r="117">
      <c r="A117" s="118"/>
      <c r="B117" s="32" t="s">
        <v>3039</v>
      </c>
      <c r="C117" s="70" t="s">
        <v>197</v>
      </c>
      <c r="D117" s="32" t="s">
        <v>3636</v>
      </c>
      <c r="E117" s="11" t="str">
        <f>HYPERLINK("https://youtu.be/Jljo9H3Aef0?t=2057","channel 1")</f>
        <v>channel 1</v>
      </c>
    </row>
    <row r="118">
      <c r="A118" s="118"/>
      <c r="B118" s="32" t="s">
        <v>3635</v>
      </c>
      <c r="C118" s="70" t="s">
        <v>261</v>
      </c>
      <c r="D118" s="32" t="s">
        <v>3633</v>
      </c>
      <c r="E118" s="11" t="str">
        <f>HYPERLINK("https://youtu.be/FYCU8g6WBA0?t=1995","channel 2")</f>
        <v>channel 2</v>
      </c>
    </row>
    <row r="119">
      <c r="A119" s="118"/>
      <c r="B119" s="32" t="s">
        <v>3039</v>
      </c>
      <c r="C119" s="70" t="s">
        <v>232</v>
      </c>
      <c r="D119" s="32" t="s">
        <v>3634</v>
      </c>
      <c r="E119" s="11" t="str">
        <f>HYPERLINK("https://youtu.be/Jljo9H3Aef0?t=3028","channel 1")</f>
        <v>channel 1</v>
      </c>
    </row>
    <row r="120">
      <c r="A120" s="118"/>
      <c r="B120" s="32" t="s">
        <v>3636</v>
      </c>
      <c r="C120" s="70" t="s">
        <v>249</v>
      </c>
      <c r="D120" s="32" t="s">
        <v>3633</v>
      </c>
      <c r="E120" s="11" t="str">
        <f>HYPERLINK("https://youtu.be/FYCU8g6WBA0?t=2979","channel 2")</f>
        <v>channel 2</v>
      </c>
    </row>
    <row r="121">
      <c r="A121" s="118"/>
      <c r="B121" s="32" t="s">
        <v>3039</v>
      </c>
      <c r="C121" s="70" t="s">
        <v>329</v>
      </c>
      <c r="D121" s="32" t="s">
        <v>3635</v>
      </c>
      <c r="E121" s="11" t="str">
        <f>HYPERLINK("https://youtu.be/Jljo9H3Aef0?t=3964","channel 1")</f>
        <v>channel 1</v>
      </c>
    </row>
    <row r="122">
      <c r="A122" s="118"/>
      <c r="B122" s="32" t="s">
        <v>3636</v>
      </c>
      <c r="C122" s="70" t="s">
        <v>233</v>
      </c>
      <c r="D122" s="32" t="s">
        <v>3634</v>
      </c>
      <c r="E122" s="11" t="str">
        <f>HYPERLINK("https://youtu.be/FYCU8g6WBA0?t=3917","channel 2")</f>
        <v>channel 2</v>
      </c>
    </row>
    <row r="123">
      <c r="A123" s="118"/>
      <c r="B123" s="32" t="s">
        <v>3634</v>
      </c>
      <c r="C123" s="70" t="s">
        <v>446</v>
      </c>
      <c r="D123" s="32" t="s">
        <v>3633</v>
      </c>
      <c r="E123" s="11" t="str">
        <f>HYPERLINK("https://youtu.be/Jljo9H3Aef0?t=5010","channel 1")</f>
        <v>channel 1</v>
      </c>
    </row>
    <row r="124">
      <c r="A124" s="118"/>
      <c r="B124" s="32" t="s">
        <v>3636</v>
      </c>
      <c r="C124" s="70" t="s">
        <v>274</v>
      </c>
      <c r="D124" s="32" t="s">
        <v>3635</v>
      </c>
      <c r="E124" s="11" t="str">
        <f>HYPERLINK("https://youtu.be/FYCU8g6WBA0?t=4918","channel 2")</f>
        <v>channel 2</v>
      </c>
    </row>
    <row r="125">
      <c r="A125" s="118"/>
      <c r="B125" s="32" t="s">
        <v>3633</v>
      </c>
      <c r="C125" s="70" t="s">
        <v>218</v>
      </c>
      <c r="D125" s="32" t="s">
        <v>3039</v>
      </c>
      <c r="E125" s="11" t="str">
        <f>HYPERLINK("https://youtu.be/Jljo9H3Aef0?t=6073","channel 1")</f>
        <v>channel 1</v>
      </c>
    </row>
    <row r="126">
      <c r="A126" s="118"/>
      <c r="B126" s="32" t="s">
        <v>3634</v>
      </c>
      <c r="C126" s="70" t="s">
        <v>245</v>
      </c>
      <c r="D126" s="32" t="s">
        <v>3635</v>
      </c>
      <c r="E126" s="11" t="str">
        <f>HYPERLINK("https://youtu.be/FYCU8g6WBA0?t=5993","channel 2")</f>
        <v>channel 2</v>
      </c>
    </row>
    <row r="127">
      <c r="A127" s="118"/>
      <c r="B127" s="32" t="s">
        <v>3636</v>
      </c>
      <c r="C127" s="70" t="s">
        <v>291</v>
      </c>
      <c r="D127" s="32" t="s">
        <v>3039</v>
      </c>
      <c r="E127" s="11" t="str">
        <f>HYPERLINK("https://youtu.be/Jljo9H3Aef0?t=6864","channel 1")</f>
        <v>channel 1</v>
      </c>
    </row>
    <row r="128">
      <c r="A128" s="118"/>
      <c r="B128" s="32" t="s">
        <v>3633</v>
      </c>
      <c r="C128" s="70" t="s">
        <v>306</v>
      </c>
      <c r="D128" s="32" t="s">
        <v>3635</v>
      </c>
      <c r="E128" s="11" t="str">
        <f>HYPERLINK("https://youtu.be/FYCU8g6WBA0?t=6796","channel 2")</f>
        <v>channel 2</v>
      </c>
    </row>
    <row r="129">
      <c r="A129" s="118"/>
      <c r="B129" s="32" t="s">
        <v>3634</v>
      </c>
      <c r="C129" s="70" t="s">
        <v>291</v>
      </c>
      <c r="D129" s="32" t="s">
        <v>3039</v>
      </c>
      <c r="E129" s="11" t="str">
        <f>HYPERLINK("https://youtu.be/Jljo9H3Aef0?t=7677","channel 1")</f>
        <v>channel 1</v>
      </c>
    </row>
    <row r="130">
      <c r="A130" s="118"/>
      <c r="B130" s="32" t="s">
        <v>3633</v>
      </c>
      <c r="C130" s="70" t="s">
        <v>220</v>
      </c>
      <c r="D130" s="32" t="s">
        <v>3636</v>
      </c>
      <c r="E130" s="11" t="str">
        <f>HYPERLINK("https://youtu.be/FYCU8g6WBA0?t=7616","channel 2")</f>
        <v>channel 2</v>
      </c>
    </row>
    <row r="131">
      <c r="A131" s="118"/>
      <c r="B131" s="32" t="s">
        <v>3635</v>
      </c>
      <c r="C131" s="70" t="s">
        <v>526</v>
      </c>
      <c r="D131" s="32" t="s">
        <v>3039</v>
      </c>
      <c r="E131" s="11" t="str">
        <f>HYPERLINK("https://youtu.be/Jljo9H3Aef0?t=8602","channel 1")</f>
        <v>channel 1</v>
      </c>
    </row>
    <row r="132">
      <c r="A132" s="122"/>
      <c r="B132" s="32" t="s">
        <v>3634</v>
      </c>
      <c r="C132" s="70" t="s">
        <v>19</v>
      </c>
      <c r="D132" s="32" t="s">
        <v>3636</v>
      </c>
      <c r="E132" s="11" t="str">
        <f>HYPERLINK("https://youtu.be/FYCU8g6WBA0?t=8514","channel 2")</f>
        <v>channel 2</v>
      </c>
    </row>
    <row r="133">
      <c r="B133" s="72" t="s">
        <v>2567</v>
      </c>
      <c r="C133" s="2"/>
      <c r="D133" s="3"/>
      <c r="E133" s="2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34" t="s">
        <v>2347</v>
      </c>
      <c r="C135" s="70" t="s">
        <v>370</v>
      </c>
      <c r="D135" s="32" t="s">
        <v>3637</v>
      </c>
      <c r="E135" s="11" t="str">
        <f>HYPERLINK("https://youtu.be/9yXRAq-nLv4","channel 3")</f>
        <v>channel 3</v>
      </c>
    </row>
    <row r="136">
      <c r="B136" s="34" t="s">
        <v>3638</v>
      </c>
      <c r="C136" s="70" t="s">
        <v>69</v>
      </c>
      <c r="D136" s="34" t="s">
        <v>3639</v>
      </c>
      <c r="E136" s="11" t="str">
        <f>HYPERLINK("https://youtu.be/7KoYrPvvUqU","channel 4")</f>
        <v>channel 4</v>
      </c>
    </row>
    <row r="137">
      <c r="B137" s="34" t="s">
        <v>3640</v>
      </c>
      <c r="C137" s="70" t="s">
        <v>273</v>
      </c>
      <c r="D137" s="34" t="s">
        <v>2347</v>
      </c>
      <c r="E137" s="11" t="str">
        <f>HYPERLINK("https://youtu.be/9yXRAq-nLv4?t=1117","channel 3")</f>
        <v>channel 3</v>
      </c>
    </row>
    <row r="138">
      <c r="B138" s="34" t="s">
        <v>3638</v>
      </c>
      <c r="C138" s="70" t="s">
        <v>284</v>
      </c>
      <c r="D138" s="32" t="s">
        <v>3637</v>
      </c>
      <c r="E138" s="11" t="str">
        <f>HYPERLINK("https://youtu.be/7KoYrPvvUqU?t=1001","channel 4")</f>
        <v>channel 4</v>
      </c>
    </row>
    <row r="139">
      <c r="B139" s="34" t="s">
        <v>3640</v>
      </c>
      <c r="C139" s="70" t="s">
        <v>195</v>
      </c>
      <c r="D139" s="34" t="s">
        <v>3639</v>
      </c>
      <c r="E139" s="11" t="str">
        <f>HYPERLINK("https://youtu.be/9yXRAq-nLv4?t=2082","channel 3")</f>
        <v>channel 3</v>
      </c>
    </row>
    <row r="140">
      <c r="B140" s="34" t="s">
        <v>3638</v>
      </c>
      <c r="C140" s="70" t="s">
        <v>416</v>
      </c>
      <c r="D140" s="34" t="s">
        <v>2347</v>
      </c>
      <c r="E140" s="11" t="str">
        <f>HYPERLINK("https://youtu.be/7KoYrPvvUqU?t=1940","channel 4")</f>
        <v>channel 4</v>
      </c>
    </row>
    <row r="141">
      <c r="B141" s="34" t="s">
        <v>3640</v>
      </c>
      <c r="C141" s="70" t="s">
        <v>196</v>
      </c>
      <c r="D141" s="32" t="s">
        <v>3637</v>
      </c>
      <c r="E141" s="11" t="str">
        <f>HYPERLINK("https://youtu.be/9yXRAq-nLv4?t=3014","channel 3")</f>
        <v>channel 3</v>
      </c>
    </row>
    <row r="142">
      <c r="B142" s="34" t="s">
        <v>3639</v>
      </c>
      <c r="C142" s="70" t="s">
        <v>87</v>
      </c>
      <c r="D142" s="34" t="s">
        <v>2347</v>
      </c>
      <c r="E142" s="11" t="str">
        <f>HYPERLINK("https://youtu.be/7KoYrPvvUqU?t=2869","channel 4")</f>
        <v>channel 4</v>
      </c>
    </row>
    <row r="143">
      <c r="B143" s="34" t="s">
        <v>3640</v>
      </c>
      <c r="C143" s="70" t="s">
        <v>217</v>
      </c>
      <c r="D143" s="34" t="s">
        <v>3638</v>
      </c>
      <c r="E143" s="11" t="str">
        <f>HYPERLINK("https://youtu.be/9yXRAq-nLv4?t=3905","channel 3")</f>
        <v>channel 3</v>
      </c>
    </row>
    <row r="144">
      <c r="B144" s="34" t="s">
        <v>3639</v>
      </c>
      <c r="C144" s="70" t="s">
        <v>1102</v>
      </c>
      <c r="D144" s="32" t="s">
        <v>3637</v>
      </c>
      <c r="E144" s="11" t="str">
        <f>HYPERLINK("https://youtu.be/7KoYrPvvUqU?t=3789","channel 4")</f>
        <v>channel 4</v>
      </c>
    </row>
    <row r="145">
      <c r="B145" s="32" t="s">
        <v>3637</v>
      </c>
      <c r="C145" s="70" t="s">
        <v>49</v>
      </c>
      <c r="D145" s="34" t="s">
        <v>2347</v>
      </c>
      <c r="E145" s="11" t="str">
        <f>HYPERLINK("https://youtu.be/9yXRAq-nLv4?t=4903","channel 3")</f>
        <v>channel 3</v>
      </c>
    </row>
    <row r="146">
      <c r="B146" s="34" t="s">
        <v>3639</v>
      </c>
      <c r="C146" s="70" t="s">
        <v>302</v>
      </c>
      <c r="D146" s="34" t="s">
        <v>3638</v>
      </c>
      <c r="E146" s="11" t="str">
        <f>HYPERLINK("https://youtu.be/7KoYrPvvUqU?t=4749","channel 4")</f>
        <v>channel 4</v>
      </c>
    </row>
    <row r="147">
      <c r="B147" s="34" t="s">
        <v>2347</v>
      </c>
      <c r="C147" s="70" t="s">
        <v>26</v>
      </c>
      <c r="D147" s="34" t="s">
        <v>3640</v>
      </c>
      <c r="E147" s="11" t="str">
        <f>HYPERLINK("https://youtu.be/9yXRAq-nLv4?t=5885","channel 3")</f>
        <v>channel 3</v>
      </c>
    </row>
    <row r="148">
      <c r="B148" s="32" t="s">
        <v>3637</v>
      </c>
      <c r="C148" s="70" t="s">
        <v>17</v>
      </c>
      <c r="D148" s="34" t="s">
        <v>3638</v>
      </c>
      <c r="E148" s="11" t="str">
        <f>HYPERLINK("https://youtu.be/7KoYrPvvUqU?t=5772","channel 4")</f>
        <v>channel 4</v>
      </c>
    </row>
    <row r="149">
      <c r="B149" s="34" t="s">
        <v>3639</v>
      </c>
      <c r="C149" s="70" t="s">
        <v>416</v>
      </c>
      <c r="D149" s="34" t="s">
        <v>3640</v>
      </c>
      <c r="E149" s="11" t="str">
        <f>HYPERLINK("https://youtu.be/9yXRAq-nLv4?t=6841","channel 3")</f>
        <v>channel 3</v>
      </c>
    </row>
    <row r="150">
      <c r="B150" s="34" t="s">
        <v>2347</v>
      </c>
      <c r="C150" s="70" t="s">
        <v>28</v>
      </c>
      <c r="D150" s="34" t="s">
        <v>3638</v>
      </c>
      <c r="E150" s="11" t="str">
        <f>HYPERLINK("https://youtu.be/7KoYrPvvUqU?t=6670","channel 4")</f>
        <v>channel 4</v>
      </c>
    </row>
    <row r="151">
      <c r="B151" s="32" t="s">
        <v>3637</v>
      </c>
      <c r="C151" s="70" t="s">
        <v>2795</v>
      </c>
      <c r="D151" s="34" t="s">
        <v>3640</v>
      </c>
      <c r="E151" s="11" t="str">
        <f>HYPERLINK("https://youtu.be/9yXRAq-nLv4?t=7821","channel 3")</f>
        <v>channel 3</v>
      </c>
    </row>
    <row r="152">
      <c r="B152" s="34" t="s">
        <v>2347</v>
      </c>
      <c r="C152" s="70" t="s">
        <v>289</v>
      </c>
      <c r="D152" s="34" t="s">
        <v>3639</v>
      </c>
      <c r="E152" s="11" t="str">
        <f>HYPERLINK("https://youtu.be/7KoYrPvvUqU?t=7617","channel 4")</f>
        <v>channel 4</v>
      </c>
    </row>
    <row r="153">
      <c r="B153" s="34" t="s">
        <v>3638</v>
      </c>
      <c r="C153" s="70" t="s">
        <v>270</v>
      </c>
      <c r="D153" s="34" t="s">
        <v>3640</v>
      </c>
      <c r="E153" s="11" t="str">
        <f>HYPERLINK("https://youtu.be/9yXRAq-nLv4?t=8760","channel 3")</f>
        <v>channel 3</v>
      </c>
    </row>
    <row r="154">
      <c r="B154" s="32" t="s">
        <v>3637</v>
      </c>
      <c r="C154" s="70" t="s">
        <v>25</v>
      </c>
      <c r="D154" s="34" t="s">
        <v>3639</v>
      </c>
      <c r="E154" s="11" t="str">
        <f>HYPERLINK("https://youtu.be/7KoYrPvvUqU?t=8579","channel 4")</f>
        <v>channel 4</v>
      </c>
    </row>
    <row r="155">
      <c r="B155" s="72" t="s">
        <v>2617</v>
      </c>
      <c r="C155" s="2"/>
      <c r="D155" s="3"/>
      <c r="E155" s="2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7" t="s">
        <v>2082</v>
      </c>
      <c r="C157" s="70" t="s">
        <v>196</v>
      </c>
      <c r="D157" s="32" t="s">
        <v>3641</v>
      </c>
      <c r="E157" s="11" t="str">
        <f>HYPERLINK("https://www.youtube.com/watch?v=-D8KMbCGks4","channel 3")</f>
        <v>channel 3</v>
      </c>
    </row>
    <row r="158">
      <c r="B158" s="32" t="s">
        <v>1008</v>
      </c>
      <c r="C158" s="70" t="s">
        <v>87</v>
      </c>
      <c r="D158" s="34" t="s">
        <v>3489</v>
      </c>
      <c r="E158" s="11" t="str">
        <f>HYPERLINK("https://youtu.be/8ZvBP2pzihY","channel 4")</f>
        <v>channel 4</v>
      </c>
    </row>
    <row r="159">
      <c r="B159" s="34" t="s">
        <v>3642</v>
      </c>
      <c r="C159" s="70" t="s">
        <v>273</v>
      </c>
      <c r="D159" s="34" t="s">
        <v>2082</v>
      </c>
      <c r="E159" s="11" t="str">
        <f>HYPERLINK("https://youtu.be/-D8KMbCGks4?t=1078","channel 3")</f>
        <v>channel 3</v>
      </c>
    </row>
    <row r="160">
      <c r="B160" s="32" t="s">
        <v>1008</v>
      </c>
      <c r="C160" s="70" t="s">
        <v>793</v>
      </c>
      <c r="D160" s="32" t="s">
        <v>3641</v>
      </c>
      <c r="E160" s="11" t="str">
        <f>HYPERLINK("https://youtu.be/8ZvBP2pzihY?t=433","channel 4")</f>
        <v>channel 4</v>
      </c>
    </row>
    <row r="161">
      <c r="B161" s="34" t="s">
        <v>3642</v>
      </c>
      <c r="C161" s="70" t="s">
        <v>45</v>
      </c>
      <c r="D161" s="34" t="s">
        <v>3489</v>
      </c>
      <c r="E161" s="11" t="str">
        <f>HYPERLINK("https://youtu.be/-D8KMbCGks4?t=2051","channel 3")</f>
        <v>channel 3</v>
      </c>
    </row>
    <row r="162">
      <c r="B162" s="32" t="s">
        <v>1008</v>
      </c>
      <c r="C162" s="70" t="s">
        <v>190</v>
      </c>
      <c r="D162" s="34" t="s">
        <v>2082</v>
      </c>
      <c r="E162" s="11" t="str">
        <f>HYPERLINK("https://youtu.be/8ZvBP2pzihY?t=1363","channel 4")</f>
        <v>channel 4</v>
      </c>
    </row>
    <row r="163">
      <c r="B163" s="34" t="s">
        <v>3642</v>
      </c>
      <c r="C163" s="70" t="s">
        <v>195</v>
      </c>
      <c r="D163" s="32" t="s">
        <v>3641</v>
      </c>
      <c r="E163" s="11" t="str">
        <f>HYPERLINK("https://youtu.be/-D8KMbCGks4?t=3034","channel 3")</f>
        <v>channel 3</v>
      </c>
    </row>
    <row r="164">
      <c r="B164" s="34" t="s">
        <v>3489</v>
      </c>
      <c r="C164" s="70" t="s">
        <v>62</v>
      </c>
      <c r="D164" s="34" t="s">
        <v>2082</v>
      </c>
      <c r="E164" s="11" t="str">
        <f>HYPERLINK("https://youtu.be/8ZvBP2pzihY?t=2243","channel 4")</f>
        <v>channel 4</v>
      </c>
    </row>
    <row r="165">
      <c r="B165" s="34" t="s">
        <v>3642</v>
      </c>
      <c r="C165" s="70" t="s">
        <v>212</v>
      </c>
      <c r="D165" s="32" t="s">
        <v>1008</v>
      </c>
      <c r="E165" s="11" t="str">
        <f>HYPERLINK("https://youtu.be/-D8KMbCGks4?t=3946","channel 3")</f>
        <v>channel 3</v>
      </c>
    </row>
    <row r="166">
      <c r="B166" s="34" t="s">
        <v>3489</v>
      </c>
      <c r="C166" s="70" t="s">
        <v>11</v>
      </c>
      <c r="D166" s="32" t="s">
        <v>3641</v>
      </c>
      <c r="E166" s="11" t="str">
        <f>HYPERLINK("https://youtu.be/8ZvBP2pzihY?t=3200","channel 4")</f>
        <v>channel 4</v>
      </c>
    </row>
    <row r="167">
      <c r="B167" s="32" t="s">
        <v>3641</v>
      </c>
      <c r="C167" s="70" t="s">
        <v>66</v>
      </c>
      <c r="D167" s="34" t="s">
        <v>2082</v>
      </c>
      <c r="E167" s="11" t="str">
        <f>HYPERLINK("https://youtu.be/-D8KMbCGks4?t=4889","channel 3")</f>
        <v>channel 3</v>
      </c>
    </row>
    <row r="168">
      <c r="B168" s="34" t="s">
        <v>3489</v>
      </c>
      <c r="C168" s="70" t="s">
        <v>390</v>
      </c>
      <c r="D168" s="32" t="s">
        <v>1008</v>
      </c>
      <c r="E168" s="11" t="str">
        <f>HYPERLINK("https://youtu.be/8ZvBP2pzihY?t=4141","channel 4")</f>
        <v>channel 4</v>
      </c>
    </row>
    <row r="169">
      <c r="B169" s="34" t="s">
        <v>2082</v>
      </c>
      <c r="C169" s="70" t="s">
        <v>35</v>
      </c>
      <c r="D169" s="34" t="s">
        <v>3642</v>
      </c>
      <c r="E169" s="11" t="str">
        <f>HYPERLINK("https://youtu.be/-D8KMbCGks4?t=5848","channel 3")</f>
        <v>channel 3</v>
      </c>
    </row>
    <row r="170">
      <c r="B170" s="32" t="s">
        <v>3641</v>
      </c>
      <c r="C170" s="70" t="s">
        <v>22</v>
      </c>
      <c r="D170" s="32" t="s">
        <v>1008</v>
      </c>
      <c r="E170" s="11" t="str">
        <f>HYPERLINK("https://youtu.be/8ZvBP2pzihY?t=5176","channel 4")</f>
        <v>channel 4</v>
      </c>
    </row>
    <row r="171">
      <c r="B171" s="34" t="s">
        <v>3489</v>
      </c>
      <c r="C171" s="70" t="s">
        <v>69</v>
      </c>
      <c r="D171" s="34" t="s">
        <v>3642</v>
      </c>
      <c r="E171" s="11" t="str">
        <f>HYPERLINK("https://youtu.be/-D8KMbCGks4?t=6791","channel 3")</f>
        <v>channel 3</v>
      </c>
    </row>
    <row r="172">
      <c r="B172" s="34" t="s">
        <v>2082</v>
      </c>
      <c r="C172" s="70" t="s">
        <v>62</v>
      </c>
      <c r="D172" s="32" t="s">
        <v>1008</v>
      </c>
      <c r="E172" s="11" t="str">
        <f>HYPERLINK("https://youtu.be/8ZvBP2pzihY?t=6095","channel 4")</f>
        <v>channel 4</v>
      </c>
    </row>
    <row r="173">
      <c r="B173" s="32" t="s">
        <v>3641</v>
      </c>
      <c r="C173" s="70" t="s">
        <v>201</v>
      </c>
      <c r="D173" s="34" t="s">
        <v>3642</v>
      </c>
      <c r="E173" s="11" t="str">
        <f>HYPERLINK("https://youtu.be/-D8KMbCGks4?t=7881","channel 3")</f>
        <v>channel 3</v>
      </c>
    </row>
    <row r="174">
      <c r="B174" s="34" t="s">
        <v>2082</v>
      </c>
      <c r="C174" s="70" t="s">
        <v>52</v>
      </c>
      <c r="D174" s="34" t="s">
        <v>3489</v>
      </c>
      <c r="E174" s="11" t="str">
        <f>HYPERLINK("https://youtu.be/8ZvBP2pzihY?t=7036","channel 4")</f>
        <v>channel 4</v>
      </c>
    </row>
    <row r="175">
      <c r="B175" s="32" t="s">
        <v>1008</v>
      </c>
      <c r="C175" s="70" t="s">
        <v>64</v>
      </c>
      <c r="D175" s="34" t="s">
        <v>3642</v>
      </c>
      <c r="E175" s="11" t="str">
        <f>HYPERLINK("https://youtu.be/-D8KMbCGks4?t=8802","channel 3")</f>
        <v>channel 3</v>
      </c>
    </row>
    <row r="176">
      <c r="B176" s="32" t="s">
        <v>3641</v>
      </c>
      <c r="C176" s="70" t="s">
        <v>19</v>
      </c>
      <c r="D176" s="34" t="s">
        <v>3489</v>
      </c>
      <c r="E176" s="11" t="str">
        <f>HYPERLINK("https://youtu.be/8ZvBP2pzihY?t=8051","channel 4")</f>
        <v>channel 4</v>
      </c>
    </row>
    <row r="177">
      <c r="B177" s="72" t="s">
        <v>2394</v>
      </c>
      <c r="C177" s="2"/>
      <c r="D177" s="3"/>
      <c r="E177" s="2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34" t="s">
        <v>3344</v>
      </c>
      <c r="C179" s="70" t="s">
        <v>17</v>
      </c>
      <c r="D179" s="34" t="s">
        <v>3643</v>
      </c>
      <c r="E179" s="11" t="str">
        <f>HYPERLINK("https://youtu.be/8LyunK2RRoU","channel 1")</f>
        <v>channel 1</v>
      </c>
    </row>
    <row r="180">
      <c r="B180" s="34" t="s">
        <v>1024</v>
      </c>
      <c r="C180" s="70" t="s">
        <v>28</v>
      </c>
      <c r="D180" s="34" t="s">
        <v>618</v>
      </c>
      <c r="E180" s="11" t="str">
        <f>HYPERLINK("https://youtu.be/LLcQUth0opQ","channel 2")</f>
        <v>channel 2</v>
      </c>
    </row>
    <row r="181">
      <c r="B181" s="34" t="s">
        <v>3644</v>
      </c>
      <c r="C181" s="70" t="s">
        <v>291</v>
      </c>
      <c r="D181" s="34" t="s">
        <v>3344</v>
      </c>
      <c r="E181" s="11" t="str">
        <f>HYPERLINK("https://youtu.be/8LyunK2RRoU?t=1007","channel 1")</f>
        <v>channel 1</v>
      </c>
    </row>
    <row r="182">
      <c r="B182" s="34" t="s">
        <v>1024</v>
      </c>
      <c r="C182" s="70" t="s">
        <v>64</v>
      </c>
      <c r="D182" s="34" t="s">
        <v>3643</v>
      </c>
      <c r="E182" s="11" t="str">
        <f>HYPERLINK("https://youtu.be/LLcQUth0opQ?t=1106","channel 2")</f>
        <v>channel 2</v>
      </c>
    </row>
    <row r="183">
      <c r="B183" s="34" t="s">
        <v>3644</v>
      </c>
      <c r="C183" s="70" t="s">
        <v>68</v>
      </c>
      <c r="D183" s="34" t="s">
        <v>618</v>
      </c>
      <c r="E183" s="11" t="str">
        <f>HYPERLINK("https://youtu.be/8LyunK2RRoU?t=1926","channel 1")</f>
        <v>channel 1</v>
      </c>
    </row>
    <row r="184">
      <c r="B184" s="34" t="s">
        <v>1024</v>
      </c>
      <c r="C184" s="70" t="s">
        <v>302</v>
      </c>
      <c r="D184" s="34" t="s">
        <v>3344</v>
      </c>
      <c r="E184" s="11" t="str">
        <f>HYPERLINK("https://youtu.be/LLcQUth0opQ?t=2051","channel 2")</f>
        <v>channel 2</v>
      </c>
    </row>
    <row r="185">
      <c r="B185" s="34" t="s">
        <v>3644</v>
      </c>
      <c r="C185" s="70" t="s">
        <v>62</v>
      </c>
      <c r="D185" s="34" t="s">
        <v>3643</v>
      </c>
      <c r="E185" s="11" t="str">
        <f>HYPERLINK("https://youtu.be/8LyunK2RRoU?t=2852","channel 1")</f>
        <v>channel 1</v>
      </c>
    </row>
    <row r="186">
      <c r="B186" s="34" t="s">
        <v>618</v>
      </c>
      <c r="C186" s="70" t="s">
        <v>282</v>
      </c>
      <c r="D186" s="34" t="s">
        <v>3344</v>
      </c>
      <c r="E186" s="11" t="str">
        <f>HYPERLINK("https://youtu.be/LLcQUth0opQ?t=2956","channel 2")</f>
        <v>channel 2</v>
      </c>
    </row>
    <row r="187">
      <c r="B187" s="34" t="s">
        <v>3644</v>
      </c>
      <c r="C187" s="70" t="s">
        <v>250</v>
      </c>
      <c r="D187" s="34" t="s">
        <v>1024</v>
      </c>
      <c r="E187" s="11" t="str">
        <f>HYPERLINK("https://youtu.be/8LyunK2RRoU?t=3769","channel 1")</f>
        <v>channel 1</v>
      </c>
    </row>
    <row r="188">
      <c r="B188" s="34" t="s">
        <v>618</v>
      </c>
      <c r="C188" s="70" t="s">
        <v>293</v>
      </c>
      <c r="D188" s="34" t="s">
        <v>3643</v>
      </c>
      <c r="E188" s="11" t="str">
        <f>HYPERLINK("https://youtu.be/LLcQUth0opQ?t=3861","channel 2")</f>
        <v>channel 2</v>
      </c>
    </row>
    <row r="189">
      <c r="B189" s="34" t="s">
        <v>3643</v>
      </c>
      <c r="C189" s="70" t="s">
        <v>16</v>
      </c>
      <c r="D189" s="34" t="s">
        <v>3344</v>
      </c>
      <c r="E189" s="11" t="str">
        <f>HYPERLINK("https://youtu.be/8LyunK2RRoU?t=4673","channel 1")</f>
        <v>channel 1</v>
      </c>
    </row>
    <row r="190">
      <c r="B190" s="34" t="s">
        <v>618</v>
      </c>
      <c r="C190" s="70" t="s">
        <v>337</v>
      </c>
      <c r="D190" s="34" t="s">
        <v>1024</v>
      </c>
      <c r="E190" s="11" t="str">
        <f>HYPERLINK("https://youtu.be/LLcQUth0opQ?t=4784","channel 2")</f>
        <v>channel 2</v>
      </c>
    </row>
    <row r="191">
      <c r="B191" s="34" t="s">
        <v>3344</v>
      </c>
      <c r="C191" s="70" t="s">
        <v>370</v>
      </c>
      <c r="D191" s="34" t="s">
        <v>3644</v>
      </c>
      <c r="E191" s="11" t="str">
        <f>HYPERLINK("https://youtu.be/8LyunK2RRoU?t=5811","channel 1")</f>
        <v>channel 1</v>
      </c>
    </row>
    <row r="192">
      <c r="B192" s="34" t="s">
        <v>3643</v>
      </c>
      <c r="C192" s="70" t="s">
        <v>190</v>
      </c>
      <c r="D192" s="34" t="s">
        <v>1024</v>
      </c>
      <c r="E192" s="11" t="str">
        <f>HYPERLINK("https://youtu.be/LLcQUth0opQ?t=5874","channel 2")</f>
        <v>channel 2</v>
      </c>
    </row>
    <row r="193">
      <c r="B193" s="34" t="s">
        <v>618</v>
      </c>
      <c r="C193" s="70" t="s">
        <v>686</v>
      </c>
      <c r="D193" s="34" t="s">
        <v>3644</v>
      </c>
      <c r="E193" s="11" t="str">
        <f>HYPERLINK("https://youtu.be/8LyunK2RRoU?t=6668","channel 1")</f>
        <v>channel 1</v>
      </c>
    </row>
    <row r="194">
      <c r="B194" s="34" t="s">
        <v>3344</v>
      </c>
      <c r="C194" s="70" t="s">
        <v>260</v>
      </c>
      <c r="D194" s="34" t="s">
        <v>1024</v>
      </c>
      <c r="E194" s="11" t="str">
        <f>HYPERLINK("https://youtu.be/LLcQUth0opQ?t=6815","channel 2")</f>
        <v>channel 2</v>
      </c>
    </row>
    <row r="195">
      <c r="B195" s="34" t="s">
        <v>3643</v>
      </c>
      <c r="C195" s="70" t="s">
        <v>81</v>
      </c>
      <c r="D195" s="34" t="s">
        <v>3644</v>
      </c>
      <c r="E195" s="11" t="str">
        <f>HYPERLINK("https://youtu.be/8LyunK2RRoU?t=7579","channel 1")</f>
        <v>channel 1</v>
      </c>
    </row>
    <row r="196">
      <c r="B196" s="34" t="s">
        <v>3344</v>
      </c>
      <c r="C196" s="70" t="s">
        <v>83</v>
      </c>
      <c r="D196" s="34" t="s">
        <v>618</v>
      </c>
      <c r="E196" s="11" t="str">
        <f>HYPERLINK("https://youtu.be/LLcQUth0opQ?t=7734","channel 2")</f>
        <v>channel 2</v>
      </c>
    </row>
    <row r="197">
      <c r="B197" s="34" t="s">
        <v>1024</v>
      </c>
      <c r="C197" s="70" t="s">
        <v>482</v>
      </c>
      <c r="D197" s="34" t="s">
        <v>3644</v>
      </c>
      <c r="E197" s="11" t="str">
        <f>HYPERLINK("https://youtu.be/8LyunK2RRoU?t=8429","channel 1")</f>
        <v>channel 1</v>
      </c>
    </row>
    <row r="198">
      <c r="B198" s="34" t="s">
        <v>3643</v>
      </c>
      <c r="C198" s="70" t="s">
        <v>193</v>
      </c>
      <c r="D198" s="34" t="s">
        <v>618</v>
      </c>
      <c r="E198" s="11" t="str">
        <f>HYPERLINK("https://youtu.be/LLcQUth0opQ?t=8661","channel 2")</f>
        <v>channel 2</v>
      </c>
    </row>
    <row r="199">
      <c r="B199" s="72" t="s">
        <v>2272</v>
      </c>
      <c r="C199" s="2"/>
      <c r="D199" s="3"/>
      <c r="E199" s="2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34" t="s">
        <v>3303</v>
      </c>
      <c r="C201" s="70" t="s">
        <v>201</v>
      </c>
      <c r="D201" s="34" t="s">
        <v>3645</v>
      </c>
      <c r="E201" s="11" t="str">
        <f>HYPERLINK("https://youtu.be/91gI8JV-ayM","channel 1")</f>
        <v>channel 1</v>
      </c>
    </row>
    <row r="202">
      <c r="B202" s="34" t="s">
        <v>3646</v>
      </c>
      <c r="C202" s="70" t="s">
        <v>212</v>
      </c>
      <c r="D202" s="34" t="s">
        <v>3040</v>
      </c>
      <c r="E202" s="11" t="str">
        <f>HYPERLINK("https://youtu.be/y0YIlz63QOo","channel 2")</f>
        <v>channel 2</v>
      </c>
    </row>
    <row r="203">
      <c r="B203" s="34" t="s">
        <v>3647</v>
      </c>
      <c r="C203" s="70" t="s">
        <v>2500</v>
      </c>
      <c r="D203" s="34" t="s">
        <v>3303</v>
      </c>
      <c r="E203" s="11" t="str">
        <f>HYPERLINK("https://youtu.be/91gI8JV-ayM?t=857","channel 1")</f>
        <v>channel 1</v>
      </c>
    </row>
    <row r="204">
      <c r="B204" s="34" t="s">
        <v>3646</v>
      </c>
      <c r="C204" s="70" t="s">
        <v>212</v>
      </c>
      <c r="D204" s="34" t="s">
        <v>3645</v>
      </c>
      <c r="E204" s="11" t="str">
        <f>HYPERLINK("https://youtu.be/y0YIlz63QOo?t=994","channel 2")</f>
        <v>channel 2</v>
      </c>
    </row>
    <row r="205">
      <c r="B205" s="34" t="s">
        <v>3647</v>
      </c>
      <c r="C205" s="70" t="s">
        <v>42</v>
      </c>
      <c r="D205" s="34" t="s">
        <v>3040</v>
      </c>
      <c r="E205" s="11" t="str">
        <f>HYPERLINK("https://youtu.be/91gI8JV-ayM?t=1809","channel 1")</f>
        <v>channel 1</v>
      </c>
    </row>
    <row r="206">
      <c r="B206" s="34" t="s">
        <v>3646</v>
      </c>
      <c r="C206" s="70" t="s">
        <v>291</v>
      </c>
      <c r="D206" s="34" t="s">
        <v>3303</v>
      </c>
      <c r="E206" s="11" t="str">
        <f>HYPERLINK("https://youtu.be/y0YIlz63QOo?t=2032","channel 2")</f>
        <v>channel 2</v>
      </c>
    </row>
    <row r="207">
      <c r="B207" s="34" t="s">
        <v>3647</v>
      </c>
      <c r="C207" s="70" t="s">
        <v>291</v>
      </c>
      <c r="D207" s="34" t="s">
        <v>3645</v>
      </c>
      <c r="E207" s="11" t="str">
        <f>HYPERLINK("https://youtu.be/91gI8JV-ayM?t=2783","channel 1")</f>
        <v>channel 1</v>
      </c>
    </row>
    <row r="208">
      <c r="B208" s="34" t="s">
        <v>3040</v>
      </c>
      <c r="C208" s="70" t="s">
        <v>68</v>
      </c>
      <c r="D208" s="34" t="s">
        <v>3303</v>
      </c>
      <c r="E208" s="11" t="str">
        <f>HYPERLINK("https://youtu.be/y0YIlz63QOo?t=2951","channel 2")</f>
        <v>channel 2</v>
      </c>
    </row>
    <row r="209">
      <c r="B209" s="34" t="s">
        <v>3647</v>
      </c>
      <c r="C209" s="70" t="s">
        <v>62</v>
      </c>
      <c r="D209" s="34" t="s">
        <v>3646</v>
      </c>
      <c r="E209" s="11" t="str">
        <f>HYPERLINK("https://youtu.be/91gI8JV-ayM?t=3694","channel 1")</f>
        <v>channel 1</v>
      </c>
    </row>
    <row r="210">
      <c r="B210" s="34" t="s">
        <v>3040</v>
      </c>
      <c r="C210" s="70" t="s">
        <v>87</v>
      </c>
      <c r="D210" s="34" t="s">
        <v>3645</v>
      </c>
      <c r="E210" s="11" t="str">
        <f>HYPERLINK("https://youtu.be/y0YIlz63QOo?t=3838","channel 2")</f>
        <v>channel 2</v>
      </c>
    </row>
    <row r="211">
      <c r="B211" s="34" t="s">
        <v>3645</v>
      </c>
      <c r="C211" s="70" t="s">
        <v>19</v>
      </c>
      <c r="D211" s="34" t="s">
        <v>3303</v>
      </c>
      <c r="E211" s="11" t="str">
        <f>HYPERLINK("https://youtu.be/91gI8JV-ayM?t=4649","channel 1")</f>
        <v>channel 1</v>
      </c>
    </row>
    <row r="212">
      <c r="B212" s="34" t="s">
        <v>3040</v>
      </c>
      <c r="C212" s="70" t="s">
        <v>25</v>
      </c>
      <c r="D212" s="34" t="s">
        <v>3646</v>
      </c>
      <c r="E212" s="11" t="str">
        <f>HYPERLINK("https://youtu.be/y0YIlz63QOo?t=4779","channel 2")</f>
        <v>channel 2</v>
      </c>
    </row>
    <row r="213">
      <c r="B213" s="34" t="s">
        <v>3303</v>
      </c>
      <c r="C213" s="70" t="s">
        <v>304</v>
      </c>
      <c r="D213" s="34" t="s">
        <v>3647</v>
      </c>
      <c r="E213" s="11" t="str">
        <f>HYPERLINK("https://youtu.be/91gI8JV-ayM?t=5536","channel 1")</f>
        <v>channel 1</v>
      </c>
    </row>
    <row r="214">
      <c r="B214" s="34" t="s">
        <v>3645</v>
      </c>
      <c r="C214" s="70" t="s">
        <v>69</v>
      </c>
      <c r="D214" s="34" t="s">
        <v>3646</v>
      </c>
      <c r="E214" s="11" t="str">
        <f>HYPERLINK("https://youtu.be/y0YIlz63QOo?t=5675","channel 2")</f>
        <v>channel 2</v>
      </c>
    </row>
    <row r="215">
      <c r="B215" s="34" t="s">
        <v>3040</v>
      </c>
      <c r="C215" s="70" t="s">
        <v>370</v>
      </c>
      <c r="D215" s="34" t="s">
        <v>3647</v>
      </c>
      <c r="E215" s="11" t="str">
        <f>HYPERLINK("https://youtu.be/91gI8JV-ayM?t=6426","channel 1")</f>
        <v>channel 1</v>
      </c>
    </row>
    <row r="216">
      <c r="B216" s="34" t="s">
        <v>3303</v>
      </c>
      <c r="C216" s="70" t="s">
        <v>293</v>
      </c>
      <c r="D216" s="34" t="s">
        <v>3646</v>
      </c>
      <c r="E216" s="11" t="str">
        <f>HYPERLINK("https://youtu.be/y0YIlz63QOo?t=6545","channel 2")</f>
        <v>channel 2</v>
      </c>
    </row>
    <row r="217">
      <c r="B217" s="34" t="s">
        <v>3645</v>
      </c>
      <c r="C217" s="70" t="s">
        <v>370</v>
      </c>
      <c r="D217" s="34" t="s">
        <v>3647</v>
      </c>
      <c r="E217" s="11" t="str">
        <f>HYPERLINK("https://youtu.be/91gI8JV-ayM?t=7235","channel 1")</f>
        <v>channel 1</v>
      </c>
    </row>
    <row r="218">
      <c r="B218" s="34" t="s">
        <v>3303</v>
      </c>
      <c r="C218" s="70" t="s">
        <v>87</v>
      </c>
      <c r="D218" s="34" t="s">
        <v>3040</v>
      </c>
      <c r="E218" s="11" t="str">
        <f>HYPERLINK("https://youtu.be/y0YIlz63QOo?t=7348","channel 2")</f>
        <v>channel 2</v>
      </c>
    </row>
    <row r="219">
      <c r="B219" s="34" t="s">
        <v>3646</v>
      </c>
      <c r="C219" s="70" t="s">
        <v>14</v>
      </c>
      <c r="D219" s="34" t="s">
        <v>3647</v>
      </c>
      <c r="E219" s="11" t="str">
        <f>HYPERLINK("https://youtu.be/91gI8JV-ayM?t=8049","channel 1")</f>
        <v>channel 1</v>
      </c>
    </row>
    <row r="220">
      <c r="B220" s="34" t="s">
        <v>3645</v>
      </c>
      <c r="C220" s="70" t="s">
        <v>43</v>
      </c>
      <c r="D220" s="34" t="s">
        <v>3040</v>
      </c>
      <c r="E220" s="11" t="str">
        <f>HYPERLINK("https://youtu.be/y0YIlz63QOo?t=8130","channel 2")</f>
        <v>channel 2</v>
      </c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6.29"/>
    <col customWidth="1" min="3" max="3" width="19.57"/>
    <col customWidth="1" min="4" max="4" width="46.71"/>
    <col customWidth="1" min="5" max="5" width="19.14"/>
  </cols>
  <sheetData>
    <row r="1">
      <c r="A1" s="117"/>
      <c r="B1" s="72" t="s">
        <v>2370</v>
      </c>
      <c r="C1" s="2"/>
      <c r="D1" s="3"/>
      <c r="E1" s="14"/>
    </row>
    <row r="2">
      <c r="A2" s="118"/>
      <c r="B2" s="16" t="s">
        <v>2</v>
      </c>
      <c r="C2" s="16" t="s">
        <v>3</v>
      </c>
      <c r="D2" s="16" t="s">
        <v>4</v>
      </c>
      <c r="E2" s="6" t="s">
        <v>5</v>
      </c>
    </row>
    <row r="3">
      <c r="A3" s="118"/>
      <c r="B3" s="119" t="s">
        <v>1714</v>
      </c>
      <c r="C3" s="70" t="s">
        <v>22</v>
      </c>
      <c r="D3" s="32" t="s">
        <v>3648</v>
      </c>
      <c r="E3" s="11" t="str">
        <f>HYPERLINK("https://youtu.be/m4wYI6omIyM","channel 1")</f>
        <v>channel 1</v>
      </c>
    </row>
    <row r="4">
      <c r="A4" s="118"/>
      <c r="B4" s="32" t="s">
        <v>1851</v>
      </c>
      <c r="C4" s="70" t="s">
        <v>797</v>
      </c>
      <c r="D4" s="32" t="s">
        <v>3484</v>
      </c>
      <c r="E4" s="11" t="str">
        <f>HYPERLINK("https://youtu.be/Nv-0iT_VGfA","channel 2")</f>
        <v>channel 2</v>
      </c>
    </row>
    <row r="5">
      <c r="A5" s="118"/>
      <c r="B5" s="32" t="s">
        <v>3635</v>
      </c>
      <c r="C5" s="70" t="s">
        <v>67</v>
      </c>
      <c r="D5" s="32" t="s">
        <v>1714</v>
      </c>
      <c r="E5" s="11" t="str">
        <f>HYPERLINK("https://youtu.be/m4wYI6omIyM?t=1031","channel 1")</f>
        <v>channel 1</v>
      </c>
    </row>
    <row r="6">
      <c r="A6" s="118"/>
      <c r="B6" s="32" t="s">
        <v>1851</v>
      </c>
      <c r="C6" s="70" t="s">
        <v>544</v>
      </c>
      <c r="D6" s="32" t="s">
        <v>3648</v>
      </c>
      <c r="E6" s="11" t="str">
        <f>HYPERLINK("https://youtu.be/Nv-0iT_VGfA?t=1010","channel 2")</f>
        <v>channel 2</v>
      </c>
    </row>
    <row r="7">
      <c r="A7" s="118"/>
      <c r="B7" s="32" t="s">
        <v>3635</v>
      </c>
      <c r="C7" s="70" t="s">
        <v>17</v>
      </c>
      <c r="D7" s="32" t="s">
        <v>3484</v>
      </c>
      <c r="E7" s="11" t="str">
        <f>HYPERLINK("https://youtu.be/m4wYI6omIyM?t=1880","channel 1")</f>
        <v>channel 1</v>
      </c>
    </row>
    <row r="8">
      <c r="A8" s="118"/>
      <c r="B8" s="32" t="s">
        <v>1851</v>
      </c>
      <c r="C8" s="70" t="s">
        <v>193</v>
      </c>
      <c r="D8" s="32" t="s">
        <v>1714</v>
      </c>
      <c r="E8" s="11" t="str">
        <f>HYPERLINK("https://youtu.be/Nv-0iT_VGfA?t=2032","channel 2")</f>
        <v>channel 2</v>
      </c>
    </row>
    <row r="9">
      <c r="A9" s="118"/>
      <c r="B9" s="32" t="s">
        <v>3635</v>
      </c>
      <c r="C9" s="70" t="s">
        <v>21</v>
      </c>
      <c r="D9" s="32" t="s">
        <v>3648</v>
      </c>
      <c r="E9" s="11" t="str">
        <f>HYPERLINK("https://youtu.be/m4wYI6omIyM?t=2869","channel 1")</f>
        <v>channel 1</v>
      </c>
    </row>
    <row r="10">
      <c r="A10" s="118"/>
      <c r="B10" s="32" t="s">
        <v>3484</v>
      </c>
      <c r="C10" s="70" t="s">
        <v>24</v>
      </c>
      <c r="D10" s="32" t="s">
        <v>1714</v>
      </c>
      <c r="E10" s="11" t="str">
        <f>HYPERLINK("https://youtu.be/Nv-0iT_VGfA?t=2917","channel 2")</f>
        <v>channel 2</v>
      </c>
    </row>
    <row r="11">
      <c r="A11" s="118"/>
      <c r="B11" s="32" t="s">
        <v>3635</v>
      </c>
      <c r="C11" s="70" t="s">
        <v>20</v>
      </c>
      <c r="D11" s="32" t="s">
        <v>1851</v>
      </c>
      <c r="E11" s="11" t="str">
        <f>HYPERLINK("https://youtu.be/m4wYI6omIyM?t=3801","channel 1")</f>
        <v>channel 1</v>
      </c>
    </row>
    <row r="12">
      <c r="A12" s="118"/>
      <c r="B12" s="32" t="s">
        <v>3484</v>
      </c>
      <c r="C12" s="70" t="s">
        <v>291</v>
      </c>
      <c r="D12" s="32" t="s">
        <v>3648</v>
      </c>
      <c r="E12" s="11" t="str">
        <f>HYPERLINK("https://youtu.be/Nv-0iT_VGfA?t=3881","channel 2")</f>
        <v>channel 2</v>
      </c>
    </row>
    <row r="13">
      <c r="A13" s="118"/>
      <c r="B13" s="32" t="s">
        <v>3648</v>
      </c>
      <c r="C13" s="70" t="s">
        <v>81</v>
      </c>
      <c r="D13" s="32" t="s">
        <v>1714</v>
      </c>
      <c r="E13" s="11" t="str">
        <f>HYPERLINK("https://youtu.be/m4wYI6omIyM?t=4736","channel 1")</f>
        <v>channel 1</v>
      </c>
    </row>
    <row r="14">
      <c r="A14" s="118"/>
      <c r="B14" s="32" t="s">
        <v>3484</v>
      </c>
      <c r="C14" s="70" t="s">
        <v>269</v>
      </c>
      <c r="D14" s="32" t="s">
        <v>1851</v>
      </c>
      <c r="E14" s="11" t="str">
        <f>HYPERLINK("https://youtu.be/Nv-0iT_VGfA?t=4892","channel 2")</f>
        <v>channel 2</v>
      </c>
    </row>
    <row r="15">
      <c r="A15" s="118"/>
      <c r="B15" s="32" t="s">
        <v>1714</v>
      </c>
      <c r="C15" s="70" t="s">
        <v>76</v>
      </c>
      <c r="D15" s="32" t="s">
        <v>3635</v>
      </c>
      <c r="E15" s="11" t="str">
        <f>HYPERLINK("https://youtu.be/m4wYI6omIyM?t=5694","channel 1")</f>
        <v>channel 1</v>
      </c>
    </row>
    <row r="16">
      <c r="A16" s="118"/>
      <c r="B16" s="32" t="s">
        <v>3648</v>
      </c>
      <c r="C16" s="70" t="s">
        <v>289</v>
      </c>
      <c r="D16" s="32" t="s">
        <v>1851</v>
      </c>
      <c r="E16" s="11" t="str">
        <f>HYPERLINK("https://youtu.be/Nv-0iT_VGfA?t=5874","channel 2")</f>
        <v>channel 2</v>
      </c>
    </row>
    <row r="17">
      <c r="A17" s="118"/>
      <c r="B17" s="32" t="s">
        <v>3484</v>
      </c>
      <c r="C17" s="70" t="s">
        <v>533</v>
      </c>
      <c r="D17" s="32" t="s">
        <v>3635</v>
      </c>
      <c r="E17" s="11" t="str">
        <f>HYPERLINK("https://youtu.be/m4wYI6omIyM?t=6606","channel 1")</f>
        <v>channel 1</v>
      </c>
    </row>
    <row r="18">
      <c r="A18" s="118"/>
      <c r="B18" s="32" t="s">
        <v>1714</v>
      </c>
      <c r="C18" s="70" t="s">
        <v>2276</v>
      </c>
      <c r="D18" s="32" t="s">
        <v>1851</v>
      </c>
      <c r="E18" s="11" t="str">
        <f>HYPERLINK("https://youtu.be/Nv-0iT_VGfA?t=7721","channel 2")</f>
        <v>channel 2</v>
      </c>
    </row>
    <row r="19">
      <c r="A19" s="118"/>
      <c r="B19" s="32" t="s">
        <v>3648</v>
      </c>
      <c r="C19" s="70" t="s">
        <v>446</v>
      </c>
      <c r="D19" s="32" t="s">
        <v>3635</v>
      </c>
      <c r="E19" s="11" t="str">
        <f>HYPERLINK("https://youtu.be/m4wYI6omIyM?t=7533","channel 1")</f>
        <v>channel 1</v>
      </c>
    </row>
    <row r="20">
      <c r="A20" s="118"/>
      <c r="B20" s="32" t="s">
        <v>1714</v>
      </c>
      <c r="C20" s="70" t="s">
        <v>22</v>
      </c>
      <c r="D20" s="32" t="s">
        <v>3484</v>
      </c>
      <c r="E20" s="11" t="str">
        <f>HYPERLINK("https://youtu.be/Nv-0iT_VGfA?t=7721","channel 2")</f>
        <v>channel 2</v>
      </c>
    </row>
    <row r="21">
      <c r="A21" s="118"/>
      <c r="B21" s="32" t="s">
        <v>1851</v>
      </c>
      <c r="C21" s="70" t="s">
        <v>245</v>
      </c>
      <c r="D21" s="32" t="s">
        <v>3635</v>
      </c>
      <c r="E21" s="11" t="str">
        <f>HYPERLINK("https://youtu.be/m4wYI6omIyM?t=8468","channel 1")</f>
        <v>channel 1</v>
      </c>
    </row>
    <row r="22">
      <c r="A22" s="118"/>
      <c r="B22" s="32" t="s">
        <v>3648</v>
      </c>
      <c r="C22" s="70" t="s">
        <v>827</v>
      </c>
      <c r="D22" s="32" t="s">
        <v>3484</v>
      </c>
      <c r="E22" s="11" t="str">
        <f>HYPERLINK("https://youtu.be/Nv-0iT_VGfA?t=8630","channel 2")</f>
        <v>channel 2</v>
      </c>
    </row>
    <row r="23">
      <c r="A23" s="118"/>
      <c r="B23" s="72" t="s">
        <v>2308</v>
      </c>
      <c r="C23" s="2"/>
      <c r="D23" s="3"/>
      <c r="E23" s="4"/>
    </row>
    <row r="24">
      <c r="A24" s="118"/>
      <c r="B24" s="16" t="s">
        <v>2</v>
      </c>
      <c r="C24" s="16" t="s">
        <v>3</v>
      </c>
      <c r="D24" s="16" t="s">
        <v>4</v>
      </c>
      <c r="E24" s="6" t="s">
        <v>5</v>
      </c>
    </row>
    <row r="25">
      <c r="A25" s="118"/>
      <c r="B25" s="32" t="s">
        <v>2479</v>
      </c>
      <c r="C25" s="70" t="s">
        <v>328</v>
      </c>
      <c r="D25" s="32" t="s">
        <v>2476</v>
      </c>
      <c r="E25" s="11" t="str">
        <f>HYPERLINK("https://youtu.be/uR5x7lxdAPA","channel 1")</f>
        <v>channel 1</v>
      </c>
    </row>
    <row r="26">
      <c r="A26" s="118"/>
      <c r="B26" s="32" t="s">
        <v>3649</v>
      </c>
      <c r="C26" s="70" t="s">
        <v>196</v>
      </c>
      <c r="D26" s="32" t="s">
        <v>3650</v>
      </c>
      <c r="E26" s="11" t="str">
        <f>HYPERLINK("https://youtu.be/L8pxZQj2Cvg","channel 2")</f>
        <v>channel 2</v>
      </c>
    </row>
    <row r="27">
      <c r="A27" s="118"/>
      <c r="B27" s="32" t="s">
        <v>3651</v>
      </c>
      <c r="C27" s="70" t="s">
        <v>587</v>
      </c>
      <c r="D27" s="32" t="s">
        <v>2479</v>
      </c>
      <c r="E27" s="11" t="str">
        <f>HYPERLINK("https://youtu.be/uR5x7lxdAPA?t=973","channel 1")</f>
        <v>channel 1</v>
      </c>
    </row>
    <row r="28">
      <c r="A28" s="118"/>
      <c r="B28" s="32" t="s">
        <v>3649</v>
      </c>
      <c r="C28" s="70" t="s">
        <v>70</v>
      </c>
      <c r="D28" s="32" t="s">
        <v>2476</v>
      </c>
      <c r="E28" s="11" t="str">
        <f>HYPERLINK("https://youtu.be/L8pxZQj2Cvg?t=1017","channel 2")</f>
        <v>channel 2</v>
      </c>
    </row>
    <row r="29">
      <c r="A29" s="118"/>
      <c r="B29" s="32" t="s">
        <v>3651</v>
      </c>
      <c r="C29" s="70" t="s">
        <v>21</v>
      </c>
      <c r="D29" s="32" t="s">
        <v>3650</v>
      </c>
      <c r="E29" s="11" t="str">
        <f>HYPERLINK("https://youtu.be/uR5x7lxdAPA?t=1935","channel 1")</f>
        <v>channel 1</v>
      </c>
    </row>
    <row r="30">
      <c r="A30" s="118"/>
      <c r="B30" s="32" t="s">
        <v>3649</v>
      </c>
      <c r="C30" s="70" t="s">
        <v>270</v>
      </c>
      <c r="D30" s="32" t="s">
        <v>2479</v>
      </c>
      <c r="E30" s="11" t="str">
        <f>HYPERLINK("https://youtu.be/L8pxZQj2Cvg?t=1922","channel 2")</f>
        <v>channel 2</v>
      </c>
    </row>
    <row r="31">
      <c r="A31" s="118"/>
      <c r="B31" s="32" t="s">
        <v>3651</v>
      </c>
      <c r="C31" s="70" t="s">
        <v>555</v>
      </c>
      <c r="D31" s="32" t="s">
        <v>2476</v>
      </c>
      <c r="E31" s="11" t="str">
        <f>HYPERLINK("https://youtu.be/uR5x7lxdAPA?t=2920","channel 1")</f>
        <v>channel 1</v>
      </c>
    </row>
    <row r="32">
      <c r="A32" s="118"/>
      <c r="B32" s="32" t="s">
        <v>3650</v>
      </c>
      <c r="C32" s="70" t="s">
        <v>43</v>
      </c>
      <c r="D32" s="32" t="s">
        <v>2479</v>
      </c>
      <c r="E32" s="11" t="str">
        <f>HYPERLINK("https://youtu.be/L8pxZQj2Cvg?t=2864","channel 2")</f>
        <v>channel 2</v>
      </c>
    </row>
    <row r="33">
      <c r="A33" s="118"/>
      <c r="B33" s="32" t="s">
        <v>3651</v>
      </c>
      <c r="C33" s="70" t="s">
        <v>212</v>
      </c>
      <c r="D33" s="32" t="s">
        <v>3649</v>
      </c>
      <c r="E33" s="11" t="str">
        <f>HYPERLINK("https://youtu.be/uR5x7lxdAPA?t=3882","channel 1")</f>
        <v>channel 1</v>
      </c>
    </row>
    <row r="34">
      <c r="A34" s="118"/>
      <c r="B34" s="32" t="s">
        <v>3650</v>
      </c>
      <c r="C34" s="70" t="s">
        <v>68</v>
      </c>
      <c r="D34" s="32" t="s">
        <v>2476</v>
      </c>
      <c r="E34" s="11" t="str">
        <f>HYPERLINK("https://youtu.be/L8pxZQj2Cvg?t=3778","channel 2")</f>
        <v>channel 2</v>
      </c>
    </row>
    <row r="35">
      <c r="A35" s="118"/>
      <c r="B35" s="32" t="s">
        <v>2476</v>
      </c>
      <c r="C35" s="70" t="s">
        <v>947</v>
      </c>
      <c r="D35" s="32" t="s">
        <v>2479</v>
      </c>
      <c r="E35" s="11" t="str">
        <f>HYPERLINK("https://youtu.be/uR5x7lxdAPA?t=4867","channel 1")</f>
        <v>channel 1</v>
      </c>
    </row>
    <row r="36">
      <c r="A36" s="118"/>
      <c r="B36" s="32" t="s">
        <v>3650</v>
      </c>
      <c r="C36" s="70" t="s">
        <v>566</v>
      </c>
      <c r="D36" s="32" t="s">
        <v>3649</v>
      </c>
      <c r="E36" s="11" t="str">
        <f>HYPERLINK("https://youtu.be/L8pxZQj2Cvg?t=4758","channel 2")</f>
        <v>channel 2</v>
      </c>
    </row>
    <row r="37">
      <c r="A37" s="118"/>
      <c r="B37" s="32" t="s">
        <v>2479</v>
      </c>
      <c r="C37" s="70" t="s">
        <v>319</v>
      </c>
      <c r="D37" s="32" t="s">
        <v>3651</v>
      </c>
      <c r="E37" s="11" t="str">
        <f>HYPERLINK("https://youtu.be/uR5x7lxdAPA?t=5832","channel 1")</f>
        <v>channel 1</v>
      </c>
    </row>
    <row r="38">
      <c r="A38" s="118"/>
      <c r="B38" s="32" t="s">
        <v>2476</v>
      </c>
      <c r="C38" s="70" t="s">
        <v>319</v>
      </c>
      <c r="D38" s="32" t="s">
        <v>3649</v>
      </c>
      <c r="E38" s="11" t="str">
        <f>HYPERLINK("https://youtu.be/L8pxZQj2Cvg?t=5859","channel 2")</f>
        <v>channel 2</v>
      </c>
    </row>
    <row r="39">
      <c r="A39" s="118"/>
      <c r="B39" s="32" t="s">
        <v>3650</v>
      </c>
      <c r="C39" s="70" t="s">
        <v>195</v>
      </c>
      <c r="D39" s="32" t="s">
        <v>3651</v>
      </c>
      <c r="E39" s="11" t="str">
        <f>HYPERLINK("https://youtu.be/uR5x7lxdAPA?t=6747","channel 1")</f>
        <v>channel 1</v>
      </c>
    </row>
    <row r="40">
      <c r="A40" s="118"/>
      <c r="B40" s="32" t="s">
        <v>2479</v>
      </c>
      <c r="C40" s="70" t="s">
        <v>488</v>
      </c>
      <c r="D40" s="32" t="s">
        <v>3649</v>
      </c>
      <c r="E40" s="11" t="str">
        <f>HYPERLINK("https://youtu.be/L8pxZQj2Cvg?t=6816","channel 2")</f>
        <v>channel 2</v>
      </c>
    </row>
    <row r="41">
      <c r="A41" s="118"/>
      <c r="B41" s="32" t="s">
        <v>2476</v>
      </c>
      <c r="C41" s="70" t="s">
        <v>337</v>
      </c>
      <c r="D41" s="32" t="s">
        <v>3651</v>
      </c>
      <c r="E41" s="11" t="str">
        <f>HYPERLINK("https://youtu.be/uR5x7lxdAPA?t=7669","channel 1")</f>
        <v>channel 1</v>
      </c>
    </row>
    <row r="42">
      <c r="A42" s="118"/>
      <c r="B42" s="32" t="s">
        <v>2479</v>
      </c>
      <c r="C42" s="70" t="s">
        <v>289</v>
      </c>
      <c r="D42" s="32" t="s">
        <v>3650</v>
      </c>
      <c r="E42" s="11" t="str">
        <f>HYPERLINK("https://youtu.be/L8pxZQj2Cvg?t=7801","channel 2")</f>
        <v>channel 2</v>
      </c>
    </row>
    <row r="43">
      <c r="A43" s="118"/>
      <c r="B43" s="32" t="s">
        <v>3649</v>
      </c>
      <c r="C43" s="70" t="s">
        <v>282</v>
      </c>
      <c r="D43" s="32" t="s">
        <v>3651</v>
      </c>
      <c r="E43" s="11" t="str">
        <f>HYPERLINK("https://youtu.be/uR5x7lxdAPA?t=8607","channel 1")</f>
        <v>channel 1</v>
      </c>
    </row>
    <row r="44">
      <c r="A44" s="118"/>
      <c r="B44" s="32" t="s">
        <v>2476</v>
      </c>
      <c r="C44" s="70" t="s">
        <v>3652</v>
      </c>
      <c r="D44" s="32" t="s">
        <v>3650</v>
      </c>
      <c r="E44" s="11" t="str">
        <f>HYPERLINK("https://youtu.be/L8pxZQj2Cvg?t=8774","channel 2")</f>
        <v>channel 2</v>
      </c>
    </row>
    <row r="45">
      <c r="A45" s="118"/>
      <c r="B45" s="72" t="s">
        <v>3653</v>
      </c>
      <c r="C45" s="2"/>
      <c r="D45" s="3"/>
      <c r="E45" s="4"/>
    </row>
    <row r="46">
      <c r="A46" s="118"/>
      <c r="B46" s="16" t="s">
        <v>2</v>
      </c>
      <c r="C46" s="16" t="s">
        <v>3</v>
      </c>
      <c r="D46" s="16" t="s">
        <v>4</v>
      </c>
      <c r="E46" s="6" t="s">
        <v>5</v>
      </c>
    </row>
    <row r="47">
      <c r="A47" s="118"/>
      <c r="B47" s="32" t="s">
        <v>3195</v>
      </c>
      <c r="C47" s="57" t="s">
        <v>449</v>
      </c>
      <c r="D47" s="32" t="s">
        <v>3654</v>
      </c>
      <c r="E47" s="102" t="s">
        <v>33</v>
      </c>
    </row>
    <row r="48">
      <c r="A48" s="118"/>
      <c r="B48" s="32" t="s">
        <v>930</v>
      </c>
      <c r="C48" s="70" t="s">
        <v>72</v>
      </c>
      <c r="D48" s="32" t="s">
        <v>3591</v>
      </c>
      <c r="E48" s="11" t="str">
        <f>HYPERLINK("https://youtu.be/gw5AJbgONyU","channel 4")</f>
        <v>channel 4</v>
      </c>
    </row>
    <row r="49">
      <c r="A49" s="118"/>
      <c r="B49" s="91" t="s">
        <v>139</v>
      </c>
      <c r="C49" s="70" t="s">
        <v>7</v>
      </c>
      <c r="D49" s="91" t="s">
        <v>3195</v>
      </c>
      <c r="E49" s="11" t="str">
        <f>HYPERLINK("https://www.youtube.com/watch?v=lzJ-XgCK0Io&amp;feature=youtu.be","channel 3")</f>
        <v>channel 3</v>
      </c>
    </row>
    <row r="50">
      <c r="A50" s="118"/>
      <c r="B50" s="32" t="s">
        <v>930</v>
      </c>
      <c r="C50" s="70" t="s">
        <v>28</v>
      </c>
      <c r="D50" s="32" t="s">
        <v>3654</v>
      </c>
      <c r="E50" s="11" t="str">
        <f>HYPERLINK("https://youtu.be/gw5AJbgONyU?t=949","channel 4")</f>
        <v>channel 4</v>
      </c>
    </row>
    <row r="51">
      <c r="A51" s="118"/>
      <c r="B51" s="91" t="s">
        <v>139</v>
      </c>
      <c r="C51" s="70" t="s">
        <v>16</v>
      </c>
      <c r="D51" s="91" t="s">
        <v>3591</v>
      </c>
      <c r="E51" s="11" t="str">
        <f>HYPERLINK("https://youtu.be/lzJ-XgCK0Io?t=1048","channel 3")</f>
        <v>channel 3</v>
      </c>
    </row>
    <row r="52">
      <c r="A52" s="118"/>
      <c r="B52" s="32" t="s">
        <v>930</v>
      </c>
      <c r="C52" s="70" t="s">
        <v>261</v>
      </c>
      <c r="D52" s="32" t="s">
        <v>3195</v>
      </c>
      <c r="E52" s="11" t="str">
        <f>HYPERLINK("https://youtu.be/gw5AJbgONyU?t=1975","channel 4")</f>
        <v>channel 4</v>
      </c>
    </row>
    <row r="53">
      <c r="A53" s="118"/>
      <c r="B53" s="91" t="s">
        <v>139</v>
      </c>
      <c r="C53" s="70" t="s">
        <v>3655</v>
      </c>
      <c r="D53" s="91" t="s">
        <v>3654</v>
      </c>
      <c r="E53" s="11" t="str">
        <f>HYPERLINK("https://youtu.be/lzJ-XgCK0Io?t=2072","channel 3")</f>
        <v>channel 3</v>
      </c>
    </row>
    <row r="54">
      <c r="A54" s="118"/>
      <c r="B54" s="32" t="s">
        <v>3591</v>
      </c>
      <c r="C54" s="70" t="s">
        <v>78</v>
      </c>
      <c r="D54" s="32" t="s">
        <v>3195</v>
      </c>
      <c r="E54" s="11" t="str">
        <f>HYPERLINK("https://youtu.be/gw5AJbgONyU?t=2976","channel 4")</f>
        <v>channel 4</v>
      </c>
    </row>
    <row r="55">
      <c r="A55" s="118"/>
      <c r="B55" s="91" t="s">
        <v>139</v>
      </c>
      <c r="C55" s="70" t="s">
        <v>494</v>
      </c>
      <c r="D55" s="91" t="s">
        <v>930</v>
      </c>
      <c r="E55" s="11" t="str">
        <f>HYPERLINK("https://youtu.be/lzJ-XgCK0Io?t=2947","channel 3")</f>
        <v>channel 3</v>
      </c>
    </row>
    <row r="56">
      <c r="A56" s="118"/>
      <c r="B56" s="32" t="s">
        <v>3591</v>
      </c>
      <c r="C56" s="70" t="s">
        <v>22</v>
      </c>
      <c r="D56" s="32" t="s">
        <v>3654</v>
      </c>
      <c r="E56" s="11" t="str">
        <f>HYPERLINK("https://youtu.be/gw5AJbgONyU?t=3882","channel 4")</f>
        <v>channel 4</v>
      </c>
    </row>
    <row r="57">
      <c r="A57" s="118"/>
      <c r="B57" s="91" t="s">
        <v>3654</v>
      </c>
      <c r="C57" s="70" t="s">
        <v>47</v>
      </c>
      <c r="D57" s="91" t="s">
        <v>3195</v>
      </c>
      <c r="E57" s="11" t="str">
        <f>HYPERLINK("https://youtu.be/lzJ-XgCK0Io?t=4315","channel 3")</f>
        <v>channel 3</v>
      </c>
    </row>
    <row r="58">
      <c r="A58" s="118"/>
      <c r="B58" s="32" t="s">
        <v>3591</v>
      </c>
      <c r="C58" s="70" t="s">
        <v>566</v>
      </c>
      <c r="D58" s="32" t="s">
        <v>930</v>
      </c>
      <c r="E58" s="11" t="str">
        <f>HYPERLINK("https://youtu.be/gw5AJbgONyU?t=4753","channel 4")</f>
        <v>channel 4</v>
      </c>
    </row>
    <row r="59">
      <c r="A59" s="118"/>
      <c r="B59" s="91" t="s">
        <v>3195</v>
      </c>
      <c r="C59" s="70" t="s">
        <v>239</v>
      </c>
      <c r="D59" s="91" t="s">
        <v>139</v>
      </c>
      <c r="E59" s="11" t="str">
        <f>HYPERLINK("https://youtu.be/lzJ-XgCK0Io?t=5250","channel 3")</f>
        <v>channel 3</v>
      </c>
    </row>
    <row r="60">
      <c r="A60" s="118"/>
      <c r="B60" s="32" t="s">
        <v>3654</v>
      </c>
      <c r="C60" s="70" t="s">
        <v>20</v>
      </c>
      <c r="D60" s="32" t="s">
        <v>930</v>
      </c>
      <c r="E60" s="11" t="str">
        <f>HYPERLINK("https://youtu.be/gw5AJbgONyU?t=5714","channel 4")</f>
        <v>channel 4</v>
      </c>
    </row>
    <row r="61">
      <c r="A61" s="118"/>
      <c r="B61" s="91" t="s">
        <v>3591</v>
      </c>
      <c r="C61" s="70" t="s">
        <v>872</v>
      </c>
      <c r="D61" s="91" t="s">
        <v>139</v>
      </c>
      <c r="E61" s="11" t="str">
        <f>HYPERLINK("https://youtu.be/lzJ-XgCK0Io?t=6184","channel 3")</f>
        <v>channel 3</v>
      </c>
    </row>
    <row r="62">
      <c r="A62" s="118"/>
      <c r="B62" s="32" t="s">
        <v>3195</v>
      </c>
      <c r="C62" s="70" t="s">
        <v>35</v>
      </c>
      <c r="D62" s="32" t="s">
        <v>930</v>
      </c>
      <c r="E62" s="11" t="str">
        <f>HYPERLINK("https://youtu.be/gw5AJbgONyU?t=6590","channel 4")</f>
        <v>channel 4</v>
      </c>
    </row>
    <row r="63">
      <c r="A63" s="118"/>
      <c r="B63" s="91" t="s">
        <v>3654</v>
      </c>
      <c r="C63" s="70" t="s">
        <v>195</v>
      </c>
      <c r="D63" s="91" t="s">
        <v>139</v>
      </c>
      <c r="E63" s="11" t="str">
        <f>HYPERLINK("https://youtu.be/lzJ-XgCK0Io?t=7096","channel 3")</f>
        <v>channel 3</v>
      </c>
    </row>
    <row r="64">
      <c r="A64" s="118"/>
      <c r="B64" s="32" t="s">
        <v>3195</v>
      </c>
      <c r="C64" s="70" t="s">
        <v>3656</v>
      </c>
      <c r="D64" s="32" t="s">
        <v>3591</v>
      </c>
      <c r="E64" s="11" t="str">
        <f>HYPERLINK("https://youtu.be/gw5AJbgONyU?t=7474","channel 4")</f>
        <v>channel 4</v>
      </c>
    </row>
    <row r="65">
      <c r="A65" s="118"/>
      <c r="B65" s="91" t="s">
        <v>930</v>
      </c>
      <c r="C65" s="70" t="s">
        <v>21</v>
      </c>
      <c r="D65" s="91" t="s">
        <v>139</v>
      </c>
      <c r="E65" s="11" t="str">
        <f>HYPERLINK("https://youtu.be/lzJ-XgCK0Io?t=8006","channel 3")</f>
        <v>channel 3</v>
      </c>
    </row>
    <row r="66">
      <c r="A66" s="118"/>
      <c r="B66" s="32" t="s">
        <v>3654</v>
      </c>
      <c r="C66" s="70" t="s">
        <v>270</v>
      </c>
      <c r="D66" s="32" t="s">
        <v>3591</v>
      </c>
      <c r="E66" s="11" t="str">
        <f>HYPERLINK("https://youtu.be/gw5AJbgONyU?t=8316","channel 4")</f>
        <v>channel 4</v>
      </c>
    </row>
    <row r="67">
      <c r="A67" s="118"/>
      <c r="B67" s="72" t="s">
        <v>2960</v>
      </c>
      <c r="C67" s="2"/>
      <c r="D67" s="3"/>
      <c r="E67" s="4"/>
    </row>
    <row r="68">
      <c r="A68" s="118"/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118"/>
      <c r="B69" s="91" t="s">
        <v>2435</v>
      </c>
      <c r="C69" s="70" t="s">
        <v>282</v>
      </c>
      <c r="D69" s="91" t="s">
        <v>2745</v>
      </c>
      <c r="E69" s="11" t="str">
        <f>HYPERLINK("https://youtu.be/Fvk7IwNhk-c","channel 3")</f>
        <v>channel 3</v>
      </c>
    </row>
    <row r="70">
      <c r="A70" s="118"/>
      <c r="B70" s="32" t="s">
        <v>3657</v>
      </c>
      <c r="C70" s="70" t="s">
        <v>87</v>
      </c>
      <c r="D70" s="32" t="s">
        <v>3658</v>
      </c>
      <c r="E70" s="11" t="str">
        <f>HYPERLINK("https://youtu.be/aJwge_8et5s","channel 4")</f>
        <v>channel 4</v>
      </c>
    </row>
    <row r="71">
      <c r="A71" s="118"/>
      <c r="B71" s="91" t="s">
        <v>2433</v>
      </c>
      <c r="C71" s="70" t="s">
        <v>48</v>
      </c>
      <c r="D71" s="91" t="s">
        <v>2435</v>
      </c>
      <c r="E71" s="11" t="str">
        <f>HYPERLINK("https://youtu.be/Fvk7IwNhk-c?t=1001","channel 3")</f>
        <v>channel 3</v>
      </c>
    </row>
    <row r="72">
      <c r="A72" s="118"/>
      <c r="B72" s="32" t="s">
        <v>3657</v>
      </c>
      <c r="C72" s="70" t="s">
        <v>16</v>
      </c>
      <c r="D72" s="32" t="s">
        <v>2745</v>
      </c>
      <c r="E72" s="11" t="str">
        <f>HYPERLINK("https://youtu.be/aJwge_8et5s?t=979","channel 4")</f>
        <v>channel 4</v>
      </c>
    </row>
    <row r="73">
      <c r="A73" s="118"/>
      <c r="B73" s="91" t="s">
        <v>2433</v>
      </c>
      <c r="C73" s="70" t="s">
        <v>87</v>
      </c>
      <c r="D73" s="91" t="s">
        <v>3658</v>
      </c>
      <c r="E73" s="11" t="str">
        <f>HYPERLINK("https://youtu.be/Fvk7IwNhk-c?t=1914","channel 3")</f>
        <v>channel 3</v>
      </c>
    </row>
    <row r="74">
      <c r="A74" s="118"/>
      <c r="B74" s="32" t="s">
        <v>3657</v>
      </c>
      <c r="C74" s="70" t="s">
        <v>45</v>
      </c>
      <c r="D74" s="32" t="s">
        <v>2435</v>
      </c>
      <c r="E74" s="11" t="str">
        <f>HYPERLINK("https://youtu.be/aJwge_8et5s?t=1879","channel 4")</f>
        <v>channel 4</v>
      </c>
    </row>
    <row r="75">
      <c r="A75" s="118"/>
      <c r="B75" s="91" t="s">
        <v>2433</v>
      </c>
      <c r="C75" s="70" t="s">
        <v>294</v>
      </c>
      <c r="D75" s="91" t="s">
        <v>2745</v>
      </c>
      <c r="E75" s="11" t="str">
        <f>HYPERLINK("https://youtu.be/Fvk7IwNhk-c?t=2811","channel 3")</f>
        <v>channel 3</v>
      </c>
    </row>
    <row r="76">
      <c r="A76" s="118"/>
      <c r="B76" s="32" t="s">
        <v>3658</v>
      </c>
      <c r="C76" s="70" t="s">
        <v>566</v>
      </c>
      <c r="D76" s="32" t="s">
        <v>2435</v>
      </c>
      <c r="E76" s="11" t="str">
        <f>HYPERLINK("https://youtu.be/aJwge_8et5s?t=2815","channel 4")</f>
        <v>channel 4</v>
      </c>
    </row>
    <row r="77">
      <c r="A77" s="118"/>
      <c r="B77" s="91" t="s">
        <v>2433</v>
      </c>
      <c r="C77" s="70" t="s">
        <v>88</v>
      </c>
      <c r="D77" s="91" t="s">
        <v>3657</v>
      </c>
      <c r="E77" s="11" t="str">
        <f>HYPERLINK("https://youtu.be/Fvk7IwNhk-c?t=3794","channel 3")</f>
        <v>channel 3</v>
      </c>
    </row>
    <row r="78">
      <c r="A78" s="118"/>
      <c r="B78" s="32" t="s">
        <v>3658</v>
      </c>
      <c r="C78" s="70" t="s">
        <v>20</v>
      </c>
      <c r="D78" s="32" t="s">
        <v>2745</v>
      </c>
      <c r="E78" s="11" t="str">
        <f>HYPERLINK("https://youtu.be/aJwge_8et5s?t=3719","channel 4")</f>
        <v>channel 4</v>
      </c>
    </row>
    <row r="79">
      <c r="A79" s="118"/>
      <c r="B79" s="91" t="s">
        <v>2745</v>
      </c>
      <c r="C79" s="70" t="s">
        <v>49</v>
      </c>
      <c r="D79" s="91" t="s">
        <v>2435</v>
      </c>
      <c r="E79" s="11" t="str">
        <f>HYPERLINK("https://youtu.be/Fvk7IwNhk-c?t=4799","channel 3")</f>
        <v>channel 3</v>
      </c>
    </row>
    <row r="80">
      <c r="A80" s="118"/>
      <c r="B80" s="32" t="s">
        <v>3658</v>
      </c>
      <c r="C80" s="70" t="s">
        <v>239</v>
      </c>
      <c r="D80" s="32" t="s">
        <v>3657</v>
      </c>
      <c r="E80" s="11" t="str">
        <f>HYPERLINK("https://youtu.be/aJwge_8et5s?t=4679","channel 4")</f>
        <v>channel 4</v>
      </c>
    </row>
    <row r="81">
      <c r="A81" s="118"/>
      <c r="B81" s="91" t="s">
        <v>2435</v>
      </c>
      <c r="C81" s="70" t="s">
        <v>218</v>
      </c>
      <c r="D81" s="91" t="s">
        <v>2433</v>
      </c>
      <c r="E81" s="11" t="str">
        <f>HYPERLINK("https://youtu.be/Fvk7IwNhk-c?t=5710","channel 3")</f>
        <v>channel 3</v>
      </c>
    </row>
    <row r="82">
      <c r="A82" s="118"/>
      <c r="B82" s="32" t="s">
        <v>2745</v>
      </c>
      <c r="C82" s="70" t="s">
        <v>3355</v>
      </c>
      <c r="D82" s="32" t="s">
        <v>3657</v>
      </c>
      <c r="E82" s="11" t="str">
        <f>HYPERLINK("https://youtu.be/aJwge_8et5s?t=5697","channel 4")</f>
        <v>channel 4</v>
      </c>
    </row>
    <row r="83">
      <c r="A83" s="118"/>
      <c r="B83" s="91" t="s">
        <v>3658</v>
      </c>
      <c r="C83" s="70" t="s">
        <v>218</v>
      </c>
      <c r="D83" s="91" t="s">
        <v>2433</v>
      </c>
      <c r="E83" s="11" t="str">
        <f>HYPERLINK("https://youtu.be/Fvk7IwNhk-c?t=6608","channel 3")</f>
        <v>channel 3</v>
      </c>
    </row>
    <row r="84">
      <c r="A84" s="118"/>
      <c r="B84" s="32" t="s">
        <v>2435</v>
      </c>
      <c r="C84" s="70" t="s">
        <v>195</v>
      </c>
      <c r="D84" s="32" t="s">
        <v>3657</v>
      </c>
      <c r="E84" s="11" t="str">
        <f>HYPERLINK("https://youtu.be/aJwge_8et5s?t=6687","channel 4")</f>
        <v>channel 4</v>
      </c>
    </row>
    <row r="85">
      <c r="A85" s="118"/>
      <c r="B85" s="91" t="s">
        <v>2745</v>
      </c>
      <c r="C85" s="70" t="s">
        <v>239</v>
      </c>
      <c r="D85" s="91" t="s">
        <v>2433</v>
      </c>
      <c r="E85" s="11" t="str">
        <f>HYPERLINK("https://youtu.be/Fvk7IwNhk-c?t=7456","channel 3")</f>
        <v>channel 3</v>
      </c>
    </row>
    <row r="86">
      <c r="A86" s="118"/>
      <c r="B86" s="32" t="s">
        <v>2435</v>
      </c>
      <c r="C86" s="70" t="s">
        <v>87</v>
      </c>
      <c r="D86" s="32" t="s">
        <v>3658</v>
      </c>
      <c r="E86" s="11" t="str">
        <f>HYPERLINK("https://youtu.be/aJwge_8et5s?t=7620","channel 4")</f>
        <v>channel 4</v>
      </c>
    </row>
    <row r="87">
      <c r="A87" s="118"/>
      <c r="B87" s="91" t="s">
        <v>3657</v>
      </c>
      <c r="C87" s="70" t="s">
        <v>733</v>
      </c>
      <c r="D87" s="91" t="s">
        <v>2433</v>
      </c>
      <c r="E87" s="11" t="str">
        <f>HYPERLINK("https://youtu.be/Fvk7IwNhk-c?t=8507","channel 3")</f>
        <v>channel 3</v>
      </c>
    </row>
    <row r="88">
      <c r="A88" s="118"/>
      <c r="B88" s="32" t="s">
        <v>2745</v>
      </c>
      <c r="C88" s="70" t="s">
        <v>82</v>
      </c>
      <c r="D88" s="32" t="s">
        <v>3658</v>
      </c>
      <c r="E88" s="11" t="str">
        <f>HYPERLINK("https://youtu.be/aJwge_8et5s?t=8496","channel 4")</f>
        <v>channel 4</v>
      </c>
    </row>
    <row r="89">
      <c r="A89" s="118"/>
      <c r="B89" s="72" t="s">
        <v>2316</v>
      </c>
      <c r="C89" s="2"/>
      <c r="D89" s="3"/>
      <c r="E89" s="4"/>
    </row>
    <row r="90">
      <c r="A90" s="118"/>
      <c r="B90" s="16" t="s">
        <v>2</v>
      </c>
      <c r="C90" s="16" t="s">
        <v>3</v>
      </c>
      <c r="D90" s="16" t="s">
        <v>4</v>
      </c>
      <c r="E90" s="16" t="s">
        <v>5</v>
      </c>
    </row>
    <row r="91">
      <c r="A91" s="118"/>
      <c r="B91" s="32" t="s">
        <v>3630</v>
      </c>
      <c r="C91" s="70" t="s">
        <v>63</v>
      </c>
      <c r="D91" s="32" t="s">
        <v>3659</v>
      </c>
      <c r="E91" s="11" t="str">
        <f>HYPERLINK("https://youtu.be/hFeCcKEhqtA?t=2054","channel 1")</f>
        <v>channel 1</v>
      </c>
    </row>
    <row r="92">
      <c r="A92" s="118"/>
      <c r="B92" s="32" t="s">
        <v>3660</v>
      </c>
      <c r="C92" s="70" t="s">
        <v>62</v>
      </c>
      <c r="D92" s="32" t="s">
        <v>3661</v>
      </c>
      <c r="E92" s="11" t="str">
        <f>HYPERLINK("https://youtu.be/bnxF7s-lNJ0?t=1851","channel 2")</f>
        <v>channel 2</v>
      </c>
    </row>
    <row r="93">
      <c r="A93" s="118"/>
      <c r="B93" s="126" t="s">
        <v>125</v>
      </c>
      <c r="C93" s="127" t="s">
        <v>587</v>
      </c>
      <c r="D93" s="126" t="s">
        <v>3630</v>
      </c>
      <c r="E93" s="11" t="str">
        <f>HYPERLINK("https://youtu.be/hFeCcKEhqtA?t=2960","channel 1")</f>
        <v>channel 1</v>
      </c>
    </row>
    <row r="94">
      <c r="A94" s="118"/>
      <c r="B94" s="126" t="s">
        <v>3660</v>
      </c>
      <c r="C94" s="127" t="s">
        <v>857</v>
      </c>
      <c r="D94" s="126" t="s">
        <v>3659</v>
      </c>
      <c r="E94" s="11" t="str">
        <f>HYPERLINK("https://youtu.be/bnxF7s-lNJ0","channel 2")</f>
        <v>channel 2</v>
      </c>
    </row>
    <row r="95">
      <c r="A95" s="118"/>
      <c r="B95" s="126" t="s">
        <v>125</v>
      </c>
      <c r="C95" s="127" t="s">
        <v>291</v>
      </c>
      <c r="D95" s="126" t="s">
        <v>3661</v>
      </c>
      <c r="E95" s="11" t="str">
        <f>HYPERLINK("https://youtu.be/hFeCcKEhqtA?t=163","channel 1")</f>
        <v>channel 1</v>
      </c>
    </row>
    <row r="96">
      <c r="A96" s="118"/>
      <c r="B96" s="126" t="s">
        <v>3660</v>
      </c>
      <c r="C96" s="127" t="s">
        <v>286</v>
      </c>
      <c r="D96" s="126" t="s">
        <v>3630</v>
      </c>
      <c r="E96" s="11" t="str">
        <f>HYPERLINK("https://youtu.be/bnxF7s-lNJ0?t=3617","channel 2")</f>
        <v>channel 2</v>
      </c>
    </row>
    <row r="97">
      <c r="A97" s="118"/>
      <c r="B97" s="126" t="s">
        <v>125</v>
      </c>
      <c r="C97" s="127" t="s">
        <v>239</v>
      </c>
      <c r="D97" s="126" t="s">
        <v>3659</v>
      </c>
      <c r="E97" s="11" t="str">
        <f>HYPERLINK("https://youtu.be/hFeCcKEhqtA?t=3842","channel 1")</f>
        <v>channel 1</v>
      </c>
    </row>
    <row r="98">
      <c r="A98" s="118"/>
      <c r="B98" s="126" t="s">
        <v>3661</v>
      </c>
      <c r="C98" s="127" t="s">
        <v>217</v>
      </c>
      <c r="D98" s="126" t="s">
        <v>3630</v>
      </c>
      <c r="E98" s="11" t="str">
        <f>HYPERLINK("https://youtu.be/bnxF7s-lNJ0?t=4512","channel 2")</f>
        <v>channel 2</v>
      </c>
    </row>
    <row r="99">
      <c r="A99" s="118"/>
      <c r="B99" s="126" t="s">
        <v>125</v>
      </c>
      <c r="C99" s="127" t="s">
        <v>42</v>
      </c>
      <c r="D99" s="126" t="s">
        <v>3660</v>
      </c>
      <c r="E99" s="11" t="str">
        <f>HYPERLINK("https://youtu.be/hFeCcKEhqtA?t=4749","channel 1")</f>
        <v>channel 1</v>
      </c>
    </row>
    <row r="100">
      <c r="A100" s="118"/>
      <c r="B100" s="126" t="s">
        <v>3661</v>
      </c>
      <c r="C100" s="127" t="s">
        <v>260</v>
      </c>
      <c r="D100" s="126" t="s">
        <v>3659</v>
      </c>
      <c r="E100" s="11" t="str">
        <f>HYPERLINK("https://youtu.be/bnxF7s-lNJ0?t=2757","channel 2")</f>
        <v>channel 2</v>
      </c>
    </row>
    <row r="101">
      <c r="A101" s="118"/>
      <c r="B101" s="126" t="s">
        <v>3659</v>
      </c>
      <c r="C101" s="127" t="s">
        <v>815</v>
      </c>
      <c r="D101" s="126" t="s">
        <v>3630</v>
      </c>
      <c r="E101" s="11" t="str">
        <f>HYPERLINK("https://youtu.be/hFeCcKEhqtA?t=5678","channel 1")</f>
        <v>channel 1</v>
      </c>
    </row>
    <row r="102">
      <c r="A102" s="118"/>
      <c r="B102" s="126" t="s">
        <v>3661</v>
      </c>
      <c r="C102" s="127" t="s">
        <v>18</v>
      </c>
      <c r="D102" s="126" t="s">
        <v>3660</v>
      </c>
      <c r="E102" s="11" t="str">
        <f>HYPERLINK("https://youtu.be/bnxF7s-lNJ0?t=5416","channel 2")</f>
        <v>channel 2</v>
      </c>
    </row>
    <row r="103">
      <c r="A103" s="118"/>
      <c r="B103" s="126" t="s">
        <v>3630</v>
      </c>
      <c r="C103" s="127" t="s">
        <v>319</v>
      </c>
      <c r="D103" s="126" t="s">
        <v>125</v>
      </c>
      <c r="E103" s="11" t="str">
        <f>HYPERLINK("https://youtu.be/hFeCcKEhqtA?t=6589","channel 1")</f>
        <v>channel 1</v>
      </c>
    </row>
    <row r="104">
      <c r="A104" s="118"/>
      <c r="B104" s="126" t="s">
        <v>3659</v>
      </c>
      <c r="C104" s="127" t="s">
        <v>11</v>
      </c>
      <c r="D104" s="126" t="s">
        <v>3660</v>
      </c>
      <c r="E104" s="11" t="str">
        <f>HYPERLINK("https://youtu.be/bnxF7s-lNJ0?t=891","channel 2")</f>
        <v>channel 2</v>
      </c>
    </row>
    <row r="105">
      <c r="A105" s="118"/>
      <c r="B105" s="126" t="s">
        <v>3661</v>
      </c>
      <c r="C105" s="127" t="s">
        <v>217</v>
      </c>
      <c r="D105" s="126" t="s">
        <v>125</v>
      </c>
      <c r="E105" s="11" t="str">
        <f>HYPERLINK("https://youtu.be/hFeCcKEhqtA?t=1109","channel 1")</f>
        <v>channel 1</v>
      </c>
    </row>
    <row r="106">
      <c r="A106" s="118"/>
      <c r="B106" s="126" t="s">
        <v>3630</v>
      </c>
      <c r="C106" s="127" t="s">
        <v>319</v>
      </c>
      <c r="D106" s="126" t="s">
        <v>3660</v>
      </c>
      <c r="E106" s="11" t="str">
        <f>HYPERLINK("https://youtu.be/bnxF7s-lNJ0?t=7282","channel 2")</f>
        <v>channel 2</v>
      </c>
    </row>
    <row r="107">
      <c r="A107" s="118"/>
      <c r="B107" s="126" t="s">
        <v>3659</v>
      </c>
      <c r="C107" s="127" t="s">
        <v>201</v>
      </c>
      <c r="D107" s="126" t="s">
        <v>125</v>
      </c>
      <c r="E107" s="11" t="str">
        <f>HYPERLINK("https://youtu.be/hFeCcKEhqtA?t=7475","channel 1")</f>
        <v>channel 1</v>
      </c>
    </row>
    <row r="108">
      <c r="A108" s="118"/>
      <c r="B108" s="126" t="s">
        <v>3630</v>
      </c>
      <c r="C108" s="127" t="s">
        <v>27</v>
      </c>
      <c r="D108" s="126" t="s">
        <v>3661</v>
      </c>
      <c r="E108" s="11" t="str">
        <f>HYPERLINK("https://youtu.be/bnxF7s-lNJ0?t=8220","channel 2")</f>
        <v>channel 2</v>
      </c>
    </row>
    <row r="109">
      <c r="A109" s="118"/>
      <c r="B109" s="126" t="s">
        <v>3660</v>
      </c>
      <c r="C109" s="127" t="s">
        <v>240</v>
      </c>
      <c r="D109" s="126" t="s">
        <v>125</v>
      </c>
      <c r="E109" s="11" t="str">
        <f>HYPERLINK("https://youtu.be/hFeCcKEhqtA?t=8421","channel 1")</f>
        <v>channel 1</v>
      </c>
    </row>
    <row r="110">
      <c r="A110" s="118"/>
      <c r="B110" s="126" t="s">
        <v>3659</v>
      </c>
      <c r="C110" s="127" t="s">
        <v>16</v>
      </c>
      <c r="D110" s="126" t="s">
        <v>3661</v>
      </c>
      <c r="E110" s="11" t="str">
        <f>HYPERLINK("https://youtu.be/bnxF7s-lNJ0?t=6375","channel 2")</f>
        <v>channel 2</v>
      </c>
    </row>
    <row r="111">
      <c r="A111" s="118"/>
      <c r="B111" s="72" t="s">
        <v>1435</v>
      </c>
      <c r="C111" s="2"/>
      <c r="D111" s="3"/>
      <c r="E111" s="4"/>
    </row>
    <row r="112">
      <c r="A112" s="118"/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A113" s="118"/>
      <c r="B113" s="32" t="s">
        <v>3002</v>
      </c>
      <c r="C113" s="70" t="s">
        <v>269</v>
      </c>
      <c r="D113" s="32" t="s">
        <v>3662</v>
      </c>
      <c r="E113" s="11" t="str">
        <f>HYPERLINK("https://youtu.be/ionYx27A-JQ","channel 1")</f>
        <v>channel 1</v>
      </c>
    </row>
    <row r="114">
      <c r="A114" s="118"/>
      <c r="B114" s="32" t="s">
        <v>2867</v>
      </c>
      <c r="C114" s="70" t="s">
        <v>16</v>
      </c>
      <c r="D114" s="32" t="s">
        <v>3663</v>
      </c>
      <c r="E114" s="11" t="str">
        <f>HYPERLINK("https://youtu.be/KSVDtL37QVI","channel 2")</f>
        <v>channel 2</v>
      </c>
    </row>
    <row r="115">
      <c r="A115" s="118"/>
      <c r="B115" s="32" t="s">
        <v>2383</v>
      </c>
      <c r="C115" s="70" t="s">
        <v>1102</v>
      </c>
      <c r="D115" s="32" t="s">
        <v>3002</v>
      </c>
      <c r="E115" s="11" t="str">
        <f>HYPERLINK("https://youtu.be/ionYx27A-JQ?t=1034","channel 1")</f>
        <v>channel 1</v>
      </c>
    </row>
    <row r="116">
      <c r="A116" s="118"/>
      <c r="B116" s="32" t="s">
        <v>2867</v>
      </c>
      <c r="C116" s="70" t="s">
        <v>82</v>
      </c>
      <c r="D116" s="32" t="s">
        <v>3662</v>
      </c>
      <c r="E116" s="11" t="str">
        <f>HYPERLINK("https://youtu.be/KSVDtL37QVI?t=1095","channel 2")</f>
        <v>channel 2</v>
      </c>
    </row>
    <row r="117">
      <c r="A117" s="118"/>
      <c r="B117" s="32" t="s">
        <v>2383</v>
      </c>
      <c r="C117" s="70" t="s">
        <v>320</v>
      </c>
      <c r="D117" s="32" t="s">
        <v>3663</v>
      </c>
      <c r="E117" s="11" t="str">
        <f>HYPERLINK("https://youtu.be/ionYx27A-JQ?t=1928","channel 1")</f>
        <v>channel 1</v>
      </c>
    </row>
    <row r="118">
      <c r="A118" s="118"/>
      <c r="B118" s="32" t="s">
        <v>2867</v>
      </c>
      <c r="C118" s="70" t="s">
        <v>3664</v>
      </c>
      <c r="D118" s="32" t="s">
        <v>3002</v>
      </c>
      <c r="E118" s="11" t="str">
        <f>HYPERLINK("https://youtu.be/KSVDtL37QVI?t=2001","channel 2")</f>
        <v>channel 2</v>
      </c>
    </row>
    <row r="119">
      <c r="A119" s="118"/>
      <c r="B119" s="32" t="s">
        <v>2383</v>
      </c>
      <c r="C119" s="70" t="s">
        <v>16</v>
      </c>
      <c r="D119" s="32" t="s">
        <v>3662</v>
      </c>
      <c r="E119" s="11" t="str">
        <f>HYPERLINK("https://youtu.be/ionYx27A-JQ?t=2876","channel 1")</f>
        <v>channel 1</v>
      </c>
    </row>
    <row r="120">
      <c r="A120" s="118"/>
      <c r="B120" s="32" t="s">
        <v>3663</v>
      </c>
      <c r="C120" s="70" t="s">
        <v>19</v>
      </c>
      <c r="D120" s="32" t="s">
        <v>3002</v>
      </c>
      <c r="E120" s="11" t="str">
        <f>HYPERLINK("https://youtu.be/KSVDtL37QVI?t=2932","channel 2")</f>
        <v>channel 2</v>
      </c>
    </row>
    <row r="121">
      <c r="A121" s="118"/>
      <c r="B121" s="32" t="s">
        <v>2383</v>
      </c>
      <c r="C121" s="70" t="s">
        <v>68</v>
      </c>
      <c r="D121" s="32" t="s">
        <v>2867</v>
      </c>
      <c r="E121" s="11" t="str">
        <f>HYPERLINK("https://youtu.be/ionYx27A-JQ?t=3811","channel 1")</f>
        <v>channel 1</v>
      </c>
    </row>
    <row r="122">
      <c r="A122" s="118"/>
      <c r="B122" s="32" t="s">
        <v>3663</v>
      </c>
      <c r="C122" s="70" t="s">
        <v>195</v>
      </c>
      <c r="D122" s="32" t="s">
        <v>3662</v>
      </c>
      <c r="E122" s="11" t="str">
        <f>HYPERLINK("https://youtu.be/KSVDtL37QVI?t=3820","channel 2")</f>
        <v>channel 2</v>
      </c>
    </row>
    <row r="123">
      <c r="A123" s="118"/>
      <c r="B123" s="32" t="s">
        <v>3662</v>
      </c>
      <c r="C123" s="70" t="s">
        <v>24</v>
      </c>
      <c r="D123" s="32" t="s">
        <v>3002</v>
      </c>
      <c r="E123" s="11" t="str">
        <f>HYPERLINK("https://youtu.be/ionYx27A-JQ?t=4707","channel 1")</f>
        <v>channel 1</v>
      </c>
    </row>
    <row r="124">
      <c r="A124" s="118"/>
      <c r="B124" s="32" t="s">
        <v>3663</v>
      </c>
      <c r="C124" s="70" t="s">
        <v>472</v>
      </c>
      <c r="D124" s="32" t="s">
        <v>2867</v>
      </c>
      <c r="E124" s="11" t="str">
        <f>HYPERLINK("https://youtu.be/KSVDtL37QVI?t=4747","channel 2")</f>
        <v>channel 2</v>
      </c>
    </row>
    <row r="125">
      <c r="A125" s="118"/>
      <c r="B125" s="32" t="s">
        <v>3002</v>
      </c>
      <c r="C125" s="70" t="s">
        <v>836</v>
      </c>
      <c r="D125" s="32" t="s">
        <v>2383</v>
      </c>
      <c r="E125" s="11" t="str">
        <f>HYPERLINK("https://youtu.be/ionYx27A-JQ?t=5625","channel 1")</f>
        <v>channel 1</v>
      </c>
    </row>
    <row r="126">
      <c r="A126" s="118"/>
      <c r="B126" s="32" t="s">
        <v>3662</v>
      </c>
      <c r="C126" s="70" t="s">
        <v>66</v>
      </c>
      <c r="D126" s="32" t="s">
        <v>2867</v>
      </c>
      <c r="E126" s="11" t="str">
        <f>HYPERLINK("https://youtu.be/KSVDtL37QVI?t=5672","channel 2")</f>
        <v>channel 2</v>
      </c>
    </row>
    <row r="127">
      <c r="A127" s="118"/>
      <c r="B127" s="32" t="s">
        <v>3663</v>
      </c>
      <c r="C127" s="70" t="s">
        <v>197</v>
      </c>
      <c r="D127" s="32" t="s">
        <v>2383</v>
      </c>
      <c r="E127" s="11" t="str">
        <f>HYPERLINK("https://youtu.be/ionYx27A-JQ?t=6509","channel 1")</f>
        <v>channel 1</v>
      </c>
    </row>
    <row r="128">
      <c r="A128" s="118"/>
      <c r="B128" s="32" t="s">
        <v>3002</v>
      </c>
      <c r="C128" s="70" t="s">
        <v>81</v>
      </c>
      <c r="D128" s="32" t="s">
        <v>2867</v>
      </c>
      <c r="E128" s="11" t="str">
        <f>HYPERLINK("https://youtu.be/KSVDtL37QVI?t=6581","channel 2")</f>
        <v>channel 2</v>
      </c>
    </row>
    <row r="129">
      <c r="A129" s="118"/>
      <c r="B129" s="32" t="s">
        <v>3662</v>
      </c>
      <c r="C129" s="70" t="s">
        <v>951</v>
      </c>
      <c r="D129" s="32" t="s">
        <v>2383</v>
      </c>
      <c r="E129" s="11" t="str">
        <f>HYPERLINK("https://youtu.be/ionYx27A-JQ?t=7670","channel 1")</f>
        <v>channel 1</v>
      </c>
    </row>
    <row r="130">
      <c r="A130" s="118"/>
      <c r="B130" s="32" t="s">
        <v>3002</v>
      </c>
      <c r="C130" s="70" t="s">
        <v>325</v>
      </c>
      <c r="D130" s="32" t="s">
        <v>3663</v>
      </c>
      <c r="E130" s="11" t="str">
        <f>HYPERLINK("https://youtu.be/KSVDtL37QVI?t=7729","channel 2")</f>
        <v>channel 2</v>
      </c>
    </row>
    <row r="131">
      <c r="A131" s="118"/>
      <c r="B131" s="32" t="s">
        <v>2867</v>
      </c>
      <c r="C131" s="70" t="s">
        <v>71</v>
      </c>
      <c r="D131" s="32" t="s">
        <v>2383</v>
      </c>
      <c r="E131" s="11" t="str">
        <f>HYPERLINK("https://youtu.be/ionYx27A-JQ?t=8688","channel 1")</f>
        <v>channel 1</v>
      </c>
    </row>
    <row r="132">
      <c r="A132" s="122"/>
      <c r="B132" s="32" t="s">
        <v>3662</v>
      </c>
      <c r="C132" s="70" t="s">
        <v>239</v>
      </c>
      <c r="D132" s="32" t="s">
        <v>3663</v>
      </c>
      <c r="E132" s="11" t="str">
        <f>HYPERLINK("https://youtu.be/KSVDtL37QVI?t=8743","channel 2")</f>
        <v>channel 2</v>
      </c>
    </row>
    <row r="133">
      <c r="B133" s="72" t="s">
        <v>2997</v>
      </c>
      <c r="C133" s="2"/>
      <c r="D133" s="3"/>
      <c r="E133" s="2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10" t="s">
        <v>2552</v>
      </c>
      <c r="C135" s="70" t="s">
        <v>83</v>
      </c>
      <c r="D135" s="91" t="s">
        <v>2736</v>
      </c>
      <c r="E135" s="11" t="str">
        <f>HYPERLINK("https://youtu.be/nWfL4WkLtXk","channel 3")</f>
        <v>channel 3</v>
      </c>
    </row>
    <row r="136">
      <c r="B136" s="34" t="s">
        <v>3665</v>
      </c>
      <c r="C136" s="70" t="s">
        <v>2121</v>
      </c>
      <c r="D136" s="34" t="s">
        <v>3666</v>
      </c>
      <c r="E136" s="11" t="str">
        <f>HYPERLINK("https://youtu.be/YJAg3GhS7jw","channel 4")</f>
        <v>channel 4</v>
      </c>
    </row>
    <row r="137">
      <c r="B137" s="110" t="s">
        <v>3086</v>
      </c>
      <c r="C137" s="70" t="s">
        <v>446</v>
      </c>
      <c r="D137" s="110" t="s">
        <v>2552</v>
      </c>
      <c r="E137" s="11" t="str">
        <f>HYPERLINK("https://youtu.be/nWfL4WkLtXk?t=887","channel 3")</f>
        <v>channel 3</v>
      </c>
    </row>
    <row r="138">
      <c r="B138" s="34" t="s">
        <v>3665</v>
      </c>
      <c r="C138" s="70" t="s">
        <v>201</v>
      </c>
      <c r="D138" s="32" t="s">
        <v>2736</v>
      </c>
      <c r="E138" s="11" t="str">
        <f>HYPERLINK("https://youtu.be/YJAg3GhS7jw?t=1012","channel 4")</f>
        <v>channel 4</v>
      </c>
    </row>
    <row r="139">
      <c r="B139" s="110" t="s">
        <v>3086</v>
      </c>
      <c r="C139" s="70" t="s">
        <v>751</v>
      </c>
      <c r="D139" s="110" t="s">
        <v>3666</v>
      </c>
      <c r="E139" s="11" t="str">
        <f>HYPERLINK("https://youtu.be/nWfL4WkLtXk?t=1762","channel 3")</f>
        <v>channel 3</v>
      </c>
    </row>
    <row r="140">
      <c r="B140" s="34" t="s">
        <v>3665</v>
      </c>
      <c r="C140" s="70" t="s">
        <v>43</v>
      </c>
      <c r="D140" s="34" t="s">
        <v>2552</v>
      </c>
      <c r="E140" s="11" t="str">
        <f>HYPERLINK("https://youtu.be/YJAg3GhS7jw?t=1904","channel 4")</f>
        <v>channel 4</v>
      </c>
    </row>
    <row r="141">
      <c r="B141" s="110" t="s">
        <v>3086</v>
      </c>
      <c r="C141" s="70" t="s">
        <v>403</v>
      </c>
      <c r="D141" s="91" t="s">
        <v>2736</v>
      </c>
      <c r="E141" s="11" t="str">
        <f>HYPERLINK("https://youtu.be/nWfL4WkLtXk?t=2665","channel 3")</f>
        <v>channel 3</v>
      </c>
    </row>
    <row r="142">
      <c r="B142" s="34" t="s">
        <v>3666</v>
      </c>
      <c r="C142" s="70" t="s">
        <v>193</v>
      </c>
      <c r="D142" s="34" t="s">
        <v>2552</v>
      </c>
      <c r="E142" s="11" t="str">
        <f>HYPERLINK("https://youtu.be/YJAg3GhS7jw?t=2854","channel 4")</f>
        <v>channel 4</v>
      </c>
    </row>
    <row r="143">
      <c r="B143" s="110" t="s">
        <v>3086</v>
      </c>
      <c r="C143" s="70" t="s">
        <v>455</v>
      </c>
      <c r="D143" s="110" t="s">
        <v>3665</v>
      </c>
      <c r="E143" s="11" t="str">
        <f>HYPERLINK("https://youtu.be/nWfL4WkLtXk?t=3626","channel 3")</f>
        <v>channel 3</v>
      </c>
    </row>
    <row r="144">
      <c r="B144" s="34" t="s">
        <v>3666</v>
      </c>
      <c r="C144" s="70" t="s">
        <v>21</v>
      </c>
      <c r="D144" s="32" t="s">
        <v>2736</v>
      </c>
      <c r="E144" s="11" t="str">
        <f>HYPERLINK("https://youtu.be/YJAg3GhS7jw?t=3728","channel 4")</f>
        <v>channel 4</v>
      </c>
    </row>
    <row r="145">
      <c r="B145" s="91" t="s">
        <v>2736</v>
      </c>
      <c r="C145" s="70" t="s">
        <v>362</v>
      </c>
      <c r="D145" s="110" t="s">
        <v>2552</v>
      </c>
      <c r="E145" s="11" t="str">
        <f>HYPERLINK("https://youtu.be/nWfL4WkLtXk?t=4731","channel 3")</f>
        <v>channel 3</v>
      </c>
    </row>
    <row r="146">
      <c r="B146" s="34" t="s">
        <v>3666</v>
      </c>
      <c r="C146" s="70" t="s">
        <v>55</v>
      </c>
      <c r="D146" s="34" t="s">
        <v>3665</v>
      </c>
      <c r="E146" s="11" t="str">
        <f>HYPERLINK("https://youtu.be/YJAg3GhS7jw?t=4700","channel 4")</f>
        <v>channel 4</v>
      </c>
    </row>
    <row r="147">
      <c r="B147" s="110" t="s">
        <v>2552</v>
      </c>
      <c r="C147" s="70" t="s">
        <v>42</v>
      </c>
      <c r="D147" s="110" t="s">
        <v>3086</v>
      </c>
      <c r="E147" s="11" t="str">
        <f>HYPERLINK("https://youtu.be/nWfL4WkLtXk?t=5676","channel 3")</f>
        <v>channel 3</v>
      </c>
    </row>
    <row r="148">
      <c r="B148" s="32" t="s">
        <v>2736</v>
      </c>
      <c r="C148" s="70" t="s">
        <v>187</v>
      </c>
      <c r="D148" s="34" t="s">
        <v>3665</v>
      </c>
      <c r="E148" s="11" t="str">
        <f>HYPERLINK("https://youtu.be/YJAg3GhS7jw?t=5648","channel 4")</f>
        <v>channel 4</v>
      </c>
    </row>
    <row r="149">
      <c r="B149" s="110" t="s">
        <v>3666</v>
      </c>
      <c r="C149" s="70" t="s">
        <v>87</v>
      </c>
      <c r="D149" s="110" t="s">
        <v>3086</v>
      </c>
      <c r="E149" s="11" t="str">
        <f>HYPERLINK("https://youtu.be/nWfL4WkLtXk?t=6590","channel 3")</f>
        <v>channel 3</v>
      </c>
    </row>
    <row r="150">
      <c r="B150" s="34" t="s">
        <v>2552</v>
      </c>
      <c r="C150" s="70" t="s">
        <v>412</v>
      </c>
      <c r="D150" s="34" t="s">
        <v>3665</v>
      </c>
      <c r="E150" s="11" t="str">
        <f>HYPERLINK("https://youtu.be/YJAg3GhS7jw?t=6640","channel 4")</f>
        <v>channel 4</v>
      </c>
    </row>
    <row r="151">
      <c r="B151" s="91" t="s">
        <v>2736</v>
      </c>
      <c r="C151" s="70" t="s">
        <v>533</v>
      </c>
      <c r="D151" s="110" t="s">
        <v>3086</v>
      </c>
      <c r="E151" s="11" t="str">
        <f>HYPERLINK("https://youtu.be/nWfL4WkLtXk?t=7471","channel 3")</f>
        <v>channel 3</v>
      </c>
    </row>
    <row r="152">
      <c r="B152" s="34" t="s">
        <v>2552</v>
      </c>
      <c r="C152" s="70" t="s">
        <v>88</v>
      </c>
      <c r="D152" s="34" t="s">
        <v>3666</v>
      </c>
      <c r="E152" s="11" t="str">
        <f>HYPERLINK("https://youtu.be/YJAg3GhS7jw?t=7377","channel 4")</f>
        <v>channel 4</v>
      </c>
    </row>
    <row r="153">
      <c r="B153" s="110" t="s">
        <v>3665</v>
      </c>
      <c r="C153" s="70" t="s">
        <v>81</v>
      </c>
      <c r="D153" s="110" t="s">
        <v>3086</v>
      </c>
      <c r="E153" s="11" t="str">
        <f>HYPERLINK("https://youtu.be/nWfL4WkLtXk?t=8418","channel 3")</f>
        <v>channel 3</v>
      </c>
    </row>
    <row r="154">
      <c r="B154" s="32" t="s">
        <v>2736</v>
      </c>
      <c r="C154" s="70" t="s">
        <v>3667</v>
      </c>
      <c r="D154" s="34" t="s">
        <v>3666</v>
      </c>
      <c r="E154" s="11" t="str">
        <f>HYPERLINK("https://youtu.be/YJAg3GhS7jw?t=8506","channel 4")</f>
        <v>channel 4</v>
      </c>
    </row>
    <row r="155">
      <c r="B155" s="72" t="s">
        <v>2769</v>
      </c>
      <c r="C155" s="2"/>
      <c r="D155" s="3"/>
      <c r="E155" s="2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10" t="s">
        <v>1268</v>
      </c>
      <c r="C157" s="70" t="s">
        <v>67</v>
      </c>
      <c r="D157" s="91" t="s">
        <v>2909</v>
      </c>
      <c r="E157" s="11" t="str">
        <f>HYPERLINK("https://youtu.be/4mc6VK8oDsk","channel 3")</f>
        <v>channel 3</v>
      </c>
    </row>
    <row r="158">
      <c r="B158" s="32" t="s">
        <v>1561</v>
      </c>
      <c r="C158" s="70" t="s">
        <v>21</v>
      </c>
      <c r="D158" s="34" t="s">
        <v>3668</v>
      </c>
      <c r="E158" s="11" t="str">
        <f>HYPERLINK("https://youtu.be/fL6my0Kw0h8","channel 4")</f>
        <v>channel 4</v>
      </c>
    </row>
    <row r="159">
      <c r="B159" s="110" t="s">
        <v>644</v>
      </c>
      <c r="C159" s="70" t="s">
        <v>267</v>
      </c>
      <c r="D159" s="110" t="s">
        <v>1268</v>
      </c>
      <c r="E159" s="11" t="str">
        <f>HYPERLINK("https://youtu.be/4mc6VK8oDsk?t=921","channel 3")</f>
        <v>channel 3</v>
      </c>
    </row>
    <row r="160">
      <c r="B160" s="32" t="s">
        <v>1561</v>
      </c>
      <c r="C160" s="70" t="s">
        <v>28</v>
      </c>
      <c r="D160" s="32" t="s">
        <v>2909</v>
      </c>
      <c r="E160" s="11" t="str">
        <f>HYPERLINK("https://youtu.be/fL6my0Kw0h8?t=930","channel 4")</f>
        <v>channel 4</v>
      </c>
    </row>
    <row r="161">
      <c r="B161" s="110" t="s">
        <v>644</v>
      </c>
      <c r="C161" s="70" t="s">
        <v>87</v>
      </c>
      <c r="D161" s="110" t="s">
        <v>3668</v>
      </c>
      <c r="E161" s="11" t="str">
        <f>HYPERLINK("https://youtu.be/4mc6VK8oDsk?t=1894","channel 3")</f>
        <v>channel 3</v>
      </c>
    </row>
    <row r="162">
      <c r="B162" s="32" t="s">
        <v>1561</v>
      </c>
      <c r="C162" s="70" t="s">
        <v>25</v>
      </c>
      <c r="D162" s="34" t="s">
        <v>1268</v>
      </c>
      <c r="E162" s="11" t="str">
        <f>HYPERLINK("https://youtu.be/fL6my0Kw0h8?t=1896","channel 4")</f>
        <v>channel 4</v>
      </c>
    </row>
    <row r="163">
      <c r="B163" s="110" t="s">
        <v>644</v>
      </c>
      <c r="C163" s="70" t="s">
        <v>284</v>
      </c>
      <c r="D163" s="91" t="s">
        <v>2909</v>
      </c>
      <c r="E163" s="11" t="str">
        <f>HYPERLINK("https://youtu.be/4mc6VK8oDsk?t=2855","channel 3")</f>
        <v>channel 3</v>
      </c>
    </row>
    <row r="164">
      <c r="B164" s="34" t="s">
        <v>3668</v>
      </c>
      <c r="C164" s="70" t="s">
        <v>239</v>
      </c>
      <c r="D164" s="34" t="s">
        <v>1268</v>
      </c>
      <c r="E164" s="11" t="str">
        <f>HYPERLINK("https://youtu.be/fL6my0Kw0h8?t=2825","channel 4")</f>
        <v>channel 4</v>
      </c>
    </row>
    <row r="165">
      <c r="B165" s="110" t="s">
        <v>644</v>
      </c>
      <c r="C165" s="70" t="s">
        <v>22</v>
      </c>
      <c r="D165" s="91" t="s">
        <v>1561</v>
      </c>
      <c r="E165" s="11" t="str">
        <f>HYPERLINK("https://youtu.be/4mc6VK8oDsk?t=3846","channel 3")</f>
        <v>channel 3</v>
      </c>
    </row>
    <row r="166">
      <c r="B166" s="34" t="s">
        <v>3668</v>
      </c>
      <c r="C166" s="70" t="s">
        <v>24</v>
      </c>
      <c r="D166" s="32" t="s">
        <v>2909</v>
      </c>
      <c r="E166" s="11" t="str">
        <f>HYPERLINK("https://youtu.be/fL6my0Kw0h8?t=3765","channel 4")</f>
        <v>channel 4</v>
      </c>
    </row>
    <row r="167">
      <c r="B167" s="91" t="s">
        <v>2909</v>
      </c>
      <c r="C167" s="70" t="s">
        <v>69</v>
      </c>
      <c r="D167" s="110" t="s">
        <v>1268</v>
      </c>
      <c r="E167" s="11" t="str">
        <f>HYPERLINK("https://youtu.be/4mc6VK8oDsk?t=4739","channel 3")</f>
        <v>channel 3</v>
      </c>
    </row>
    <row r="168">
      <c r="B168" s="34" t="s">
        <v>3668</v>
      </c>
      <c r="C168" s="70" t="s">
        <v>41</v>
      </c>
      <c r="D168" s="32" t="s">
        <v>1561</v>
      </c>
      <c r="E168" s="11" t="str">
        <f>HYPERLINK("https://youtu.be/fL6my0Kw0h8?t=4717","channel 4")</f>
        <v>channel 4</v>
      </c>
    </row>
    <row r="169">
      <c r="B169" s="110" t="s">
        <v>1268</v>
      </c>
      <c r="C169" s="70" t="s">
        <v>43</v>
      </c>
      <c r="D169" s="110" t="s">
        <v>644</v>
      </c>
      <c r="E169" s="11" t="str">
        <f>HYPERLINK("https://youtu.be/4mc6VK8oDsk?t=5657","channel 3")</f>
        <v>channel 3</v>
      </c>
    </row>
    <row r="170">
      <c r="B170" s="32" t="s">
        <v>2909</v>
      </c>
      <c r="C170" s="70" t="s">
        <v>1068</v>
      </c>
      <c r="D170" s="32" t="s">
        <v>1561</v>
      </c>
      <c r="E170" s="11" t="str">
        <f>HYPERLINK("https://youtu.be/fL6my0Kw0h8?t=5639","channel 4")</f>
        <v>channel 4</v>
      </c>
    </row>
    <row r="171">
      <c r="B171" s="110" t="s">
        <v>3668</v>
      </c>
      <c r="C171" s="70" t="s">
        <v>446</v>
      </c>
      <c r="D171" s="110" t="s">
        <v>644</v>
      </c>
      <c r="E171" s="11" t="str">
        <f>HYPERLINK("https://youtu.be/4mc6VK8oDsk?t=6601","channel 3")</f>
        <v>channel 3</v>
      </c>
    </row>
    <row r="172">
      <c r="B172" s="34" t="s">
        <v>1268</v>
      </c>
      <c r="C172" s="70" t="s">
        <v>212</v>
      </c>
      <c r="D172" s="32" t="s">
        <v>1561</v>
      </c>
      <c r="E172" s="11" t="str">
        <f>HYPERLINK("https://youtu.be/fL6my0Kw0h8?t=6562","channel 4")</f>
        <v>channel 4</v>
      </c>
    </row>
    <row r="173">
      <c r="B173" s="91" t="s">
        <v>2909</v>
      </c>
      <c r="C173" s="70" t="s">
        <v>35</v>
      </c>
      <c r="D173" s="110" t="s">
        <v>644</v>
      </c>
      <c r="E173" s="11" t="str">
        <f>HYPERLINK("https://youtu.be/4mc6VK8oDsk?t=7512","channel 3")</f>
        <v>channel 3</v>
      </c>
    </row>
    <row r="174">
      <c r="B174" s="34" t="s">
        <v>1268</v>
      </c>
      <c r="C174" s="70" t="s">
        <v>543</v>
      </c>
      <c r="D174" s="34" t="s">
        <v>3668</v>
      </c>
      <c r="E174" s="11" t="str">
        <f>HYPERLINK("https://youtu.be/fL6my0Kw0h8?t=7555","channel 4")</f>
        <v>channel 4</v>
      </c>
    </row>
    <row r="175">
      <c r="B175" s="91" t="s">
        <v>1561</v>
      </c>
      <c r="C175" s="70" t="s">
        <v>55</v>
      </c>
      <c r="D175" s="110" t="s">
        <v>644</v>
      </c>
      <c r="E175" s="11" t="str">
        <f>HYPERLINK("https://youtu.be/4mc6VK8oDsk?t=8437","channel 3")</f>
        <v>channel 3</v>
      </c>
    </row>
    <row r="176">
      <c r="B176" s="32" t="s">
        <v>2909</v>
      </c>
      <c r="C176" s="70" t="s">
        <v>64</v>
      </c>
      <c r="D176" s="34" t="s">
        <v>3668</v>
      </c>
      <c r="E176" s="11" t="str">
        <f>HYPERLINK("https://youtu.be/fL6my0Kw0h8?t=8427","channel 4")</f>
        <v>channel 4</v>
      </c>
    </row>
    <row r="177">
      <c r="B177" s="72" t="s">
        <v>3491</v>
      </c>
      <c r="C177" s="2"/>
      <c r="D177" s="3"/>
      <c r="E177" s="2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34" t="s">
        <v>3669</v>
      </c>
      <c r="C179" s="70" t="s">
        <v>25</v>
      </c>
      <c r="D179" s="34" t="s">
        <v>1375</v>
      </c>
      <c r="E179" s="11" t="str">
        <f>HYPERLINK("https://youtu.be/L_o0aPIVluU","channel 1")</f>
        <v>channel 1</v>
      </c>
    </row>
    <row r="180">
      <c r="B180" s="34" t="s">
        <v>939</v>
      </c>
      <c r="C180" s="70" t="s">
        <v>190</v>
      </c>
      <c r="D180" s="34" t="s">
        <v>3008</v>
      </c>
      <c r="E180" s="11" t="str">
        <f>HYPERLINK("https://youtu.be/aY0GtVZhNfk","channel 2")</f>
        <v>channel 2</v>
      </c>
    </row>
    <row r="181">
      <c r="B181" s="34" t="s">
        <v>3670</v>
      </c>
      <c r="C181" s="70" t="s">
        <v>22</v>
      </c>
      <c r="D181" s="34" t="s">
        <v>3669</v>
      </c>
      <c r="E181" s="11" t="str">
        <f>HYPERLINK("https://youtu.be/L_o0aPIVluU?t=976","channel 1")</f>
        <v>channel 1</v>
      </c>
    </row>
    <row r="182">
      <c r="B182" s="34" t="s">
        <v>939</v>
      </c>
      <c r="C182" s="70" t="s">
        <v>64</v>
      </c>
      <c r="D182" s="34" t="s">
        <v>1375</v>
      </c>
      <c r="E182" s="11" t="str">
        <f>HYPERLINK("https://youtu.be/aY0GtVZhNfk?t=968","channel 2")</f>
        <v>channel 2</v>
      </c>
    </row>
    <row r="183">
      <c r="B183" s="34" t="s">
        <v>3670</v>
      </c>
      <c r="C183" s="70" t="s">
        <v>195</v>
      </c>
      <c r="D183" s="34" t="s">
        <v>3008</v>
      </c>
      <c r="E183" s="11" t="str">
        <f>HYPERLINK("https://youtu.be/L_o0aPIVluU?t=1815","channel 1")</f>
        <v>channel 1</v>
      </c>
    </row>
    <row r="184">
      <c r="B184" s="34" t="s">
        <v>939</v>
      </c>
      <c r="C184" s="70" t="s">
        <v>87</v>
      </c>
      <c r="D184" s="34" t="s">
        <v>3669</v>
      </c>
      <c r="E184" s="11" t="str">
        <f>HYPERLINK("https://youtu.be/aY0GtVZhNfk?t=1819","channel 2")</f>
        <v>channel 2</v>
      </c>
    </row>
    <row r="185">
      <c r="B185" s="34" t="s">
        <v>3670</v>
      </c>
      <c r="C185" s="70" t="s">
        <v>190</v>
      </c>
      <c r="D185" s="34" t="s">
        <v>1375</v>
      </c>
      <c r="E185" s="11" t="str">
        <f>HYPERLINK("https://youtu.be/L_o0aPIVluU?t=2686","channel 1")</f>
        <v>channel 1</v>
      </c>
    </row>
    <row r="186">
      <c r="B186" s="34" t="s">
        <v>3008</v>
      </c>
      <c r="C186" s="70" t="s">
        <v>190</v>
      </c>
      <c r="D186" s="34" t="s">
        <v>3669</v>
      </c>
      <c r="E186" s="11" t="str">
        <f>HYPERLINK("https://youtu.be/aY0GtVZhNfk?t=2690","channel 2")</f>
        <v>channel 2</v>
      </c>
    </row>
    <row r="187">
      <c r="B187" s="34" t="s">
        <v>3670</v>
      </c>
      <c r="C187" s="70" t="s">
        <v>7</v>
      </c>
      <c r="D187" s="34" t="s">
        <v>939</v>
      </c>
      <c r="E187" s="11" t="str">
        <f>HYPERLINK("https://youtu.be/L_o0aPIVluU?t=3583","channel 1")</f>
        <v>channel 1</v>
      </c>
    </row>
    <row r="188">
      <c r="B188" s="34" t="s">
        <v>3008</v>
      </c>
      <c r="C188" s="70" t="s">
        <v>743</v>
      </c>
      <c r="D188" s="34" t="s">
        <v>1375</v>
      </c>
      <c r="E188" s="11" t="str">
        <f>HYPERLINK("https://youtu.be/aY0GtVZhNfk?t=3582","channel 2")</f>
        <v>channel 2</v>
      </c>
    </row>
    <row r="189">
      <c r="B189" s="34" t="s">
        <v>1375</v>
      </c>
      <c r="C189" s="70" t="s">
        <v>239</v>
      </c>
      <c r="D189" s="34" t="s">
        <v>3669</v>
      </c>
      <c r="E189" s="11" t="str">
        <f>HYPERLINK("https://youtu.be/L_o0aPIVluU?t=4513","channel 1")</f>
        <v>channel 1</v>
      </c>
    </row>
    <row r="190">
      <c r="B190" s="34" t="s">
        <v>3008</v>
      </c>
      <c r="C190" s="70" t="s">
        <v>20</v>
      </c>
      <c r="D190" s="34" t="s">
        <v>939</v>
      </c>
      <c r="E190" s="11" t="str">
        <f>HYPERLINK("https://youtu.be/aY0GtVZhNfk?t=4539","channel 2")</f>
        <v>channel 2</v>
      </c>
    </row>
    <row r="191">
      <c r="B191" s="34" t="s">
        <v>3669</v>
      </c>
      <c r="C191" s="70" t="s">
        <v>66</v>
      </c>
      <c r="D191" s="34" t="s">
        <v>3670</v>
      </c>
      <c r="E191" s="11" t="str">
        <f>HYPERLINK("https://youtu.be/L_o0aPIVluU?t=5451","channel 1")</f>
        <v>channel 1</v>
      </c>
    </row>
    <row r="192">
      <c r="B192" s="34" t="s">
        <v>1375</v>
      </c>
      <c r="C192" s="70" t="s">
        <v>24</v>
      </c>
      <c r="D192" s="34" t="s">
        <v>939</v>
      </c>
      <c r="E192" s="11" t="str">
        <f>HYPERLINK("https://youtu.be/aY0GtVZhNfk?t=5452","channel 2")</f>
        <v>channel 2</v>
      </c>
    </row>
    <row r="193">
      <c r="B193" s="34" t="s">
        <v>3008</v>
      </c>
      <c r="C193" s="70" t="s">
        <v>82</v>
      </c>
      <c r="D193" s="34" t="s">
        <v>3670</v>
      </c>
      <c r="E193" s="11" t="str">
        <f>HYPERLINK("https://youtu.be/L_o0aPIVluU?t=6395","channel 1")</f>
        <v>channel 1</v>
      </c>
    </row>
    <row r="194">
      <c r="B194" s="34" t="s">
        <v>3669</v>
      </c>
      <c r="C194" s="70" t="s">
        <v>43</v>
      </c>
      <c r="D194" s="34" t="s">
        <v>939</v>
      </c>
      <c r="E194" s="11" t="str">
        <f>HYPERLINK("https://youtu.be/aY0GtVZhNfk?t=6385","channel 2")</f>
        <v>channel 2</v>
      </c>
    </row>
    <row r="195">
      <c r="B195" s="34" t="s">
        <v>1375</v>
      </c>
      <c r="C195" s="70" t="s">
        <v>208</v>
      </c>
      <c r="D195" s="34" t="s">
        <v>3670</v>
      </c>
      <c r="E195" s="11" t="str">
        <f>HYPERLINK("https://youtu.be/L_o0aPIVluU?t=7341","channel 1")</f>
        <v>channel 1</v>
      </c>
    </row>
    <row r="196">
      <c r="B196" s="34" t="s">
        <v>3669</v>
      </c>
      <c r="C196" s="70" t="s">
        <v>67</v>
      </c>
      <c r="D196" s="34" t="s">
        <v>3008</v>
      </c>
      <c r="E196" s="11" t="str">
        <f>HYPERLINK("https://youtu.be/aY0GtVZhNfk?t=7278","channel 2")</f>
        <v>channel 2</v>
      </c>
    </row>
    <row r="197">
      <c r="B197" s="34" t="s">
        <v>939</v>
      </c>
      <c r="C197" s="70" t="s">
        <v>55</v>
      </c>
      <c r="D197" s="34" t="s">
        <v>3670</v>
      </c>
      <c r="E197" s="11" t="str">
        <f>HYPERLINK("https://youtu.be/L_o0aPIVluU?t=8219","channel 1")</f>
        <v>channel 1</v>
      </c>
    </row>
    <row r="198">
      <c r="B198" s="34" t="s">
        <v>1375</v>
      </c>
      <c r="C198" s="70" t="s">
        <v>42</v>
      </c>
      <c r="D198" s="34" t="s">
        <v>3008</v>
      </c>
      <c r="E198" s="11" t="str">
        <f>HYPERLINK("https://youtu.be/aY0GtVZhNfk?t=8219","channel 2")</f>
        <v>channel 2</v>
      </c>
    </row>
    <row r="199">
      <c r="B199" s="72" t="s">
        <v>2200</v>
      </c>
      <c r="C199" s="2"/>
      <c r="D199" s="3"/>
      <c r="E199" s="2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34" t="s">
        <v>3671</v>
      </c>
      <c r="C201" s="70" t="s">
        <v>22</v>
      </c>
      <c r="D201" s="34" t="s">
        <v>1913</v>
      </c>
      <c r="E201" s="11" t="str">
        <f>HYPERLINK("https://youtu.be/aQJwQtvcgOA","channel 1")</f>
        <v>channel 1</v>
      </c>
    </row>
    <row r="202">
      <c r="B202" s="34" t="s">
        <v>774</v>
      </c>
      <c r="C202" s="70" t="s">
        <v>331</v>
      </c>
      <c r="D202" s="34" t="s">
        <v>2149</v>
      </c>
      <c r="E202" s="11" t="str">
        <f>HYPERLINK("https://youtu.be/yjUizL6ZvsA","channel 2")</f>
        <v>channel 2</v>
      </c>
    </row>
    <row r="203">
      <c r="B203" s="34" t="s">
        <v>3672</v>
      </c>
      <c r="C203" s="70" t="s">
        <v>11</v>
      </c>
      <c r="D203" s="34" t="s">
        <v>3671</v>
      </c>
      <c r="E203" s="11" t="str">
        <f>HYPERLINK("https://youtu.be/aQJwQtvcgOA?t=1110","channel 1")</f>
        <v>channel 1</v>
      </c>
    </row>
    <row r="204">
      <c r="B204" s="34" t="s">
        <v>774</v>
      </c>
      <c r="C204" s="70" t="s">
        <v>48</v>
      </c>
      <c r="D204" s="34" t="s">
        <v>1913</v>
      </c>
      <c r="E204" s="11" t="str">
        <f>HYPERLINK("https://youtu.be/yjUizL6ZvsA?t=1132","channel 2")</f>
        <v>channel 2</v>
      </c>
    </row>
    <row r="205">
      <c r="B205" s="34" t="s">
        <v>3672</v>
      </c>
      <c r="C205" s="70" t="s">
        <v>261</v>
      </c>
      <c r="D205" s="34" t="s">
        <v>2149</v>
      </c>
      <c r="E205" s="11" t="str">
        <f>HYPERLINK("https://youtu.be/aQJwQtvcgOA?t=2035","channel 1")</f>
        <v>channel 1</v>
      </c>
    </row>
    <row r="206">
      <c r="B206" s="34" t="s">
        <v>774</v>
      </c>
      <c r="C206" s="70" t="s">
        <v>17</v>
      </c>
      <c r="D206" s="34" t="s">
        <v>3671</v>
      </c>
      <c r="E206" s="11" t="str">
        <f>HYPERLINK("https://youtu.be/yjUizL6ZvsA?t=2054","channel 2")</f>
        <v>channel 2</v>
      </c>
    </row>
    <row r="207">
      <c r="B207" s="34" t="s">
        <v>3672</v>
      </c>
      <c r="C207" s="70" t="s">
        <v>354</v>
      </c>
      <c r="D207" s="34" t="s">
        <v>1913</v>
      </c>
      <c r="E207" s="11" t="str">
        <f>HYPERLINK("https://youtu.be/aQJwQtvcgOA?t=2969","channel 1")</f>
        <v>channel 1</v>
      </c>
    </row>
    <row r="208">
      <c r="B208" s="34" t="s">
        <v>2149</v>
      </c>
      <c r="C208" s="70" t="s">
        <v>18</v>
      </c>
      <c r="D208" s="34" t="s">
        <v>3671</v>
      </c>
      <c r="E208" s="11" t="str">
        <f>HYPERLINK("https://youtu.be/yjUizL6ZvsA?t=2985","channel 2")</f>
        <v>channel 2</v>
      </c>
    </row>
    <row r="209">
      <c r="B209" s="34" t="s">
        <v>3672</v>
      </c>
      <c r="C209" s="70" t="s">
        <v>389</v>
      </c>
      <c r="D209" s="34" t="s">
        <v>774</v>
      </c>
      <c r="E209" s="11" t="str">
        <f>HYPERLINK("https://youtu.be/aQJwQtvcgOA?t=3952","channel 1")</f>
        <v>channel 1</v>
      </c>
    </row>
    <row r="210">
      <c r="B210" s="34" t="s">
        <v>2149</v>
      </c>
      <c r="C210" s="70" t="s">
        <v>319</v>
      </c>
      <c r="D210" s="34" t="s">
        <v>1913</v>
      </c>
      <c r="E210" s="11" t="str">
        <f>HYPERLINK("https://youtu.be/yjUizL6ZvsA?t=3946","channel 2")</f>
        <v>channel 2</v>
      </c>
    </row>
    <row r="211">
      <c r="B211" s="34" t="s">
        <v>1913</v>
      </c>
      <c r="C211" s="70" t="s">
        <v>11</v>
      </c>
      <c r="D211" s="34" t="s">
        <v>3671</v>
      </c>
      <c r="E211" s="11" t="str">
        <f>HYPERLINK("https://youtu.be/aQJwQtvcgOA?t=4913","channel 1")</f>
        <v>channel 1</v>
      </c>
    </row>
    <row r="212">
      <c r="B212" s="34" t="s">
        <v>2149</v>
      </c>
      <c r="C212" s="70" t="s">
        <v>217</v>
      </c>
      <c r="D212" s="34" t="s">
        <v>774</v>
      </c>
      <c r="E212" s="11" t="str">
        <f>HYPERLINK("https://youtu.be/yjUizL6ZvsA?t=4924","channel 2")</f>
        <v>channel 2</v>
      </c>
    </row>
    <row r="213">
      <c r="B213" s="34" t="s">
        <v>3671</v>
      </c>
      <c r="C213" s="70" t="s">
        <v>197</v>
      </c>
      <c r="D213" s="34" t="s">
        <v>3672</v>
      </c>
      <c r="E213" s="11" t="str">
        <f>HYPERLINK("https://youtu.be/aQJwQtvcgOA?t=5810","channel 1")</f>
        <v>channel 1</v>
      </c>
    </row>
    <row r="214">
      <c r="B214" s="34" t="s">
        <v>1913</v>
      </c>
      <c r="C214" s="70" t="s">
        <v>58</v>
      </c>
      <c r="D214" s="34" t="s">
        <v>774</v>
      </c>
      <c r="E214" s="11" t="str">
        <f>HYPERLINK("https://youtu.be/yjUizL6ZvsA?t=5834","channel 2")</f>
        <v>channel 2</v>
      </c>
    </row>
    <row r="215">
      <c r="B215" s="34" t="s">
        <v>2149</v>
      </c>
      <c r="C215" s="70" t="s">
        <v>26</v>
      </c>
      <c r="D215" s="34" t="s">
        <v>3672</v>
      </c>
      <c r="E215" s="11" t="str">
        <f>HYPERLINK("https://youtu.be/aQJwQtvcgOA?t=6682","channel 1")</f>
        <v>channel 1</v>
      </c>
    </row>
    <row r="216">
      <c r="B216" s="34" t="s">
        <v>3671</v>
      </c>
      <c r="C216" s="70" t="s">
        <v>354</v>
      </c>
      <c r="D216" s="34" t="s">
        <v>774</v>
      </c>
      <c r="E216" s="11" t="str">
        <f>HYPERLINK("https://youtu.be/yjUizL6ZvsA?t=6694","channel 2")</f>
        <v>channel 2</v>
      </c>
    </row>
    <row r="217">
      <c r="B217" s="34" t="s">
        <v>1913</v>
      </c>
      <c r="C217" s="70" t="s">
        <v>684</v>
      </c>
      <c r="D217" s="34" t="s">
        <v>3672</v>
      </c>
      <c r="E217" s="11" t="str">
        <f>HYPERLINK("https://youtu.be/aQJwQtvcgOA?t=7584","channel 1")</f>
        <v>channel 1</v>
      </c>
    </row>
    <row r="218">
      <c r="B218" s="34" t="s">
        <v>3671</v>
      </c>
      <c r="C218" s="70" t="s">
        <v>31</v>
      </c>
      <c r="D218" s="34" t="s">
        <v>2149</v>
      </c>
      <c r="E218" s="11" t="str">
        <f>HYPERLINK("https://youtu.be/yjUizL6ZvsA?t=7546","channel 2")</f>
        <v>channel 2</v>
      </c>
    </row>
    <row r="219">
      <c r="B219" s="34" t="s">
        <v>774</v>
      </c>
      <c r="C219" s="70" t="s">
        <v>472</v>
      </c>
      <c r="D219" s="34" t="s">
        <v>3672</v>
      </c>
      <c r="E219" s="11" t="str">
        <f>HYPERLINK("https://youtu.be/aQJwQtvcgOA?t=8422","channel 1")</f>
        <v>channel 1</v>
      </c>
    </row>
    <row r="220">
      <c r="B220" s="34" t="s">
        <v>1913</v>
      </c>
      <c r="C220" s="70" t="s">
        <v>3673</v>
      </c>
      <c r="D220" s="34" t="s">
        <v>2149</v>
      </c>
      <c r="E220" s="11" t="str">
        <f>HYPERLINK("https://youtu.be/yjUizL6ZvsA?t=8402","channel 2")</f>
        <v>channel 2</v>
      </c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7"/>
      <c r="B1" s="72" t="s">
        <v>2154</v>
      </c>
      <c r="C1" s="2"/>
      <c r="D1" s="3"/>
      <c r="E1" s="14"/>
    </row>
    <row r="2">
      <c r="A2" s="118"/>
      <c r="B2" s="16" t="s">
        <v>2</v>
      </c>
      <c r="C2" s="16" t="s">
        <v>3</v>
      </c>
      <c r="D2" s="16" t="s">
        <v>4</v>
      </c>
      <c r="E2" s="6" t="s">
        <v>5</v>
      </c>
    </row>
    <row r="3">
      <c r="A3" s="118"/>
      <c r="B3" s="32" t="s">
        <v>3674</v>
      </c>
      <c r="C3" s="33" t="s">
        <v>55</v>
      </c>
      <c r="D3" s="32" t="s">
        <v>3675</v>
      </c>
      <c r="E3" s="11" t="str">
        <f>HYPERLINK("https://youtu.be/DVJoAf1dNtg","channel 1")</f>
        <v>channel 1</v>
      </c>
    </row>
    <row r="4">
      <c r="A4" s="118"/>
      <c r="B4" s="32" t="s">
        <v>3556</v>
      </c>
      <c r="C4" s="33" t="s">
        <v>389</v>
      </c>
      <c r="D4" s="32" t="s">
        <v>3676</v>
      </c>
      <c r="E4" s="11" t="str">
        <f>HYPERLINK("https://youtu.be/pqlt8rNlD_k","channel 2")</f>
        <v>channel 2</v>
      </c>
    </row>
    <row r="5">
      <c r="A5" s="118"/>
      <c r="B5" s="32" t="s">
        <v>3677</v>
      </c>
      <c r="C5" s="37" t="s">
        <v>645</v>
      </c>
      <c r="D5" s="32" t="s">
        <v>3674</v>
      </c>
      <c r="E5" s="11" t="str">
        <f>HYPERLINK("https://youtu.be/DVJoAf1dNtg?t=1137","channel 1")</f>
        <v>channel 1</v>
      </c>
    </row>
    <row r="6">
      <c r="A6" s="118"/>
      <c r="B6" s="32" t="s">
        <v>3556</v>
      </c>
      <c r="C6" s="33" t="s">
        <v>400</v>
      </c>
      <c r="D6" s="32" t="s">
        <v>3675</v>
      </c>
      <c r="E6" s="11" t="str">
        <f>HYPERLINK("https://youtu.be/pqlt8rNlD_k?t=936","channel 2")</f>
        <v>channel 2</v>
      </c>
    </row>
    <row r="7">
      <c r="A7" s="118"/>
      <c r="B7" s="32" t="s">
        <v>3677</v>
      </c>
      <c r="C7" s="33" t="s">
        <v>65</v>
      </c>
      <c r="D7" s="32" t="s">
        <v>3676</v>
      </c>
      <c r="E7" s="11" t="str">
        <f>HYPERLINK("https://youtu.be/DVJoAf1dNtg?t=2048","channel 1")</f>
        <v>channel 1</v>
      </c>
    </row>
    <row r="8">
      <c r="A8" s="118"/>
      <c r="B8" s="32" t="s">
        <v>3556</v>
      </c>
      <c r="C8" s="33" t="s">
        <v>362</v>
      </c>
      <c r="D8" s="32" t="s">
        <v>3674</v>
      </c>
      <c r="E8" s="11" t="str">
        <f>HYPERLINK("https://youtu.be/pqlt8rNlD_k?t=2041","channel 2")</f>
        <v>channel 2</v>
      </c>
    </row>
    <row r="9">
      <c r="A9" s="118"/>
      <c r="B9" s="32" t="s">
        <v>3677</v>
      </c>
      <c r="C9" s="33" t="s">
        <v>64</v>
      </c>
      <c r="D9" s="32" t="s">
        <v>3675</v>
      </c>
      <c r="E9" s="11" t="str">
        <f>HYPERLINK("https://youtu.be/DVJoAf1dNtg?t=3113","channel 1")</f>
        <v>channel 1</v>
      </c>
    </row>
    <row r="10">
      <c r="A10" s="118"/>
      <c r="B10" s="32" t="s">
        <v>3676</v>
      </c>
      <c r="C10" s="33" t="s">
        <v>190</v>
      </c>
      <c r="D10" s="32" t="s">
        <v>3674</v>
      </c>
      <c r="E10" s="11" t="str">
        <f>HYPERLINK("https://youtu.be/pqlt8rNlD_k?t=2952","channel 2")</f>
        <v>channel 2</v>
      </c>
    </row>
    <row r="11">
      <c r="A11" s="118"/>
      <c r="B11" s="32" t="s">
        <v>3677</v>
      </c>
      <c r="C11" s="33" t="s">
        <v>17</v>
      </c>
      <c r="D11" s="32" t="s">
        <v>3556</v>
      </c>
      <c r="E11" s="11" t="str">
        <f>HYPERLINK("https://youtu.be/DVJoAf1dNtg?t=4055","channel 1")</f>
        <v>channel 1</v>
      </c>
    </row>
    <row r="12">
      <c r="A12" s="118"/>
      <c r="B12" s="32" t="s">
        <v>3676</v>
      </c>
      <c r="C12" s="33" t="s">
        <v>215</v>
      </c>
      <c r="D12" s="32" t="s">
        <v>3675</v>
      </c>
      <c r="E12" s="11" t="str">
        <f>HYPERLINK("https://youtu.be/pqlt8rNlD_k?t=3934","channel 2")</f>
        <v>channel 2</v>
      </c>
    </row>
    <row r="13">
      <c r="A13" s="118"/>
      <c r="B13" s="32" t="s">
        <v>3675</v>
      </c>
      <c r="C13" s="37" t="s">
        <v>1465</v>
      </c>
      <c r="D13" s="32" t="s">
        <v>3674</v>
      </c>
      <c r="E13" s="11" t="str">
        <f>HYPERLINK("https://youtu.be/DVJoAf1dNtg?t=4966","channel 1")</f>
        <v>channel 1</v>
      </c>
    </row>
    <row r="14">
      <c r="A14" s="118"/>
      <c r="B14" s="32" t="s">
        <v>3676</v>
      </c>
      <c r="C14" s="35" t="s">
        <v>456</v>
      </c>
      <c r="D14" s="32" t="s">
        <v>3556</v>
      </c>
      <c r="E14" s="11" t="str">
        <f>HYPERLINK("https://youtu.be/pqlt8rNlD_k?t=4851","channel 2")</f>
        <v>channel 2</v>
      </c>
    </row>
    <row r="15">
      <c r="A15" s="118"/>
      <c r="B15" s="32" t="s">
        <v>3674</v>
      </c>
      <c r="C15" s="35" t="s">
        <v>35</v>
      </c>
      <c r="D15" s="32" t="s">
        <v>3677</v>
      </c>
      <c r="E15" s="11" t="str">
        <f>HYPERLINK("https://youtu.be/DVJoAf1dNtg?t=5993","channel 1")</f>
        <v>channel 1</v>
      </c>
    </row>
    <row r="16">
      <c r="A16" s="118"/>
      <c r="B16" s="32" t="s">
        <v>3675</v>
      </c>
      <c r="C16" s="33" t="s">
        <v>295</v>
      </c>
      <c r="D16" s="32" t="s">
        <v>3556</v>
      </c>
      <c r="E16" s="11" t="str">
        <f>HYPERLINK("https://youtu.be/pqlt8rNlD_k?t=5775","channel 2")</f>
        <v>channel 2</v>
      </c>
    </row>
    <row r="17">
      <c r="A17" s="118"/>
      <c r="B17" s="32" t="s">
        <v>3676</v>
      </c>
      <c r="C17" s="33" t="s">
        <v>14</v>
      </c>
      <c r="D17" s="32" t="s">
        <v>3677</v>
      </c>
      <c r="E17" s="11" t="str">
        <f>HYPERLINK("https://youtu.be/DVJoAf1dNtg?t=6965","channel 1")</f>
        <v>channel 1</v>
      </c>
    </row>
    <row r="18">
      <c r="A18" s="118"/>
      <c r="B18" s="32" t="s">
        <v>3674</v>
      </c>
      <c r="C18" s="33" t="s">
        <v>81</v>
      </c>
      <c r="D18" s="32" t="s">
        <v>3556</v>
      </c>
      <c r="E18" s="11" t="str">
        <f>HYPERLINK("https://youtu.be/pqlt8rNlD_k?t=6769","channel 2")</f>
        <v>channel 2</v>
      </c>
    </row>
    <row r="19">
      <c r="A19" s="118"/>
      <c r="B19" s="32" t="s">
        <v>3675</v>
      </c>
      <c r="C19" s="128" t="s">
        <v>302</v>
      </c>
      <c r="D19" s="32" t="s">
        <v>3677</v>
      </c>
      <c r="E19" s="11" t="str">
        <f>HYPERLINK("https://youtu.be/DVJoAf1dNtg?t=7938","channel 1")</f>
        <v>channel 1</v>
      </c>
    </row>
    <row r="20">
      <c r="A20" s="118"/>
      <c r="B20" s="32" t="s">
        <v>3674</v>
      </c>
      <c r="C20" s="52" t="s">
        <v>82</v>
      </c>
      <c r="D20" s="32" t="s">
        <v>3676</v>
      </c>
      <c r="E20" s="11" t="str">
        <f>HYPERLINK("https://youtu.be/pqlt8rNlD_k?t=7622","channel 2")</f>
        <v>channel 2</v>
      </c>
    </row>
    <row r="21">
      <c r="A21" s="118"/>
      <c r="B21" s="32" t="s">
        <v>3556</v>
      </c>
      <c r="C21" s="52" t="s">
        <v>196</v>
      </c>
      <c r="D21" s="32" t="s">
        <v>3677</v>
      </c>
      <c r="E21" s="11" t="str">
        <f>HYPERLINK("https://youtu.be/DVJoAf1dNtg?t=8819","channel 1")</f>
        <v>channel 1</v>
      </c>
    </row>
    <row r="22">
      <c r="A22" s="118"/>
      <c r="B22" s="32" t="s">
        <v>3675</v>
      </c>
      <c r="C22" s="52" t="s">
        <v>261</v>
      </c>
      <c r="D22" s="32" t="s">
        <v>3676</v>
      </c>
      <c r="E22" s="11" t="str">
        <f>HYPERLINK("https://youtu.be/pqlt8rNlD_k?t=8513","channel 2")</f>
        <v>channel 2</v>
      </c>
    </row>
    <row r="23">
      <c r="A23" s="118"/>
      <c r="B23" s="72" t="s">
        <v>3441</v>
      </c>
      <c r="C23" s="2"/>
      <c r="D23" s="3"/>
      <c r="E23" s="4"/>
    </row>
    <row r="24">
      <c r="A24" s="118"/>
      <c r="B24" s="16" t="s">
        <v>2</v>
      </c>
      <c r="C24" s="16" t="s">
        <v>3</v>
      </c>
      <c r="D24" s="16" t="s">
        <v>4</v>
      </c>
      <c r="E24" s="6" t="s">
        <v>5</v>
      </c>
    </row>
    <row r="25">
      <c r="A25" s="118"/>
      <c r="B25" s="32" t="s">
        <v>3678</v>
      </c>
      <c r="C25" s="33" t="s">
        <v>62</v>
      </c>
      <c r="D25" s="32" t="s">
        <v>3679</v>
      </c>
      <c r="E25" s="11" t="str">
        <f>HYPERLINK("https://youtu.be/U-u2hNm2lig","channel 1")</f>
        <v>channel 1</v>
      </c>
    </row>
    <row r="26">
      <c r="A26" s="118"/>
      <c r="B26" s="32" t="s">
        <v>1486</v>
      </c>
      <c r="C26" s="33" t="s">
        <v>66</v>
      </c>
      <c r="D26" s="32" t="s">
        <v>3680</v>
      </c>
      <c r="E26" s="11" t="str">
        <f>HYPERLINK("https://youtu.be/XFPgwgpo8ps","channel 2")</f>
        <v>channel 2</v>
      </c>
    </row>
    <row r="27">
      <c r="A27" s="118"/>
      <c r="B27" s="32" t="s">
        <v>3681</v>
      </c>
      <c r="C27" s="33" t="s">
        <v>81</v>
      </c>
      <c r="D27" s="32" t="s">
        <v>3678</v>
      </c>
      <c r="E27" s="11" t="str">
        <f>HYPERLINK("https://youtu.be/U-u2hNm2lig?t=899","channel 1")</f>
        <v>channel 1</v>
      </c>
    </row>
    <row r="28">
      <c r="A28" s="118"/>
      <c r="B28" s="32" t="s">
        <v>1486</v>
      </c>
      <c r="C28" s="33" t="s">
        <v>269</v>
      </c>
      <c r="D28" s="32" t="s">
        <v>3679</v>
      </c>
      <c r="E28" s="11" t="str">
        <f>HYPERLINK("https://youtu.be/XFPgwgpo8ps?t=897","channel 2")</f>
        <v>channel 2</v>
      </c>
    </row>
    <row r="29">
      <c r="A29" s="118"/>
      <c r="B29" s="32" t="s">
        <v>3681</v>
      </c>
      <c r="C29" s="33" t="s">
        <v>520</v>
      </c>
      <c r="D29" s="32" t="s">
        <v>3680</v>
      </c>
      <c r="E29" s="11" t="str">
        <f>HYPERLINK("https://youtu.be/U-u2hNm2lig?t=1892","channel 1")</f>
        <v>channel 1</v>
      </c>
    </row>
    <row r="30">
      <c r="A30" s="118"/>
      <c r="B30" s="32" t="s">
        <v>1486</v>
      </c>
      <c r="C30" s="33" t="s">
        <v>239</v>
      </c>
      <c r="D30" s="32" t="s">
        <v>3678</v>
      </c>
      <c r="E30" s="11" t="str">
        <f>HYPERLINK("https://youtu.be/XFPgwgpo8ps?t=1856","channel 2")</f>
        <v>channel 2</v>
      </c>
    </row>
    <row r="31">
      <c r="A31" s="118"/>
      <c r="B31" s="32" t="s">
        <v>3681</v>
      </c>
      <c r="C31" s="33" t="s">
        <v>49</v>
      </c>
      <c r="D31" s="32" t="s">
        <v>3679</v>
      </c>
      <c r="E31" s="11" t="str">
        <f>HYPERLINK("https://youtu.be/U-u2hNm2lig?t=2840","channel 1")</f>
        <v>channel 1</v>
      </c>
    </row>
    <row r="32">
      <c r="A32" s="118"/>
      <c r="B32" s="32" t="s">
        <v>3680</v>
      </c>
      <c r="C32" s="33" t="s">
        <v>64</v>
      </c>
      <c r="D32" s="32" t="s">
        <v>3678</v>
      </c>
      <c r="E32" s="11" t="str">
        <f>HYPERLINK("https://youtu.be/XFPgwgpo8ps?t=2894","channel 2")</f>
        <v>channel 2</v>
      </c>
    </row>
    <row r="33">
      <c r="A33" s="118"/>
      <c r="B33" s="32" t="s">
        <v>3681</v>
      </c>
      <c r="C33" s="33" t="s">
        <v>273</v>
      </c>
      <c r="D33" s="32" t="s">
        <v>1486</v>
      </c>
      <c r="E33" s="11" t="str">
        <f>HYPERLINK("https://youtu.be/U-u2hNm2lig?t=3773","channel 1")</f>
        <v>channel 1</v>
      </c>
    </row>
    <row r="34">
      <c r="A34" s="118"/>
      <c r="B34" s="32" t="s">
        <v>3680</v>
      </c>
      <c r="C34" s="33" t="s">
        <v>48</v>
      </c>
      <c r="D34" s="32" t="s">
        <v>3679</v>
      </c>
      <c r="E34" s="11" t="str">
        <f>HYPERLINK("https://youtu.be/XFPgwgpo8ps?t=3800","channel 2")</f>
        <v>channel 2</v>
      </c>
    </row>
    <row r="35">
      <c r="A35" s="118"/>
      <c r="B35" s="32" t="s">
        <v>3679</v>
      </c>
      <c r="C35" s="33" t="s">
        <v>285</v>
      </c>
      <c r="D35" s="32" t="s">
        <v>3678</v>
      </c>
      <c r="E35" s="11" t="str">
        <f>HYPERLINK("https://youtu.be/U-u2hNm2lig?t=4788","channel 1")</f>
        <v>channel 1</v>
      </c>
    </row>
    <row r="36">
      <c r="A36" s="118"/>
      <c r="B36" s="32" t="s">
        <v>3680</v>
      </c>
      <c r="C36" s="33" t="s">
        <v>52</v>
      </c>
      <c r="D36" s="32" t="s">
        <v>1486</v>
      </c>
      <c r="E36" s="11" t="str">
        <f>HYPERLINK("https://youtu.be/XFPgwgpo8ps?t=4706","channel 2")</f>
        <v>channel 2</v>
      </c>
    </row>
    <row r="37">
      <c r="A37" s="118"/>
      <c r="B37" s="32" t="s">
        <v>3678</v>
      </c>
      <c r="C37" s="33" t="s">
        <v>193</v>
      </c>
      <c r="D37" s="32" t="s">
        <v>3681</v>
      </c>
      <c r="E37" s="11" t="str">
        <f>HYPERLINK("https://youtu.be/U-u2hNm2lig?t=5729","channel 1")</f>
        <v>channel 1</v>
      </c>
    </row>
    <row r="38">
      <c r="A38" s="118"/>
      <c r="B38" s="32" t="s">
        <v>3679</v>
      </c>
      <c r="C38" s="33" t="s">
        <v>411</v>
      </c>
      <c r="D38" s="32" t="s">
        <v>1486</v>
      </c>
      <c r="E38" s="11" t="str">
        <f>HYPERLINK("https://youtu.be/XFPgwgpo8ps?t=5770","channel 2")</f>
        <v>channel 2</v>
      </c>
    </row>
    <row r="39">
      <c r="A39" s="118"/>
      <c r="B39" s="32" t="s">
        <v>3680</v>
      </c>
      <c r="C39" s="35" t="s">
        <v>297</v>
      </c>
      <c r="D39" s="32" t="s">
        <v>3681</v>
      </c>
      <c r="E39" s="11" t="str">
        <f>HYPERLINK("https://youtu.be/U-u2hNm2lig?t=6699","channel 1")</f>
        <v>channel 1</v>
      </c>
    </row>
    <row r="40">
      <c r="A40" s="118"/>
      <c r="B40" s="32" t="s">
        <v>3678</v>
      </c>
      <c r="C40" s="35" t="s">
        <v>362</v>
      </c>
      <c r="D40" s="32" t="s">
        <v>1486</v>
      </c>
      <c r="E40" s="11" t="str">
        <f>HYPERLINK("https://youtu.be/XFPgwgpo8ps?t=6769","channel 2")</f>
        <v>channel 2</v>
      </c>
    </row>
    <row r="41">
      <c r="A41" s="118"/>
      <c r="B41" s="32" t="s">
        <v>3679</v>
      </c>
      <c r="C41" s="33" t="s">
        <v>82</v>
      </c>
      <c r="D41" s="32" t="s">
        <v>3681</v>
      </c>
      <c r="E41" s="11" t="str">
        <f>HYPERLINK("https://youtu.be/U-u2hNm2lig?t=7722","channel 1")</f>
        <v>channel 1</v>
      </c>
    </row>
    <row r="42">
      <c r="A42" s="118"/>
      <c r="B42" s="32" t="s">
        <v>3678</v>
      </c>
      <c r="C42" s="33" t="s">
        <v>68</v>
      </c>
      <c r="D42" s="32" t="s">
        <v>3680</v>
      </c>
      <c r="E42" s="11" t="str">
        <f>HYPERLINK("https://youtu.be/XFPgwgpo8ps?t=7702","channel 2")</f>
        <v>channel 2</v>
      </c>
    </row>
    <row r="43">
      <c r="A43" s="118"/>
      <c r="B43" s="32" t="s">
        <v>1486</v>
      </c>
      <c r="C43" s="33" t="s">
        <v>14</v>
      </c>
      <c r="D43" s="32" t="s">
        <v>3681</v>
      </c>
      <c r="E43" s="11" t="str">
        <f>HYPERLINK("https://youtu.be/U-u2hNm2lig?t=8603","channel 1")</f>
        <v>channel 1</v>
      </c>
    </row>
    <row r="44">
      <c r="A44" s="118"/>
      <c r="B44" s="32" t="s">
        <v>3679</v>
      </c>
      <c r="C44" s="33" t="s">
        <v>78</v>
      </c>
      <c r="D44" s="32" t="s">
        <v>3680</v>
      </c>
      <c r="E44" s="11" t="str">
        <f>HYPERLINK("https://youtu.be/XFPgwgpo8ps?t=8572","channel 2")</f>
        <v>channel 2</v>
      </c>
    </row>
    <row r="45">
      <c r="A45" s="118"/>
      <c r="B45" s="72" t="s">
        <v>2828</v>
      </c>
      <c r="C45" s="2"/>
      <c r="D45" s="3"/>
      <c r="E45" s="4"/>
    </row>
    <row r="46">
      <c r="A46" s="118"/>
      <c r="B46" s="16" t="s">
        <v>2</v>
      </c>
      <c r="C46" s="16" t="s">
        <v>3</v>
      </c>
      <c r="D46" s="16" t="s">
        <v>4</v>
      </c>
      <c r="E46" s="6" t="s">
        <v>5</v>
      </c>
    </row>
    <row r="47">
      <c r="A47" s="118"/>
      <c r="B47" s="32" t="s">
        <v>3682</v>
      </c>
      <c r="C47" s="33" t="s">
        <v>320</v>
      </c>
      <c r="D47" s="8" t="s">
        <v>1500</v>
      </c>
      <c r="E47" s="11" t="str">
        <f>HYPERLINK("https://youtu.be/qx2ELSW8244","channel 3")</f>
        <v>channel 3</v>
      </c>
    </row>
    <row r="48">
      <c r="A48" s="118"/>
      <c r="B48" s="32" t="s">
        <v>659</v>
      </c>
      <c r="C48" s="33" t="s">
        <v>953</v>
      </c>
      <c r="D48" s="32" t="s">
        <v>1898</v>
      </c>
      <c r="E48" s="11" t="str">
        <f>HYPERLINK("https://youtu.be/8_3MGr38EdU","channel 4")</f>
        <v>channel 4</v>
      </c>
    </row>
    <row r="49">
      <c r="A49" s="118"/>
      <c r="B49" s="32" t="s">
        <v>3683</v>
      </c>
      <c r="C49" s="33" t="s">
        <v>270</v>
      </c>
      <c r="D49" s="32" t="s">
        <v>3682</v>
      </c>
      <c r="E49" s="11" t="str">
        <f>HYPERLINK("https://youtu.be/qx2ELSW8244?t=1096","channel 3")</f>
        <v>channel 3</v>
      </c>
    </row>
    <row r="50">
      <c r="A50" s="118"/>
      <c r="B50" s="32" t="s">
        <v>659</v>
      </c>
      <c r="C50" s="33" t="s">
        <v>43</v>
      </c>
      <c r="D50" s="8" t="s">
        <v>1500</v>
      </c>
      <c r="E50" s="11" t="str">
        <f>HYPERLINK("https://youtu.be/8_3MGr38EdU?t=927","channel 4")</f>
        <v>channel 4</v>
      </c>
    </row>
    <row r="51">
      <c r="A51" s="118"/>
      <c r="B51" s="91" t="s">
        <v>3683</v>
      </c>
      <c r="C51" s="70" t="s">
        <v>352</v>
      </c>
      <c r="D51" s="91" t="s">
        <v>1898</v>
      </c>
      <c r="E51" s="11" t="str">
        <f>HYPERLINK("https://youtu.be/qx2ELSW8244?t=2089","channel 3")</f>
        <v>channel 3</v>
      </c>
    </row>
    <row r="52">
      <c r="A52" s="118"/>
      <c r="B52" s="32" t="s">
        <v>659</v>
      </c>
      <c r="C52" s="33" t="s">
        <v>52</v>
      </c>
      <c r="D52" s="32" t="s">
        <v>3682</v>
      </c>
      <c r="E52" s="11" t="str">
        <f>HYPERLINK("https://youtu.be/8_3MGr38EdU?t=1955","channel 4")</f>
        <v>channel 4</v>
      </c>
    </row>
    <row r="53">
      <c r="A53" s="118"/>
      <c r="B53" s="91" t="s">
        <v>3683</v>
      </c>
      <c r="C53" s="70" t="s">
        <v>3684</v>
      </c>
      <c r="D53" s="113" t="s">
        <v>1500</v>
      </c>
      <c r="E53" s="11" t="str">
        <f>HYPERLINK("https://youtu.be/qx2ELSW8244?t=2989","channel 3")</f>
        <v>channel 3</v>
      </c>
    </row>
    <row r="54">
      <c r="A54" s="118"/>
      <c r="B54" s="32" t="s">
        <v>1898</v>
      </c>
      <c r="C54" s="33" t="s">
        <v>25</v>
      </c>
      <c r="D54" s="32" t="s">
        <v>3682</v>
      </c>
      <c r="E54" s="11" t="str">
        <f>HYPERLINK("https://youtu.be/8_3MGr38EdU?t=2923","channel 4")</f>
        <v>channel 4</v>
      </c>
    </row>
    <row r="55">
      <c r="A55" s="118"/>
      <c r="B55" s="91" t="s">
        <v>3683</v>
      </c>
      <c r="C55" s="70" t="s">
        <v>328</v>
      </c>
      <c r="D55" s="91" t="s">
        <v>659</v>
      </c>
      <c r="E55" s="11" t="str">
        <f>HYPERLINK("https://youtu.be/qx2ELSW8244?t=3884","channel 3")</f>
        <v>channel 3</v>
      </c>
    </row>
    <row r="56">
      <c r="A56" s="118"/>
      <c r="B56" s="32" t="s">
        <v>1898</v>
      </c>
      <c r="C56" s="33" t="s">
        <v>190</v>
      </c>
      <c r="D56" s="8" t="s">
        <v>1500</v>
      </c>
      <c r="E56" s="11" t="str">
        <f>HYPERLINK("https://youtu.be/8_3MGr38EdU?t=3839","channel 4")</f>
        <v>channel 4</v>
      </c>
    </row>
    <row r="57">
      <c r="A57" s="118"/>
      <c r="B57" s="113" t="s">
        <v>1500</v>
      </c>
      <c r="C57" s="70" t="s">
        <v>370</v>
      </c>
      <c r="D57" s="91" t="s">
        <v>3682</v>
      </c>
      <c r="E57" s="11" t="str">
        <f>HYPERLINK("https://youtu.be/qx2ELSW8244?t=4846","channel 3")</f>
        <v>channel 3</v>
      </c>
    </row>
    <row r="58">
      <c r="A58" s="118"/>
      <c r="B58" s="32" t="s">
        <v>1898</v>
      </c>
      <c r="C58" s="33" t="s">
        <v>212</v>
      </c>
      <c r="D58" s="32" t="s">
        <v>659</v>
      </c>
      <c r="E58" s="11" t="str">
        <f>HYPERLINK("https://youtu.be/8_3MGr38EdU?t=4693","channel 4")</f>
        <v>channel 4</v>
      </c>
    </row>
    <row r="59">
      <c r="A59" s="118"/>
      <c r="B59" s="91" t="s">
        <v>3682</v>
      </c>
      <c r="C59" s="70" t="s">
        <v>22</v>
      </c>
      <c r="D59" s="91" t="s">
        <v>3683</v>
      </c>
      <c r="E59" s="11" t="str">
        <f>HYPERLINK("https://youtu.be/qx2ELSW8244?t=5746","channel 3")</f>
        <v>channel 3</v>
      </c>
    </row>
    <row r="60">
      <c r="A60" s="118"/>
      <c r="B60" s="8" t="s">
        <v>1500</v>
      </c>
      <c r="C60" s="33" t="s">
        <v>66</v>
      </c>
      <c r="D60" s="32" t="s">
        <v>659</v>
      </c>
      <c r="E60" s="11" t="str">
        <f>HYPERLINK("https://youtu.be/8_3MGr38EdU?t=5598","channel 4")</f>
        <v>channel 4</v>
      </c>
    </row>
    <row r="61">
      <c r="A61" s="118"/>
      <c r="B61" s="91" t="s">
        <v>1898</v>
      </c>
      <c r="C61" s="70" t="s">
        <v>2014</v>
      </c>
      <c r="D61" s="91" t="s">
        <v>3683</v>
      </c>
      <c r="E61" s="11" t="str">
        <f>HYPERLINK("https://youtu.be/qx2ELSW8244?t=6663","channel 3")</f>
        <v>channel 3</v>
      </c>
    </row>
    <row r="62">
      <c r="A62" s="118"/>
      <c r="B62" s="32" t="s">
        <v>3682</v>
      </c>
      <c r="C62" s="33" t="s">
        <v>534</v>
      </c>
      <c r="D62" s="32" t="s">
        <v>659</v>
      </c>
      <c r="E62" s="11" t="str">
        <f>HYPERLINK("https://youtu.be/8_3MGr38EdU?t=6508","channel 4")</f>
        <v>channel 4</v>
      </c>
    </row>
    <row r="63">
      <c r="A63" s="118"/>
      <c r="B63" s="113" t="s">
        <v>1500</v>
      </c>
      <c r="C63" s="70" t="s">
        <v>66</v>
      </c>
      <c r="D63" s="91" t="s">
        <v>3683</v>
      </c>
      <c r="E63" s="11" t="str">
        <f>HYPERLINK("https://youtu.be/qx2ELSW8244?t=7579","channel 3")</f>
        <v>channel 3</v>
      </c>
    </row>
    <row r="64">
      <c r="A64" s="118"/>
      <c r="B64" s="32" t="s">
        <v>3682</v>
      </c>
      <c r="C64" s="33" t="s">
        <v>273</v>
      </c>
      <c r="D64" s="32" t="s">
        <v>1898</v>
      </c>
      <c r="E64" s="11" t="str">
        <f>HYPERLINK("https://youtu.be/8_3MGr38EdU?t=7463","channel 4")</f>
        <v>channel 4</v>
      </c>
    </row>
    <row r="65">
      <c r="A65" s="118"/>
      <c r="B65" s="91" t="s">
        <v>659</v>
      </c>
      <c r="C65" s="70" t="s">
        <v>239</v>
      </c>
      <c r="D65" s="91" t="s">
        <v>3683</v>
      </c>
      <c r="E65" s="11" t="str">
        <f>HYPERLINK("https://youtu.be/qx2ELSW8244?t=8487","channel 3")</f>
        <v>channel 3</v>
      </c>
    </row>
    <row r="66">
      <c r="A66" s="118"/>
      <c r="B66" s="8" t="s">
        <v>1500</v>
      </c>
      <c r="C66" s="33" t="s">
        <v>28</v>
      </c>
      <c r="D66" s="32" t="s">
        <v>1898</v>
      </c>
      <c r="E66" s="11" t="str">
        <f>HYPERLINK("https://youtu.be/8_3MGr38EdU?t=8443","channel 4")</f>
        <v>channel 4</v>
      </c>
    </row>
    <row r="67">
      <c r="A67" s="118"/>
      <c r="B67" s="72" t="s">
        <v>3055</v>
      </c>
      <c r="C67" s="2"/>
      <c r="D67" s="3"/>
      <c r="E67" s="4"/>
    </row>
    <row r="68">
      <c r="A68" s="118"/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118"/>
      <c r="B69" s="129" t="s">
        <v>343</v>
      </c>
      <c r="C69" s="33" t="s">
        <v>72</v>
      </c>
      <c r="D69" s="129" t="s">
        <v>3235</v>
      </c>
      <c r="E69" s="11" t="str">
        <f>HYPERLINK("https://youtu.be/lg3Itk5TCow","channel 3")</f>
        <v>channel 3</v>
      </c>
    </row>
    <row r="70">
      <c r="A70" s="118"/>
      <c r="B70" s="129" t="s">
        <v>3056</v>
      </c>
      <c r="C70" s="33" t="s">
        <v>19</v>
      </c>
      <c r="D70" s="129" t="s">
        <v>3685</v>
      </c>
      <c r="E70" s="11" t="str">
        <f>HYPERLINK("https://youtu.be/TXnUgdzK0oY","channel 4")</f>
        <v>channel 4</v>
      </c>
    </row>
    <row r="71">
      <c r="A71" s="118"/>
      <c r="B71" s="130" t="s">
        <v>3686</v>
      </c>
      <c r="C71" s="70" t="s">
        <v>55</v>
      </c>
      <c r="D71" s="130" t="s">
        <v>343</v>
      </c>
      <c r="E71" s="11" t="str">
        <f>HYPERLINK("https://youtu.be/lg3Itk5TCow?t=1189","channel 3")</f>
        <v>channel 3</v>
      </c>
    </row>
    <row r="72">
      <c r="A72" s="118"/>
      <c r="B72" s="129" t="s">
        <v>3056</v>
      </c>
      <c r="C72" s="33" t="s">
        <v>238</v>
      </c>
      <c r="D72" s="129" t="s">
        <v>3235</v>
      </c>
      <c r="E72" s="11" t="str">
        <f>HYPERLINK("https://youtu.be/TXnUgdzK0oY?t=871","channel 4")</f>
        <v>channel 4</v>
      </c>
    </row>
    <row r="73">
      <c r="A73" s="118"/>
      <c r="B73" s="130" t="s">
        <v>3686</v>
      </c>
      <c r="C73" s="70" t="s">
        <v>52</v>
      </c>
      <c r="D73" s="130" t="s">
        <v>3685</v>
      </c>
      <c r="E73" s="11" t="str">
        <f>HYPERLINK("https://youtu.be/lg3Itk5TCow?t=2161","channel 3")</f>
        <v>channel 3</v>
      </c>
    </row>
    <row r="74">
      <c r="A74" s="118"/>
      <c r="B74" s="129" t="s">
        <v>3056</v>
      </c>
      <c r="C74" s="33" t="s">
        <v>3448</v>
      </c>
      <c r="D74" s="129" t="s">
        <v>343</v>
      </c>
      <c r="E74" s="11" t="str">
        <f>HYPERLINK("https://youtu.be/TXnUgdzK0oY?t=1707","channel 4")</f>
        <v>channel 4</v>
      </c>
    </row>
    <row r="75">
      <c r="A75" s="118"/>
      <c r="B75" s="130" t="s">
        <v>3686</v>
      </c>
      <c r="C75" s="70" t="s">
        <v>201</v>
      </c>
      <c r="D75" s="130" t="s">
        <v>3235</v>
      </c>
      <c r="E75" s="11" t="str">
        <f>HYPERLINK("https://youtu.be/lg3Itk5TCow?t=3075","channel 3")</f>
        <v>channel 3</v>
      </c>
    </row>
    <row r="76">
      <c r="A76" s="118"/>
      <c r="B76" s="129" t="s">
        <v>3685</v>
      </c>
      <c r="C76" s="33" t="s">
        <v>197</v>
      </c>
      <c r="D76" s="129" t="s">
        <v>343</v>
      </c>
      <c r="E76" s="11" t="str">
        <f>HYPERLINK("https://youtu.be/TXnUgdzK0oY?t=2536","channel 4")</f>
        <v>channel 4</v>
      </c>
    </row>
    <row r="77">
      <c r="A77" s="118"/>
      <c r="B77" s="130" t="s">
        <v>3686</v>
      </c>
      <c r="C77" s="70" t="s">
        <v>41</v>
      </c>
      <c r="D77" s="130" t="s">
        <v>3056</v>
      </c>
      <c r="E77" s="11" t="str">
        <f>HYPERLINK("https://youtu.be/lg3Itk5TCow?t=3956","channel 3")</f>
        <v>channel 3</v>
      </c>
    </row>
    <row r="78">
      <c r="A78" s="118"/>
      <c r="B78" s="129" t="s">
        <v>3685</v>
      </c>
      <c r="C78" s="33" t="s">
        <v>190</v>
      </c>
      <c r="D78" s="129" t="s">
        <v>3235</v>
      </c>
      <c r="E78" s="11" t="str">
        <f>HYPERLINK("https://youtu.be/TXnUgdzK0oY?t=3453","channel 4")</f>
        <v>channel 4</v>
      </c>
    </row>
    <row r="79">
      <c r="A79" s="118"/>
      <c r="B79" s="130" t="s">
        <v>3235</v>
      </c>
      <c r="C79" s="70" t="s">
        <v>18</v>
      </c>
      <c r="D79" s="130" t="s">
        <v>343</v>
      </c>
      <c r="E79" s="11" t="str">
        <f>HYPERLINK("https://youtu.be/lg3Itk5TCow?t=4856","channel 3")</f>
        <v>channel 3</v>
      </c>
    </row>
    <row r="80">
      <c r="A80" s="118"/>
      <c r="B80" s="129" t="s">
        <v>3685</v>
      </c>
      <c r="C80" s="33" t="s">
        <v>71</v>
      </c>
      <c r="D80" s="129" t="s">
        <v>3056</v>
      </c>
      <c r="E80" s="11" t="str">
        <f>HYPERLINK("https://youtu.be/TXnUgdzK0oY?t=4265","channel 4")</f>
        <v>channel 4</v>
      </c>
    </row>
    <row r="81">
      <c r="A81" s="118"/>
      <c r="B81" s="130" t="s">
        <v>343</v>
      </c>
      <c r="C81" s="70" t="s">
        <v>3687</v>
      </c>
      <c r="D81" s="130" t="s">
        <v>3686</v>
      </c>
      <c r="E81" s="11" t="str">
        <f>HYPERLINK("https://youtu.be/lg3Itk5TCow?t=5806","channel 3")</f>
        <v>channel 3</v>
      </c>
    </row>
    <row r="82">
      <c r="A82" s="118"/>
      <c r="B82" s="129" t="s">
        <v>3235</v>
      </c>
      <c r="C82" s="33" t="s">
        <v>276</v>
      </c>
      <c r="D82" s="129" t="s">
        <v>3056</v>
      </c>
      <c r="E82" s="11" t="str">
        <f>HYPERLINK("https://youtu.be/TXnUgdzK0oY?t=5117","channel 4")</f>
        <v>channel 4</v>
      </c>
    </row>
    <row r="83">
      <c r="A83" s="118"/>
      <c r="B83" s="130" t="s">
        <v>3685</v>
      </c>
      <c r="C83" s="70" t="s">
        <v>319</v>
      </c>
      <c r="D83" s="130" t="s">
        <v>3686</v>
      </c>
      <c r="E83" s="11" t="str">
        <f>HYPERLINK("https://youtu.be/lg3Itk5TCow?t=6824","channel 3")</f>
        <v>channel 3</v>
      </c>
    </row>
    <row r="84">
      <c r="A84" s="118"/>
      <c r="B84" s="129" t="s">
        <v>343</v>
      </c>
      <c r="C84" s="33" t="s">
        <v>270</v>
      </c>
      <c r="D84" s="129" t="s">
        <v>3056</v>
      </c>
      <c r="E84" s="11" t="str">
        <f>HYPERLINK("https://youtu.be/TXnUgdzK0oY?t=6059","channel 4")</f>
        <v>channel 4</v>
      </c>
    </row>
    <row r="85">
      <c r="A85" s="118"/>
      <c r="B85" s="130" t="s">
        <v>3235</v>
      </c>
      <c r="C85" s="70" t="s">
        <v>19</v>
      </c>
      <c r="D85" s="130" t="s">
        <v>3686</v>
      </c>
      <c r="E85" s="11" t="str">
        <f>HYPERLINK("https://youtu.be/lg3Itk5TCow?t=7748","channel 3")</f>
        <v>channel 3</v>
      </c>
    </row>
    <row r="86">
      <c r="A86" s="118"/>
      <c r="B86" s="129" t="s">
        <v>343</v>
      </c>
      <c r="C86" s="33" t="s">
        <v>68</v>
      </c>
      <c r="D86" s="129" t="s">
        <v>3685</v>
      </c>
      <c r="E86" s="11" t="str">
        <f>HYPERLINK("https://youtu.be/TXnUgdzK0oY?t=7096","channel 4")</f>
        <v>channel 4</v>
      </c>
    </row>
    <row r="87">
      <c r="A87" s="118"/>
      <c r="B87" s="130" t="s">
        <v>3056</v>
      </c>
      <c r="C87" s="70" t="s">
        <v>295</v>
      </c>
      <c r="D87" s="130" t="s">
        <v>3686</v>
      </c>
      <c r="E87" s="11" t="str">
        <f>HYPERLINK("https://youtu.be/lg3Itk5TCow?t=8623","channel 3")</f>
        <v>channel 3</v>
      </c>
    </row>
    <row r="88">
      <c r="A88" s="118"/>
      <c r="B88" s="129" t="s">
        <v>3235</v>
      </c>
      <c r="C88" s="33" t="s">
        <v>520</v>
      </c>
      <c r="D88" s="129" t="s">
        <v>3685</v>
      </c>
      <c r="E88" s="11" t="str">
        <f>HYPERLINK("https://youtu.be/TXnUgdzK0oY?t=8027","channel 4")</f>
        <v>channel 4</v>
      </c>
    </row>
    <row r="89">
      <c r="A89" s="118"/>
      <c r="B89" s="72" t="s">
        <v>2316</v>
      </c>
      <c r="C89" s="2"/>
      <c r="D89" s="3"/>
      <c r="E89" s="4"/>
    </row>
    <row r="90">
      <c r="A90" s="118"/>
      <c r="B90" s="16" t="s">
        <v>2</v>
      </c>
      <c r="C90" s="16" t="s">
        <v>3</v>
      </c>
      <c r="D90" s="16" t="s">
        <v>4</v>
      </c>
      <c r="E90" s="16" t="s">
        <v>5</v>
      </c>
    </row>
    <row r="91">
      <c r="A91" s="118"/>
      <c r="B91" s="32" t="s">
        <v>3688</v>
      </c>
      <c r="C91" s="33" t="s">
        <v>193</v>
      </c>
      <c r="D91" s="32" t="s">
        <v>3689</v>
      </c>
      <c r="E91" s="11" t="str">
        <f>HYPERLINK("https://youtu.be/49pmzjqHwI8","channel 1")</f>
        <v>channel 1</v>
      </c>
    </row>
    <row r="92">
      <c r="A92" s="118"/>
      <c r="B92" s="32" t="s">
        <v>2867</v>
      </c>
      <c r="C92" s="33" t="s">
        <v>2129</v>
      </c>
      <c r="D92" s="32" t="s">
        <v>3690</v>
      </c>
      <c r="E92" s="11" t="str">
        <f>HYPERLINK("https://youtu.be/styeTEdO-XM?t=244","channel 2")</f>
        <v>channel 2</v>
      </c>
    </row>
    <row r="93">
      <c r="A93" s="118"/>
      <c r="B93" s="32" t="s">
        <v>3595</v>
      </c>
      <c r="C93" s="33" t="s">
        <v>535</v>
      </c>
      <c r="D93" s="32" t="s">
        <v>3688</v>
      </c>
      <c r="E93" s="11" t="str">
        <f>HYPERLINK("https://youtu.be/FtcrYaeefKE?t=4737","channel 1")</f>
        <v>channel 1</v>
      </c>
    </row>
    <row r="94">
      <c r="A94" s="118"/>
      <c r="B94" s="32" t="s">
        <v>2867</v>
      </c>
      <c r="C94" s="33" t="s">
        <v>726</v>
      </c>
      <c r="D94" s="32" t="s">
        <v>3689</v>
      </c>
      <c r="E94" s="11" t="str">
        <f>HYPERLINK("https://youtu.be/styeTEdO-XM?t=738","channel 2")</f>
        <v>channel 2</v>
      </c>
    </row>
    <row r="95">
      <c r="A95" s="118"/>
      <c r="B95" s="32" t="s">
        <v>3595</v>
      </c>
      <c r="C95" s="33" t="s">
        <v>250</v>
      </c>
      <c r="D95" s="32" t="s">
        <v>3690</v>
      </c>
      <c r="E95" s="11" t="str">
        <f>HYPERLINK("https://youtu.be/FtcrYaeefKE?t=5649","channel 1")</f>
        <v>channel 1</v>
      </c>
    </row>
    <row r="96">
      <c r="A96" s="118"/>
      <c r="B96" s="32" t="s">
        <v>2867</v>
      </c>
      <c r="C96" s="33" t="s">
        <v>78</v>
      </c>
      <c r="D96" s="32" t="s">
        <v>3688</v>
      </c>
      <c r="E96" s="11" t="str">
        <f>HYPERLINK("https://youtu.be/styeTEdO-XM?t=1630","channel 2")</f>
        <v>channel 2</v>
      </c>
    </row>
    <row r="97">
      <c r="A97" s="118"/>
      <c r="B97" s="32" t="s">
        <v>3595</v>
      </c>
      <c r="C97" s="33" t="s">
        <v>201</v>
      </c>
      <c r="D97" s="32" t="s">
        <v>3689</v>
      </c>
      <c r="E97" s="11" t="str">
        <f>HYPERLINK("https://youtu.be/FtcrYaeefKE?t=6465","channel 1")</f>
        <v>channel 1</v>
      </c>
    </row>
    <row r="98">
      <c r="A98" s="118"/>
      <c r="B98" s="32" t="s">
        <v>3690</v>
      </c>
      <c r="C98" s="33" t="s">
        <v>443</v>
      </c>
      <c r="D98" s="32" t="s">
        <v>3688</v>
      </c>
      <c r="E98" s="11" t="str">
        <f>HYPERLINK("https://youtu.be/styeTEdO-XM?t=2434","channel 2")</f>
        <v>channel 2</v>
      </c>
    </row>
    <row r="99">
      <c r="A99" s="118"/>
      <c r="B99" s="32" t="s">
        <v>3595</v>
      </c>
      <c r="C99" s="33" t="s">
        <v>195</v>
      </c>
      <c r="D99" s="32" t="s">
        <v>2867</v>
      </c>
      <c r="E99" s="11" t="str">
        <f>HYPERLINK("https://youtu.be/FtcrYaeefKE?t=7289","channel 1")</f>
        <v>channel 1</v>
      </c>
    </row>
    <row r="100">
      <c r="A100" s="118"/>
      <c r="B100" s="32" t="s">
        <v>3690</v>
      </c>
      <c r="C100" s="33" t="s">
        <v>268</v>
      </c>
      <c r="D100" s="32" t="s">
        <v>3689</v>
      </c>
      <c r="E100" s="11" t="str">
        <f>HYPERLINK("https://youtu.be/styeTEdO-XM?t=3264","channel 2")</f>
        <v>channel 2</v>
      </c>
    </row>
    <row r="101">
      <c r="A101" s="118"/>
      <c r="B101" s="32" t="s">
        <v>3689</v>
      </c>
      <c r="C101" s="33" t="s">
        <v>282</v>
      </c>
      <c r="D101" s="32" t="s">
        <v>3688</v>
      </c>
      <c r="E101" s="11" t="str">
        <f>HYPERLINK("https://youtu.be/FtcrYaeefKE?t=8337","channel 1")</f>
        <v>channel 1</v>
      </c>
    </row>
    <row r="102">
      <c r="A102" s="118"/>
      <c r="B102" s="32" t="s">
        <v>3690</v>
      </c>
      <c r="C102" s="33" t="s">
        <v>187</v>
      </c>
      <c r="D102" s="32" t="s">
        <v>2867</v>
      </c>
      <c r="E102" s="11" t="str">
        <f>HYPERLINK("https://youtu.be/rClUPOf6tbY?t=42","channel 2")</f>
        <v>channel 2</v>
      </c>
    </row>
    <row r="103">
      <c r="A103" s="118"/>
      <c r="B103" s="32" t="s">
        <v>3688</v>
      </c>
      <c r="C103" s="33" t="s">
        <v>261</v>
      </c>
      <c r="D103" s="32" t="s">
        <v>3595</v>
      </c>
      <c r="E103" s="11" t="str">
        <f>HYPERLINK("https://youtu.be/FtcrYaeefKE?t=9129","channel 1")</f>
        <v>channel 1</v>
      </c>
    </row>
    <row r="104">
      <c r="A104" s="118"/>
      <c r="B104" s="32" t="s">
        <v>3689</v>
      </c>
      <c r="C104" s="33" t="s">
        <v>412</v>
      </c>
      <c r="D104" s="32" t="s">
        <v>2867</v>
      </c>
      <c r="E104" s="11" t="str">
        <f>HYPERLINK("https://youtu.be/rClUPOf6tbY?t=850","channel 2")</f>
        <v>channel 2</v>
      </c>
    </row>
    <row r="105">
      <c r="A105" s="118"/>
      <c r="B105" s="32" t="s">
        <v>3690</v>
      </c>
      <c r="C105" s="33" t="s">
        <v>239</v>
      </c>
      <c r="D105" s="32" t="s">
        <v>3595</v>
      </c>
      <c r="E105" s="11" t="str">
        <f>HYPERLINK("https://youtu.be/FtcrYaeefKE?t=10020","channel 1")</f>
        <v>channel 1</v>
      </c>
    </row>
    <row r="106">
      <c r="A106" s="118"/>
      <c r="B106" s="32" t="s">
        <v>3688</v>
      </c>
      <c r="C106" s="33" t="s">
        <v>1859</v>
      </c>
      <c r="D106" s="32" t="s">
        <v>2867</v>
      </c>
      <c r="E106" s="11" t="str">
        <f>HYPERLINK("https://youtu.be/rClUPOf6tbY?t=1737","channel 2")</f>
        <v>channel 2</v>
      </c>
    </row>
    <row r="107">
      <c r="A107" s="118"/>
      <c r="B107" s="32" t="s">
        <v>3689</v>
      </c>
      <c r="C107" s="33" t="s">
        <v>232</v>
      </c>
      <c r="D107" s="32" t="s">
        <v>3595</v>
      </c>
      <c r="E107" s="11" t="str">
        <f>HYPERLINK("https://youtu.be/FtcrYaeefKE?t=10905","channel 1")</f>
        <v>channel 1</v>
      </c>
    </row>
    <row r="108">
      <c r="A108" s="118"/>
      <c r="B108" s="32" t="s">
        <v>3688</v>
      </c>
      <c r="C108" s="33" t="s">
        <v>14</v>
      </c>
      <c r="D108" s="32" t="s">
        <v>3690</v>
      </c>
      <c r="E108" s="11" t="str">
        <f>HYPERLINK("https://youtu.be/rClUPOf6tbY?t=2621","channel 2")</f>
        <v>channel 2</v>
      </c>
    </row>
    <row r="109">
      <c r="A109" s="118"/>
      <c r="B109" s="32" t="s">
        <v>2867</v>
      </c>
      <c r="C109" s="33" t="s">
        <v>218</v>
      </c>
      <c r="D109" s="32" t="s">
        <v>3595</v>
      </c>
      <c r="E109" s="11" t="str">
        <f>HYPERLINK("https://youtu.be/FtcrYaeefKE?t=11801","channel 1")</f>
        <v>channel 1</v>
      </c>
    </row>
    <row r="110">
      <c r="A110" s="118"/>
      <c r="B110" s="32" t="s">
        <v>3689</v>
      </c>
      <c r="C110" s="33" t="s">
        <v>465</v>
      </c>
      <c r="D110" s="32" t="s">
        <v>3690</v>
      </c>
      <c r="E110" s="11" t="str">
        <f>HYPERLINK("https://youtu.be/rClUPOf6tbY?t=3514","channel 2")</f>
        <v>channel 2</v>
      </c>
    </row>
    <row r="111">
      <c r="A111" s="118"/>
      <c r="B111" s="72" t="s">
        <v>1685</v>
      </c>
      <c r="C111" s="2"/>
      <c r="D111" s="3"/>
      <c r="E111" s="4"/>
    </row>
    <row r="112">
      <c r="A112" s="118"/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A113" s="118"/>
      <c r="B113" s="32" t="s">
        <v>3485</v>
      </c>
      <c r="C113" s="33" t="s">
        <v>41</v>
      </c>
      <c r="D113" s="32" t="s">
        <v>3691</v>
      </c>
      <c r="E113" s="11" t="str">
        <f>HYPERLINK("https://youtu.be/4woq6m7aetU","channel 1")</f>
        <v>channel 1</v>
      </c>
    </row>
    <row r="114">
      <c r="A114" s="118"/>
      <c r="B114" s="32" t="s">
        <v>914</v>
      </c>
      <c r="C114" s="33" t="s">
        <v>285</v>
      </c>
      <c r="D114" s="32" t="s">
        <v>3692</v>
      </c>
      <c r="E114" s="11" t="str">
        <f>HYPERLINK("https://youtu.be/_34yc6gMAWw","channel 2")</f>
        <v>channel 2</v>
      </c>
    </row>
    <row r="115">
      <c r="A115" s="118"/>
      <c r="B115" s="32" t="s">
        <v>3693</v>
      </c>
      <c r="C115" s="33" t="s">
        <v>65</v>
      </c>
      <c r="D115" s="32" t="s">
        <v>3485</v>
      </c>
      <c r="E115" s="11" t="str">
        <f>HYPERLINK("https://youtu.be/4woq6m7aetU?t=1752","channel 1")</f>
        <v>channel 1</v>
      </c>
    </row>
    <row r="116">
      <c r="A116" s="118"/>
      <c r="B116" s="32" t="s">
        <v>914</v>
      </c>
      <c r="C116" s="33" t="s">
        <v>278</v>
      </c>
      <c r="D116" s="32" t="s">
        <v>3691</v>
      </c>
      <c r="E116" s="11" t="str">
        <f>HYPERLINK("https://youtu.be/_34yc6gMAWw?t=1654","channel 2")</f>
        <v>channel 2</v>
      </c>
    </row>
    <row r="117">
      <c r="A117" s="118"/>
      <c r="B117" s="32" t="s">
        <v>3693</v>
      </c>
      <c r="C117" s="33" t="s">
        <v>58</v>
      </c>
      <c r="D117" s="32" t="s">
        <v>3692</v>
      </c>
      <c r="E117" s="11" t="str">
        <f>HYPERLINK("https://youtu.be/4woq6m7aetU?t=2613","channel 1")</f>
        <v>channel 1</v>
      </c>
    </row>
    <row r="118">
      <c r="A118" s="118"/>
      <c r="B118" s="32" t="s">
        <v>914</v>
      </c>
      <c r="C118" s="33" t="s">
        <v>64</v>
      </c>
      <c r="D118" s="32" t="s">
        <v>3485</v>
      </c>
      <c r="E118" s="11" t="str">
        <f>HYPERLINK("https://youtu.be/_34yc6gMAWw?t=2508","channel 2")</f>
        <v>channel 2</v>
      </c>
    </row>
    <row r="119">
      <c r="A119" s="118"/>
      <c r="B119" s="32" t="s">
        <v>3693</v>
      </c>
      <c r="C119" s="33" t="s">
        <v>70</v>
      </c>
      <c r="D119" s="32" t="s">
        <v>3691</v>
      </c>
      <c r="E119" s="11" t="str">
        <f>HYPERLINK("https://youtu.be/4woq6m7aetU?t=3394","channel 1")</f>
        <v>channel 1</v>
      </c>
    </row>
    <row r="120">
      <c r="A120" s="118"/>
      <c r="B120" s="32" t="s">
        <v>3692</v>
      </c>
      <c r="C120" s="33" t="s">
        <v>217</v>
      </c>
      <c r="D120" s="32" t="s">
        <v>3485</v>
      </c>
      <c r="E120" s="11" t="str">
        <f>HYPERLINK("https://youtu.be/_34yc6gMAWw?t=3340","channel 2")</f>
        <v>channel 2</v>
      </c>
    </row>
    <row r="121">
      <c r="A121" s="118"/>
      <c r="B121" s="32" t="s">
        <v>3693</v>
      </c>
      <c r="C121" s="33" t="s">
        <v>31</v>
      </c>
      <c r="D121" s="32" t="s">
        <v>914</v>
      </c>
      <c r="E121" s="11" t="str">
        <f>HYPERLINK("https://youtu.be/4woq6m7aetU?t=4210","channel 1")</f>
        <v>channel 1</v>
      </c>
    </row>
    <row r="122">
      <c r="A122" s="118"/>
      <c r="B122" s="32" t="s">
        <v>3692</v>
      </c>
      <c r="C122" s="33" t="s">
        <v>587</v>
      </c>
      <c r="D122" s="32" t="s">
        <v>3691</v>
      </c>
      <c r="E122" s="11" t="str">
        <f>HYPERLINK("https://youtu.be/_34yc6gMAWw?t=4141","channel 2")</f>
        <v>channel 2</v>
      </c>
    </row>
    <row r="123">
      <c r="A123" s="118"/>
      <c r="B123" s="32" t="s">
        <v>3691</v>
      </c>
      <c r="C123" s="33" t="s">
        <v>444</v>
      </c>
      <c r="D123" s="32" t="s">
        <v>3485</v>
      </c>
      <c r="E123" s="11" t="str">
        <f>HYPERLINK("https://youtu.be/4woq6m7aetU?t=5109","channel 1")</f>
        <v>channel 1</v>
      </c>
    </row>
    <row r="124">
      <c r="A124" s="118"/>
      <c r="B124" s="32" t="s">
        <v>3692</v>
      </c>
      <c r="C124" s="33" t="s">
        <v>1067</v>
      </c>
      <c r="D124" s="32" t="s">
        <v>914</v>
      </c>
      <c r="E124" s="11" t="str">
        <f>HYPERLINK("https://youtu.be/_34yc6gMAWw?t=5044","channel 2")</f>
        <v>channel 2</v>
      </c>
    </row>
    <row r="125">
      <c r="A125" s="118"/>
      <c r="B125" s="32" t="s">
        <v>3485</v>
      </c>
      <c r="C125" s="33" t="s">
        <v>218</v>
      </c>
      <c r="D125" s="32" t="s">
        <v>3693</v>
      </c>
      <c r="E125" s="11" t="str">
        <f>HYPERLINK("https://youtu.be/4woq6m7aetU?t=6053","channel 1")</f>
        <v>channel 1</v>
      </c>
    </row>
    <row r="126">
      <c r="A126" s="118"/>
      <c r="B126" s="32" t="s">
        <v>3691</v>
      </c>
      <c r="C126" s="33" t="s">
        <v>412</v>
      </c>
      <c r="D126" s="32" t="s">
        <v>914</v>
      </c>
      <c r="E126" s="11" t="str">
        <f>HYPERLINK("https://youtu.be/_34yc6gMAWw?t=5930","channel 2")</f>
        <v>channel 2</v>
      </c>
    </row>
    <row r="127">
      <c r="A127" s="118"/>
      <c r="B127" s="32" t="s">
        <v>3692</v>
      </c>
      <c r="C127" s="33" t="s">
        <v>828</v>
      </c>
      <c r="D127" s="32" t="s">
        <v>3693</v>
      </c>
      <c r="E127" s="11" t="str">
        <f>HYPERLINK("https://youtu.be/4woq6m7aetU?t=6859","channel 1")</f>
        <v>channel 1</v>
      </c>
    </row>
    <row r="128">
      <c r="A128" s="118"/>
      <c r="B128" s="32" t="s">
        <v>3485</v>
      </c>
      <c r="C128" s="33" t="s">
        <v>197</v>
      </c>
      <c r="D128" s="32" t="s">
        <v>914</v>
      </c>
      <c r="E128" s="11" t="str">
        <f>HYPERLINK("https://youtu.be/_34yc6gMAWw?t=6772","channel 2")</f>
        <v>channel 2</v>
      </c>
    </row>
    <row r="129">
      <c r="A129" s="118"/>
      <c r="B129" s="32" t="s">
        <v>3691</v>
      </c>
      <c r="C129" s="33" t="s">
        <v>82</v>
      </c>
      <c r="D129" s="32" t="s">
        <v>3693</v>
      </c>
      <c r="E129" s="11" t="str">
        <f>HYPERLINK("https://youtu.be/4woq6m7aetU?t=7683","channel 1")</f>
        <v>channel 1</v>
      </c>
    </row>
    <row r="130">
      <c r="A130" s="118"/>
      <c r="B130" s="32" t="s">
        <v>3485</v>
      </c>
      <c r="C130" s="33" t="s">
        <v>3063</v>
      </c>
      <c r="D130" s="32" t="s">
        <v>3692</v>
      </c>
      <c r="E130" s="11" t="str">
        <f>HYPERLINK("https://youtu.be/_34yc6gMAWw?t=7636","channel 2")</f>
        <v>channel 2</v>
      </c>
    </row>
    <row r="131">
      <c r="A131" s="118"/>
      <c r="B131" s="32" t="s">
        <v>914</v>
      </c>
      <c r="C131" s="33" t="s">
        <v>249</v>
      </c>
      <c r="D131" s="32" t="s">
        <v>3693</v>
      </c>
      <c r="E131" s="11" t="str">
        <f>HYPERLINK("https://youtu.be/4woq6m7aetU?t=8492","channel 1")</f>
        <v>channel 1</v>
      </c>
    </row>
    <row r="132">
      <c r="A132" s="122"/>
      <c r="B132" s="32" t="s">
        <v>3691</v>
      </c>
      <c r="C132" s="33" t="s">
        <v>86</v>
      </c>
      <c r="D132" s="32" t="s">
        <v>3692</v>
      </c>
      <c r="E132" s="11" t="str">
        <f>HYPERLINK("https://youtu.be/_34yc6gMAWw?t=8492","channel 2")</f>
        <v>channel 2</v>
      </c>
    </row>
    <row r="133">
      <c r="B133" s="72" t="s">
        <v>2727</v>
      </c>
      <c r="C133" s="2"/>
      <c r="D133" s="3"/>
      <c r="E133" s="2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10" t="s">
        <v>1300</v>
      </c>
      <c r="C135" s="70" t="s">
        <v>31</v>
      </c>
      <c r="D135" s="113" t="s">
        <v>2802</v>
      </c>
      <c r="E135" s="11" t="str">
        <f>HYPERLINK("https://youtu.be/rcQeYunjaWk","channel 3")</f>
        <v>channel 3</v>
      </c>
    </row>
    <row r="136">
      <c r="B136" s="34" t="s">
        <v>2491</v>
      </c>
      <c r="C136" s="33" t="s">
        <v>193</v>
      </c>
      <c r="D136" s="34" t="s">
        <v>2580</v>
      </c>
      <c r="E136" s="11" t="str">
        <f>HYPERLINK("https://youtu.be/iEtZuplmxO8","channel 4")</f>
        <v>channel 4</v>
      </c>
    </row>
    <row r="137">
      <c r="B137" s="110" t="s">
        <v>3694</v>
      </c>
      <c r="C137" s="70" t="s">
        <v>78</v>
      </c>
      <c r="D137" s="110" t="s">
        <v>1300</v>
      </c>
      <c r="E137" s="11" t="str">
        <f>HYPERLINK("https://youtu.be/rcQeYunjaWk?t=1261","channel 3")</f>
        <v>channel 3</v>
      </c>
    </row>
    <row r="138">
      <c r="B138" s="34" t="s">
        <v>2491</v>
      </c>
      <c r="C138" s="33" t="s">
        <v>83</v>
      </c>
      <c r="D138" s="8" t="s">
        <v>2802</v>
      </c>
      <c r="E138" s="11" t="str">
        <f>HYPERLINK("https://youtu.be/iEtZuplmxO8?t=893","channel 4")</f>
        <v>channel 4</v>
      </c>
    </row>
    <row r="139">
      <c r="B139" s="110" t="s">
        <v>3694</v>
      </c>
      <c r="C139" s="70" t="s">
        <v>587</v>
      </c>
      <c r="D139" s="110" t="s">
        <v>2580</v>
      </c>
      <c r="E139" s="11" t="str">
        <f>HYPERLINK("https://youtu.be/rcQeYunjaWk?t=2213","channel 3")</f>
        <v>channel 3</v>
      </c>
    </row>
    <row r="140">
      <c r="B140" s="34" t="s">
        <v>2491</v>
      </c>
      <c r="C140" s="33" t="s">
        <v>321</v>
      </c>
      <c r="D140" s="34" t="s">
        <v>1300</v>
      </c>
      <c r="E140" s="11" t="str">
        <f>HYPERLINK("https://youtu.be/iEtZuplmxO8?t=1962","channel 4")</f>
        <v>channel 4</v>
      </c>
    </row>
    <row r="141">
      <c r="B141" s="110" t="s">
        <v>3694</v>
      </c>
      <c r="C141" s="70" t="s">
        <v>533</v>
      </c>
      <c r="D141" s="113" t="s">
        <v>2802</v>
      </c>
      <c r="E141" s="11" t="str">
        <f>HYPERLINK("https://youtu.be/rcQeYunjaWk?t=3372","channel 3")</f>
        <v>channel 3</v>
      </c>
    </row>
    <row r="142">
      <c r="B142" s="34" t="s">
        <v>2580</v>
      </c>
      <c r="C142" s="33" t="s">
        <v>218</v>
      </c>
      <c r="D142" s="34" t="s">
        <v>1300</v>
      </c>
      <c r="E142" s="11" t="str">
        <f>HYPERLINK("https://youtu.be/iEtZuplmxO8?t=3009","channel 4")</f>
        <v>channel 4</v>
      </c>
    </row>
    <row r="143">
      <c r="B143" s="110" t="s">
        <v>3694</v>
      </c>
      <c r="C143" s="70" t="s">
        <v>638</v>
      </c>
      <c r="D143" s="110" t="s">
        <v>2491</v>
      </c>
      <c r="E143" s="11" t="str">
        <f>HYPERLINK("https://youtu.be/rcQeYunjaWk?t=4317","channel 3")</f>
        <v>channel 3</v>
      </c>
    </row>
    <row r="144">
      <c r="B144" s="34" t="s">
        <v>2580</v>
      </c>
      <c r="C144" s="33" t="s">
        <v>2189</v>
      </c>
      <c r="D144" s="8" t="s">
        <v>2802</v>
      </c>
      <c r="E144" s="11" t="str">
        <f>HYPERLINK("https://youtu.be/iEtZuplmxO8?t=3928","channel 4")</f>
        <v>channel 4</v>
      </c>
    </row>
    <row r="145">
      <c r="B145" s="113" t="s">
        <v>2802</v>
      </c>
      <c r="C145" s="70" t="s">
        <v>88</v>
      </c>
      <c r="D145" s="110" t="s">
        <v>1300</v>
      </c>
      <c r="E145" s="11" t="str">
        <f>HYPERLINK("https://youtu.be/rcQeYunjaWk?t=5291","channel 3")</f>
        <v>channel 3</v>
      </c>
    </row>
    <row r="146">
      <c r="B146" s="34" t="s">
        <v>2580</v>
      </c>
      <c r="C146" s="33" t="s">
        <v>21</v>
      </c>
      <c r="D146" s="34" t="s">
        <v>2491</v>
      </c>
      <c r="E146" s="11" t="str">
        <f>HYPERLINK("https://youtu.be/iEtZuplmxO8?t=4855","channel 4")</f>
        <v>channel 4</v>
      </c>
    </row>
    <row r="147">
      <c r="B147" s="110" t="s">
        <v>1300</v>
      </c>
      <c r="C147" s="70" t="s">
        <v>1991</v>
      </c>
      <c r="D147" s="110" t="s">
        <v>3694</v>
      </c>
      <c r="E147" s="11" t="str">
        <f>HYPERLINK("https://youtu.be/rcQeYunjaWk?t=6249","channel 3")</f>
        <v>channel 3</v>
      </c>
    </row>
    <row r="148">
      <c r="B148" s="8" t="s">
        <v>2802</v>
      </c>
      <c r="C148" s="33" t="s">
        <v>446</v>
      </c>
      <c r="D148" s="34" t="s">
        <v>2491</v>
      </c>
      <c r="E148" s="11" t="str">
        <f>HYPERLINK("https://youtu.be/iEtZuplmxO8?t=5847","channel 4")</f>
        <v>channel 4</v>
      </c>
    </row>
    <row r="149">
      <c r="B149" s="110" t="s">
        <v>2580</v>
      </c>
      <c r="C149" s="70" t="s">
        <v>3695</v>
      </c>
      <c r="D149" s="110" t="s">
        <v>3694</v>
      </c>
      <c r="E149" s="11" t="str">
        <f>HYPERLINK("https://youtu.be/rcQeYunjaWk?t=7234","channel 3")</f>
        <v>channel 3</v>
      </c>
    </row>
    <row r="150">
      <c r="B150" s="34" t="s">
        <v>1300</v>
      </c>
      <c r="C150" s="33" t="s">
        <v>302</v>
      </c>
      <c r="D150" s="34" t="s">
        <v>2491</v>
      </c>
      <c r="E150" s="11" t="str">
        <f>HYPERLINK("https://youtu.be/iEtZuplmxO8?t=6814","channel 4")</f>
        <v>channel 4</v>
      </c>
    </row>
    <row r="151">
      <c r="B151" s="113" t="s">
        <v>2802</v>
      </c>
      <c r="C151" s="70" t="s">
        <v>58</v>
      </c>
      <c r="D151" s="110" t="s">
        <v>3694</v>
      </c>
      <c r="E151" s="11" t="str">
        <f>HYPERLINK("https://youtu.be/rcQeYunjaWk?t=8115","channel 3")</f>
        <v>channel 3</v>
      </c>
    </row>
    <row r="152">
      <c r="B152" s="34" t="s">
        <v>1300</v>
      </c>
      <c r="C152" s="33" t="s">
        <v>27</v>
      </c>
      <c r="D152" s="34" t="s">
        <v>2580</v>
      </c>
      <c r="E152" s="11" t="str">
        <f>HYPERLINK("https://youtu.be/iEtZuplmxO8?t=7725","channel 4")</f>
        <v>channel 4</v>
      </c>
    </row>
    <row r="153">
      <c r="B153" s="110" t="s">
        <v>2491</v>
      </c>
      <c r="C153" s="70" t="s">
        <v>460</v>
      </c>
      <c r="D153" s="110" t="s">
        <v>3694</v>
      </c>
      <c r="E153" s="11" t="str">
        <f>HYPERLINK("https://youtu.be/rcQeYunjaWk?t=8946","channel 3")</f>
        <v>channel 3</v>
      </c>
    </row>
    <row r="154">
      <c r="B154" s="8" t="s">
        <v>2802</v>
      </c>
      <c r="C154" s="33" t="s">
        <v>239</v>
      </c>
      <c r="D154" s="34" t="s">
        <v>2580</v>
      </c>
      <c r="E154" s="11" t="str">
        <f>HYPERLINK("https://youtu.be/iEtZuplmxO8?t=8675","channel 4")</f>
        <v>channel 4</v>
      </c>
    </row>
    <row r="155">
      <c r="B155" s="72" t="s">
        <v>2902</v>
      </c>
      <c r="C155" s="2"/>
      <c r="D155" s="3"/>
      <c r="E155" s="2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10" t="s">
        <v>2833</v>
      </c>
      <c r="C157" s="33" t="s">
        <v>68</v>
      </c>
      <c r="D157" s="113" t="s">
        <v>3433</v>
      </c>
      <c r="E157" s="11" t="str">
        <f>HYPERLINK("https://youtu.be/gakGNjeZ2cs","channel 3")</f>
        <v>channel 3</v>
      </c>
    </row>
    <row r="158">
      <c r="B158" s="32" t="s">
        <v>3423</v>
      </c>
      <c r="C158" s="70" t="s">
        <v>58</v>
      </c>
      <c r="D158" s="34" t="s">
        <v>2477</v>
      </c>
      <c r="E158" s="11" t="str">
        <f>HYPERLINK("https://youtu.be/t6Y710GImv0","channel 4")</f>
        <v>channel 4</v>
      </c>
    </row>
    <row r="159">
      <c r="B159" s="110" t="s">
        <v>3530</v>
      </c>
      <c r="C159" s="33" t="s">
        <v>319</v>
      </c>
      <c r="D159" s="110" t="s">
        <v>2833</v>
      </c>
      <c r="E159" s="11" t="str">
        <f>HYPERLINK("https://youtu.be/gakGNjeZ2cs?t=1181","channel 3")</f>
        <v>channel 3</v>
      </c>
    </row>
    <row r="160">
      <c r="B160" s="32" t="s">
        <v>3423</v>
      </c>
      <c r="C160" s="70" t="s">
        <v>494</v>
      </c>
      <c r="D160" s="8" t="s">
        <v>3433</v>
      </c>
      <c r="E160" s="11" t="str">
        <f>HYPERLINK("https://youtu.be/t6Y710GImv0?t=933","channel 4")</f>
        <v>channel 4</v>
      </c>
    </row>
    <row r="161">
      <c r="B161" s="110" t="s">
        <v>3530</v>
      </c>
      <c r="C161" s="70" t="s">
        <v>250</v>
      </c>
      <c r="D161" s="110" t="s">
        <v>2477</v>
      </c>
      <c r="E161" s="11" t="str">
        <f>HYPERLINK("https://youtu.be/gakGNjeZ2cs?t=2060","channel 3")</f>
        <v>channel 3</v>
      </c>
    </row>
    <row r="162">
      <c r="B162" s="32" t="s">
        <v>3423</v>
      </c>
      <c r="C162" s="70" t="s">
        <v>369</v>
      </c>
      <c r="D162" s="34" t="s">
        <v>2833</v>
      </c>
      <c r="E162" s="11" t="str">
        <f>HYPERLINK("https://youtu.be/t6Y710GImv0?t=1909","channel 4")</f>
        <v>channel 4</v>
      </c>
    </row>
    <row r="163">
      <c r="B163" s="110" t="s">
        <v>3530</v>
      </c>
      <c r="C163" s="70" t="s">
        <v>455</v>
      </c>
      <c r="D163" s="113" t="s">
        <v>3433</v>
      </c>
      <c r="E163" s="11" t="str">
        <f>HYPERLINK("https://youtu.be/gakGNjeZ2cs?t=2934","channel 3")</f>
        <v>channel 3</v>
      </c>
    </row>
    <row r="164">
      <c r="B164" s="34" t="s">
        <v>2477</v>
      </c>
      <c r="C164" s="70" t="s">
        <v>71</v>
      </c>
      <c r="D164" s="34" t="s">
        <v>2833</v>
      </c>
      <c r="E164" s="11" t="str">
        <f>HYPERLINK("https://youtu.be/t6Y710GImv0?t=2884","channel 4")</f>
        <v>channel 4</v>
      </c>
    </row>
    <row r="165">
      <c r="B165" s="110" t="s">
        <v>3530</v>
      </c>
      <c r="C165" s="70" t="s">
        <v>64</v>
      </c>
      <c r="D165" s="91" t="s">
        <v>3423</v>
      </c>
      <c r="E165" s="11" t="str">
        <f>HYPERLINK("https://youtu.be/gakGNjeZ2cs?t=3885","channel 3")</f>
        <v>channel 3</v>
      </c>
    </row>
    <row r="166">
      <c r="B166" s="34" t="s">
        <v>2477</v>
      </c>
      <c r="C166" s="70" t="s">
        <v>3696</v>
      </c>
      <c r="D166" s="8" t="s">
        <v>3433</v>
      </c>
      <c r="E166" s="11" t="str">
        <f>HYPERLINK("https://youtu.be/t6Y710GImv0?t=3789","channel 4")</f>
        <v>channel 4</v>
      </c>
    </row>
    <row r="167">
      <c r="B167" s="113" t="s">
        <v>3433</v>
      </c>
      <c r="C167" s="70" t="s">
        <v>197</v>
      </c>
      <c r="D167" s="110" t="s">
        <v>2833</v>
      </c>
      <c r="E167" s="11" t="str">
        <f>HYPERLINK("https://youtu.be/gakGNjeZ2cs?t=4990","channel 3")</f>
        <v>channel 3</v>
      </c>
    </row>
    <row r="168">
      <c r="B168" s="34" t="s">
        <v>2477</v>
      </c>
      <c r="C168" s="70" t="s">
        <v>19</v>
      </c>
      <c r="D168" s="32" t="s">
        <v>3423</v>
      </c>
      <c r="E168" s="11" t="str">
        <f>HYPERLINK("https://youtu.be/t6Y710GImv0?t=4722","channel 4")</f>
        <v>channel 4</v>
      </c>
    </row>
    <row r="169">
      <c r="B169" s="110" t="s">
        <v>2833</v>
      </c>
      <c r="C169" s="70" t="s">
        <v>542</v>
      </c>
      <c r="D169" s="110" t="s">
        <v>3530</v>
      </c>
      <c r="E169" s="11" t="str">
        <f>HYPERLINK("https://youtu.be/gakGNjeZ2cs?t=5900","channel 3")</f>
        <v>channel 3</v>
      </c>
    </row>
    <row r="170">
      <c r="B170" s="8" t="s">
        <v>3433</v>
      </c>
      <c r="C170" s="70" t="s">
        <v>273</v>
      </c>
      <c r="D170" s="32" t="s">
        <v>3423</v>
      </c>
      <c r="E170" s="11" t="str">
        <f>HYPERLINK("https://youtu.be/t6Y710GImv0?t=5649","channel 4")</f>
        <v>channel 4</v>
      </c>
    </row>
    <row r="171">
      <c r="B171" s="110" t="s">
        <v>2477</v>
      </c>
      <c r="C171" s="70" t="s">
        <v>20</v>
      </c>
      <c r="D171" s="110" t="s">
        <v>3530</v>
      </c>
      <c r="E171" s="11" t="str">
        <f>HYPERLINK("https://youtu.be/gakGNjeZ2cs?t=6996","channel 3")</f>
        <v>channel 3</v>
      </c>
    </row>
    <row r="172">
      <c r="B172" s="34" t="s">
        <v>2833</v>
      </c>
      <c r="C172" s="70" t="s">
        <v>250</v>
      </c>
      <c r="D172" s="32" t="s">
        <v>3423</v>
      </c>
      <c r="E172" s="11" t="str">
        <f>HYPERLINK("https://youtu.be/t6Y710GImv0?t=6571","channel 4")</f>
        <v>channel 4</v>
      </c>
    </row>
    <row r="173">
      <c r="B173" s="113" t="s">
        <v>3433</v>
      </c>
      <c r="C173" s="70" t="s">
        <v>65</v>
      </c>
      <c r="D173" s="110" t="s">
        <v>3530</v>
      </c>
      <c r="E173" s="11" t="str">
        <f>HYPERLINK("https://youtu.be/gakGNjeZ2cs?t=7848","channel 3")</f>
        <v>channel 3</v>
      </c>
    </row>
    <row r="174">
      <c r="B174" s="34" t="s">
        <v>2833</v>
      </c>
      <c r="C174" s="70" t="s">
        <v>31</v>
      </c>
      <c r="D174" s="34" t="s">
        <v>2477</v>
      </c>
      <c r="E174" s="11" t="str">
        <f>HYPERLINK("https://youtu.be/t6Y710GImv0?t=7583","channel 4")</f>
        <v>channel 4</v>
      </c>
    </row>
    <row r="175">
      <c r="B175" s="91" t="s">
        <v>3423</v>
      </c>
      <c r="C175" s="70" t="s">
        <v>285</v>
      </c>
      <c r="D175" s="110" t="s">
        <v>3530</v>
      </c>
      <c r="E175" s="11" t="str">
        <f>HYPERLINK("https://youtu.be/gakGNjeZ2cs?t=8725","channel 3")</f>
        <v>channel 3</v>
      </c>
    </row>
    <row r="176">
      <c r="B176" s="8" t="s">
        <v>3433</v>
      </c>
      <c r="C176" s="70" t="s">
        <v>25</v>
      </c>
      <c r="D176" s="34" t="s">
        <v>2477</v>
      </c>
      <c r="E176" s="11" t="str">
        <f>HYPERLINK("https://youtu.be/t6Y710GImv0?t=8552","channel 4")</f>
        <v>channel 4</v>
      </c>
    </row>
    <row r="177">
      <c r="B177" s="72" t="s">
        <v>2661</v>
      </c>
      <c r="C177" s="2"/>
      <c r="D177" s="3"/>
      <c r="E177" s="2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34" t="s">
        <v>3102</v>
      </c>
      <c r="C179" s="33" t="s">
        <v>78</v>
      </c>
      <c r="D179" s="34" t="s">
        <v>3697</v>
      </c>
      <c r="E179" s="11" t="str">
        <f>HYPERLINK("https://youtu.be/-cN3SatDeUY","channel 1")</f>
        <v>channel 1</v>
      </c>
    </row>
    <row r="180">
      <c r="B180" s="34" t="s">
        <v>2067</v>
      </c>
      <c r="C180" s="33" t="s">
        <v>81</v>
      </c>
      <c r="D180" s="34" t="s">
        <v>958</v>
      </c>
      <c r="E180" s="11" t="str">
        <f>HYPERLINK("https://youtu.be/k44Xgyz99ig","channel 2")</f>
        <v>channel 2</v>
      </c>
    </row>
    <row r="181">
      <c r="B181" s="34" t="s">
        <v>3344</v>
      </c>
      <c r="C181" s="33" t="s">
        <v>69</v>
      </c>
      <c r="D181" s="34" t="s">
        <v>3102</v>
      </c>
      <c r="E181" s="11" t="str">
        <f>HYPERLINK("https://youtu.be/-cN3SatDeUY?t=1185","channel 1")</f>
        <v>channel 1</v>
      </c>
    </row>
    <row r="182">
      <c r="B182" s="34" t="s">
        <v>2067</v>
      </c>
      <c r="C182" s="33" t="s">
        <v>205</v>
      </c>
      <c r="D182" s="34" t="s">
        <v>3697</v>
      </c>
      <c r="E182" s="11" t="str">
        <f>HYPERLINK("https://youtu.be/k44Xgyz99ig?t=1182","channel 2")</f>
        <v>channel 2</v>
      </c>
    </row>
    <row r="183">
      <c r="B183" s="34" t="s">
        <v>3344</v>
      </c>
      <c r="C183" s="33" t="s">
        <v>218</v>
      </c>
      <c r="D183" s="34" t="s">
        <v>958</v>
      </c>
      <c r="E183" s="11" t="str">
        <f>HYPERLINK("https://youtu.be/-cN3SatDeUY?t=1976","channel 1")</f>
        <v>channel 1</v>
      </c>
    </row>
    <row r="184">
      <c r="B184" s="34" t="s">
        <v>2067</v>
      </c>
      <c r="C184" s="33" t="s">
        <v>196</v>
      </c>
      <c r="D184" s="34" t="s">
        <v>3102</v>
      </c>
      <c r="E184" s="11" t="str">
        <f>HYPERLINK("https://youtu.be/k44Xgyz99ig?t=2007","channel 2")</f>
        <v>channel 2</v>
      </c>
    </row>
    <row r="185">
      <c r="B185" s="34" t="s">
        <v>3344</v>
      </c>
      <c r="C185" s="33" t="s">
        <v>66</v>
      </c>
      <c r="D185" s="34" t="s">
        <v>3697</v>
      </c>
      <c r="E185" s="11" t="str">
        <f>HYPERLINK("https://youtu.be/-cN3SatDeUY?t=2857","channel 1")</f>
        <v>channel 1</v>
      </c>
    </row>
    <row r="186">
      <c r="B186" s="34" t="s">
        <v>958</v>
      </c>
      <c r="C186" s="33" t="s">
        <v>466</v>
      </c>
      <c r="D186" s="34" t="s">
        <v>3102</v>
      </c>
      <c r="E186" s="11" t="str">
        <f>HYPERLINK("https://youtu.be/k44Xgyz99ig?t=2854","channel 2")</f>
        <v>channel 2</v>
      </c>
    </row>
    <row r="187">
      <c r="B187" s="34" t="s">
        <v>3344</v>
      </c>
      <c r="C187" s="33" t="s">
        <v>389</v>
      </c>
      <c r="D187" s="34" t="s">
        <v>2067</v>
      </c>
      <c r="E187" s="11" t="str">
        <f>HYPERLINK("https://youtu.be/-cN3SatDeUY?t=3658","channel 1")</f>
        <v>channel 1</v>
      </c>
    </row>
    <row r="188">
      <c r="B188" s="34" t="s">
        <v>958</v>
      </c>
      <c r="C188" s="33" t="s">
        <v>7</v>
      </c>
      <c r="D188" s="34" t="s">
        <v>3697</v>
      </c>
      <c r="E188" s="11" t="str">
        <f>HYPERLINK("https://youtu.be/k44Xgyz99ig?t=3666","channel 2")</f>
        <v>channel 2</v>
      </c>
    </row>
    <row r="189">
      <c r="B189" s="34" t="s">
        <v>3697</v>
      </c>
      <c r="C189" s="33" t="s">
        <v>267</v>
      </c>
      <c r="D189" s="34" t="s">
        <v>3102</v>
      </c>
      <c r="E189" s="11" t="str">
        <f>HYPERLINK("https://youtu.be/-cN3SatDeUY?t=4516","channel 1")</f>
        <v>channel 1</v>
      </c>
    </row>
    <row r="190">
      <c r="B190" s="34" t="s">
        <v>958</v>
      </c>
      <c r="C190" s="33" t="s">
        <v>331</v>
      </c>
      <c r="D190" s="34" t="s">
        <v>2067</v>
      </c>
      <c r="E190" s="11" t="str">
        <f>HYPERLINK("https://youtu.be/k44Xgyz99ig?t=4506","channel 2")</f>
        <v>channel 2</v>
      </c>
    </row>
    <row r="191">
      <c r="B191" s="34" t="s">
        <v>3102</v>
      </c>
      <c r="C191" s="33" t="s">
        <v>286</v>
      </c>
      <c r="D191" s="34" t="s">
        <v>3344</v>
      </c>
      <c r="E191" s="11" t="str">
        <f>HYPERLINK("https://youtu.be/-cN3SatDeUY?t=5381","channel 1")</f>
        <v>channel 1</v>
      </c>
    </row>
    <row r="192">
      <c r="B192" s="34" t="s">
        <v>3697</v>
      </c>
      <c r="C192" s="33" t="s">
        <v>404</v>
      </c>
      <c r="D192" s="34" t="s">
        <v>2067</v>
      </c>
      <c r="E192" s="11" t="str">
        <f>HYPERLINK("https://youtu.be/k44Xgyz99ig?t=5388","channel 2")</f>
        <v>channel 2</v>
      </c>
    </row>
    <row r="193">
      <c r="B193" s="34" t="s">
        <v>958</v>
      </c>
      <c r="C193" s="33" t="s">
        <v>16</v>
      </c>
      <c r="D193" s="34" t="s">
        <v>3344</v>
      </c>
      <c r="E193" s="11" t="str">
        <f>HYPERLINK("https://youtu.be/-cN3SatDeUY?t=6210","channel 1")</f>
        <v>channel 1</v>
      </c>
    </row>
    <row r="194">
      <c r="B194" s="34" t="s">
        <v>3102</v>
      </c>
      <c r="C194" s="33" t="s">
        <v>42</v>
      </c>
      <c r="D194" s="34" t="s">
        <v>2067</v>
      </c>
      <c r="E194" s="11" t="str">
        <f>HYPERLINK("https://youtu.be/k44Xgyz99ig?t=6199","channel 2")</f>
        <v>channel 2</v>
      </c>
    </row>
    <row r="195">
      <c r="B195" s="34" t="s">
        <v>3697</v>
      </c>
      <c r="C195" s="33" t="s">
        <v>25</v>
      </c>
      <c r="D195" s="34" t="s">
        <v>3344</v>
      </c>
      <c r="E195" s="11" t="str">
        <f>HYPERLINK("https://youtu.be/-cN3SatDeUY?t=7123","channel 1")</f>
        <v>channel 1</v>
      </c>
    </row>
    <row r="196">
      <c r="B196" s="34" t="s">
        <v>3102</v>
      </c>
      <c r="C196" s="33" t="s">
        <v>337</v>
      </c>
      <c r="D196" s="34" t="s">
        <v>958</v>
      </c>
      <c r="E196" s="11" t="str">
        <f>HYPERLINK("https://youtu.be/k44Xgyz99ig?t=7130","channel 2")</f>
        <v>channel 2</v>
      </c>
    </row>
    <row r="197">
      <c r="B197" s="34" t="s">
        <v>2067</v>
      </c>
      <c r="C197" s="33" t="s">
        <v>22</v>
      </c>
      <c r="D197" s="34" t="s">
        <v>3344</v>
      </c>
      <c r="E197" s="11" t="str">
        <f>HYPERLINK("https://youtu.be/-cN3SatDeUY?t=8035","channel 1")</f>
        <v>channel 1</v>
      </c>
    </row>
    <row r="198">
      <c r="B198" s="34" t="s">
        <v>3697</v>
      </c>
      <c r="C198" s="33" t="s">
        <v>304</v>
      </c>
      <c r="D198" s="34" t="s">
        <v>958</v>
      </c>
      <c r="E198" s="11" t="str">
        <f>HYPERLINK("https://youtu.be/k44Xgyz99ig?t=8033","channel 2")</f>
        <v>channel 2</v>
      </c>
    </row>
    <row r="199">
      <c r="B199" s="72" t="s">
        <v>3552</v>
      </c>
      <c r="C199" s="2"/>
      <c r="D199" s="3"/>
      <c r="E199" s="2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34" t="s">
        <v>3698</v>
      </c>
      <c r="C201" s="33" t="s">
        <v>23</v>
      </c>
      <c r="D201" s="34" t="s">
        <v>3699</v>
      </c>
      <c r="E201" s="11" t="str">
        <f>HYPERLINK("https://youtu.be/h_c8JTwB0D0","channel 1")</f>
        <v>channel 1</v>
      </c>
    </row>
    <row r="202">
      <c r="B202" s="34" t="s">
        <v>3136</v>
      </c>
      <c r="C202" s="33" t="s">
        <v>26</v>
      </c>
      <c r="D202" s="34" t="s">
        <v>3553</v>
      </c>
      <c r="E202" s="11" t="str">
        <f>HYPERLINK("https://youtu.be/aynTAkZOkUM","channel 2")</f>
        <v>channel 2</v>
      </c>
    </row>
    <row r="203">
      <c r="B203" s="34" t="s">
        <v>3307</v>
      </c>
      <c r="C203" s="33" t="s">
        <v>195</v>
      </c>
      <c r="D203" s="34" t="s">
        <v>3698</v>
      </c>
      <c r="E203" s="11" t="str">
        <f>HYPERLINK("https://youtu.be/h_c8JTwB0D0?t=1075","channel 1")</f>
        <v>channel 1</v>
      </c>
    </row>
    <row r="204">
      <c r="B204" s="34" t="s">
        <v>3136</v>
      </c>
      <c r="C204" s="33" t="s">
        <v>250</v>
      </c>
      <c r="D204" s="34" t="s">
        <v>3699</v>
      </c>
      <c r="E204" s="11" t="str">
        <f>HYPERLINK("https://youtu.be/aynTAkZOkUM?t=1136","channel 2")</f>
        <v>channel 2</v>
      </c>
    </row>
    <row r="205">
      <c r="B205" s="34" t="s">
        <v>3307</v>
      </c>
      <c r="C205" s="33" t="s">
        <v>195</v>
      </c>
      <c r="D205" s="34" t="s">
        <v>3553</v>
      </c>
      <c r="E205" s="11" t="str">
        <f>HYPERLINK("https://youtu.be/h_c8JTwB0D0?t=1988","channel 1")</f>
        <v>channel 1</v>
      </c>
    </row>
    <row r="206">
      <c r="B206" s="34" t="s">
        <v>3136</v>
      </c>
      <c r="C206" s="33" t="s">
        <v>31</v>
      </c>
      <c r="D206" s="34" t="s">
        <v>3698</v>
      </c>
      <c r="E206" s="11" t="str">
        <f>HYPERLINK("https://youtu.be/aynTAkZOkUM?t=2115","channel 2")</f>
        <v>channel 2</v>
      </c>
    </row>
    <row r="207">
      <c r="B207" s="34" t="s">
        <v>3307</v>
      </c>
      <c r="C207" s="33" t="s">
        <v>533</v>
      </c>
      <c r="D207" s="34" t="s">
        <v>3699</v>
      </c>
      <c r="E207" s="11" t="str">
        <f>HYPERLINK("https://youtu.be/h_c8JTwB0D0?t=3040","channel 1")</f>
        <v>channel 1</v>
      </c>
    </row>
    <row r="208">
      <c r="B208" s="34" t="s">
        <v>3553</v>
      </c>
      <c r="C208" s="33" t="s">
        <v>16</v>
      </c>
      <c r="D208" s="34" t="s">
        <v>3698</v>
      </c>
      <c r="E208" s="11" t="str">
        <f>HYPERLINK("https://youtu.be/aynTAkZOkUM?t=3072","channel 2")</f>
        <v>channel 2</v>
      </c>
    </row>
    <row r="209">
      <c r="B209" s="34" t="s">
        <v>3307</v>
      </c>
      <c r="C209" s="33" t="s">
        <v>197</v>
      </c>
      <c r="D209" s="34" t="s">
        <v>3136</v>
      </c>
      <c r="E209" s="11" t="str">
        <f>HYPERLINK("https://youtu.be/h_c8JTwB0D0?t=3922","channel 1")</f>
        <v>channel 1</v>
      </c>
    </row>
    <row r="210">
      <c r="B210" s="34" t="s">
        <v>3553</v>
      </c>
      <c r="C210" s="33" t="s">
        <v>352</v>
      </c>
      <c r="D210" s="34" t="s">
        <v>3699</v>
      </c>
      <c r="E210" s="11" t="str">
        <f>HYPERLINK("https://youtu.be/aynTAkZOkUM?t=3927","channel 2")</f>
        <v>channel 2</v>
      </c>
    </row>
    <row r="211">
      <c r="B211" s="34" t="s">
        <v>3699</v>
      </c>
      <c r="C211" s="33" t="s">
        <v>400</v>
      </c>
      <c r="D211" s="34" t="s">
        <v>3698</v>
      </c>
      <c r="E211" s="11" t="str">
        <f>HYPERLINK("https://youtu.be/h_c8JTwB0D0?t=4786","channel 1")</f>
        <v>channel 1</v>
      </c>
    </row>
    <row r="212">
      <c r="B212" s="34" t="s">
        <v>3553</v>
      </c>
      <c r="C212" s="33" t="s">
        <v>11</v>
      </c>
      <c r="D212" s="34" t="s">
        <v>3136</v>
      </c>
      <c r="E212" s="11" t="str">
        <f>HYPERLINK("https://youtu.be/aynTAkZOkUM?t=4803","channel 2")</f>
        <v>channel 2</v>
      </c>
    </row>
    <row r="213">
      <c r="B213" s="34" t="s">
        <v>3698</v>
      </c>
      <c r="C213" s="33" t="s">
        <v>190</v>
      </c>
      <c r="D213" s="34" t="s">
        <v>3307</v>
      </c>
      <c r="E213" s="11" t="str">
        <f>HYPERLINK("https://youtu.be/h_c8JTwB0D0?t=5650","channel 1")</f>
        <v>channel 1</v>
      </c>
    </row>
    <row r="214">
      <c r="B214" s="34" t="s">
        <v>3699</v>
      </c>
      <c r="C214" s="33" t="s">
        <v>1283</v>
      </c>
      <c r="D214" s="34" t="s">
        <v>3136</v>
      </c>
      <c r="E214" s="11" t="str">
        <f>HYPERLINK("https://youtu.be/aynTAkZOkUM?t=5675","channel 2")</f>
        <v>channel 2</v>
      </c>
    </row>
    <row r="215">
      <c r="B215" s="34" t="s">
        <v>3553</v>
      </c>
      <c r="C215" s="33" t="s">
        <v>544</v>
      </c>
      <c r="D215" s="34" t="s">
        <v>3307</v>
      </c>
      <c r="E215" s="11" t="str">
        <f>HYPERLINK("https://youtu.be/h_c8JTwB0D0?t=6682","channel 1")</f>
        <v>channel 1</v>
      </c>
    </row>
    <row r="216">
      <c r="B216" s="34" t="s">
        <v>3698</v>
      </c>
      <c r="C216" s="33" t="s">
        <v>47</v>
      </c>
      <c r="D216" s="34" t="s">
        <v>3136</v>
      </c>
      <c r="E216" s="11" t="str">
        <f>HYPERLINK("https://youtu.be/aynTAkZOkUM?t=6710","channel 2")</f>
        <v>channel 2</v>
      </c>
    </row>
    <row r="217">
      <c r="B217" s="34" t="s">
        <v>3699</v>
      </c>
      <c r="C217" s="33" t="s">
        <v>87</v>
      </c>
      <c r="D217" s="34" t="s">
        <v>3307</v>
      </c>
      <c r="E217" s="11" t="str">
        <f>HYPERLINK("https://youtu.be/h_c8JTwB0D0?t=7667","channel 1")</f>
        <v>channel 1</v>
      </c>
    </row>
    <row r="218">
      <c r="B218" s="34" t="s">
        <v>3698</v>
      </c>
      <c r="C218" s="33" t="s">
        <v>1025</v>
      </c>
      <c r="D218" s="34" t="s">
        <v>3553</v>
      </c>
      <c r="E218" s="11" t="str">
        <f>HYPERLINK("https://youtu.be/aynTAkZOkUM?t=7685","channel 2")</f>
        <v>channel 2</v>
      </c>
    </row>
    <row r="219">
      <c r="B219" s="34" t="s">
        <v>3136</v>
      </c>
      <c r="C219" s="33" t="s">
        <v>251</v>
      </c>
      <c r="D219" s="34" t="s">
        <v>3307</v>
      </c>
      <c r="E219" s="11" t="str">
        <f>HYPERLINK("https://youtu.be/h_c8JTwB0D0?t=8466","channel 1")</f>
        <v>channel 1</v>
      </c>
    </row>
    <row r="220">
      <c r="B220" s="34" t="s">
        <v>3699</v>
      </c>
      <c r="C220" s="33" t="s">
        <v>212</v>
      </c>
      <c r="D220" s="34" t="s">
        <v>3553</v>
      </c>
      <c r="E220" s="11" t="str">
        <f>HYPERLINK("https://youtu.be/aynTAkZOkUM?t=8496","channel 2")</f>
        <v>channel 2</v>
      </c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7"/>
      <c r="B1" s="72" t="s">
        <v>1400</v>
      </c>
      <c r="C1" s="2"/>
      <c r="D1" s="3"/>
      <c r="E1" s="14"/>
    </row>
    <row r="2">
      <c r="A2" s="118"/>
      <c r="B2" s="16" t="s">
        <v>2</v>
      </c>
      <c r="C2" s="16" t="s">
        <v>3</v>
      </c>
      <c r="D2" s="16" t="s">
        <v>4</v>
      </c>
      <c r="E2" s="6" t="s">
        <v>5</v>
      </c>
    </row>
    <row r="3">
      <c r="A3" s="118"/>
      <c r="B3" s="32" t="s">
        <v>1196</v>
      </c>
      <c r="C3" s="33" t="s">
        <v>62</v>
      </c>
      <c r="D3" s="32" t="s">
        <v>1049</v>
      </c>
      <c r="E3" s="11" t="str">
        <f>HYPERLINK("https://youtu.be/eYg9D9RX-iI","channel 1")</f>
        <v>channel 1</v>
      </c>
    </row>
    <row r="4">
      <c r="A4" s="118"/>
      <c r="B4" s="32" t="s">
        <v>1198</v>
      </c>
      <c r="C4" s="33" t="s">
        <v>23</v>
      </c>
      <c r="D4" s="32" t="s">
        <v>3700</v>
      </c>
      <c r="E4" s="11" t="str">
        <f>HYPERLINK("https://youtu.be/CjhZvFWqQFA","channel 2")</f>
        <v>channel 2</v>
      </c>
    </row>
    <row r="5">
      <c r="A5" s="118"/>
      <c r="B5" s="32" t="s">
        <v>3701</v>
      </c>
      <c r="C5" s="37" t="s">
        <v>220</v>
      </c>
      <c r="D5" s="32" t="s">
        <v>1196</v>
      </c>
      <c r="E5" s="11" t="str">
        <f>HYPERLINK("https://youtu.be/eYg9D9RX-iI?t=1002","channel 1")</f>
        <v>channel 1</v>
      </c>
    </row>
    <row r="6">
      <c r="A6" s="118"/>
      <c r="B6" s="32" t="s">
        <v>1198</v>
      </c>
      <c r="C6" s="33" t="s">
        <v>201</v>
      </c>
      <c r="D6" s="32" t="s">
        <v>1049</v>
      </c>
      <c r="E6" s="11" t="str">
        <f>HYPERLINK("https://youtu.be/CjhZvFWqQFA?t=939","channel 2")</f>
        <v>channel 2</v>
      </c>
    </row>
    <row r="7">
      <c r="A7" s="118"/>
      <c r="B7" s="32" t="s">
        <v>3701</v>
      </c>
      <c r="C7" s="33" t="s">
        <v>38</v>
      </c>
      <c r="D7" s="32" t="s">
        <v>3700</v>
      </c>
      <c r="E7" s="11" t="str">
        <f>HYPERLINK("https://youtu.be/eYg9D9RX-iI?t=1989","channel 1")</f>
        <v>channel 1</v>
      </c>
    </row>
    <row r="8">
      <c r="A8" s="118"/>
      <c r="B8" s="32" t="s">
        <v>1198</v>
      </c>
      <c r="C8" s="33" t="s">
        <v>81</v>
      </c>
      <c r="D8" s="32" t="s">
        <v>1196</v>
      </c>
      <c r="E8" s="11" t="str">
        <f>HYPERLINK("https://youtu.be/CjhZvFWqQFA?t=1987","channel 2")</f>
        <v>channel 2</v>
      </c>
    </row>
    <row r="9">
      <c r="A9" s="118"/>
      <c r="B9" s="32" t="s">
        <v>3701</v>
      </c>
      <c r="C9" s="33" t="s">
        <v>270</v>
      </c>
      <c r="D9" s="32" t="s">
        <v>1049</v>
      </c>
      <c r="E9" s="11" t="str">
        <f>HYPERLINK("https://youtu.be/eYg9D9RX-iI?t=2931","channel 1")</f>
        <v>channel 1</v>
      </c>
    </row>
    <row r="10">
      <c r="A10" s="118"/>
      <c r="B10" s="32" t="s">
        <v>3700</v>
      </c>
      <c r="C10" s="33" t="s">
        <v>260</v>
      </c>
      <c r="D10" s="32" t="s">
        <v>1196</v>
      </c>
      <c r="E10" s="11" t="str">
        <f>HYPERLINK("https://youtu.be/CjhZvFWqQFA?t=2931","channel 2")</f>
        <v>channel 2</v>
      </c>
    </row>
    <row r="11">
      <c r="A11" s="118"/>
      <c r="B11" s="32" t="s">
        <v>3701</v>
      </c>
      <c r="C11" s="33" t="s">
        <v>14</v>
      </c>
      <c r="D11" s="32" t="s">
        <v>1198</v>
      </c>
      <c r="E11" s="11" t="str">
        <f>HYPERLINK("https://youtu.be/eYg9D9RX-iI?t=3837","channel 1")</f>
        <v>channel 1</v>
      </c>
    </row>
    <row r="12">
      <c r="A12" s="118"/>
      <c r="B12" s="32" t="s">
        <v>3700</v>
      </c>
      <c r="C12" s="33" t="s">
        <v>286</v>
      </c>
      <c r="D12" s="32" t="s">
        <v>1049</v>
      </c>
      <c r="E12" s="11" t="str">
        <f>HYPERLINK("https://youtu.be/CjhZvFWqQFA?t=3844","channel 2")</f>
        <v>channel 2</v>
      </c>
    </row>
    <row r="13">
      <c r="A13" s="118"/>
      <c r="B13" s="32" t="s">
        <v>1049</v>
      </c>
      <c r="C13" s="37" t="s">
        <v>14</v>
      </c>
      <c r="D13" s="32" t="s">
        <v>1196</v>
      </c>
      <c r="E13" s="11" t="str">
        <f>HYPERLINK("https://youtu.be/eYg9D9RX-iI?t=4761","channel 1")</f>
        <v>channel 1</v>
      </c>
    </row>
    <row r="14">
      <c r="A14" s="118"/>
      <c r="B14" s="32" t="s">
        <v>3700</v>
      </c>
      <c r="C14" s="35" t="s">
        <v>231</v>
      </c>
      <c r="D14" s="32" t="s">
        <v>1198</v>
      </c>
      <c r="E14" s="11" t="str">
        <f>HYPERLINK("https://youtu.be/CjhZvFWqQFA?t=4766","channel 2")</f>
        <v>channel 2</v>
      </c>
    </row>
    <row r="15">
      <c r="A15" s="118"/>
      <c r="B15" s="32" t="s">
        <v>1196</v>
      </c>
      <c r="C15" s="35" t="s">
        <v>64</v>
      </c>
      <c r="D15" s="32" t="s">
        <v>3701</v>
      </c>
      <c r="E15" s="11" t="str">
        <f>HYPERLINK("https://youtu.be/eYg9D9RX-iI?t=5834","channel 1")</f>
        <v>channel 1</v>
      </c>
    </row>
    <row r="16">
      <c r="A16" s="118"/>
      <c r="B16" s="32" t="s">
        <v>1049</v>
      </c>
      <c r="C16" s="33" t="s">
        <v>87</v>
      </c>
      <c r="D16" s="32" t="s">
        <v>1198</v>
      </c>
      <c r="E16" s="11" t="str">
        <f>HYPERLINK("https://youtu.be/CjhZvFWqQFA?t=5823","channel 2")</f>
        <v>channel 2</v>
      </c>
    </row>
    <row r="17">
      <c r="A17" s="118"/>
      <c r="B17" s="32" t="s">
        <v>3700</v>
      </c>
      <c r="C17" s="33" t="s">
        <v>197</v>
      </c>
      <c r="D17" s="32" t="s">
        <v>3701</v>
      </c>
      <c r="E17" s="11" t="str">
        <f>HYPERLINK("https://youtu.be/eYg9D9RX-iI?t=6732","channel 1")</f>
        <v>channel 1</v>
      </c>
    </row>
    <row r="18">
      <c r="A18" s="118"/>
      <c r="B18" s="32" t="s">
        <v>1196</v>
      </c>
      <c r="C18" s="33" t="s">
        <v>45</v>
      </c>
      <c r="D18" s="32" t="s">
        <v>1198</v>
      </c>
      <c r="E18" s="11" t="str">
        <f>HYPERLINK("https://youtu.be/CjhZvFWqQFA?t=6751","channel 2")</f>
        <v>channel 2</v>
      </c>
    </row>
    <row r="19">
      <c r="A19" s="118"/>
      <c r="B19" s="32" t="s">
        <v>1049</v>
      </c>
      <c r="C19" s="128" t="s">
        <v>11</v>
      </c>
      <c r="D19" s="32" t="s">
        <v>3701</v>
      </c>
      <c r="E19" s="11" t="str">
        <f>HYPERLINK("https://youtu.be/eYg9D9RX-iI?t=7723","channel 1")</f>
        <v>channel 1</v>
      </c>
    </row>
    <row r="20">
      <c r="A20" s="118"/>
      <c r="B20" s="32" t="s">
        <v>1196</v>
      </c>
      <c r="C20" s="52" t="s">
        <v>278</v>
      </c>
      <c r="D20" s="32" t="s">
        <v>3700</v>
      </c>
      <c r="E20" s="11" t="str">
        <f>HYPERLINK("https://youtu.be/CjhZvFWqQFA?t=7672","channel 2")</f>
        <v>channel 2</v>
      </c>
    </row>
    <row r="21">
      <c r="A21" s="118"/>
      <c r="B21" s="32" t="s">
        <v>1198</v>
      </c>
      <c r="C21" s="52" t="s">
        <v>16</v>
      </c>
      <c r="D21" s="32" t="s">
        <v>3701</v>
      </c>
      <c r="E21" s="11" t="str">
        <f>HYPERLINK("https://youtu.be/eYg9D9RX-iI?t=8624","channel 1")</f>
        <v>channel 1</v>
      </c>
    </row>
    <row r="22">
      <c r="A22" s="118"/>
      <c r="B22" s="32" t="s">
        <v>1049</v>
      </c>
      <c r="C22" s="52" t="s">
        <v>197</v>
      </c>
      <c r="D22" s="32" t="s">
        <v>3700</v>
      </c>
      <c r="E22" s="11" t="str">
        <f>HYPERLINK("https://youtu.be/CjhZvFWqQFA?t=8582","channel 2")</f>
        <v>channel 2</v>
      </c>
    </row>
    <row r="23">
      <c r="A23" s="118"/>
      <c r="B23" s="72" t="s">
        <v>1664</v>
      </c>
      <c r="C23" s="2"/>
      <c r="D23" s="3"/>
      <c r="E23" s="4"/>
    </row>
    <row r="24">
      <c r="A24" s="118"/>
      <c r="B24" s="16" t="s">
        <v>2</v>
      </c>
      <c r="C24" s="16" t="s">
        <v>3</v>
      </c>
      <c r="D24" s="16" t="s">
        <v>4</v>
      </c>
      <c r="E24" s="6" t="s">
        <v>5</v>
      </c>
    </row>
    <row r="25">
      <c r="A25" s="118"/>
      <c r="B25" s="32" t="s">
        <v>417</v>
      </c>
      <c r="C25" s="33" t="s">
        <v>64</v>
      </c>
      <c r="D25" s="32" t="s">
        <v>1853</v>
      </c>
      <c r="E25" s="11" t="str">
        <f>HYPERLINK("https://youtu.be/eL1TIR-xmDQ","channel 1")</f>
        <v>channel 1</v>
      </c>
    </row>
    <row r="26">
      <c r="A26" s="118"/>
      <c r="B26" s="32" t="s">
        <v>1851</v>
      </c>
      <c r="C26" s="33" t="s">
        <v>947</v>
      </c>
      <c r="D26" s="32" t="s">
        <v>2887</v>
      </c>
      <c r="E26" s="11" t="str">
        <f>HYPERLINK("https://youtu.be/5Hb6yHmXlBA","channel 2")</f>
        <v>channel 2</v>
      </c>
    </row>
    <row r="27">
      <c r="A27" s="118"/>
      <c r="B27" s="32" t="s">
        <v>3702</v>
      </c>
      <c r="C27" s="33" t="s">
        <v>233</v>
      </c>
      <c r="D27" s="32" t="s">
        <v>417</v>
      </c>
      <c r="E27" s="11" t="str">
        <f>HYPERLINK("https://youtu.be/eL1TIR-xmDQ?t=954","channel 1")</f>
        <v>channel 1</v>
      </c>
    </row>
    <row r="28">
      <c r="A28" s="118"/>
      <c r="B28" s="32" t="s">
        <v>1851</v>
      </c>
      <c r="C28" s="33" t="s">
        <v>190</v>
      </c>
      <c r="D28" s="32" t="s">
        <v>1853</v>
      </c>
      <c r="E28" s="11" t="str">
        <f>HYPERLINK("https://youtu.be/5Hb6yHmXlBA?t=910","channel 2")</f>
        <v>channel 2</v>
      </c>
    </row>
    <row r="29">
      <c r="A29" s="118"/>
      <c r="B29" s="32" t="s">
        <v>3702</v>
      </c>
      <c r="C29" s="33" t="s">
        <v>70</v>
      </c>
      <c r="D29" s="32" t="s">
        <v>2887</v>
      </c>
      <c r="E29" s="11" t="str">
        <f>HYPERLINK("https://youtu.be/eL1TIR-xmDQ?t=1933","channel 1")</f>
        <v>channel 1</v>
      </c>
    </row>
    <row r="30">
      <c r="A30" s="118"/>
      <c r="B30" s="32" t="s">
        <v>1851</v>
      </c>
      <c r="C30" s="33" t="s">
        <v>17</v>
      </c>
      <c r="D30" s="32" t="s">
        <v>417</v>
      </c>
      <c r="E30" s="11" t="str">
        <f>HYPERLINK("https://youtu.be/5Hb6yHmXlBA?t=1830","channel 2")</f>
        <v>channel 2</v>
      </c>
    </row>
    <row r="31">
      <c r="A31" s="118"/>
      <c r="B31" s="32" t="s">
        <v>3702</v>
      </c>
      <c r="C31" s="33" t="s">
        <v>190</v>
      </c>
      <c r="D31" s="32" t="s">
        <v>1853</v>
      </c>
      <c r="E31" s="11" t="str">
        <f>HYPERLINK("https://youtu.be/eL1TIR-xmDQ?t=2947","channel 1")</f>
        <v>channel 1</v>
      </c>
    </row>
    <row r="32">
      <c r="A32" s="118"/>
      <c r="B32" s="32" t="s">
        <v>2887</v>
      </c>
      <c r="C32" s="33" t="s">
        <v>260</v>
      </c>
      <c r="D32" s="32" t="s">
        <v>417</v>
      </c>
      <c r="E32" s="11" t="str">
        <f>HYPERLINK("https://youtu.be/5Hb6yHmXlBA?t=2830","channel 2")</f>
        <v>channel 2</v>
      </c>
    </row>
    <row r="33">
      <c r="A33" s="118"/>
      <c r="B33" s="32" t="s">
        <v>3702</v>
      </c>
      <c r="C33" s="33" t="s">
        <v>196</v>
      </c>
      <c r="D33" s="32" t="s">
        <v>1851</v>
      </c>
      <c r="E33" s="11" t="str">
        <f>HYPERLINK("https://youtu.be/eL1TIR-xmDQ?t=3917","channel 1")</f>
        <v>channel 1</v>
      </c>
    </row>
    <row r="34">
      <c r="A34" s="118"/>
      <c r="B34" s="32" t="s">
        <v>2887</v>
      </c>
      <c r="C34" s="33" t="s">
        <v>42</v>
      </c>
      <c r="D34" s="32" t="s">
        <v>1853</v>
      </c>
      <c r="E34" s="11" t="str">
        <f>HYPERLINK("https://youtu.be/5Hb6yHmXlBA?t=3789","channel 2")</f>
        <v>channel 2</v>
      </c>
    </row>
    <row r="35">
      <c r="A35" s="118"/>
      <c r="B35" s="32" t="s">
        <v>1853</v>
      </c>
      <c r="C35" s="33" t="s">
        <v>21</v>
      </c>
      <c r="D35" s="32" t="s">
        <v>417</v>
      </c>
      <c r="E35" s="11" t="str">
        <f>HYPERLINK("https://youtu.be/eL1TIR-xmDQ?t=4871","channel 1")</f>
        <v>channel 1</v>
      </c>
    </row>
    <row r="36">
      <c r="A36" s="118"/>
      <c r="B36" s="32" t="s">
        <v>2887</v>
      </c>
      <c r="C36" s="33" t="s">
        <v>47</v>
      </c>
      <c r="D36" s="32" t="s">
        <v>1851</v>
      </c>
      <c r="E36" s="11" t="str">
        <f>HYPERLINK("https://youtu.be/5Hb6yHmXlBA?t=4750","channel 2")</f>
        <v>channel 2</v>
      </c>
    </row>
    <row r="37">
      <c r="A37" s="118"/>
      <c r="B37" s="32" t="s">
        <v>417</v>
      </c>
      <c r="C37" s="33" t="s">
        <v>217</v>
      </c>
      <c r="D37" s="32" t="s">
        <v>3702</v>
      </c>
      <c r="E37" s="11" t="str">
        <f>HYPERLINK("https://youtu.be/eL1TIR-xmDQ?t=5799","channel 1")</f>
        <v>channel 1</v>
      </c>
    </row>
    <row r="38">
      <c r="A38" s="118"/>
      <c r="B38" s="32" t="s">
        <v>1853</v>
      </c>
      <c r="C38" s="33" t="s">
        <v>337</v>
      </c>
      <c r="D38" s="32" t="s">
        <v>1851</v>
      </c>
      <c r="E38" s="11" t="str">
        <f>HYPERLINK("https://youtu.be/5Hb6yHmXlBA?t=5649","channel 2")</f>
        <v>channel 2</v>
      </c>
    </row>
    <row r="39">
      <c r="A39" s="118"/>
      <c r="B39" s="32" t="s">
        <v>2887</v>
      </c>
      <c r="C39" s="35" t="s">
        <v>35</v>
      </c>
      <c r="D39" s="32" t="s">
        <v>3702</v>
      </c>
      <c r="E39" s="11" t="str">
        <f>HYPERLINK("https://youtu.be/eL1TIR-xmDQ?t=6794","channel 1")</f>
        <v>channel 1</v>
      </c>
    </row>
    <row r="40">
      <c r="A40" s="118"/>
      <c r="B40" s="32" t="s">
        <v>417</v>
      </c>
      <c r="C40" s="33" t="s">
        <v>31</v>
      </c>
      <c r="D40" s="32" t="s">
        <v>1851</v>
      </c>
      <c r="E40" s="11" t="str">
        <f>HYPERLINK("https://youtu.be/5Hb6yHmXlBA?t=6588","channel 2")</f>
        <v>channel 2</v>
      </c>
    </row>
    <row r="41">
      <c r="A41" s="118"/>
      <c r="B41" s="32" t="s">
        <v>1853</v>
      </c>
      <c r="C41" s="33" t="s">
        <v>319</v>
      </c>
      <c r="D41" s="32" t="s">
        <v>3702</v>
      </c>
      <c r="E41" s="11" t="str">
        <f>HYPERLINK("https://youtu.be/eL1TIR-xmDQ?t=7743","channel 1")</f>
        <v>channel 1</v>
      </c>
    </row>
    <row r="42">
      <c r="A42" s="118"/>
      <c r="B42" s="32" t="s">
        <v>417</v>
      </c>
      <c r="C42" s="33" t="s">
        <v>650</v>
      </c>
      <c r="D42" s="32" t="s">
        <v>2887</v>
      </c>
      <c r="E42" s="11" t="str">
        <f>HYPERLINK("https://youtu.be/5Hb6yHmXlBA?t=7490","channel 2")</f>
        <v>channel 2</v>
      </c>
    </row>
    <row r="43">
      <c r="A43" s="118"/>
      <c r="B43" s="32" t="s">
        <v>1851</v>
      </c>
      <c r="C43" s="33" t="s">
        <v>82</v>
      </c>
      <c r="D43" s="32" t="s">
        <v>3702</v>
      </c>
      <c r="E43" s="11" t="str">
        <f>HYPERLINK("https://youtu.be/eL1TIR-xmDQ?t=8560","channel 1")</f>
        <v>channel 1</v>
      </c>
    </row>
    <row r="44">
      <c r="A44" s="118"/>
      <c r="B44" s="32" t="s">
        <v>1853</v>
      </c>
      <c r="C44" s="33" t="s">
        <v>337</v>
      </c>
      <c r="D44" s="32" t="s">
        <v>2887</v>
      </c>
      <c r="E44" s="11" t="str">
        <f>HYPERLINK("https://youtu.be/5Hb6yHmXlBA?t=8379","channel 2")</f>
        <v>channel 2</v>
      </c>
    </row>
    <row r="45">
      <c r="A45" s="118"/>
      <c r="B45" s="72" t="s">
        <v>2713</v>
      </c>
      <c r="C45" s="2"/>
      <c r="D45" s="3"/>
      <c r="E45" s="4"/>
    </row>
    <row r="46">
      <c r="A46" s="118"/>
      <c r="B46" s="16" t="s">
        <v>2</v>
      </c>
      <c r="C46" s="16" t="s">
        <v>3</v>
      </c>
      <c r="D46" s="16" t="s">
        <v>4</v>
      </c>
      <c r="E46" s="6" t="s">
        <v>5</v>
      </c>
    </row>
    <row r="47">
      <c r="A47" s="118"/>
      <c r="B47" s="32" t="s">
        <v>3299</v>
      </c>
      <c r="C47" s="33" t="s">
        <v>196</v>
      </c>
      <c r="D47" s="32" t="s">
        <v>2778</v>
      </c>
      <c r="E47" s="11" t="str">
        <f>HYPERLINK("https://youtu.be/xH_ZxmCK2DY","channel 3")</f>
        <v>channel 3</v>
      </c>
    </row>
    <row r="48">
      <c r="A48" s="118"/>
      <c r="B48" s="32" t="s">
        <v>3703</v>
      </c>
      <c r="C48" s="33" t="s">
        <v>412</v>
      </c>
      <c r="D48" s="32" t="s">
        <v>2852</v>
      </c>
      <c r="E48" s="11" t="str">
        <f>HYPERLINK("https://youtu.be/ebRWNfK-DDA","channel 4")</f>
        <v>channel 4</v>
      </c>
    </row>
    <row r="49">
      <c r="A49" s="118"/>
      <c r="B49" s="32" t="s">
        <v>3704</v>
      </c>
      <c r="C49" s="33" t="s">
        <v>190</v>
      </c>
      <c r="D49" s="32" t="s">
        <v>3299</v>
      </c>
      <c r="E49" s="11" t="str">
        <f>HYPERLINK("https://youtu.be/xH_ZxmCK2DY?t=1010","channel 3")</f>
        <v>channel 3</v>
      </c>
    </row>
    <row r="50">
      <c r="A50" s="118"/>
      <c r="B50" s="32" t="s">
        <v>3703</v>
      </c>
      <c r="C50" s="33" t="s">
        <v>87</v>
      </c>
      <c r="D50" s="32" t="s">
        <v>2778</v>
      </c>
      <c r="E50" s="11" t="str">
        <f>HYPERLINK("https://youtu.be/ebRWNfK-DDA?t=973","channel 4")</f>
        <v>channel 4</v>
      </c>
    </row>
    <row r="51">
      <c r="A51" s="118"/>
      <c r="B51" s="32" t="s">
        <v>3704</v>
      </c>
      <c r="C51" s="33" t="s">
        <v>947</v>
      </c>
      <c r="D51" s="32" t="s">
        <v>2852</v>
      </c>
      <c r="E51" s="11" t="str">
        <f>HYPERLINK("https://youtu.be/xH_ZxmCK2DY?t=2074","channel 3")</f>
        <v>channel 3</v>
      </c>
    </row>
    <row r="52">
      <c r="A52" s="118"/>
      <c r="B52" s="32" t="s">
        <v>3703</v>
      </c>
      <c r="C52" s="33" t="s">
        <v>41</v>
      </c>
      <c r="D52" s="32" t="s">
        <v>3299</v>
      </c>
      <c r="E52" s="11" t="str">
        <f>HYPERLINK("https://youtu.be/ebRWNfK-DDA?t=1834","channel 4")</f>
        <v>channel 4</v>
      </c>
    </row>
    <row r="53">
      <c r="A53" s="118"/>
      <c r="B53" s="32" t="s">
        <v>3704</v>
      </c>
      <c r="C53" s="33" t="s">
        <v>80</v>
      </c>
      <c r="D53" s="32" t="s">
        <v>2778</v>
      </c>
      <c r="E53" s="11" t="str">
        <f>HYPERLINK("https://youtu.be/xH_ZxmCK2DY?t=3064","channel 3")</f>
        <v>channel 3</v>
      </c>
    </row>
    <row r="54">
      <c r="A54" s="118"/>
      <c r="B54" s="32" t="s">
        <v>2852</v>
      </c>
      <c r="C54" s="33" t="s">
        <v>201</v>
      </c>
      <c r="D54" s="32" t="s">
        <v>3299</v>
      </c>
      <c r="E54" s="11" t="str">
        <f>HYPERLINK("https://youtu.be/ebRWNfK-DDA?t=2757","channel 4")</f>
        <v>channel 4</v>
      </c>
    </row>
    <row r="55">
      <c r="A55" s="118"/>
      <c r="B55" s="32" t="s">
        <v>3704</v>
      </c>
      <c r="C55" s="33" t="s">
        <v>66</v>
      </c>
      <c r="D55" s="32" t="s">
        <v>3703</v>
      </c>
      <c r="E55" s="11" t="str">
        <f>HYPERLINK("https://youtu.be/xH_ZxmCK2DY?t=4030","channel 3")</f>
        <v>channel 3</v>
      </c>
    </row>
    <row r="56">
      <c r="A56" s="118"/>
      <c r="B56" s="32" t="s">
        <v>2852</v>
      </c>
      <c r="C56" s="33" t="s">
        <v>68</v>
      </c>
      <c r="D56" s="32" t="s">
        <v>2778</v>
      </c>
      <c r="E56" s="11" t="str">
        <f>HYPERLINK("https://youtu.be/ebRWNfK-DDA?t=3668","channel 4")</f>
        <v>channel 4</v>
      </c>
    </row>
    <row r="57">
      <c r="A57" s="118"/>
      <c r="B57" s="32" t="s">
        <v>2778</v>
      </c>
      <c r="C57" s="33" t="s">
        <v>251</v>
      </c>
      <c r="D57" s="32" t="s">
        <v>3299</v>
      </c>
      <c r="E57" s="11" t="str">
        <f>HYPERLINK("https://youtu.be/xH_ZxmCK2DY?t=5058","channel 3")</f>
        <v>channel 3</v>
      </c>
    </row>
    <row r="58">
      <c r="A58" s="118"/>
      <c r="B58" s="32" t="s">
        <v>2852</v>
      </c>
      <c r="C58" s="33" t="s">
        <v>11</v>
      </c>
      <c r="D58" s="32" t="s">
        <v>3703</v>
      </c>
      <c r="E58" s="11" t="str">
        <f>HYPERLINK("https://youtu.be/ebRWNfK-DDA?t=4690","channel 4")</f>
        <v>channel 4</v>
      </c>
    </row>
    <row r="59">
      <c r="A59" s="118"/>
      <c r="B59" s="32" t="s">
        <v>3299</v>
      </c>
      <c r="C59" s="33" t="s">
        <v>194</v>
      </c>
      <c r="D59" s="32" t="s">
        <v>3704</v>
      </c>
      <c r="E59" s="11" t="str">
        <f>HYPERLINK("https://youtu.be/xH_ZxmCK2DY?t=5954","channel 3")</f>
        <v>channel 3</v>
      </c>
    </row>
    <row r="60">
      <c r="A60" s="118"/>
      <c r="B60" s="32" t="s">
        <v>2778</v>
      </c>
      <c r="C60" s="33" t="s">
        <v>494</v>
      </c>
      <c r="D60" s="32" t="s">
        <v>3703</v>
      </c>
      <c r="E60" s="11" t="str">
        <f>HYPERLINK("https://youtu.be/ebRWNfK-DDA?t=5627","channel 4")</f>
        <v>channel 4</v>
      </c>
    </row>
    <row r="61">
      <c r="A61" s="118"/>
      <c r="B61" s="32" t="s">
        <v>2852</v>
      </c>
      <c r="C61" s="33" t="s">
        <v>416</v>
      </c>
      <c r="D61" s="32" t="s">
        <v>3704</v>
      </c>
      <c r="E61" s="11" t="str">
        <f>HYPERLINK("https://youtu.be/xH_ZxmCK2DY?t=6864","channel 3")</f>
        <v>channel 3</v>
      </c>
    </row>
    <row r="62">
      <c r="A62" s="118"/>
      <c r="B62" s="32" t="s">
        <v>3299</v>
      </c>
      <c r="C62" s="33" t="s">
        <v>218</v>
      </c>
      <c r="D62" s="32" t="s">
        <v>3703</v>
      </c>
      <c r="E62" s="11" t="str">
        <f>HYPERLINK("https://youtu.be/ebRWNfK-DDA?t=6554","channel 4")</f>
        <v>channel 4</v>
      </c>
    </row>
    <row r="63">
      <c r="A63" s="118"/>
      <c r="B63" s="32" t="s">
        <v>2778</v>
      </c>
      <c r="C63" s="33" t="s">
        <v>196</v>
      </c>
      <c r="D63" s="32" t="s">
        <v>3704</v>
      </c>
      <c r="E63" s="11" t="str">
        <f>HYPERLINK("https://youtu.be/xH_ZxmCK2DY?t=7831","channel 3")</f>
        <v>channel 3</v>
      </c>
    </row>
    <row r="64">
      <c r="A64" s="118"/>
      <c r="B64" s="32" t="s">
        <v>3299</v>
      </c>
      <c r="C64" s="33" t="s">
        <v>195</v>
      </c>
      <c r="D64" s="32" t="s">
        <v>2852</v>
      </c>
      <c r="E64" s="11" t="str">
        <f>HYPERLINK("https://youtu.be/ebRWNfK-DDA?t=7534","channel 4")</f>
        <v>channel 4</v>
      </c>
    </row>
    <row r="65">
      <c r="A65" s="118"/>
      <c r="B65" s="32" t="s">
        <v>3703</v>
      </c>
      <c r="C65" s="33" t="s">
        <v>260</v>
      </c>
      <c r="D65" s="32" t="s">
        <v>3704</v>
      </c>
      <c r="E65" s="11" t="str">
        <f>HYPERLINK("https://youtu.be/xH_ZxmCK2DY?t=8796","channel 3")</f>
        <v>channel 3</v>
      </c>
    </row>
    <row r="66">
      <c r="A66" s="118"/>
      <c r="B66" s="32" t="s">
        <v>2778</v>
      </c>
      <c r="C66" s="33" t="s">
        <v>1342</v>
      </c>
      <c r="D66" s="32" t="s">
        <v>2852</v>
      </c>
      <c r="E66" s="11" t="str">
        <f>HYPERLINK("https://youtu.be/ebRWNfK-DDA?t=8439","channel 4")</f>
        <v>channel 4</v>
      </c>
    </row>
    <row r="67">
      <c r="A67" s="118"/>
      <c r="B67" s="72" t="s">
        <v>2603</v>
      </c>
      <c r="C67" s="2"/>
      <c r="D67" s="3"/>
      <c r="E67" s="4"/>
    </row>
    <row r="68">
      <c r="A68" s="118"/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118"/>
      <c r="B69" s="32" t="s">
        <v>3412</v>
      </c>
      <c r="C69" s="33" t="s">
        <v>196</v>
      </c>
      <c r="D69" s="32" t="s">
        <v>3102</v>
      </c>
      <c r="E69" s="11" t="str">
        <f>HYPERLINK("https://youtu.be/-uo33Dp20sU","channel 3")</f>
        <v>channel 3</v>
      </c>
    </row>
    <row r="70">
      <c r="A70" s="118"/>
      <c r="B70" s="32" t="s">
        <v>3705</v>
      </c>
      <c r="C70" s="33" t="s">
        <v>258</v>
      </c>
      <c r="D70" s="32" t="s">
        <v>660</v>
      </c>
      <c r="E70" s="11" t="str">
        <f>HYPERLINK("https://youtu.be/4xDyQjFX_I8","channel 4")</f>
        <v>channel 4</v>
      </c>
    </row>
    <row r="71">
      <c r="A71" s="118"/>
      <c r="B71" s="32" t="s">
        <v>3706</v>
      </c>
      <c r="C71" s="33" t="s">
        <v>62</v>
      </c>
      <c r="D71" s="32" t="s">
        <v>3412</v>
      </c>
      <c r="E71" s="11" t="str">
        <f>HYPERLINK("https://youtu.be/-uo33Dp20sU?t=920","channel 3")</f>
        <v>channel 3</v>
      </c>
    </row>
    <row r="72">
      <c r="A72" s="118"/>
      <c r="B72" s="32" t="s">
        <v>3705</v>
      </c>
      <c r="C72" s="33" t="s">
        <v>190</v>
      </c>
      <c r="D72" s="32" t="s">
        <v>3102</v>
      </c>
      <c r="E72" s="11" t="str">
        <f>HYPERLINK("https://youtu.be/4xDyQjFX_I8?t=1011","channel 4")</f>
        <v>channel 4</v>
      </c>
    </row>
    <row r="73">
      <c r="A73" s="118"/>
      <c r="B73" s="32" t="s">
        <v>3706</v>
      </c>
      <c r="C73" s="33" t="s">
        <v>260</v>
      </c>
      <c r="D73" s="32" t="s">
        <v>660</v>
      </c>
      <c r="E73" s="11" t="str">
        <f>HYPERLINK("https://youtu.be/-uo33Dp20sU?t=1867","channel 3")</f>
        <v>channel 3</v>
      </c>
    </row>
    <row r="74">
      <c r="A74" s="118"/>
      <c r="B74" s="32" t="s">
        <v>3705</v>
      </c>
      <c r="C74" s="33" t="s">
        <v>196</v>
      </c>
      <c r="D74" s="32" t="s">
        <v>3412</v>
      </c>
      <c r="E74" s="11" t="str">
        <f>HYPERLINK("https://youtu.be/4xDyQjFX_I8?t=1990","channel 4")</f>
        <v>channel 4</v>
      </c>
    </row>
    <row r="75">
      <c r="A75" s="118"/>
      <c r="B75" s="32" t="s">
        <v>3706</v>
      </c>
      <c r="C75" s="33" t="s">
        <v>48</v>
      </c>
      <c r="D75" s="32" t="s">
        <v>3102</v>
      </c>
      <c r="E75" s="11" t="str">
        <f>HYPERLINK("https://youtu.be/-uo33Dp20sU?t=2790","channel 3")</f>
        <v>channel 3</v>
      </c>
    </row>
    <row r="76">
      <c r="A76" s="118"/>
      <c r="B76" s="32" t="s">
        <v>660</v>
      </c>
      <c r="C76" s="33" t="s">
        <v>193</v>
      </c>
      <c r="D76" s="32" t="s">
        <v>3412</v>
      </c>
      <c r="E76" s="11" t="str">
        <f>HYPERLINK("https://youtu.be/4xDyQjFX_I8?t=2936","channel 4")</f>
        <v>channel 4</v>
      </c>
    </row>
    <row r="77">
      <c r="A77" s="118"/>
      <c r="B77" s="32" t="s">
        <v>3706</v>
      </c>
      <c r="C77" s="33" t="s">
        <v>64</v>
      </c>
      <c r="D77" s="32" t="s">
        <v>3705</v>
      </c>
      <c r="E77" s="11" t="str">
        <f>HYPERLINK("https://youtu.be/-uo33Dp20sU?t=3679","channel 3")</f>
        <v>channel 3</v>
      </c>
    </row>
    <row r="78">
      <c r="A78" s="118"/>
      <c r="B78" s="32" t="s">
        <v>660</v>
      </c>
      <c r="C78" s="33" t="s">
        <v>797</v>
      </c>
      <c r="D78" s="32" t="s">
        <v>3102</v>
      </c>
      <c r="E78" s="11" t="str">
        <f>HYPERLINK("https://youtu.be/4xDyQjFX_I8?t=3778","channel 4")</f>
        <v>channel 4</v>
      </c>
    </row>
    <row r="79">
      <c r="A79" s="118"/>
      <c r="B79" s="32" t="s">
        <v>3102</v>
      </c>
      <c r="C79" s="33" t="s">
        <v>3555</v>
      </c>
      <c r="D79" s="32" t="s">
        <v>3412</v>
      </c>
      <c r="E79" s="11" t="str">
        <f>HYPERLINK("https://youtu.be/-uo33Dp20sU?t=4696","channel 3")</f>
        <v>channel 3</v>
      </c>
    </row>
    <row r="80">
      <c r="A80" s="118"/>
      <c r="B80" s="32" t="s">
        <v>660</v>
      </c>
      <c r="C80" s="33" t="s">
        <v>17</v>
      </c>
      <c r="D80" s="32" t="s">
        <v>3705</v>
      </c>
      <c r="E80" s="11" t="str">
        <f>HYPERLINK("https://youtu.be/4xDyQjFX_I8?t=4673","channel 4")</f>
        <v>channel 4</v>
      </c>
    </row>
    <row r="81">
      <c r="A81" s="118"/>
      <c r="B81" s="32" t="s">
        <v>3412</v>
      </c>
      <c r="C81" s="33" t="s">
        <v>416</v>
      </c>
      <c r="D81" s="32" t="s">
        <v>3706</v>
      </c>
      <c r="E81" s="11" t="str">
        <f>HYPERLINK("https://youtu.be/-uo33Dp20sU?t=5606","channel 3")</f>
        <v>channel 3</v>
      </c>
    </row>
    <row r="82">
      <c r="A82" s="118"/>
      <c r="B82" s="32" t="s">
        <v>3102</v>
      </c>
      <c r="C82" s="33" t="s">
        <v>289</v>
      </c>
      <c r="D82" s="32" t="s">
        <v>3705</v>
      </c>
      <c r="E82" s="11" t="str">
        <f>HYPERLINK("https://youtu.be/4xDyQjFX_I8?t=5610","channel 4")</f>
        <v>channel 4</v>
      </c>
    </row>
    <row r="83">
      <c r="A83" s="118"/>
      <c r="B83" s="32" t="s">
        <v>660</v>
      </c>
      <c r="C83" s="33" t="s">
        <v>201</v>
      </c>
      <c r="D83" s="32" t="s">
        <v>3706</v>
      </c>
      <c r="E83" s="11" t="str">
        <f>HYPERLINK("https://youtu.be/-uo33Dp20sU?t=6579","channel 3")</f>
        <v>channel 3</v>
      </c>
    </row>
    <row r="84">
      <c r="A84" s="118"/>
      <c r="B84" s="32" t="s">
        <v>3412</v>
      </c>
      <c r="C84" s="33" t="s">
        <v>58</v>
      </c>
      <c r="D84" s="32" t="s">
        <v>3705</v>
      </c>
      <c r="E84" s="11" t="str">
        <f>HYPERLINK("https://youtu.be/4xDyQjFX_I8?t=6543","channel 4")</f>
        <v>channel 4</v>
      </c>
    </row>
    <row r="85">
      <c r="A85" s="118"/>
      <c r="B85" s="32" t="s">
        <v>3102</v>
      </c>
      <c r="C85" s="33" t="s">
        <v>1465</v>
      </c>
      <c r="D85" s="32" t="s">
        <v>3706</v>
      </c>
      <c r="E85" s="11" t="str">
        <f>HYPERLINK("https://youtu.be/-uo33Dp20sU?t=7474","channel 3")</f>
        <v>channel 3</v>
      </c>
    </row>
    <row r="86">
      <c r="A86" s="118"/>
      <c r="B86" s="32" t="s">
        <v>3412</v>
      </c>
      <c r="C86" s="33" t="s">
        <v>35</v>
      </c>
      <c r="D86" s="32" t="s">
        <v>660</v>
      </c>
      <c r="E86" s="11" t="str">
        <f>HYPERLINK("https://youtu.be/4xDyQjFX_I8?t=7435","channel 4")</f>
        <v>channel 4</v>
      </c>
    </row>
    <row r="87">
      <c r="A87" s="118"/>
      <c r="B87" s="32" t="s">
        <v>3705</v>
      </c>
      <c r="C87" s="33" t="s">
        <v>626</v>
      </c>
      <c r="D87" s="32" t="s">
        <v>3706</v>
      </c>
      <c r="E87" s="11" t="str">
        <f>HYPERLINK("https://youtu.be/-uo33Dp20sU?t=8411","channel 3")</f>
        <v>channel 3</v>
      </c>
    </row>
    <row r="88">
      <c r="A88" s="118"/>
      <c r="B88" s="32" t="s">
        <v>3102</v>
      </c>
      <c r="C88" s="33" t="s">
        <v>66</v>
      </c>
      <c r="D88" s="32" t="s">
        <v>660</v>
      </c>
      <c r="E88" s="11" t="str">
        <f>HYPERLINK("https://youtu.be/4xDyQjFX_I8?t=8364","channel 4")</f>
        <v>channel 4</v>
      </c>
    </row>
    <row r="89">
      <c r="A89" s="118"/>
      <c r="B89" s="72" t="s">
        <v>2554</v>
      </c>
      <c r="C89" s="2"/>
      <c r="D89" s="3"/>
      <c r="E89" s="4"/>
    </row>
    <row r="90">
      <c r="A90" s="118"/>
      <c r="B90" s="16" t="s">
        <v>2</v>
      </c>
      <c r="C90" s="16" t="s">
        <v>3</v>
      </c>
      <c r="D90" s="16" t="s">
        <v>4</v>
      </c>
      <c r="E90" s="131" t="s">
        <v>5</v>
      </c>
    </row>
    <row r="91">
      <c r="A91" s="118"/>
      <c r="B91" s="32" t="s">
        <v>3577</v>
      </c>
      <c r="C91" s="33" t="s">
        <v>83</v>
      </c>
      <c r="D91" s="32" t="s">
        <v>3707</v>
      </c>
      <c r="E91" s="11" t="str">
        <f>HYPERLINK("https://youtu.be/49pmzjqHwI8","channel 1")</f>
        <v>channel 1</v>
      </c>
    </row>
    <row r="92">
      <c r="A92" s="118"/>
      <c r="B92" s="32" t="s">
        <v>3708</v>
      </c>
      <c r="C92" s="33" t="s">
        <v>950</v>
      </c>
      <c r="D92" s="32" t="s">
        <v>3215</v>
      </c>
      <c r="E92" s="11" t="str">
        <f>HYPERLINK("https://youtu.be/epBtfhYiZBc","channel 2")</f>
        <v>channel 2</v>
      </c>
    </row>
    <row r="93">
      <c r="A93" s="118"/>
      <c r="B93" s="32" t="s">
        <v>3558</v>
      </c>
      <c r="C93" s="33" t="s">
        <v>651</v>
      </c>
      <c r="D93" s="32" t="s">
        <v>3577</v>
      </c>
      <c r="E93" s="11" t="str">
        <f>HYPERLINK("https://youtu.be/49pmzjqHwI8?t=1052","channel 1")</f>
        <v>channel 1</v>
      </c>
    </row>
    <row r="94">
      <c r="A94" s="118"/>
      <c r="B94" s="32" t="s">
        <v>3708</v>
      </c>
      <c r="C94" s="33" t="s">
        <v>193</v>
      </c>
      <c r="D94" s="32" t="s">
        <v>3707</v>
      </c>
      <c r="E94" s="11" t="str">
        <f>HYPERLINK("https://youtu.be/epBtfhYiZBc?t=1062","channel 2")</f>
        <v>channel 2</v>
      </c>
    </row>
    <row r="95">
      <c r="A95" s="118"/>
      <c r="B95" s="32" t="s">
        <v>3558</v>
      </c>
      <c r="C95" s="33" t="s">
        <v>64</v>
      </c>
      <c r="D95" s="32" t="s">
        <v>3215</v>
      </c>
      <c r="E95" s="11" t="str">
        <f>HYPERLINK("https://youtu.be/49pmzjqHwI8?t=2018","channel 1")</f>
        <v>channel 1</v>
      </c>
    </row>
    <row r="96">
      <c r="A96" s="118"/>
      <c r="B96" s="32" t="s">
        <v>3708</v>
      </c>
      <c r="C96" s="33" t="s">
        <v>249</v>
      </c>
      <c r="D96" s="32" t="s">
        <v>3577</v>
      </c>
      <c r="E96" s="11" t="str">
        <f>HYPERLINK("https://youtu.be/epBtfhYiZBc?t=2044","channel 2")</f>
        <v>channel 2</v>
      </c>
    </row>
    <row r="97">
      <c r="A97" s="118"/>
      <c r="B97" s="32" t="s">
        <v>3558</v>
      </c>
      <c r="C97" s="33" t="s">
        <v>22</v>
      </c>
      <c r="D97" s="32" t="s">
        <v>3707</v>
      </c>
      <c r="E97" s="11" t="str">
        <f>HYPERLINK("https://youtu.be/49pmzjqHwI8?t=3009","channel 1")</f>
        <v>channel 1</v>
      </c>
    </row>
    <row r="98">
      <c r="A98" s="118"/>
      <c r="B98" s="32" t="s">
        <v>3215</v>
      </c>
      <c r="C98" s="33" t="s">
        <v>494</v>
      </c>
      <c r="D98" s="32" t="s">
        <v>3577</v>
      </c>
      <c r="E98" s="11" t="str">
        <f>HYPERLINK("https://youtu.be/epBtfhYiZBc?t=3021","channel 2")</f>
        <v>channel 2</v>
      </c>
    </row>
    <row r="99">
      <c r="A99" s="118"/>
      <c r="B99" s="32" t="s">
        <v>3558</v>
      </c>
      <c r="C99" s="33" t="s">
        <v>239</v>
      </c>
      <c r="D99" s="32" t="s">
        <v>3708</v>
      </c>
      <c r="E99" s="11" t="str">
        <f>HYPERLINK("https://youtu.be/49pmzjqHwI8?t=3927","channel 1")</f>
        <v>channel 1</v>
      </c>
    </row>
    <row r="100">
      <c r="A100" s="118"/>
      <c r="B100" s="32" t="s">
        <v>3215</v>
      </c>
      <c r="C100" s="33" t="s">
        <v>196</v>
      </c>
      <c r="D100" s="32" t="s">
        <v>3707</v>
      </c>
      <c r="E100" s="11" t="str">
        <f>HYPERLINK("https://youtu.be/epBtfhYiZBc?t=4001","channel 2")</f>
        <v>channel 2</v>
      </c>
    </row>
    <row r="101">
      <c r="A101" s="118"/>
      <c r="B101" s="32" t="s">
        <v>3707</v>
      </c>
      <c r="C101" s="33" t="s">
        <v>44</v>
      </c>
      <c r="D101" s="32" t="s">
        <v>3577</v>
      </c>
      <c r="E101" s="11" t="str">
        <f>HYPERLINK("https://youtu.be/49pmzjqHwI8?t=4914","channel 1")</f>
        <v>channel 1</v>
      </c>
    </row>
    <row r="102">
      <c r="A102" s="118"/>
      <c r="B102" s="32" t="s">
        <v>3215</v>
      </c>
      <c r="C102" s="33" t="s">
        <v>297</v>
      </c>
      <c r="D102" s="32" t="s">
        <v>3708</v>
      </c>
      <c r="E102" s="11" t="str">
        <f>HYPERLINK("https://youtu.be/epBtfhYiZBc?t=4971","channel 2")</f>
        <v>channel 2</v>
      </c>
    </row>
    <row r="103">
      <c r="A103" s="118"/>
      <c r="B103" s="32" t="s">
        <v>3577</v>
      </c>
      <c r="C103" s="33" t="s">
        <v>83</v>
      </c>
      <c r="D103" s="32" t="s">
        <v>3558</v>
      </c>
      <c r="E103" s="11" t="str">
        <f>HYPERLINK("https://youtu.be/49pmzjqHwI8?t=5876","channel 1")</f>
        <v>channel 1</v>
      </c>
    </row>
    <row r="104">
      <c r="A104" s="118"/>
      <c r="B104" s="32" t="s">
        <v>3707</v>
      </c>
      <c r="C104" s="33" t="s">
        <v>22</v>
      </c>
      <c r="D104" s="32" t="s">
        <v>3708</v>
      </c>
      <c r="E104" s="11" t="str">
        <f>HYPERLINK("https://youtu.be/epBtfhYiZBc?t=5967","channel 2")</f>
        <v>channel 2</v>
      </c>
    </row>
    <row r="105">
      <c r="A105" s="118"/>
      <c r="B105" s="32" t="s">
        <v>3215</v>
      </c>
      <c r="C105" s="33" t="s">
        <v>260</v>
      </c>
      <c r="D105" s="32" t="s">
        <v>3558</v>
      </c>
      <c r="E105" s="11" t="str">
        <f>HYPERLINK("https://youtu.be/49pmzjqHwI8?t=6889","channel 1")</f>
        <v>channel 1</v>
      </c>
    </row>
    <row r="106">
      <c r="A106" s="118"/>
      <c r="B106" s="32" t="s">
        <v>3577</v>
      </c>
      <c r="C106" s="33" t="s">
        <v>20</v>
      </c>
      <c r="D106" s="32" t="s">
        <v>3708</v>
      </c>
      <c r="E106" s="11" t="str">
        <f>HYPERLINK("https://youtu.be/epBtfhYiZBc?t=6860","channel 2")</f>
        <v>channel 2</v>
      </c>
    </row>
    <row r="107">
      <c r="A107" s="118"/>
      <c r="B107" s="32" t="s">
        <v>3707</v>
      </c>
      <c r="C107" s="33" t="s">
        <v>814</v>
      </c>
      <c r="D107" s="32" t="s">
        <v>3558</v>
      </c>
      <c r="E107" s="11" t="str">
        <f>HYPERLINK("https://youtu.be/49pmzjqHwI8?t=7795","channel 1")</f>
        <v>channel 1</v>
      </c>
    </row>
    <row r="108">
      <c r="A108" s="118"/>
      <c r="B108" s="32" t="s">
        <v>3577</v>
      </c>
      <c r="C108" s="33" t="s">
        <v>853</v>
      </c>
      <c r="D108" s="32" t="s">
        <v>3215</v>
      </c>
      <c r="E108" s="11" t="str">
        <f>HYPERLINK("https://youtu.be/epBtfhYiZBc?t=7894","channel 2")</f>
        <v>channel 2</v>
      </c>
    </row>
    <row r="109">
      <c r="A109" s="118"/>
      <c r="B109" s="32" t="s">
        <v>3708</v>
      </c>
      <c r="C109" s="33" t="s">
        <v>460</v>
      </c>
      <c r="D109" s="32" t="s">
        <v>3558</v>
      </c>
      <c r="E109" s="11" t="str">
        <f>HYPERLINK("https://youtu.be/49pmzjqHwI8?t=8659","channel 1")</f>
        <v>channel 1</v>
      </c>
    </row>
    <row r="110">
      <c r="A110" s="118"/>
      <c r="B110" s="32" t="s">
        <v>3707</v>
      </c>
      <c r="C110" s="33" t="s">
        <v>17</v>
      </c>
      <c r="D110" s="32" t="s">
        <v>3215</v>
      </c>
      <c r="E110" s="11" t="str">
        <f>HYPERLINK("https://youtu.be/epBtfhYiZBc?t=8803","channel 2")</f>
        <v>channel 2</v>
      </c>
    </row>
    <row r="111">
      <c r="A111" s="118"/>
      <c r="B111" s="72" t="s">
        <v>1435</v>
      </c>
      <c r="C111" s="2"/>
      <c r="D111" s="3"/>
      <c r="E111" s="4"/>
    </row>
    <row r="112">
      <c r="A112" s="118"/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A113" s="118"/>
      <c r="B113" s="32" t="s">
        <v>3709</v>
      </c>
      <c r="C113" s="33" t="s">
        <v>1952</v>
      </c>
      <c r="D113" s="32" t="s">
        <v>1511</v>
      </c>
      <c r="E113" s="11" t="str">
        <f>HYPERLINK("https://youtu.be/Of_jAz8q5NM","channel 1")</f>
        <v>channel 1</v>
      </c>
    </row>
    <row r="114">
      <c r="A114" s="118"/>
      <c r="B114" s="32" t="s">
        <v>3509</v>
      </c>
      <c r="C114" s="33" t="s">
        <v>44</v>
      </c>
      <c r="D114" s="32" t="s">
        <v>3171</v>
      </c>
      <c r="E114" s="11" t="str">
        <f>HYPERLINK("https://youtu.be/uBlQPgLeOyA","channel 2")</f>
        <v>channel 2</v>
      </c>
    </row>
    <row r="115">
      <c r="A115" s="118"/>
      <c r="B115" s="32" t="s">
        <v>3702</v>
      </c>
      <c r="C115" s="33" t="s">
        <v>2177</v>
      </c>
      <c r="D115" s="32" t="s">
        <v>3709</v>
      </c>
      <c r="E115" s="11" t="str">
        <f>HYPERLINK("https://youtu.be/Of_jAz8q5NM?t=1110","channel 1")</f>
        <v>channel 1</v>
      </c>
    </row>
    <row r="116">
      <c r="A116" s="118"/>
      <c r="B116" s="32" t="s">
        <v>3509</v>
      </c>
      <c r="C116" s="33" t="s">
        <v>23</v>
      </c>
      <c r="D116" s="32" t="s">
        <v>1511</v>
      </c>
      <c r="E116" s="11" t="str">
        <f>HYPERLINK("https://youtu.be/uBlQPgLeOyA?t=1043","channel 2")</f>
        <v>channel 2</v>
      </c>
    </row>
    <row r="117">
      <c r="A117" s="118"/>
      <c r="B117" s="32" t="s">
        <v>3702</v>
      </c>
      <c r="C117" s="33" t="s">
        <v>267</v>
      </c>
      <c r="D117" s="32" t="s">
        <v>3171</v>
      </c>
      <c r="E117" s="11" t="str">
        <f>HYPERLINK("https://youtu.be/Of_jAz8q5NM?t=2096","channel 1")</f>
        <v>channel 1</v>
      </c>
    </row>
    <row r="118">
      <c r="A118" s="118"/>
      <c r="B118" s="32" t="s">
        <v>3509</v>
      </c>
      <c r="C118" s="33" t="s">
        <v>11</v>
      </c>
      <c r="D118" s="32" t="s">
        <v>3709</v>
      </c>
      <c r="E118" s="11" t="str">
        <f>HYPERLINK("https://youtu.be/uBlQPgLeOyA?t=2004","channel 2")</f>
        <v>channel 2</v>
      </c>
    </row>
    <row r="119">
      <c r="A119" s="118"/>
      <c r="B119" s="32" t="s">
        <v>3702</v>
      </c>
      <c r="C119" s="33" t="s">
        <v>81</v>
      </c>
      <c r="D119" s="32" t="s">
        <v>1511</v>
      </c>
      <c r="E119" s="11" t="str">
        <f>HYPERLINK("https://youtu.be/Of_jAz8q5NM?t=3070","channel 1")</f>
        <v>channel 1</v>
      </c>
    </row>
    <row r="120">
      <c r="A120" s="118"/>
      <c r="B120" s="32" t="s">
        <v>3171</v>
      </c>
      <c r="C120" s="33" t="s">
        <v>218</v>
      </c>
      <c r="D120" s="32" t="s">
        <v>3709</v>
      </c>
      <c r="E120" s="11" t="str">
        <f>HYPERLINK("https://youtu.be/uBlQPgLeOyA?t=2978","channel 2")</f>
        <v>channel 2</v>
      </c>
    </row>
    <row r="121">
      <c r="A121" s="118"/>
      <c r="B121" s="32" t="s">
        <v>3702</v>
      </c>
      <c r="C121" s="33" t="s">
        <v>31</v>
      </c>
      <c r="D121" s="32" t="s">
        <v>3509</v>
      </c>
      <c r="E121" s="11" t="str">
        <f>HYPERLINK("https://youtu.be/Of_jAz8q5NM?t=3953","channel 1")</f>
        <v>channel 1</v>
      </c>
    </row>
    <row r="122">
      <c r="A122" s="118"/>
      <c r="B122" s="32" t="s">
        <v>3171</v>
      </c>
      <c r="C122" s="33" t="s">
        <v>81</v>
      </c>
      <c r="D122" s="32" t="s">
        <v>1511</v>
      </c>
      <c r="E122" s="11" t="str">
        <f>HYPERLINK("https://youtu.be/uBlQPgLeOyA?t=3895","channel 2")</f>
        <v>channel 2</v>
      </c>
    </row>
    <row r="123">
      <c r="A123" s="118"/>
      <c r="B123" s="32" t="s">
        <v>1511</v>
      </c>
      <c r="C123" s="33" t="s">
        <v>24</v>
      </c>
      <c r="D123" s="32" t="s">
        <v>3709</v>
      </c>
      <c r="E123" s="11" t="str">
        <f>HYPERLINK("https://youtu.be/Of_jAz8q5NM?t=4925","channel 1")</f>
        <v>channel 1</v>
      </c>
    </row>
    <row r="124">
      <c r="A124" s="118"/>
      <c r="B124" s="32" t="s">
        <v>3171</v>
      </c>
      <c r="C124" s="33" t="s">
        <v>49</v>
      </c>
      <c r="D124" s="32" t="s">
        <v>3509</v>
      </c>
      <c r="E124" s="11" t="str">
        <f>HYPERLINK("https://youtu.be/uBlQPgLeOyA?t=4877","channel 2")</f>
        <v>channel 2</v>
      </c>
    </row>
    <row r="125">
      <c r="A125" s="118"/>
      <c r="B125" s="32" t="s">
        <v>3709</v>
      </c>
      <c r="C125" s="33" t="s">
        <v>220</v>
      </c>
      <c r="D125" s="32" t="s">
        <v>3702</v>
      </c>
      <c r="E125" s="11" t="str">
        <f>HYPERLINK("https://youtu.be/Of_jAz8q5NM?t=5884","channel 1")</f>
        <v>channel 1</v>
      </c>
    </row>
    <row r="126">
      <c r="A126" s="118"/>
      <c r="B126" s="32" t="s">
        <v>1511</v>
      </c>
      <c r="C126" s="33" t="s">
        <v>48</v>
      </c>
      <c r="D126" s="32" t="s">
        <v>3509</v>
      </c>
      <c r="E126" s="11" t="str">
        <f>HYPERLINK("https://youtu.be/uBlQPgLeOyA?t=5891","channel 2")</f>
        <v>channel 2</v>
      </c>
    </row>
    <row r="127">
      <c r="A127" s="118"/>
      <c r="B127" s="32" t="s">
        <v>3171</v>
      </c>
      <c r="C127" s="33" t="s">
        <v>1025</v>
      </c>
      <c r="D127" s="32" t="s">
        <v>3702</v>
      </c>
      <c r="E127" s="11" t="str">
        <f>HYPERLINK("https://youtu.be/Of_jAz8q5NM?t=6876","channel 1")</f>
        <v>channel 1</v>
      </c>
    </row>
    <row r="128">
      <c r="A128" s="118"/>
      <c r="B128" s="32" t="s">
        <v>3709</v>
      </c>
      <c r="C128" s="33" t="s">
        <v>706</v>
      </c>
      <c r="D128" s="32" t="s">
        <v>3509</v>
      </c>
      <c r="E128" s="11" t="str">
        <f>HYPERLINK("https://youtu.be/uBlQPgLeOyA?t=6812","channel 2")</f>
        <v>channel 2</v>
      </c>
    </row>
    <row r="129">
      <c r="A129" s="118"/>
      <c r="B129" s="32" t="s">
        <v>1511</v>
      </c>
      <c r="C129" s="33" t="s">
        <v>19</v>
      </c>
      <c r="D129" s="32" t="s">
        <v>3702</v>
      </c>
      <c r="E129" s="11" t="str">
        <f>HYPERLINK("https://youtu.be/Of_jAz8q5NM?t=7772","channel 1")</f>
        <v>channel 1</v>
      </c>
    </row>
    <row r="130">
      <c r="A130" s="118"/>
      <c r="B130" s="32" t="s">
        <v>3709</v>
      </c>
      <c r="C130" s="33" t="s">
        <v>268</v>
      </c>
      <c r="D130" s="32" t="s">
        <v>3171</v>
      </c>
      <c r="E130" s="11" t="str">
        <f>HYPERLINK("https://youtu.be/uBlQPgLeOyA?t=7708","channel 2")</f>
        <v>channel 2</v>
      </c>
    </row>
    <row r="131">
      <c r="A131" s="118"/>
      <c r="B131" s="32" t="s">
        <v>3509</v>
      </c>
      <c r="C131" s="33" t="s">
        <v>19</v>
      </c>
      <c r="D131" s="32" t="s">
        <v>3702</v>
      </c>
      <c r="E131" s="11" t="str">
        <f>HYPERLINK("https://youtu.be/Of_jAz8q5NM?t=8645","channel 1")</f>
        <v>channel 1</v>
      </c>
    </row>
    <row r="132">
      <c r="A132" s="122"/>
      <c r="B132" s="32" t="s">
        <v>1511</v>
      </c>
      <c r="C132" s="33" t="s">
        <v>321</v>
      </c>
      <c r="D132" s="32" t="s">
        <v>3171</v>
      </c>
      <c r="E132" s="11" t="str">
        <f>HYPERLINK("https://youtu.be/uBlQPgLeOyA?t=8629","channel 2")</f>
        <v>channel 2</v>
      </c>
    </row>
    <row r="133">
      <c r="B133" s="72" t="s">
        <v>2727</v>
      </c>
      <c r="C133" s="2"/>
      <c r="D133" s="3"/>
      <c r="E133" s="2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34" t="s">
        <v>3710</v>
      </c>
      <c r="C135" s="33" t="s">
        <v>22</v>
      </c>
      <c r="D135" s="32" t="s">
        <v>3711</v>
      </c>
      <c r="E135" s="132" t="str">
        <f>HYPERLINK("https://youtu.be/96fXxed17yY","channel 3")</f>
        <v>channel 3</v>
      </c>
    </row>
    <row r="136">
      <c r="B136" s="34" t="s">
        <v>3712</v>
      </c>
      <c r="C136" s="33" t="s">
        <v>239</v>
      </c>
      <c r="D136" s="32" t="s">
        <v>3713</v>
      </c>
      <c r="E136" s="132" t="str">
        <f>HYPERLINK("https://youtu.be/lvCb9OWUG1o","channel 4")</f>
        <v>channel 4</v>
      </c>
    </row>
    <row r="137">
      <c r="B137" s="34" t="s">
        <v>3714</v>
      </c>
      <c r="C137" s="33" t="s">
        <v>52</v>
      </c>
      <c r="D137" s="32" t="s">
        <v>3710</v>
      </c>
      <c r="E137" s="132" t="str">
        <f>HYPERLINK("https://youtu.be/96fXxed17yY?t=941","channel 3")</f>
        <v>channel 3</v>
      </c>
    </row>
    <row r="138">
      <c r="B138" s="34" t="s">
        <v>3712</v>
      </c>
      <c r="C138" s="33" t="s">
        <v>249</v>
      </c>
      <c r="D138" s="32" t="s">
        <v>3711</v>
      </c>
      <c r="E138" s="132" t="str">
        <f>HYPERLINK("https://youtu.be/lvCb9OWUG1o?t=955","channel 4")</f>
        <v>channel 4</v>
      </c>
    </row>
    <row r="139">
      <c r="B139" s="34" t="s">
        <v>3714</v>
      </c>
      <c r="C139" s="33" t="s">
        <v>11</v>
      </c>
      <c r="D139" s="32" t="s">
        <v>3713</v>
      </c>
      <c r="E139" s="132" t="str">
        <f>HYPERLINK("https://youtu.be/96fXxed17yY?t=1854","channel 3")</f>
        <v>channel 3</v>
      </c>
    </row>
    <row r="140">
      <c r="B140" s="34" t="s">
        <v>3712</v>
      </c>
      <c r="C140" s="33" t="s">
        <v>2270</v>
      </c>
      <c r="D140" s="32" t="s">
        <v>3710</v>
      </c>
      <c r="E140" s="132" t="str">
        <f>HYPERLINK("https://youtu.be/lvCb9OWUG1o?t=1859","channel 4")</f>
        <v>channel 4</v>
      </c>
    </row>
    <row r="141">
      <c r="B141" s="34" t="s">
        <v>3714</v>
      </c>
      <c r="C141" s="33" t="s">
        <v>1465</v>
      </c>
      <c r="D141" s="32" t="s">
        <v>3711</v>
      </c>
      <c r="E141" s="132" t="str">
        <f>HYPERLINK("https://youtu.be/96fXxed17yY?t=2758","channel 3")</f>
        <v>channel 3</v>
      </c>
    </row>
    <row r="142">
      <c r="B142" s="34" t="s">
        <v>3713</v>
      </c>
      <c r="C142" s="33" t="s">
        <v>285</v>
      </c>
      <c r="D142" s="32" t="s">
        <v>3710</v>
      </c>
      <c r="E142" s="133" t="str">
        <f>HYPERLINK("https://youtu.be/lvCb9OWUG1o?t=2835","channel 4")</f>
        <v>channel 4</v>
      </c>
    </row>
    <row r="143">
      <c r="B143" s="34" t="s">
        <v>3714</v>
      </c>
      <c r="C143" s="33" t="s">
        <v>80</v>
      </c>
      <c r="D143" s="32" t="s">
        <v>3712</v>
      </c>
      <c r="E143" s="132" t="str">
        <f>HYPERLINK("https://youtu.be/96fXxed17yY?t=3724","channel 3")</f>
        <v>channel 3</v>
      </c>
    </row>
    <row r="144">
      <c r="B144" s="34" t="s">
        <v>3713</v>
      </c>
      <c r="C144" s="33" t="s">
        <v>19</v>
      </c>
      <c r="D144" s="32" t="s">
        <v>3711</v>
      </c>
      <c r="E144" s="132" t="str">
        <f>HYPERLINK("https://youtu.be/lvCb9OWUG1o?t=3742","channel 4")</f>
        <v>channel 4</v>
      </c>
    </row>
    <row r="145">
      <c r="B145" s="34" t="s">
        <v>3711</v>
      </c>
      <c r="C145" s="33" t="s">
        <v>984</v>
      </c>
      <c r="D145" s="32" t="s">
        <v>3710</v>
      </c>
      <c r="E145" s="133" t="str">
        <f>HYPERLINK("https://youtu.be/96fXxed17yY?t=4751","channel 3")</f>
        <v>channel 3</v>
      </c>
    </row>
    <row r="146">
      <c r="B146" s="34" t="s">
        <v>3713</v>
      </c>
      <c r="C146" s="33" t="s">
        <v>16</v>
      </c>
      <c r="D146" s="32" t="s">
        <v>3712</v>
      </c>
      <c r="E146" s="132" t="str">
        <f>HYPERLINK("https://youtu.be/lvCb9OWUG1o?t=4635","channel 4")</f>
        <v>channel 4</v>
      </c>
    </row>
    <row r="147">
      <c r="B147" s="34" t="s">
        <v>3710</v>
      </c>
      <c r="C147" s="33" t="s">
        <v>231</v>
      </c>
      <c r="D147" s="32" t="s">
        <v>3714</v>
      </c>
      <c r="E147" s="133" t="str">
        <f>HYPERLINK("https://youtu.be/96fXxed17yY?t=5658","channel 3")</f>
        <v>channel 3</v>
      </c>
    </row>
    <row r="148">
      <c r="B148" s="34" t="s">
        <v>3711</v>
      </c>
      <c r="C148" s="33" t="s">
        <v>239</v>
      </c>
      <c r="D148" s="32" t="s">
        <v>3712</v>
      </c>
      <c r="E148" s="132" t="str">
        <f>HYPERLINK("https://youtu.be/lvCb9OWUG1o?t=5564","channel 4")</f>
        <v>channel 4</v>
      </c>
    </row>
    <row r="149">
      <c r="B149" s="34" t="s">
        <v>3713</v>
      </c>
      <c r="C149" s="33" t="s">
        <v>196</v>
      </c>
      <c r="D149" s="32" t="s">
        <v>3714</v>
      </c>
      <c r="E149" s="133" t="str">
        <f>HYPERLINK("https://youtu.be/96fXxed17yY?t=6616","channel 3")</f>
        <v>channel 3</v>
      </c>
    </row>
    <row r="150">
      <c r="B150" s="34" t="s">
        <v>3710</v>
      </c>
      <c r="C150" s="33" t="s">
        <v>201</v>
      </c>
      <c r="D150" s="32" t="s">
        <v>3712</v>
      </c>
      <c r="E150" s="132" t="str">
        <f>HYPERLINK("https://youtu.be/lvCb9OWUG1o?t=6643","channel 4")</f>
        <v>channel 4</v>
      </c>
    </row>
    <row r="151">
      <c r="B151" s="34" t="s">
        <v>3711</v>
      </c>
      <c r="C151" s="33" t="s">
        <v>55</v>
      </c>
      <c r="D151" s="32" t="s">
        <v>3714</v>
      </c>
      <c r="E151" s="132" t="str">
        <f>HYPERLINK("https://youtu.be/96fXxed17yY?t=7515","channel 3")</f>
        <v>channel 3</v>
      </c>
    </row>
    <row r="152">
      <c r="B152" s="34" t="s">
        <v>3710</v>
      </c>
      <c r="C152" s="33" t="s">
        <v>220</v>
      </c>
      <c r="D152" s="32" t="s">
        <v>3713</v>
      </c>
      <c r="E152" s="132" t="str">
        <f>HYPERLINK("https://youtu.be/lvCb9OWUG1o?t=7611","channel 4")</f>
        <v>channel 4</v>
      </c>
    </row>
    <row r="153">
      <c r="B153" s="34" t="s">
        <v>3712</v>
      </c>
      <c r="C153" s="33" t="s">
        <v>286</v>
      </c>
      <c r="D153" s="32" t="s">
        <v>3714</v>
      </c>
      <c r="E153" s="132" t="str">
        <f>HYPERLINK("https://youtu.be/96fXxed17yY?t=8402","channel 3")</f>
        <v>channel 3</v>
      </c>
    </row>
    <row r="154">
      <c r="B154" s="34" t="s">
        <v>3711</v>
      </c>
      <c r="C154" s="33" t="s">
        <v>312</v>
      </c>
      <c r="D154" s="34" t="s">
        <v>3713</v>
      </c>
      <c r="E154" s="132" t="str">
        <f>HYPERLINK("https://youtu.be/lvCb9OWUG1o?t=8547","channel 4")</f>
        <v>channel 4</v>
      </c>
    </row>
    <row r="155">
      <c r="B155" s="72" t="s">
        <v>2769</v>
      </c>
      <c r="C155" s="2"/>
      <c r="D155" s="3"/>
      <c r="E155" s="2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34" t="s">
        <v>3297</v>
      </c>
      <c r="C157" s="33" t="s">
        <v>87</v>
      </c>
      <c r="D157" s="34" t="s">
        <v>3715</v>
      </c>
      <c r="E157" s="11" t="str">
        <f>HYPERLINK("https://youtu.be/m5N72dvwb3c","channel 3")</f>
        <v>channel 3</v>
      </c>
    </row>
    <row r="158">
      <c r="B158" s="8" t="s">
        <v>3716</v>
      </c>
      <c r="C158" s="33" t="s">
        <v>25</v>
      </c>
      <c r="D158" s="34" t="s">
        <v>3717</v>
      </c>
      <c r="E158" s="11" t="str">
        <f>HYPERLINK("https://youtu.be/N1FsdJPbayc","channel 4")</f>
        <v>channel 4</v>
      </c>
    </row>
    <row r="159">
      <c r="B159" s="34" t="s">
        <v>3718</v>
      </c>
      <c r="C159" s="33" t="s">
        <v>201</v>
      </c>
      <c r="D159" s="34" t="s">
        <v>3297</v>
      </c>
      <c r="E159" s="11" t="str">
        <f>HYPERLINK("https://youtu.be/m5N72dvwb3c?t=939","channel 3")</f>
        <v>channel 3</v>
      </c>
    </row>
    <row r="160">
      <c r="B160" s="8" t="s">
        <v>3716</v>
      </c>
      <c r="C160" s="33" t="s">
        <v>7</v>
      </c>
      <c r="D160" s="34" t="s">
        <v>3715</v>
      </c>
      <c r="E160" s="11" t="str">
        <f>HYPERLINK("https://youtu.be/N1FsdJPbayc?t=957","channel 4")</f>
        <v>channel 4</v>
      </c>
    </row>
    <row r="161">
      <c r="B161" s="34" t="s">
        <v>3718</v>
      </c>
      <c r="C161" s="33" t="s">
        <v>217</v>
      </c>
      <c r="D161" s="34" t="s">
        <v>3717</v>
      </c>
      <c r="E161" s="11" t="str">
        <f>HYPERLINK("https://youtu.be/m5N72dvwb3c?t=1919","channel 3")</f>
        <v>channel 3</v>
      </c>
    </row>
    <row r="162">
      <c r="B162" s="8" t="s">
        <v>3716</v>
      </c>
      <c r="C162" s="33" t="s">
        <v>35</v>
      </c>
      <c r="D162" s="34" t="s">
        <v>3297</v>
      </c>
      <c r="E162" s="11" t="str">
        <f>HYPERLINK("https://youtu.be/N1FsdJPbayc?t=1868","channel 4")</f>
        <v>channel 4</v>
      </c>
    </row>
    <row r="163">
      <c r="B163" s="34" t="s">
        <v>3718</v>
      </c>
      <c r="C163" s="33" t="s">
        <v>70</v>
      </c>
      <c r="D163" s="34" t="s">
        <v>3715</v>
      </c>
      <c r="E163" s="11" t="str">
        <f>HYPERLINK("https://youtu.be/m5N72dvwb3c?t=2780","channel 3")</f>
        <v>channel 3</v>
      </c>
    </row>
    <row r="164">
      <c r="B164" s="34" t="s">
        <v>3717</v>
      </c>
      <c r="C164" s="33" t="s">
        <v>87</v>
      </c>
      <c r="D164" s="34" t="s">
        <v>3297</v>
      </c>
      <c r="E164" s="11" t="str">
        <f>HYPERLINK("https://youtu.be/N1FsdJPbayc?t=2834","channel 4")</f>
        <v>channel 4</v>
      </c>
    </row>
    <row r="165">
      <c r="B165" s="34" t="s">
        <v>3718</v>
      </c>
      <c r="C165" s="33" t="s">
        <v>16</v>
      </c>
      <c r="D165" s="8" t="s">
        <v>3716</v>
      </c>
      <c r="E165" s="11" t="str">
        <f>HYPERLINK("https://youtu.be/m5N72dvwb3c?t=3703","channel 3")</f>
        <v>channel 3</v>
      </c>
    </row>
    <row r="166">
      <c r="B166" s="34" t="s">
        <v>3717</v>
      </c>
      <c r="C166" s="33" t="s">
        <v>43</v>
      </c>
      <c r="D166" s="34" t="s">
        <v>3715</v>
      </c>
      <c r="E166" s="11" t="str">
        <f>HYPERLINK("https://youtu.be/N1FsdJPbayc?t=3707","channel 4")</f>
        <v>channel 4</v>
      </c>
    </row>
    <row r="167">
      <c r="B167" s="34" t="s">
        <v>3715</v>
      </c>
      <c r="C167" s="33" t="s">
        <v>218</v>
      </c>
      <c r="D167" s="34" t="s">
        <v>3297</v>
      </c>
      <c r="E167" s="11" t="str">
        <f>HYPERLINK("https://youtu.be/m5N72dvwb3c?t=4726","channel 3")</f>
        <v>channel 3</v>
      </c>
    </row>
    <row r="168">
      <c r="B168" s="34" t="s">
        <v>3717</v>
      </c>
      <c r="C168" s="33" t="s">
        <v>62</v>
      </c>
      <c r="D168" s="8" t="s">
        <v>3716</v>
      </c>
      <c r="E168" s="11" t="str">
        <f>HYPERLINK("https://youtu.be/N1FsdJPbayc?t=4747","channel 4")</f>
        <v>channel 4</v>
      </c>
    </row>
    <row r="169">
      <c r="B169" s="34" t="s">
        <v>3297</v>
      </c>
      <c r="C169" s="33" t="s">
        <v>69</v>
      </c>
      <c r="D169" s="34" t="s">
        <v>3718</v>
      </c>
      <c r="E169" s="11" t="str">
        <f>HYPERLINK("https://youtu.be/m5N72dvwb3c?t=5665","channel 3")</f>
        <v>channel 3</v>
      </c>
    </row>
    <row r="170">
      <c r="B170" s="34" t="s">
        <v>3715</v>
      </c>
      <c r="C170" s="33" t="s">
        <v>413</v>
      </c>
      <c r="D170" s="8" t="s">
        <v>3716</v>
      </c>
      <c r="E170" s="11" t="str">
        <f>HYPERLINK("https://youtu.be/N1FsdJPbayc?t=5651","channel 4")</f>
        <v>channel 4</v>
      </c>
    </row>
    <row r="171">
      <c r="B171" s="34" t="s">
        <v>3717</v>
      </c>
      <c r="C171" s="33" t="s">
        <v>87</v>
      </c>
      <c r="D171" s="34" t="s">
        <v>3718</v>
      </c>
      <c r="E171" s="11" t="str">
        <f>HYPERLINK("https://youtu.be/m5N72dvwb3c?t=6618","channel 3")</f>
        <v>channel 3</v>
      </c>
    </row>
    <row r="172">
      <c r="B172" s="34" t="s">
        <v>3297</v>
      </c>
      <c r="C172" s="33" t="s">
        <v>614</v>
      </c>
      <c r="D172" s="8" t="s">
        <v>3716</v>
      </c>
      <c r="E172" s="11" t="str">
        <f>HYPERLINK("https://youtu.be/N1FsdJPbayc?t=6685","channel 4")</f>
        <v>channel 4</v>
      </c>
    </row>
    <row r="173">
      <c r="B173" s="34" t="s">
        <v>3715</v>
      </c>
      <c r="C173" s="33" t="s">
        <v>43</v>
      </c>
      <c r="D173" s="34" t="s">
        <v>3718</v>
      </c>
      <c r="E173" s="11" t="str">
        <f>HYPERLINK("https://youtu.be/m5N72dvwb3c?t=7548","channel 3")</f>
        <v>channel 3</v>
      </c>
    </row>
    <row r="174">
      <c r="B174" s="34" t="s">
        <v>3297</v>
      </c>
      <c r="C174" s="33" t="s">
        <v>64</v>
      </c>
      <c r="D174" s="34" t="s">
        <v>3717</v>
      </c>
      <c r="E174" s="11" t="str">
        <f>HYPERLINK("https://youtu.be/N1FsdJPbayc?t=7587","channel 4")</f>
        <v>channel 4</v>
      </c>
    </row>
    <row r="175">
      <c r="B175" s="8" t="s">
        <v>3716</v>
      </c>
      <c r="C175" s="33" t="s">
        <v>283</v>
      </c>
      <c r="D175" s="34" t="s">
        <v>3718</v>
      </c>
      <c r="E175" s="11" t="str">
        <f>HYPERLINK("https://youtu.be/m5N72dvwb3c?t=8501","channel 3")</f>
        <v>channel 3</v>
      </c>
    </row>
    <row r="176">
      <c r="B176" s="34" t="s">
        <v>3715</v>
      </c>
      <c r="C176" s="33" t="s">
        <v>18</v>
      </c>
      <c r="D176" s="34" t="s">
        <v>3717</v>
      </c>
      <c r="E176" s="11" t="str">
        <f>HYPERLINK("https://youtu.be/N1FsdJPbayc?t=8479","channel 4")</f>
        <v>channel 4</v>
      </c>
    </row>
    <row r="177">
      <c r="B177" s="72" t="s">
        <v>2735</v>
      </c>
      <c r="C177" s="2"/>
      <c r="D177" s="3"/>
      <c r="E177" s="2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34" t="s">
        <v>1945</v>
      </c>
      <c r="C179" s="33" t="s">
        <v>190</v>
      </c>
      <c r="D179" s="34" t="s">
        <v>3117</v>
      </c>
      <c r="E179" s="11" t="str">
        <f>HYPERLINK("https://youtu.be/FHy-h6mDw5c","channel 1")</f>
        <v>channel 1</v>
      </c>
    </row>
    <row r="180">
      <c r="B180" s="34" t="s">
        <v>1268</v>
      </c>
      <c r="C180" s="33" t="s">
        <v>194</v>
      </c>
      <c r="D180" s="34" t="s">
        <v>12</v>
      </c>
      <c r="E180" s="11" t="str">
        <f>HYPERLINK("https://youtu.be/4FlZOabBv8g","channel 2")</f>
        <v>channel 2</v>
      </c>
    </row>
    <row r="181">
      <c r="B181" s="34" t="s">
        <v>3719</v>
      </c>
      <c r="C181" s="33" t="s">
        <v>187</v>
      </c>
      <c r="D181" s="34" t="s">
        <v>1945</v>
      </c>
      <c r="E181" s="11" t="str">
        <f>HYPERLINK("https://youtu.be/FHy-h6mDw5c?t=1087","channel 1")</f>
        <v>channel 1</v>
      </c>
    </row>
    <row r="182">
      <c r="B182" s="34" t="s">
        <v>1268</v>
      </c>
      <c r="C182" s="33" t="s">
        <v>31</v>
      </c>
      <c r="D182" s="34" t="s">
        <v>3117</v>
      </c>
      <c r="E182" s="11" t="str">
        <f>HYPERLINK("https://youtu.be/4FlZOabBv8g?t=977","channel 2")</f>
        <v>channel 2</v>
      </c>
    </row>
    <row r="183">
      <c r="B183" s="34" t="s">
        <v>3719</v>
      </c>
      <c r="C183" s="33" t="s">
        <v>14</v>
      </c>
      <c r="D183" s="34" t="s">
        <v>12</v>
      </c>
      <c r="E183" s="11" t="str">
        <f>HYPERLINK("https://youtu.be/FHy-h6mDw5c?t=2081","channel 1")</f>
        <v>channel 1</v>
      </c>
    </row>
    <row r="184">
      <c r="B184" s="34" t="s">
        <v>1268</v>
      </c>
      <c r="C184" s="33" t="s">
        <v>274</v>
      </c>
      <c r="D184" s="34" t="s">
        <v>1945</v>
      </c>
      <c r="E184" s="11" t="str">
        <f>HYPERLINK("https://youtu.be/4FlZOabBv8g?t=1969","channel 2")</f>
        <v>channel 2</v>
      </c>
    </row>
    <row r="185">
      <c r="B185" s="34" t="s">
        <v>3719</v>
      </c>
      <c r="C185" s="33" t="s">
        <v>217</v>
      </c>
      <c r="D185" s="34" t="s">
        <v>3117</v>
      </c>
      <c r="E185" s="11" t="str">
        <f>HYPERLINK("https://youtu.be/FHy-h6mDw5c?t=2989","channel 1")</f>
        <v>channel 1</v>
      </c>
    </row>
    <row r="186">
      <c r="B186" s="34" t="s">
        <v>12</v>
      </c>
      <c r="C186" s="33" t="s">
        <v>21</v>
      </c>
      <c r="D186" s="34" t="s">
        <v>1945</v>
      </c>
      <c r="E186" s="11" t="str">
        <f>HYPERLINK("https://youtu.be/4FlZOabBv8g?t=2872","channel 2")</f>
        <v>channel 2</v>
      </c>
    </row>
    <row r="187">
      <c r="B187" s="34" t="s">
        <v>3719</v>
      </c>
      <c r="C187" s="33" t="s">
        <v>260</v>
      </c>
      <c r="D187" s="34" t="s">
        <v>1268</v>
      </c>
      <c r="E187" s="11" t="str">
        <f>HYPERLINK("https://youtu.be/FHy-h6mDw5c?t=3863","channel 1")</f>
        <v>channel 1</v>
      </c>
    </row>
    <row r="188">
      <c r="B188" s="34" t="s">
        <v>12</v>
      </c>
      <c r="C188" s="33" t="s">
        <v>68</v>
      </c>
      <c r="D188" s="34" t="s">
        <v>3117</v>
      </c>
      <c r="E188" s="11" t="str">
        <f>HYPERLINK("https://youtu.be/4FlZOabBv8g?t=3727","channel 2")</f>
        <v>channel 2</v>
      </c>
    </row>
    <row r="189">
      <c r="B189" s="34" t="s">
        <v>3117</v>
      </c>
      <c r="C189" s="33" t="s">
        <v>494</v>
      </c>
      <c r="D189" s="34" t="s">
        <v>1945</v>
      </c>
      <c r="E189" s="11" t="str">
        <f>HYPERLINK("https://youtu.be/FHy-h6mDw5c?t=4750","channel 1")</f>
        <v>channel 1</v>
      </c>
    </row>
    <row r="190">
      <c r="B190" s="34" t="s">
        <v>12</v>
      </c>
      <c r="C190" s="33" t="s">
        <v>240</v>
      </c>
      <c r="D190" s="34" t="s">
        <v>1268</v>
      </c>
      <c r="E190" s="11" t="str">
        <f>HYPERLINK("https://youtu.be/4FlZOabBv8g?t=4613","channel 2")</f>
        <v>channel 2</v>
      </c>
    </row>
    <row r="191">
      <c r="B191" s="34" t="s">
        <v>1945</v>
      </c>
      <c r="C191" s="33" t="s">
        <v>544</v>
      </c>
      <c r="D191" s="34" t="s">
        <v>3719</v>
      </c>
      <c r="E191" s="11" t="str">
        <f>HYPERLINK("https://youtu.be/FHy-h6mDw5c?t=5671","channel 1")</f>
        <v>channel 1</v>
      </c>
    </row>
    <row r="192">
      <c r="B192" s="34" t="s">
        <v>3117</v>
      </c>
      <c r="C192" s="33" t="s">
        <v>195</v>
      </c>
      <c r="D192" s="34" t="s">
        <v>1268</v>
      </c>
      <c r="E192" s="11" t="str">
        <f>HYPERLINK("https://youtu.be/4FlZOabBv8g?t=5566","channel 2")</f>
        <v>channel 2</v>
      </c>
    </row>
    <row r="193">
      <c r="B193" s="34" t="s">
        <v>12</v>
      </c>
      <c r="C193" s="33" t="s">
        <v>251</v>
      </c>
      <c r="D193" s="34" t="s">
        <v>3719</v>
      </c>
      <c r="E193" s="11" t="str">
        <f>HYPERLINK("https://youtu.be/FHy-h6mDw5c?t=6599","channel 1")</f>
        <v>channel 1</v>
      </c>
    </row>
    <row r="194">
      <c r="B194" s="34" t="s">
        <v>1945</v>
      </c>
      <c r="C194" s="33" t="s">
        <v>950</v>
      </c>
      <c r="D194" s="34" t="s">
        <v>1268</v>
      </c>
      <c r="E194" s="11" t="str">
        <f>HYPERLINK("https://youtu.be/4FlZOabBv8g?t=6472","channel 2")</f>
        <v>channel 2</v>
      </c>
    </row>
    <row r="195">
      <c r="B195" s="34" t="s">
        <v>3117</v>
      </c>
      <c r="C195" s="33" t="s">
        <v>19</v>
      </c>
      <c r="D195" s="34" t="s">
        <v>3719</v>
      </c>
      <c r="E195" s="11" t="str">
        <f>HYPERLINK("https://youtu.be/FHy-h6mDw5c?t=7556","channel 1")</f>
        <v>channel 1</v>
      </c>
    </row>
    <row r="196">
      <c r="B196" s="34" t="s">
        <v>1945</v>
      </c>
      <c r="C196" s="33" t="s">
        <v>220</v>
      </c>
      <c r="D196" s="34" t="s">
        <v>12</v>
      </c>
      <c r="E196" s="11" t="str">
        <f>HYPERLINK("https://youtu.be/4FlZOabBv8g?t=7436","channel 2")</f>
        <v>channel 2</v>
      </c>
    </row>
    <row r="197">
      <c r="B197" s="34" t="s">
        <v>1268</v>
      </c>
      <c r="C197" s="33" t="s">
        <v>19</v>
      </c>
      <c r="D197" s="34" t="s">
        <v>3719</v>
      </c>
      <c r="E197" s="11" t="str">
        <f>HYPERLINK("https://youtu.be/FHy-h6mDw5c?t=8515","channel 1")</f>
        <v>channel 1</v>
      </c>
    </row>
    <row r="198">
      <c r="B198" s="34" t="s">
        <v>3117</v>
      </c>
      <c r="C198" s="33" t="s">
        <v>217</v>
      </c>
      <c r="D198" s="34" t="s">
        <v>12</v>
      </c>
      <c r="E198" s="11" t="str">
        <f>HYPERLINK("https://youtu.be/4FlZOabBv8g?t=8405","channel 2")</f>
        <v>channel 2</v>
      </c>
    </row>
    <row r="199">
      <c r="B199" s="72" t="s">
        <v>1456</v>
      </c>
      <c r="C199" s="2"/>
      <c r="D199" s="3"/>
      <c r="E199" s="2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34" t="s">
        <v>3720</v>
      </c>
      <c r="C201" s="33" t="s">
        <v>25</v>
      </c>
      <c r="D201" s="34" t="s">
        <v>2513</v>
      </c>
      <c r="E201" s="11" t="str">
        <f>HYPERLINK("https://youtu.be/-_AEL_lfqHQ","channel 1")</f>
        <v>channel 1</v>
      </c>
    </row>
    <row r="202">
      <c r="B202" s="34" t="s">
        <v>2269</v>
      </c>
      <c r="C202" s="33" t="s">
        <v>282</v>
      </c>
      <c r="D202" s="34" t="s">
        <v>3425</v>
      </c>
      <c r="E202" s="11" t="str">
        <f>HYPERLINK("https://youtu.be/J3muXvAvl3k","channel 2")</f>
        <v>channel 2</v>
      </c>
    </row>
    <row r="203">
      <c r="B203" s="34" t="s">
        <v>3721</v>
      </c>
      <c r="C203" s="33" t="s">
        <v>87</v>
      </c>
      <c r="D203" s="34" t="s">
        <v>3720</v>
      </c>
      <c r="E203" s="11" t="str">
        <f>HYPERLINK("https://youtu.be/-_AEL_lfqHQ?t=1107","channel 1")</f>
        <v>channel 1</v>
      </c>
    </row>
    <row r="204">
      <c r="B204" s="34" t="s">
        <v>2269</v>
      </c>
      <c r="C204" s="33" t="s">
        <v>369</v>
      </c>
      <c r="D204" s="34" t="s">
        <v>2513</v>
      </c>
      <c r="E204" s="11" t="str">
        <f>HYPERLINK("https://youtu.be/J3muXvAvl3k?t=1268","channel 2")</f>
        <v>channel 2</v>
      </c>
    </row>
    <row r="205">
      <c r="B205" s="34" t="s">
        <v>3721</v>
      </c>
      <c r="C205" s="33" t="s">
        <v>64</v>
      </c>
      <c r="D205" s="34" t="s">
        <v>3425</v>
      </c>
      <c r="E205" s="11" t="str">
        <f>HYPERLINK("https://youtu.be/-_AEL_lfqHQ?t=2102","channel 1")</f>
        <v>channel 1</v>
      </c>
    </row>
    <row r="206">
      <c r="B206" s="34" t="s">
        <v>2269</v>
      </c>
      <c r="C206" s="33" t="s">
        <v>55</v>
      </c>
      <c r="D206" s="34" t="s">
        <v>3720</v>
      </c>
      <c r="E206" s="11" t="str">
        <f>HYPERLINK("https://youtu.be/J3muXvAvl3k?t=2218","channel 2")</f>
        <v>channel 2</v>
      </c>
    </row>
    <row r="207">
      <c r="B207" s="34" t="s">
        <v>3721</v>
      </c>
      <c r="C207" s="33" t="s">
        <v>197</v>
      </c>
      <c r="D207" s="34" t="s">
        <v>2513</v>
      </c>
      <c r="E207" s="11" t="str">
        <f>HYPERLINK("https://youtu.be/-_AEL_lfqHQ?t=3027","channel 1")</f>
        <v>channel 1</v>
      </c>
    </row>
    <row r="208">
      <c r="B208" s="34" t="s">
        <v>3425</v>
      </c>
      <c r="C208" s="33" t="s">
        <v>7</v>
      </c>
      <c r="D208" s="34" t="s">
        <v>3720</v>
      </c>
      <c r="E208" s="11" t="str">
        <f>HYPERLINK("https://youtu.be/J3muXvAvl3k?t=3089","channel 2")</f>
        <v>channel 2</v>
      </c>
    </row>
    <row r="209">
      <c r="B209" s="34" t="s">
        <v>3721</v>
      </c>
      <c r="C209" s="33" t="s">
        <v>285</v>
      </c>
      <c r="D209" s="34" t="s">
        <v>2269</v>
      </c>
      <c r="E209" s="11" t="str">
        <f>HYPERLINK("https://youtu.be/-_AEL_lfqHQ?t=3970","channel 1")</f>
        <v>channel 1</v>
      </c>
    </row>
    <row r="210">
      <c r="B210" s="34" t="s">
        <v>3425</v>
      </c>
      <c r="C210" s="33" t="s">
        <v>362</v>
      </c>
      <c r="D210" s="34" t="s">
        <v>2513</v>
      </c>
      <c r="E210" s="11" t="str">
        <f>HYPERLINK("https://youtu.be/J3muXvAvl3k?t=4053","channel 2")</f>
        <v>channel 2</v>
      </c>
    </row>
    <row r="211">
      <c r="B211" s="34" t="s">
        <v>2513</v>
      </c>
      <c r="C211" s="33" t="s">
        <v>81</v>
      </c>
      <c r="D211" s="34" t="s">
        <v>3720</v>
      </c>
      <c r="E211" s="11" t="str">
        <f>HYPERLINK("https://youtu.be/-_AEL_lfqHQ?t=4877","channel 1")</f>
        <v>channel 1</v>
      </c>
    </row>
    <row r="212">
      <c r="B212" s="34" t="s">
        <v>3425</v>
      </c>
      <c r="C212" s="33" t="s">
        <v>218</v>
      </c>
      <c r="D212" s="34" t="s">
        <v>2269</v>
      </c>
      <c r="E212" s="11" t="str">
        <f>HYPERLINK("https://youtu.be/J3muXvAvl3k?t=5012","channel 2")</f>
        <v>channel 2</v>
      </c>
    </row>
    <row r="213">
      <c r="B213" s="34" t="s">
        <v>3720</v>
      </c>
      <c r="C213" s="33" t="s">
        <v>28</v>
      </c>
      <c r="D213" s="34" t="s">
        <v>3721</v>
      </c>
      <c r="E213" s="11" t="str">
        <f>HYPERLINK("https://youtu.be/-_AEL_lfqHQ?t=5809","channel 1")</f>
        <v>channel 1</v>
      </c>
    </row>
    <row r="214">
      <c r="B214" s="34" t="s">
        <v>2513</v>
      </c>
      <c r="C214" s="33" t="s">
        <v>78</v>
      </c>
      <c r="D214" s="34" t="s">
        <v>2269</v>
      </c>
      <c r="E214" s="11" t="str">
        <f>HYPERLINK("https://youtu.be/J3muXvAvl3k?t=5922","channel 2")</f>
        <v>channel 2</v>
      </c>
    </row>
    <row r="215">
      <c r="B215" s="34" t="s">
        <v>3425</v>
      </c>
      <c r="C215" s="33" t="s">
        <v>793</v>
      </c>
      <c r="D215" s="34" t="s">
        <v>3721</v>
      </c>
      <c r="E215" s="11" t="str">
        <f>HYPERLINK("https://youtu.be/-_AEL_lfqHQ?t=6698","channel 1")</f>
        <v>channel 1</v>
      </c>
    </row>
    <row r="216">
      <c r="B216" s="34" t="s">
        <v>3720</v>
      </c>
      <c r="C216" s="33" t="s">
        <v>28</v>
      </c>
      <c r="D216" s="34" t="s">
        <v>2269</v>
      </c>
      <c r="E216" s="11" t="str">
        <f>HYPERLINK("https://youtu.be/J3muXvAvl3k?t=6847","channel 2")</f>
        <v>channel 2</v>
      </c>
    </row>
    <row r="217">
      <c r="B217" s="34" t="s">
        <v>2513</v>
      </c>
      <c r="C217" s="33" t="s">
        <v>291</v>
      </c>
      <c r="D217" s="34" t="s">
        <v>3721</v>
      </c>
      <c r="E217" s="11" t="str">
        <f>HYPERLINK("https://youtu.be/-_AEL_lfqHQ?t=7710","channel 1")</f>
        <v>channel 1</v>
      </c>
    </row>
    <row r="218">
      <c r="B218" s="34" t="s">
        <v>3720</v>
      </c>
      <c r="C218" s="33" t="s">
        <v>215</v>
      </c>
      <c r="D218" s="34" t="s">
        <v>3425</v>
      </c>
      <c r="E218" s="11" t="str">
        <f>HYPERLINK("https://youtu.be/J3muXvAvl3k?t=7799","channel 2")</f>
        <v>channel 2</v>
      </c>
    </row>
    <row r="219">
      <c r="B219" s="34" t="s">
        <v>2269</v>
      </c>
      <c r="C219" s="33" t="s">
        <v>291</v>
      </c>
      <c r="D219" s="34" t="s">
        <v>3721</v>
      </c>
      <c r="E219" s="11" t="str">
        <f>HYPERLINK("https://youtu.be/-_AEL_lfqHQ?t=8579","channel 1")</f>
        <v>channel 1</v>
      </c>
    </row>
    <row r="220">
      <c r="B220" s="34" t="s">
        <v>2513</v>
      </c>
      <c r="C220" s="33" t="s">
        <v>78</v>
      </c>
      <c r="D220" s="34" t="s">
        <v>3425</v>
      </c>
      <c r="E220" s="11" t="str">
        <f>HYPERLINK("https://youtu.be/J3muXvAvl3k?t=8662","channel 2")</f>
        <v>channel 2</v>
      </c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7"/>
      <c r="B1" s="72" t="s">
        <v>1659</v>
      </c>
      <c r="C1" s="2"/>
      <c r="D1" s="3"/>
      <c r="E1" s="14"/>
    </row>
    <row r="2">
      <c r="A2" s="118"/>
      <c r="B2" s="16" t="s">
        <v>2</v>
      </c>
      <c r="C2" s="16" t="s">
        <v>3</v>
      </c>
      <c r="D2" s="16" t="s">
        <v>4</v>
      </c>
      <c r="E2" s="6" t="s">
        <v>5</v>
      </c>
    </row>
    <row r="3">
      <c r="A3" s="118"/>
      <c r="B3" s="32" t="s">
        <v>3722</v>
      </c>
      <c r="C3" s="33" t="s">
        <v>190</v>
      </c>
      <c r="D3" s="32" t="s">
        <v>3723</v>
      </c>
      <c r="E3" s="11" t="str">
        <f>HYPERLINK("https://youtu.be/4QKaL1aASDQ","channel 1")</f>
        <v>channel 1</v>
      </c>
    </row>
    <row r="4">
      <c r="A4" s="118"/>
      <c r="B4" s="32" t="s">
        <v>2036</v>
      </c>
      <c r="C4" s="33" t="s">
        <v>250</v>
      </c>
      <c r="D4" s="32" t="s">
        <v>3724</v>
      </c>
      <c r="E4" s="11" t="str">
        <f>HYPERLINK("https://youtu.be/QcDL9T0cxbg","channel 2")</f>
        <v>channel 2</v>
      </c>
    </row>
    <row r="5">
      <c r="A5" s="118"/>
      <c r="B5" s="32" t="s">
        <v>3725</v>
      </c>
      <c r="C5" s="33" t="s">
        <v>197</v>
      </c>
      <c r="D5" s="32" t="s">
        <v>3722</v>
      </c>
      <c r="E5" s="11" t="str">
        <f>HYPERLINK("https://youtu.be/4QKaL1aASDQ?t=900","channel 1")</f>
        <v>channel 1</v>
      </c>
    </row>
    <row r="6">
      <c r="A6" s="118"/>
      <c r="B6" s="32" t="s">
        <v>2036</v>
      </c>
      <c r="C6" s="33" t="s">
        <v>23</v>
      </c>
      <c r="D6" s="32" t="s">
        <v>3723</v>
      </c>
      <c r="E6" s="11" t="str">
        <f>HYPERLINK("https://youtu.be/QcDL9T0cxbg?t=949","channel 2")</f>
        <v>channel 2</v>
      </c>
    </row>
    <row r="7">
      <c r="A7" s="118"/>
      <c r="B7" s="32" t="s">
        <v>3725</v>
      </c>
      <c r="C7" s="33" t="s">
        <v>201</v>
      </c>
      <c r="D7" s="32" t="s">
        <v>3724</v>
      </c>
      <c r="E7" s="11" t="str">
        <f>HYPERLINK("https://youtu.be/4QKaL1aASDQ?t=1883","channel 1")</f>
        <v>channel 1</v>
      </c>
    </row>
    <row r="8">
      <c r="A8" s="118"/>
      <c r="B8" s="32" t="s">
        <v>2036</v>
      </c>
      <c r="C8" s="33" t="s">
        <v>41</v>
      </c>
      <c r="D8" s="32" t="s">
        <v>3722</v>
      </c>
      <c r="E8" s="11" t="str">
        <f>HYPERLINK("https://youtu.be/QcDL9T0cxbg?t=1881","channel 2")</f>
        <v>channel 2</v>
      </c>
    </row>
    <row r="9">
      <c r="A9" s="118"/>
      <c r="B9" s="32" t="s">
        <v>3725</v>
      </c>
      <c r="C9" s="33" t="s">
        <v>62</v>
      </c>
      <c r="D9" s="32" t="s">
        <v>3723</v>
      </c>
      <c r="E9" s="11" t="str">
        <f>HYPERLINK("https://youtu.be/4QKaL1aASDQ?t=2872","channel 1")</f>
        <v>channel 1</v>
      </c>
    </row>
    <row r="10">
      <c r="A10" s="118"/>
      <c r="B10" s="32" t="s">
        <v>3724</v>
      </c>
      <c r="C10" s="33" t="s">
        <v>52</v>
      </c>
      <c r="D10" s="32" t="s">
        <v>3722</v>
      </c>
      <c r="E10" s="11" t="str">
        <f>HYPERLINK("https://youtu.be/QcDL9T0cxbg?t=2896","channel 2")</f>
        <v>channel 2</v>
      </c>
    </row>
    <row r="11">
      <c r="A11" s="118"/>
      <c r="B11" s="32" t="s">
        <v>3725</v>
      </c>
      <c r="C11" s="33" t="s">
        <v>533</v>
      </c>
      <c r="D11" s="32" t="s">
        <v>2036</v>
      </c>
      <c r="E11" s="11" t="str">
        <f>HYPERLINK("https://youtu.be/4QKaL1aASDQ?t=3855","channel 1")</f>
        <v>channel 1</v>
      </c>
    </row>
    <row r="12">
      <c r="A12" s="118"/>
      <c r="B12" s="32" t="s">
        <v>3724</v>
      </c>
      <c r="C12" s="33" t="s">
        <v>284</v>
      </c>
      <c r="D12" s="32" t="s">
        <v>3723</v>
      </c>
      <c r="E12" s="11" t="str">
        <f>HYPERLINK("https://youtu.be/QcDL9T0cxbg?t=3918","channel 2")</f>
        <v>channel 2</v>
      </c>
    </row>
    <row r="13">
      <c r="A13" s="118"/>
      <c r="B13" s="32" t="s">
        <v>3723</v>
      </c>
      <c r="C13" s="33" t="s">
        <v>14</v>
      </c>
      <c r="D13" s="32" t="s">
        <v>3722</v>
      </c>
      <c r="E13" s="11" t="str">
        <f>HYPERLINK("https://youtu.be/4QKaL1aASDQ?t=4797","channel 1")</f>
        <v>channel 1</v>
      </c>
    </row>
    <row r="14">
      <c r="A14" s="118"/>
      <c r="B14" s="32" t="s">
        <v>3724</v>
      </c>
      <c r="C14" s="35" t="s">
        <v>218</v>
      </c>
      <c r="D14" s="32" t="s">
        <v>2036</v>
      </c>
      <c r="E14" s="11" t="str">
        <f>HYPERLINK("https://youtu.be/QcDL9T0cxbg?t=4861","channel 2")</f>
        <v>channel 2</v>
      </c>
    </row>
    <row r="15">
      <c r="A15" s="118"/>
      <c r="B15" s="32" t="s">
        <v>3722</v>
      </c>
      <c r="C15" s="35" t="s">
        <v>43</v>
      </c>
      <c r="D15" s="32" t="s">
        <v>3725</v>
      </c>
      <c r="E15" s="11" t="str">
        <f>HYPERLINK("https://youtu.be/4QKaL1aASDQ?t=5636","channel 1")</f>
        <v>channel 1</v>
      </c>
    </row>
    <row r="16">
      <c r="A16" s="118"/>
      <c r="B16" s="32" t="s">
        <v>3723</v>
      </c>
      <c r="C16" s="33" t="s">
        <v>47</v>
      </c>
      <c r="D16" s="32" t="s">
        <v>2036</v>
      </c>
      <c r="E16" s="11" t="str">
        <f>HYPERLINK("https://youtu.be/QcDL9T0cxbg?t=5752","channel 2")</f>
        <v>channel 2</v>
      </c>
    </row>
    <row r="17">
      <c r="A17" s="118"/>
      <c r="B17" s="32" t="s">
        <v>3724</v>
      </c>
      <c r="C17" s="33" t="s">
        <v>203</v>
      </c>
      <c r="D17" s="32" t="s">
        <v>3725</v>
      </c>
      <c r="E17" s="11" t="str">
        <f>HYPERLINK("https://youtu.be/4QKaL1aASDQ?t=6564","channel 1")</f>
        <v>channel 1</v>
      </c>
    </row>
    <row r="18">
      <c r="A18" s="118"/>
      <c r="B18" s="32" t="s">
        <v>3722</v>
      </c>
      <c r="C18" s="33" t="s">
        <v>370</v>
      </c>
      <c r="D18" s="32" t="s">
        <v>2036</v>
      </c>
      <c r="E18" s="11" t="str">
        <f>HYPERLINK("https://youtu.be/QcDL9T0cxbg?t=6645","channel 2")</f>
        <v>channel 2</v>
      </c>
    </row>
    <row r="19">
      <c r="A19" s="118"/>
      <c r="B19" s="32" t="s">
        <v>3723</v>
      </c>
      <c r="C19" s="128" t="s">
        <v>11</v>
      </c>
      <c r="D19" s="32" t="s">
        <v>3725</v>
      </c>
      <c r="E19" s="11" t="str">
        <f>HYPERLINK("https://youtu.be/4QKaL1aASDQ?t=7622","channel 1")</f>
        <v>channel 1</v>
      </c>
    </row>
    <row r="20">
      <c r="A20" s="118"/>
      <c r="B20" s="32" t="s">
        <v>3722</v>
      </c>
      <c r="C20" s="52" t="s">
        <v>26</v>
      </c>
      <c r="D20" s="32" t="s">
        <v>3724</v>
      </c>
      <c r="E20" s="11" t="str">
        <f>HYPERLINK("https://youtu.be/QcDL9T0cxbg?t=7634","channel 2")</f>
        <v>channel 2</v>
      </c>
    </row>
    <row r="21">
      <c r="A21" s="118"/>
      <c r="B21" s="32" t="s">
        <v>2036</v>
      </c>
      <c r="C21" s="52" t="s">
        <v>64</v>
      </c>
      <c r="D21" s="32" t="s">
        <v>3725</v>
      </c>
      <c r="E21" s="11" t="str">
        <f>HYPERLINK("https://youtu.be/4QKaL1aASDQ?t=8482","channel 1")</f>
        <v>channel 1</v>
      </c>
    </row>
    <row r="22">
      <c r="A22" s="118"/>
      <c r="B22" s="32" t="s">
        <v>3723</v>
      </c>
      <c r="C22" s="52" t="s">
        <v>578</v>
      </c>
      <c r="D22" s="32" t="s">
        <v>3724</v>
      </c>
      <c r="E22" s="11" t="str">
        <f>HYPERLINK("https://youtu.be/QcDL9T0cxbg?t=8597","channel 2")</f>
        <v>channel 2</v>
      </c>
    </row>
    <row r="23">
      <c r="A23" s="118"/>
      <c r="B23" s="72" t="s">
        <v>2099</v>
      </c>
      <c r="C23" s="2"/>
      <c r="D23" s="3"/>
      <c r="E23" s="4"/>
    </row>
    <row r="24">
      <c r="A24" s="118"/>
      <c r="B24" s="16" t="s">
        <v>2</v>
      </c>
      <c r="C24" s="16" t="s">
        <v>3</v>
      </c>
      <c r="D24" s="16" t="s">
        <v>4</v>
      </c>
      <c r="E24" s="6" t="s">
        <v>5</v>
      </c>
    </row>
    <row r="25">
      <c r="A25" s="118"/>
      <c r="B25" s="32" t="s">
        <v>3726</v>
      </c>
      <c r="C25" s="33" t="s">
        <v>241</v>
      </c>
      <c r="D25" s="32" t="s">
        <v>3154</v>
      </c>
      <c r="E25" s="11" t="str">
        <f>HYPERLINK("https://youtu.be/YgoxtW8kqOg","channel 1")</f>
        <v>channel 1</v>
      </c>
    </row>
    <row r="26">
      <c r="A26" s="118"/>
      <c r="B26" s="32" t="s">
        <v>3727</v>
      </c>
      <c r="C26" s="33" t="s">
        <v>270</v>
      </c>
      <c r="D26" s="32" t="s">
        <v>3728</v>
      </c>
      <c r="E26" s="11" t="str">
        <f>HYPERLINK("https://youtu.be/1fewEyUMNwE","channel 2")</f>
        <v>channel 2</v>
      </c>
    </row>
    <row r="27">
      <c r="A27" s="118"/>
      <c r="B27" s="32" t="s">
        <v>3729</v>
      </c>
      <c r="C27" s="33" t="s">
        <v>443</v>
      </c>
      <c r="D27" s="32" t="s">
        <v>3726</v>
      </c>
      <c r="E27" s="11" t="str">
        <f>HYPERLINK("https://youtu.be/YgoxtW8kqOg?t=914","channel 1")</f>
        <v>channel 1</v>
      </c>
    </row>
    <row r="28">
      <c r="A28" s="118"/>
      <c r="B28" s="32" t="s">
        <v>3727</v>
      </c>
      <c r="C28" s="33" t="s">
        <v>283</v>
      </c>
      <c r="D28" s="32" t="s">
        <v>3154</v>
      </c>
      <c r="E28" s="11" t="str">
        <f>HYPERLINK("https://youtu.be/1fewEyUMNwE?t=967","channel 2")</f>
        <v>channel 2</v>
      </c>
    </row>
    <row r="29">
      <c r="A29" s="118"/>
      <c r="B29" s="32" t="s">
        <v>3729</v>
      </c>
      <c r="C29" s="33" t="s">
        <v>23</v>
      </c>
      <c r="D29" s="32" t="s">
        <v>3728</v>
      </c>
      <c r="E29" s="11" t="str">
        <f>HYPERLINK("https://youtu.be/YgoxtW8kqOg?t=1941","channel 1")</f>
        <v>channel 1</v>
      </c>
    </row>
    <row r="30">
      <c r="A30" s="118"/>
      <c r="B30" s="32" t="s">
        <v>3727</v>
      </c>
      <c r="C30" s="33" t="s">
        <v>190</v>
      </c>
      <c r="D30" s="32" t="s">
        <v>3726</v>
      </c>
      <c r="E30" s="11" t="str">
        <f>HYPERLINK("https://youtu.be/1fewEyUMNwE?t=2263","channel 2")</f>
        <v>channel 2</v>
      </c>
    </row>
    <row r="31">
      <c r="A31" s="118"/>
      <c r="B31" s="32" t="s">
        <v>3729</v>
      </c>
      <c r="C31" s="33" t="s">
        <v>1552</v>
      </c>
      <c r="D31" s="32" t="s">
        <v>3154</v>
      </c>
      <c r="E31" s="11" t="str">
        <f>HYPERLINK("https://youtu.be/YgoxtW8kqOg?t=3317","channel 1")</f>
        <v>channel 1</v>
      </c>
    </row>
    <row r="32">
      <c r="A32" s="118"/>
      <c r="B32" s="32" t="s">
        <v>3728</v>
      </c>
      <c r="C32" s="33" t="s">
        <v>404</v>
      </c>
      <c r="D32" s="32" t="s">
        <v>3726</v>
      </c>
      <c r="E32" s="11" t="str">
        <f>HYPERLINK("https://youtu.be/1fewEyUMNwE?t=3343","channel 2")</f>
        <v>channel 2</v>
      </c>
    </row>
    <row r="33">
      <c r="A33" s="118"/>
      <c r="B33" s="32" t="s">
        <v>3729</v>
      </c>
      <c r="C33" s="33" t="s">
        <v>31</v>
      </c>
      <c r="D33" s="32" t="s">
        <v>3727</v>
      </c>
      <c r="E33" s="11" t="str">
        <f>HYPERLINK("https://youtu.be/YgoxtW8kqOg?t=4395","channel 1")</f>
        <v>channel 1</v>
      </c>
    </row>
    <row r="34">
      <c r="A34" s="118"/>
      <c r="B34" s="32" t="s">
        <v>3728</v>
      </c>
      <c r="C34" s="33" t="s">
        <v>58</v>
      </c>
      <c r="D34" s="32" t="s">
        <v>3154</v>
      </c>
      <c r="E34" s="11" t="str">
        <f>HYPERLINK("https://youtu.be/1fewEyUMNwE?t=4428","channel 2")</f>
        <v>channel 2</v>
      </c>
    </row>
    <row r="35">
      <c r="A35" s="118"/>
      <c r="B35" s="32" t="s">
        <v>3154</v>
      </c>
      <c r="C35" s="33" t="s">
        <v>217</v>
      </c>
      <c r="D35" s="32" t="s">
        <v>3726</v>
      </c>
      <c r="E35" s="11" t="str">
        <f>HYPERLINK("https://youtu.be/YgoxtW8kqOg?t=5429","channel 1")</f>
        <v>channel 1</v>
      </c>
    </row>
    <row r="36">
      <c r="A36" s="118"/>
      <c r="B36" s="32" t="s">
        <v>3728</v>
      </c>
      <c r="C36" s="33" t="s">
        <v>195</v>
      </c>
      <c r="D36" s="32" t="s">
        <v>3727</v>
      </c>
      <c r="E36" s="11" t="str">
        <f>HYPERLINK("https://youtu.be/1fewEyUMNwE?t=5494","channel 2")</f>
        <v>channel 2</v>
      </c>
    </row>
    <row r="37">
      <c r="A37" s="118"/>
      <c r="B37" s="32" t="s">
        <v>3726</v>
      </c>
      <c r="C37" s="33" t="s">
        <v>534</v>
      </c>
      <c r="D37" s="32" t="s">
        <v>3729</v>
      </c>
      <c r="E37" s="11" t="str">
        <f>HYPERLINK("https://youtu.be/YgoxtW8kqOg?t=6500","channel 1")</f>
        <v>channel 1</v>
      </c>
    </row>
    <row r="38">
      <c r="A38" s="118"/>
      <c r="B38" s="32" t="s">
        <v>3154</v>
      </c>
      <c r="C38" s="33" t="s">
        <v>239</v>
      </c>
      <c r="D38" s="32" t="s">
        <v>3727</v>
      </c>
      <c r="E38" s="11" t="str">
        <f>HYPERLINK("https://youtu.be/1fewEyUMNwE?t=6402","channel 2")</f>
        <v>channel 2</v>
      </c>
    </row>
    <row r="39">
      <c r="A39" s="118"/>
      <c r="B39" s="32" t="s">
        <v>3728</v>
      </c>
      <c r="C39" s="35" t="s">
        <v>25</v>
      </c>
      <c r="D39" s="32" t="s">
        <v>3729</v>
      </c>
      <c r="E39" s="11" t="str">
        <f>HYPERLINK("https://youtu.be/YgoxtW8kqOg?t=7311","channel 1")</f>
        <v>channel 1</v>
      </c>
    </row>
    <row r="40">
      <c r="A40" s="118"/>
      <c r="B40" s="32" t="s">
        <v>3726</v>
      </c>
      <c r="C40" s="33" t="s">
        <v>206</v>
      </c>
      <c r="D40" s="32" t="s">
        <v>3727</v>
      </c>
      <c r="E40" s="11" t="str">
        <f>HYPERLINK("https://youtu.be/1fewEyUMNwE?t=7415","channel 2")</f>
        <v>channel 2</v>
      </c>
    </row>
    <row r="41">
      <c r="A41" s="118"/>
      <c r="B41" s="32" t="s">
        <v>3154</v>
      </c>
      <c r="C41" s="33" t="s">
        <v>19</v>
      </c>
      <c r="D41" s="32" t="s">
        <v>3729</v>
      </c>
      <c r="E41" s="11" t="str">
        <f>HYPERLINK("https://youtu.be/YgoxtW8kqOg?t=8308","channel 1")</f>
        <v>channel 1</v>
      </c>
    </row>
    <row r="42">
      <c r="A42" s="118"/>
      <c r="B42" s="32" t="s">
        <v>3726</v>
      </c>
      <c r="C42" s="33" t="s">
        <v>67</v>
      </c>
      <c r="D42" s="32" t="s">
        <v>3728</v>
      </c>
      <c r="E42" s="11" t="str">
        <f>HYPERLINK("https://youtu.be/1fewEyUMNwE?t=8354","channel 2")</f>
        <v>channel 2</v>
      </c>
    </row>
    <row r="43">
      <c r="A43" s="118"/>
      <c r="B43" s="32" t="s">
        <v>3727</v>
      </c>
      <c r="C43" s="33" t="s">
        <v>43</v>
      </c>
      <c r="D43" s="32" t="s">
        <v>3729</v>
      </c>
      <c r="E43" s="11" t="str">
        <f>HYPERLINK("https://youtu.be/YgoxtW8kqOg?t=9215","channel 1")</f>
        <v>channel 1</v>
      </c>
    </row>
    <row r="44">
      <c r="A44" s="118"/>
      <c r="B44" s="32" t="s">
        <v>3154</v>
      </c>
      <c r="C44" s="33" t="s">
        <v>947</v>
      </c>
      <c r="D44" s="32" t="s">
        <v>3728</v>
      </c>
      <c r="E44" s="11" t="str">
        <f>HYPERLINK("https://youtu.be/1fewEyUMNwE?t=9292","channel 2")</f>
        <v>channel 2</v>
      </c>
    </row>
    <row r="45">
      <c r="A45" s="118"/>
      <c r="B45" s="72" t="s">
        <v>2597</v>
      </c>
      <c r="C45" s="2"/>
      <c r="D45" s="3"/>
      <c r="E45" s="4"/>
    </row>
    <row r="46">
      <c r="A46" s="118"/>
      <c r="B46" s="16" t="s">
        <v>2</v>
      </c>
      <c r="C46" s="16" t="s">
        <v>3</v>
      </c>
      <c r="D46" s="16" t="s">
        <v>4</v>
      </c>
      <c r="E46" s="6" t="s">
        <v>5</v>
      </c>
    </row>
    <row r="47">
      <c r="A47" s="118"/>
      <c r="B47" s="32" t="s">
        <v>3730</v>
      </c>
      <c r="C47" s="33" t="s">
        <v>22</v>
      </c>
      <c r="D47" s="32" t="s">
        <v>1387</v>
      </c>
      <c r="E47" s="11" t="str">
        <f>HYPERLINK("https://youtu.be/0PQU7E7-MXU","channel 3")</f>
        <v>channel 3</v>
      </c>
    </row>
    <row r="48">
      <c r="A48" s="118"/>
      <c r="B48" s="32" t="s">
        <v>3179</v>
      </c>
      <c r="C48" s="33" t="s">
        <v>196</v>
      </c>
      <c r="D48" s="32" t="s">
        <v>1838</v>
      </c>
      <c r="E48" s="11" t="str">
        <f>HYPERLINK("https://youtu.be/AM_UZE2Wtcc","channel 4")</f>
        <v>channel 4</v>
      </c>
    </row>
    <row r="49">
      <c r="A49" s="118"/>
      <c r="B49" s="32" t="s">
        <v>3731</v>
      </c>
      <c r="C49" s="33" t="s">
        <v>80</v>
      </c>
      <c r="D49" s="32" t="s">
        <v>3730</v>
      </c>
      <c r="E49" s="11" t="str">
        <f>HYPERLINK("https://youtu.be/0PQU7E7-MXU?t=891","channel 3")</f>
        <v>channel 3</v>
      </c>
    </row>
    <row r="50">
      <c r="A50" s="118"/>
      <c r="B50" s="32" t="s">
        <v>3179</v>
      </c>
      <c r="C50" s="33" t="s">
        <v>35</v>
      </c>
      <c r="D50" s="32" t="s">
        <v>1387</v>
      </c>
      <c r="E50" s="11" t="str">
        <f>HYPERLINK("https://youtu.be/AM_UZE2Wtcc?t=1012","channel 4")</f>
        <v>channel 4</v>
      </c>
    </row>
    <row r="51">
      <c r="A51" s="118"/>
      <c r="B51" s="32" t="s">
        <v>3731</v>
      </c>
      <c r="C51" s="33" t="s">
        <v>28</v>
      </c>
      <c r="D51" s="32" t="s">
        <v>1838</v>
      </c>
      <c r="E51" s="11" t="str">
        <f>HYPERLINK("https://youtu.be/0PQU7E7-MXU?t=1742","channel 3")</f>
        <v>channel 3</v>
      </c>
    </row>
    <row r="52">
      <c r="A52" s="118"/>
      <c r="B52" s="32" t="s">
        <v>3179</v>
      </c>
      <c r="C52" s="33" t="s">
        <v>17</v>
      </c>
      <c r="D52" s="32" t="s">
        <v>3730</v>
      </c>
      <c r="E52" s="11" t="str">
        <f>HYPERLINK("https://youtu.be/AM_UZE2Wtcc?t=2089","channel 4")</f>
        <v>channel 4</v>
      </c>
    </row>
    <row r="53">
      <c r="A53" s="118"/>
      <c r="B53" s="32" t="s">
        <v>3731</v>
      </c>
      <c r="C53" s="33" t="s">
        <v>67</v>
      </c>
      <c r="D53" s="32" t="s">
        <v>1387</v>
      </c>
      <c r="E53" s="11" t="str">
        <f>HYPERLINK("https://youtu.be/0PQU7E7-MXU?t=2694","channel 3")</f>
        <v>channel 3</v>
      </c>
    </row>
    <row r="54">
      <c r="A54" s="118"/>
      <c r="B54" s="32" t="s">
        <v>1838</v>
      </c>
      <c r="C54" s="33" t="s">
        <v>411</v>
      </c>
      <c r="D54" s="32" t="s">
        <v>3730</v>
      </c>
      <c r="E54" s="11" t="str">
        <f>HYPERLINK("https://youtu.be/AM_UZE2Wtcc?t=2988","channel 4")</f>
        <v>channel 4</v>
      </c>
    </row>
    <row r="55">
      <c r="A55" s="118"/>
      <c r="B55" s="32" t="s">
        <v>3731</v>
      </c>
      <c r="C55" s="33" t="s">
        <v>195</v>
      </c>
      <c r="D55" s="32" t="s">
        <v>3179</v>
      </c>
      <c r="E55" s="11" t="str">
        <f>HYPERLINK("https://youtu.be/0PQU7E7-MXU?t=3632","channel 3")</f>
        <v>channel 3</v>
      </c>
    </row>
    <row r="56">
      <c r="A56" s="118"/>
      <c r="B56" s="32" t="s">
        <v>1838</v>
      </c>
      <c r="C56" s="33" t="s">
        <v>195</v>
      </c>
      <c r="D56" s="32" t="s">
        <v>1387</v>
      </c>
      <c r="E56" s="11" t="str">
        <f>HYPERLINK("https://youtu.be/AM_UZE2Wtcc?t=3896","channel 4")</f>
        <v>channel 4</v>
      </c>
    </row>
    <row r="57">
      <c r="A57" s="118"/>
      <c r="B57" s="32" t="s">
        <v>1387</v>
      </c>
      <c r="C57" s="33" t="s">
        <v>87</v>
      </c>
      <c r="D57" s="32" t="s">
        <v>3730</v>
      </c>
      <c r="E57" s="11" t="str">
        <f>HYPERLINK("https://youtu.be/0PQU7E7-MXU?t=4680","channel 3")</f>
        <v>channel 3</v>
      </c>
    </row>
    <row r="58">
      <c r="A58" s="118"/>
      <c r="B58" s="32" t="s">
        <v>1838</v>
      </c>
      <c r="C58" s="33" t="s">
        <v>239</v>
      </c>
      <c r="D58" s="32" t="s">
        <v>3179</v>
      </c>
      <c r="E58" s="11" t="str">
        <f>HYPERLINK("https://youtu.be/AM_UZE2Wtcc?t=4892","channel 4")</f>
        <v>channel 4</v>
      </c>
    </row>
    <row r="59">
      <c r="A59" s="118"/>
      <c r="B59" s="32" t="s">
        <v>3730</v>
      </c>
      <c r="C59" s="33" t="s">
        <v>260</v>
      </c>
      <c r="D59" s="32" t="s">
        <v>3731</v>
      </c>
      <c r="E59" s="11" t="str">
        <f>HYPERLINK("https://youtu.be/0PQU7E7-MXU?t=5618","channel 3")</f>
        <v>channel 3</v>
      </c>
    </row>
    <row r="60">
      <c r="A60" s="118"/>
      <c r="B60" s="32" t="s">
        <v>1387</v>
      </c>
      <c r="C60" s="33" t="s">
        <v>260</v>
      </c>
      <c r="D60" s="32" t="s">
        <v>3179</v>
      </c>
      <c r="E60" s="11" t="str">
        <f>HYPERLINK("https://youtu.be/AM_UZE2Wtcc?t=5810","channel 4")</f>
        <v>channel 4</v>
      </c>
    </row>
    <row r="61">
      <c r="A61" s="118"/>
      <c r="B61" s="32" t="s">
        <v>1838</v>
      </c>
      <c r="C61" s="33" t="s">
        <v>304</v>
      </c>
      <c r="D61" s="32" t="s">
        <v>3731</v>
      </c>
      <c r="E61" s="11" t="str">
        <f>HYPERLINK("https://youtu.be/0PQU7E7-MXU?t=6507","channel 3")</f>
        <v>channel 3</v>
      </c>
    </row>
    <row r="62">
      <c r="A62" s="118"/>
      <c r="B62" s="32" t="s">
        <v>3730</v>
      </c>
      <c r="C62" s="33" t="s">
        <v>3448</v>
      </c>
      <c r="D62" s="32" t="s">
        <v>3179</v>
      </c>
      <c r="E62" s="11" t="str">
        <f>HYPERLINK("https://youtu.be/AM_UZE2Wtcc?t=5810","channel 4")</f>
        <v>channel 4</v>
      </c>
    </row>
    <row r="63">
      <c r="A63" s="118"/>
      <c r="B63" s="32" t="s">
        <v>1387</v>
      </c>
      <c r="C63" s="33" t="s">
        <v>82</v>
      </c>
      <c r="D63" s="32" t="s">
        <v>3731</v>
      </c>
      <c r="E63" s="11" t="str">
        <f>HYPERLINK("https://youtu.be/0PQU7E7-MXU?t=7408","channel 3")</f>
        <v>channel 3</v>
      </c>
    </row>
    <row r="64">
      <c r="A64" s="118"/>
      <c r="B64" s="32" t="s">
        <v>3730</v>
      </c>
      <c r="C64" s="33" t="s">
        <v>81</v>
      </c>
      <c r="D64" s="32" t="s">
        <v>1838</v>
      </c>
      <c r="E64" s="11" t="str">
        <f>HYPERLINK("https://youtu.be/AM_UZE2Wtcc?t=7741","channel 4")</f>
        <v>channel 4</v>
      </c>
    </row>
    <row r="65">
      <c r="A65" s="118"/>
      <c r="B65" s="32" t="s">
        <v>3179</v>
      </c>
      <c r="C65" s="33" t="s">
        <v>217</v>
      </c>
      <c r="D65" s="32" t="s">
        <v>3731</v>
      </c>
      <c r="E65" s="11" t="str">
        <f>HYPERLINK("https://youtu.be/0PQU7E7-MXU?t=8360","channel 3")</f>
        <v>channel 3</v>
      </c>
    </row>
    <row r="66">
      <c r="A66" s="118"/>
      <c r="B66" s="32" t="s">
        <v>1387</v>
      </c>
      <c r="C66" s="33" t="s">
        <v>62</v>
      </c>
      <c r="D66" s="32" t="s">
        <v>1838</v>
      </c>
      <c r="E66" s="11" t="str">
        <f>HYPERLINK("https://youtu.be/AM_UZE2Wtcc?t=8645","channel 4")</f>
        <v>channel 4</v>
      </c>
    </row>
    <row r="67">
      <c r="A67" s="118"/>
      <c r="B67" s="72" t="s">
        <v>3055</v>
      </c>
      <c r="C67" s="2"/>
      <c r="D67" s="3"/>
      <c r="E67" s="4"/>
    </row>
    <row r="68">
      <c r="A68" s="118"/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118"/>
      <c r="B69" s="32" t="s">
        <v>3265</v>
      </c>
      <c r="C69" s="33" t="s">
        <v>71</v>
      </c>
      <c r="D69" s="32" t="s">
        <v>1571</v>
      </c>
      <c r="E69" s="11" t="str">
        <f>HYPERLINK("https://youtu.be/J6DkVX4k2yc","channel 3")</f>
        <v>channel 3</v>
      </c>
    </row>
    <row r="70">
      <c r="A70" s="118"/>
      <c r="B70" s="32" t="s">
        <v>3564</v>
      </c>
      <c r="C70" s="33" t="s">
        <v>52</v>
      </c>
      <c r="D70" s="32" t="s">
        <v>2329</v>
      </c>
      <c r="E70" s="11" t="str">
        <f>HYPERLINK("https://youtu.be/BxlWPq6d6EQ","channel 4")</f>
        <v>channel 4</v>
      </c>
    </row>
    <row r="71">
      <c r="A71" s="118"/>
      <c r="B71" s="32" t="s">
        <v>3732</v>
      </c>
      <c r="C71" s="33" t="s">
        <v>793</v>
      </c>
      <c r="D71" s="32" t="s">
        <v>3265</v>
      </c>
      <c r="E71" s="11" t="str">
        <f>HYPERLINK("https://youtu.be/J6DkVX4k2yc?t=878","channel 3")</f>
        <v>channel 3</v>
      </c>
    </row>
    <row r="72">
      <c r="A72" s="118"/>
      <c r="B72" s="32" t="s">
        <v>3564</v>
      </c>
      <c r="C72" s="33" t="s">
        <v>28</v>
      </c>
      <c r="D72" s="32" t="s">
        <v>1571</v>
      </c>
      <c r="E72" s="11" t="str">
        <f>HYPERLINK("https://youtu.be/BxlWPq6d6EQ?t=909","channel 4")</f>
        <v>channel 4</v>
      </c>
    </row>
    <row r="73">
      <c r="A73" s="118"/>
      <c r="B73" s="32" t="s">
        <v>3732</v>
      </c>
      <c r="C73" s="33" t="s">
        <v>80</v>
      </c>
      <c r="D73" s="32" t="s">
        <v>2329</v>
      </c>
      <c r="E73" s="11" t="str">
        <f>HYPERLINK("https://youtu.be/J6DkVX4k2yc?t=1860","channel 3")</f>
        <v>channel 3</v>
      </c>
    </row>
    <row r="74">
      <c r="A74" s="118"/>
      <c r="B74" s="32" t="s">
        <v>3564</v>
      </c>
      <c r="C74" s="33" t="s">
        <v>544</v>
      </c>
      <c r="D74" s="32" t="s">
        <v>3265</v>
      </c>
      <c r="E74" s="11" t="str">
        <f>HYPERLINK("https://youtu.be/BxlWPq6d6EQ?t=1865","channel 4")</f>
        <v>channel 4</v>
      </c>
    </row>
    <row r="75">
      <c r="A75" s="118"/>
      <c r="B75" s="32" t="s">
        <v>3732</v>
      </c>
      <c r="C75" s="33" t="s">
        <v>282</v>
      </c>
      <c r="D75" s="32" t="s">
        <v>1571</v>
      </c>
      <c r="E75" s="11" t="str">
        <f>HYPERLINK("https://youtu.be/J6DkVX4k2yc?t=2957","channel 3")</f>
        <v>channel 3</v>
      </c>
    </row>
    <row r="76">
      <c r="A76" s="118"/>
      <c r="B76" s="32" t="s">
        <v>2329</v>
      </c>
      <c r="C76" s="33" t="s">
        <v>239</v>
      </c>
      <c r="D76" s="32" t="s">
        <v>3265</v>
      </c>
      <c r="E76" s="11" t="str">
        <f>HYPERLINK("https://youtu.be/BxlWPq6d6EQ?t=2769","channel 4")</f>
        <v>channel 4</v>
      </c>
    </row>
    <row r="77">
      <c r="A77" s="118"/>
      <c r="B77" s="32" t="s">
        <v>3732</v>
      </c>
      <c r="C77" s="33" t="s">
        <v>16</v>
      </c>
      <c r="D77" s="32" t="s">
        <v>3564</v>
      </c>
      <c r="E77" s="11" t="str">
        <f>HYPERLINK("https://youtu.be/J6DkVX4k2yc?t=3951","channel 3")</f>
        <v>channel 3</v>
      </c>
    </row>
    <row r="78">
      <c r="A78" s="118"/>
      <c r="B78" s="32" t="s">
        <v>2329</v>
      </c>
      <c r="C78" s="33" t="s">
        <v>16</v>
      </c>
      <c r="D78" s="32" t="s">
        <v>1571</v>
      </c>
      <c r="E78" s="11" t="str">
        <f>HYPERLINK("https://youtu.be/BxlWPq6d6EQ?t=3769","channel 4")</f>
        <v>channel 4</v>
      </c>
    </row>
    <row r="79">
      <c r="A79" s="118"/>
      <c r="B79" s="32" t="s">
        <v>1571</v>
      </c>
      <c r="C79" s="33" t="s">
        <v>195</v>
      </c>
      <c r="D79" s="32" t="s">
        <v>3265</v>
      </c>
      <c r="E79" s="11" t="str">
        <f>HYPERLINK("https://youtu.be/J6DkVX4k2yc?t=4914","channel 3")</f>
        <v>channel 3</v>
      </c>
    </row>
    <row r="80">
      <c r="A80" s="118"/>
      <c r="B80" s="32" t="s">
        <v>2329</v>
      </c>
      <c r="C80" s="33" t="s">
        <v>215</v>
      </c>
      <c r="D80" s="32" t="s">
        <v>3564</v>
      </c>
      <c r="E80" s="11" t="str">
        <f>HYPERLINK("https://youtu.be/BxlWPq6d6EQ?t=4802","channel 4")</f>
        <v>channel 4</v>
      </c>
    </row>
    <row r="81">
      <c r="A81" s="118"/>
      <c r="B81" s="32" t="s">
        <v>3265</v>
      </c>
      <c r="C81" s="33" t="s">
        <v>337</v>
      </c>
      <c r="D81" s="32" t="s">
        <v>3732</v>
      </c>
      <c r="E81" s="99" t="s">
        <v>33</v>
      </c>
    </row>
    <row r="82">
      <c r="A82" s="118"/>
      <c r="B82" s="32" t="s">
        <v>1571</v>
      </c>
      <c r="C82" s="33" t="s">
        <v>217</v>
      </c>
      <c r="D82" s="32" t="s">
        <v>3564</v>
      </c>
      <c r="E82" s="11" t="str">
        <f>HYPERLINK("https://youtu.be/BxlWPq6d6EQ?t=5740","channel 4")</f>
        <v>channel 4</v>
      </c>
    </row>
    <row r="83">
      <c r="A83" s="118"/>
      <c r="B83" s="32" t="s">
        <v>2329</v>
      </c>
      <c r="C83" s="33" t="s">
        <v>337</v>
      </c>
      <c r="D83" s="32" t="s">
        <v>3732</v>
      </c>
      <c r="E83" s="11" t="str">
        <f>HYPERLINK("https://youtu.be/J6DkVX4k2yc?t=6798","channel 3")</f>
        <v>channel 3</v>
      </c>
    </row>
    <row r="84">
      <c r="A84" s="118"/>
      <c r="B84" s="32" t="s">
        <v>3265</v>
      </c>
      <c r="C84" s="33" t="s">
        <v>11</v>
      </c>
      <c r="D84" s="32" t="s">
        <v>3564</v>
      </c>
      <c r="E84" s="11" t="str">
        <f>HYPERLINK("https://youtu.be/BxlWPq6d6EQ?t=6726","channel 4")</f>
        <v>channel 4</v>
      </c>
    </row>
    <row r="85">
      <c r="A85" s="118"/>
      <c r="B85" s="32" t="s">
        <v>1571</v>
      </c>
      <c r="C85" s="33" t="s">
        <v>65</v>
      </c>
      <c r="D85" s="32" t="s">
        <v>3732</v>
      </c>
      <c r="E85" s="11" t="str">
        <f>HYPERLINK("https://youtu.be/J6DkVX4k2yc?t=7720","channel 3")</f>
        <v>channel 3</v>
      </c>
    </row>
    <row r="86">
      <c r="A86" s="118"/>
      <c r="B86" s="32" t="s">
        <v>3265</v>
      </c>
      <c r="C86" s="33" t="s">
        <v>363</v>
      </c>
      <c r="D86" s="32" t="s">
        <v>2329</v>
      </c>
      <c r="E86" s="11" t="str">
        <f>HYPERLINK("https://youtu.be/BxlWPq6d6EQ?t=7630","channel 4")</f>
        <v>channel 4</v>
      </c>
    </row>
    <row r="87">
      <c r="A87" s="118"/>
      <c r="B87" s="32" t="s">
        <v>3564</v>
      </c>
      <c r="C87" s="33" t="s">
        <v>337</v>
      </c>
      <c r="D87" s="32" t="s">
        <v>3732</v>
      </c>
      <c r="E87" s="11" t="str">
        <f>HYPERLINK("https://youtu.be/J6DkVX4k2yc?t=8659","channel 3")</f>
        <v>channel 3</v>
      </c>
    </row>
    <row r="88">
      <c r="A88" s="118"/>
      <c r="B88" s="32" t="s">
        <v>1571</v>
      </c>
      <c r="C88" s="33" t="s">
        <v>25</v>
      </c>
      <c r="D88" s="32" t="s">
        <v>2329</v>
      </c>
      <c r="E88" s="11" t="str">
        <f>HYPERLINK("https://youtu.be/BxlWPq6d6EQ?t=8575","channel 4")</f>
        <v>channel 4</v>
      </c>
    </row>
    <row r="89">
      <c r="A89" s="118"/>
      <c r="B89" s="72" t="s">
        <v>2041</v>
      </c>
      <c r="C89" s="2"/>
      <c r="D89" s="3"/>
      <c r="E89" s="4"/>
    </row>
    <row r="90">
      <c r="A90" s="118"/>
      <c r="B90" s="16" t="s">
        <v>2</v>
      </c>
      <c r="C90" s="16" t="s">
        <v>3</v>
      </c>
      <c r="D90" s="16" t="s">
        <v>4</v>
      </c>
      <c r="E90" s="16" t="s">
        <v>5</v>
      </c>
    </row>
    <row r="91">
      <c r="A91" s="118"/>
      <c r="B91" s="32" t="s">
        <v>3474</v>
      </c>
      <c r="C91" s="33" t="s">
        <v>378</v>
      </c>
      <c r="D91" s="32" t="s">
        <v>3733</v>
      </c>
      <c r="E91" s="11" t="str">
        <f>HYPERLINK("https://youtu.be/4Ns2OV0QuMQ","channel 1")</f>
        <v>channel 1</v>
      </c>
    </row>
    <row r="92">
      <c r="A92" s="118"/>
      <c r="B92" s="32" t="s">
        <v>1806</v>
      </c>
      <c r="C92" s="33" t="s">
        <v>14</v>
      </c>
      <c r="D92" s="32" t="s">
        <v>3734</v>
      </c>
      <c r="E92" s="11" t="str">
        <f>HYPERLINK("https://youtu.be/JxyBgiXNZX8","channel 2")</f>
        <v>channel 2</v>
      </c>
    </row>
    <row r="93">
      <c r="A93" s="118"/>
      <c r="B93" s="32" t="s">
        <v>3735</v>
      </c>
      <c r="C93" s="33" t="s">
        <v>426</v>
      </c>
      <c r="D93" s="32" t="s">
        <v>3474</v>
      </c>
      <c r="E93" s="11" t="str">
        <f>HYPERLINK("https://youtu.be/4Ns2OV0QuMQ?t=1047","channel 1")</f>
        <v>channel 1</v>
      </c>
    </row>
    <row r="94">
      <c r="A94" s="118"/>
      <c r="B94" s="32" t="s">
        <v>1806</v>
      </c>
      <c r="C94" s="33" t="s">
        <v>233</v>
      </c>
      <c r="D94" s="32" t="s">
        <v>3733</v>
      </c>
      <c r="E94" s="11" t="str">
        <f>HYPERLINK("https://youtu.be/JxyBgiXNZX8?t=976","channel 2")</f>
        <v>channel 2</v>
      </c>
    </row>
    <row r="95">
      <c r="A95" s="118"/>
      <c r="B95" s="32" t="s">
        <v>3735</v>
      </c>
      <c r="C95" s="33" t="s">
        <v>17</v>
      </c>
      <c r="D95" s="32" t="s">
        <v>3734</v>
      </c>
      <c r="E95" s="11" t="str">
        <f>HYPERLINK("https://youtu.be/4Ns2OV0QuMQ?t=1973","channel 1")</f>
        <v>channel 1</v>
      </c>
    </row>
    <row r="96">
      <c r="A96" s="118"/>
      <c r="B96" s="32" t="s">
        <v>1806</v>
      </c>
      <c r="C96" s="33" t="s">
        <v>578</v>
      </c>
      <c r="D96" s="32" t="s">
        <v>3474</v>
      </c>
      <c r="E96" s="11" t="str">
        <f>HYPERLINK("https://youtu.be/JxyBgiXNZX8?t=1922","channel 2")</f>
        <v>channel 2</v>
      </c>
    </row>
    <row r="97">
      <c r="A97" s="118"/>
      <c r="B97" s="32" t="s">
        <v>3735</v>
      </c>
      <c r="C97" s="33" t="s">
        <v>48</v>
      </c>
      <c r="D97" s="32" t="s">
        <v>3733</v>
      </c>
      <c r="E97" s="11" t="str">
        <f>HYPERLINK("https://youtu.be/4Ns2OV0QuMQ?t=2904","channel 1")</f>
        <v>channel 1</v>
      </c>
    </row>
    <row r="98">
      <c r="A98" s="118"/>
      <c r="B98" s="32" t="s">
        <v>3734</v>
      </c>
      <c r="C98" s="33" t="s">
        <v>2014</v>
      </c>
      <c r="D98" s="32" t="s">
        <v>3474</v>
      </c>
      <c r="E98" s="11" t="str">
        <f>HYPERLINK("https://youtu.be/JxyBgiXNZX8?t=2872","channel 2")</f>
        <v>channel 2</v>
      </c>
    </row>
    <row r="99">
      <c r="A99" s="118"/>
      <c r="B99" s="32" t="s">
        <v>3735</v>
      </c>
      <c r="C99" s="33" t="s">
        <v>70</v>
      </c>
      <c r="D99" s="32" t="s">
        <v>1806</v>
      </c>
      <c r="E99" s="11" t="str">
        <f>HYPERLINK("https://youtu.be/4Ns2OV0QuMQ?t=3861","channel 1")</f>
        <v>channel 1</v>
      </c>
    </row>
    <row r="100">
      <c r="A100" s="118"/>
      <c r="B100" s="32" t="s">
        <v>3734</v>
      </c>
      <c r="C100" s="33" t="s">
        <v>482</v>
      </c>
      <c r="D100" s="32" t="s">
        <v>3733</v>
      </c>
      <c r="E100" s="11" t="str">
        <f>HYPERLINK("https://youtu.be/JxyBgiXNZX8?t=3828","channel 2")</f>
        <v>channel 2</v>
      </c>
    </row>
    <row r="101">
      <c r="A101" s="118"/>
      <c r="B101" s="32" t="s">
        <v>3733</v>
      </c>
      <c r="C101" s="33" t="s">
        <v>533</v>
      </c>
      <c r="D101" s="32" t="s">
        <v>3474</v>
      </c>
      <c r="E101" s="11" t="str">
        <f>HYPERLINK("https://youtu.be/4Ns2OV0QuMQ?t=4823","channel 1")</f>
        <v>channel 1</v>
      </c>
    </row>
    <row r="102">
      <c r="A102" s="118"/>
      <c r="B102" s="32" t="s">
        <v>3734</v>
      </c>
      <c r="C102" s="33" t="s">
        <v>72</v>
      </c>
      <c r="D102" s="32" t="s">
        <v>1806</v>
      </c>
      <c r="E102" s="11" t="str">
        <f>HYPERLINK("https://youtu.be/JxyBgiXNZX8?t=4777","channel 2")</f>
        <v>channel 2</v>
      </c>
    </row>
    <row r="103">
      <c r="A103" s="118"/>
      <c r="B103" s="32" t="s">
        <v>3474</v>
      </c>
      <c r="C103" s="33" t="s">
        <v>43</v>
      </c>
      <c r="D103" s="32" t="s">
        <v>3735</v>
      </c>
      <c r="E103" s="11" t="str">
        <f>HYPERLINK("https://youtu.be/4Ns2OV0QuMQ?t=5781","channel 1")</f>
        <v>channel 1</v>
      </c>
    </row>
    <row r="104">
      <c r="A104" s="118"/>
      <c r="B104" s="32" t="s">
        <v>3733</v>
      </c>
      <c r="C104" s="33" t="s">
        <v>936</v>
      </c>
      <c r="D104" s="32" t="s">
        <v>1806</v>
      </c>
      <c r="E104" s="11" t="str">
        <f>HYPERLINK("https://youtu.be/JxyBgiXNZX8?t=5739","channel 2")</f>
        <v>channel 2</v>
      </c>
    </row>
    <row r="105">
      <c r="A105" s="118"/>
      <c r="B105" s="32" t="s">
        <v>3734</v>
      </c>
      <c r="C105" s="33" t="s">
        <v>389</v>
      </c>
      <c r="D105" s="32" t="s">
        <v>3735</v>
      </c>
      <c r="E105" s="11" t="str">
        <f>HYPERLINK("https://youtu.be/4Ns2OV0QuMQ?t=6737","channel 1")</f>
        <v>channel 1</v>
      </c>
    </row>
    <row r="106">
      <c r="A106" s="118"/>
      <c r="B106" s="32" t="s">
        <v>3474</v>
      </c>
      <c r="C106" s="33" t="s">
        <v>45</v>
      </c>
      <c r="D106" s="32" t="s">
        <v>1806</v>
      </c>
      <c r="E106" s="11" t="str">
        <f>HYPERLINK("https://youtu.be/JxyBgiXNZX8?t=6665","channel 2")</f>
        <v>channel 2</v>
      </c>
    </row>
    <row r="107">
      <c r="A107" s="118"/>
      <c r="B107" s="32" t="s">
        <v>3733</v>
      </c>
      <c r="C107" s="33" t="s">
        <v>70</v>
      </c>
      <c r="D107" s="32" t="s">
        <v>3735</v>
      </c>
      <c r="E107" s="11" t="str">
        <f>HYPERLINK("https://youtu.be/4Ns2OV0QuMQ?t=7686","channel 1")</f>
        <v>channel 1</v>
      </c>
    </row>
    <row r="108">
      <c r="A108" s="118"/>
      <c r="B108" s="32" t="s">
        <v>3474</v>
      </c>
      <c r="C108" s="33" t="s">
        <v>17</v>
      </c>
      <c r="D108" s="32" t="s">
        <v>3734</v>
      </c>
      <c r="E108" s="11" t="str">
        <f>HYPERLINK("https://youtu.be/JxyBgiXNZX8?t=7608","channel 2")</f>
        <v>channel 2</v>
      </c>
    </row>
    <row r="109">
      <c r="A109" s="118"/>
      <c r="B109" s="32" t="s">
        <v>1806</v>
      </c>
      <c r="C109" s="33" t="s">
        <v>22</v>
      </c>
      <c r="D109" s="32" t="s">
        <v>3735</v>
      </c>
      <c r="E109" s="11" t="str">
        <f>HYPERLINK("https://youtu.be/4Ns2OV0QuMQ?t=8701","channel 1")</f>
        <v>channel 1</v>
      </c>
    </row>
    <row r="110">
      <c r="A110" s="118"/>
      <c r="B110" s="32" t="s">
        <v>3733</v>
      </c>
      <c r="C110" s="33" t="s">
        <v>87</v>
      </c>
      <c r="D110" s="32" t="s">
        <v>3734</v>
      </c>
      <c r="E110" s="11" t="str">
        <f>HYPERLINK("https://youtu.be/JxyBgiXNZX8?t=8606","channel 2")</f>
        <v>channel 2</v>
      </c>
    </row>
    <row r="111">
      <c r="A111" s="118"/>
      <c r="B111" s="72" t="s">
        <v>1685</v>
      </c>
      <c r="C111" s="2"/>
      <c r="D111" s="3"/>
      <c r="E111" s="4"/>
    </row>
    <row r="112">
      <c r="A112" s="118"/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A113" s="118"/>
      <c r="B113" s="32" t="s">
        <v>3736</v>
      </c>
      <c r="C113" s="33" t="s">
        <v>88</v>
      </c>
      <c r="D113" s="32" t="s">
        <v>3737</v>
      </c>
      <c r="E113" s="11" t="str">
        <f>HYPERLINK("https://youtu.be/HUHoIldyFW0","channel 1")</f>
        <v>channel 1</v>
      </c>
    </row>
    <row r="114">
      <c r="A114" s="118"/>
      <c r="B114" s="32" t="s">
        <v>1350</v>
      </c>
      <c r="C114" s="33" t="s">
        <v>217</v>
      </c>
      <c r="D114" s="32" t="s">
        <v>3738</v>
      </c>
      <c r="E114" s="11" t="str">
        <f>HYPERLINK("https://youtu.be/Pq9AC89WksQ","channel 2")</f>
        <v>channel 2</v>
      </c>
    </row>
    <row r="115">
      <c r="A115" s="118"/>
      <c r="B115" s="32" t="s">
        <v>3739</v>
      </c>
      <c r="C115" s="33" t="s">
        <v>19</v>
      </c>
      <c r="D115" s="32" t="s">
        <v>3736</v>
      </c>
      <c r="E115" s="11" t="str">
        <f>HYPERLINK("https://youtu.be/HUHoIldyFW0?t=1064","channel 1")</f>
        <v>channel 1</v>
      </c>
    </row>
    <row r="116">
      <c r="A116" s="118"/>
      <c r="B116" s="32" t="s">
        <v>1350</v>
      </c>
      <c r="C116" s="33" t="s">
        <v>71</v>
      </c>
      <c r="D116" s="32" t="s">
        <v>3737</v>
      </c>
      <c r="E116" s="11" t="str">
        <f>HYPERLINK("https://youtu.be/Pq9AC89WksQ?t=1025","channel 2")</f>
        <v>channel 2</v>
      </c>
    </row>
    <row r="117">
      <c r="A117" s="118"/>
      <c r="B117" s="32" t="s">
        <v>3739</v>
      </c>
      <c r="C117" s="33" t="s">
        <v>24</v>
      </c>
      <c r="D117" s="32" t="s">
        <v>3738</v>
      </c>
      <c r="E117" s="11" t="str">
        <f>HYPERLINK("https://youtu.be/HUHoIldyFW0?t=2023","channel 1")</f>
        <v>channel 1</v>
      </c>
    </row>
    <row r="118">
      <c r="A118" s="118"/>
      <c r="B118" s="32" t="s">
        <v>1350</v>
      </c>
      <c r="C118" s="33" t="s">
        <v>389</v>
      </c>
      <c r="D118" s="32" t="s">
        <v>3736</v>
      </c>
      <c r="E118" s="11" t="str">
        <f>HYPERLINK("https://youtu.be/Pq9AC89WksQ?t=1025","channel 2")</f>
        <v>channel 2</v>
      </c>
    </row>
    <row r="119">
      <c r="A119" s="118"/>
      <c r="B119" s="32" t="s">
        <v>3739</v>
      </c>
      <c r="C119" s="33" t="s">
        <v>770</v>
      </c>
      <c r="D119" s="32" t="s">
        <v>3737</v>
      </c>
      <c r="E119" s="11" t="str">
        <f>HYPERLINK("https://youtu.be/HUHoIldyFW0?t=3030","channel 1")</f>
        <v>channel 1</v>
      </c>
    </row>
    <row r="120">
      <c r="A120" s="118"/>
      <c r="B120" s="32" t="s">
        <v>3738</v>
      </c>
      <c r="C120" s="33" t="s">
        <v>64</v>
      </c>
      <c r="D120" s="32" t="s">
        <v>3736</v>
      </c>
      <c r="E120" s="11" t="str">
        <f>HYPERLINK("https://youtu.be/Pq9AC89WksQ?t=2936","channel 2")</f>
        <v>channel 2</v>
      </c>
    </row>
    <row r="121">
      <c r="A121" s="118"/>
      <c r="B121" s="32" t="s">
        <v>3739</v>
      </c>
      <c r="C121" s="33" t="s">
        <v>578</v>
      </c>
      <c r="D121" s="32" t="s">
        <v>1350</v>
      </c>
      <c r="E121" s="11" t="str">
        <f>HYPERLINK("https://youtu.be/HUHoIldyFW0?t=4001","channel 1")</f>
        <v>channel 1</v>
      </c>
    </row>
    <row r="122">
      <c r="A122" s="118"/>
      <c r="B122" s="32" t="s">
        <v>3738</v>
      </c>
      <c r="C122" s="33" t="s">
        <v>534</v>
      </c>
      <c r="D122" s="32" t="s">
        <v>3737</v>
      </c>
      <c r="E122" s="11" t="str">
        <f>HYPERLINK("https://youtu.be/Pq9AC89WksQ?t=3925","channel 2")</f>
        <v>channel 2</v>
      </c>
    </row>
    <row r="123">
      <c r="A123" s="118"/>
      <c r="B123" s="32" t="s">
        <v>3737</v>
      </c>
      <c r="C123" s="33" t="s">
        <v>1005</v>
      </c>
      <c r="D123" s="32" t="s">
        <v>3736</v>
      </c>
      <c r="E123" s="11" t="str">
        <f>HYPERLINK("https://youtu.be/HUHoIldyFW0?t=4920","channel 1")</f>
        <v>channel 1</v>
      </c>
    </row>
    <row r="124">
      <c r="A124" s="118"/>
      <c r="B124" s="32" t="s">
        <v>3738</v>
      </c>
      <c r="C124" s="33" t="s">
        <v>67</v>
      </c>
      <c r="D124" s="32" t="s">
        <v>1350</v>
      </c>
      <c r="E124" s="11" t="str">
        <f>HYPERLINK("https://youtu.be/Pq9AC89WksQ?t=4891","channel 2")</f>
        <v>channel 2</v>
      </c>
    </row>
    <row r="125">
      <c r="A125" s="118"/>
      <c r="B125" s="32" t="s">
        <v>3736</v>
      </c>
      <c r="C125" s="33" t="s">
        <v>64</v>
      </c>
      <c r="D125" s="32" t="s">
        <v>3739</v>
      </c>
      <c r="E125" s="11" t="str">
        <f>HYPERLINK("https://youtu.be/HUHoIldyFW0?t=5848","channel 1")</f>
        <v>channel 1</v>
      </c>
    </row>
    <row r="126">
      <c r="A126" s="118"/>
      <c r="B126" s="32" t="s">
        <v>3737</v>
      </c>
      <c r="C126" s="33" t="s">
        <v>302</v>
      </c>
      <c r="D126" s="32" t="s">
        <v>1350</v>
      </c>
      <c r="E126" s="11" t="str">
        <f>HYPERLINK("https://youtu.be/Pq9AC89WksQ?t=5832","channel 2")</f>
        <v>channel 2</v>
      </c>
    </row>
    <row r="127">
      <c r="A127" s="118"/>
      <c r="B127" s="32" t="s">
        <v>3738</v>
      </c>
      <c r="C127" s="33" t="s">
        <v>87</v>
      </c>
      <c r="D127" s="32" t="s">
        <v>3739</v>
      </c>
      <c r="E127" s="11" t="str">
        <f>HYPERLINK("https://youtu.be/HUHoIldyFW0?t=6777","channel 1")</f>
        <v>channel 1</v>
      </c>
    </row>
    <row r="128">
      <c r="A128" s="118"/>
      <c r="B128" s="32" t="s">
        <v>3736</v>
      </c>
      <c r="C128" s="33" t="s">
        <v>3740</v>
      </c>
      <c r="D128" s="32" t="s">
        <v>1350</v>
      </c>
      <c r="E128" s="11" t="str">
        <f>HYPERLINK("https://youtu.be/Pq9AC89WksQ?t=6781","channel 2")</f>
        <v>channel 2</v>
      </c>
    </row>
    <row r="129">
      <c r="A129" s="118"/>
      <c r="B129" s="32" t="s">
        <v>3737</v>
      </c>
      <c r="C129" s="33" t="s">
        <v>250</v>
      </c>
      <c r="D129" s="32" t="s">
        <v>3739</v>
      </c>
      <c r="E129" s="11" t="str">
        <f>HYPERLINK("https://youtu.be/HUHoIldyFW0?t=7743","channel 1")</f>
        <v>channel 1</v>
      </c>
    </row>
    <row r="130">
      <c r="A130" s="118"/>
      <c r="B130" s="32" t="s">
        <v>3736</v>
      </c>
      <c r="C130" s="33" t="s">
        <v>3741</v>
      </c>
      <c r="D130" s="32" t="s">
        <v>3738</v>
      </c>
      <c r="E130" s="11" t="str">
        <f>HYPERLINK("https://youtu.be/Pq9AC89WksQ?t=7724","channel 2")</f>
        <v>channel 2</v>
      </c>
    </row>
    <row r="131">
      <c r="A131" s="118"/>
      <c r="B131" s="32" t="s">
        <v>1350</v>
      </c>
      <c r="C131" s="33" t="s">
        <v>20</v>
      </c>
      <c r="D131" s="32" t="s">
        <v>3739</v>
      </c>
      <c r="E131" s="11" t="str">
        <f>HYPERLINK("https://youtu.be/HUHoIldyFW0?t=8637","channel 1")</f>
        <v>channel 1</v>
      </c>
    </row>
    <row r="132">
      <c r="A132" s="122"/>
      <c r="B132" s="32" t="s">
        <v>3737</v>
      </c>
      <c r="C132" s="33" t="s">
        <v>919</v>
      </c>
      <c r="D132" s="32" t="s">
        <v>3738</v>
      </c>
      <c r="E132" s="11" t="str">
        <f>HYPERLINK("https://youtu.be/Pq9AC89WksQ?t=8712","channel 2")</f>
        <v>channel 2</v>
      </c>
    </row>
    <row r="133">
      <c r="B133" s="28" t="s">
        <v>2567</v>
      </c>
      <c r="C133" s="2"/>
      <c r="D133" s="3"/>
      <c r="E133" s="2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34" t="s">
        <v>3730</v>
      </c>
      <c r="C135" s="33" t="s">
        <v>196</v>
      </c>
      <c r="D135" s="34" t="s">
        <v>3742</v>
      </c>
      <c r="E135" s="11" t="str">
        <f>HYPERLINK("https://youtu.be/oqxH6RwFa74","channel 3")</f>
        <v>channel 3</v>
      </c>
    </row>
    <row r="136">
      <c r="B136" s="34" t="s">
        <v>3179</v>
      </c>
      <c r="C136" s="33" t="s">
        <v>11</v>
      </c>
      <c r="D136" s="34" t="s">
        <v>2662</v>
      </c>
      <c r="E136" s="11" t="str">
        <f>HYPERLINK("https://youtu.be/yiI9_SNYWtk","channel 4")</f>
        <v>channel 4</v>
      </c>
    </row>
    <row r="137">
      <c r="B137" s="34" t="s">
        <v>3683</v>
      </c>
      <c r="C137" s="33" t="s">
        <v>684</v>
      </c>
      <c r="D137" s="34" t="s">
        <v>3730</v>
      </c>
      <c r="E137" s="11" t="str">
        <f>HYPERLINK("https://youtu.be/oqxH6RwFa74?t=954","channel 3")</f>
        <v>channel 3</v>
      </c>
    </row>
    <row r="138">
      <c r="B138" s="34" t="s">
        <v>3179</v>
      </c>
      <c r="C138" s="33" t="s">
        <v>291</v>
      </c>
      <c r="D138" s="34" t="s">
        <v>3742</v>
      </c>
      <c r="E138" s="11" t="str">
        <f>HYPERLINK("https://youtu.be/yiI9_SNYWtk?t=1063","channel 4")</f>
        <v>channel 4</v>
      </c>
    </row>
    <row r="139">
      <c r="B139" s="34" t="s">
        <v>3683</v>
      </c>
      <c r="C139" s="33" t="s">
        <v>82</v>
      </c>
      <c r="D139" s="34" t="s">
        <v>2662</v>
      </c>
      <c r="E139" s="11" t="str">
        <f>HYPERLINK("https://youtu.be/oqxH6RwFa74?t=1930","channel 3")</f>
        <v>channel 3</v>
      </c>
    </row>
    <row r="140">
      <c r="B140" s="34" t="s">
        <v>3179</v>
      </c>
      <c r="C140" s="33" t="s">
        <v>14</v>
      </c>
      <c r="D140" s="34" t="s">
        <v>3730</v>
      </c>
      <c r="E140" s="11" t="str">
        <f>HYPERLINK("https://youtu.be/yiI9_SNYWtk?t=2203","channel 4")</f>
        <v>channel 4</v>
      </c>
    </row>
    <row r="141">
      <c r="B141" s="34" t="s">
        <v>3683</v>
      </c>
      <c r="C141" s="33" t="s">
        <v>87</v>
      </c>
      <c r="D141" s="34" t="s">
        <v>3742</v>
      </c>
      <c r="E141" s="11" t="str">
        <f>HYPERLINK("https://youtu.be/oqxH6RwFa74?t=2933","channel 3")</f>
        <v>channel 3</v>
      </c>
    </row>
    <row r="142">
      <c r="B142" s="34" t="s">
        <v>2662</v>
      </c>
      <c r="C142" s="33" t="s">
        <v>190</v>
      </c>
      <c r="D142" s="34" t="s">
        <v>3730</v>
      </c>
      <c r="E142" s="11" t="str">
        <f>HYPERLINK("https://youtu.be/yiI9_SNYWtk?t=3192","channel 4")</f>
        <v>channel 4</v>
      </c>
    </row>
    <row r="143">
      <c r="B143" s="34" t="s">
        <v>3683</v>
      </c>
      <c r="C143" s="33" t="s">
        <v>2270</v>
      </c>
      <c r="D143" s="34" t="s">
        <v>3179</v>
      </c>
      <c r="E143" s="11" t="str">
        <f>HYPERLINK("https://youtu.be/oqxH6RwFa74?t=3957","channel 3")</f>
        <v>channel 3</v>
      </c>
    </row>
    <row r="144">
      <c r="B144" s="34" t="s">
        <v>2662</v>
      </c>
      <c r="C144" s="33" t="s">
        <v>41</v>
      </c>
      <c r="D144" s="34" t="s">
        <v>3742</v>
      </c>
      <c r="E144" s="11" t="str">
        <f>HYPERLINK("https://youtu.be/yiI9_SNYWtk?t=4063","channel 4")</f>
        <v>channel 4</v>
      </c>
    </row>
    <row r="145">
      <c r="B145" s="34" t="s">
        <v>3742</v>
      </c>
      <c r="C145" s="33" t="s">
        <v>66</v>
      </c>
      <c r="D145" s="34" t="s">
        <v>3730</v>
      </c>
      <c r="E145" s="11" t="str">
        <f>HYPERLINK("https://youtu.be/oqxH6RwFa74?t=5079","channel 3")</f>
        <v>channel 3</v>
      </c>
    </row>
    <row r="146">
      <c r="B146" s="34" t="s">
        <v>2662</v>
      </c>
      <c r="C146" s="33" t="s">
        <v>239</v>
      </c>
      <c r="D146" s="34" t="s">
        <v>3179</v>
      </c>
      <c r="E146" s="11" t="str">
        <f>HYPERLINK("https://youtu.be/yiI9_SNYWtk?t=5017","channel 4")</f>
        <v>channel 4</v>
      </c>
    </row>
    <row r="147">
      <c r="B147" s="34" t="s">
        <v>3730</v>
      </c>
      <c r="C147" s="33" t="s">
        <v>495</v>
      </c>
      <c r="D147" s="34" t="s">
        <v>3683</v>
      </c>
      <c r="E147" s="11" t="str">
        <f>HYPERLINK("https://youtu.be/oqxH6RwFa74?t=6041","channel 3")</f>
        <v>channel 3</v>
      </c>
    </row>
    <row r="148">
      <c r="B148" s="34" t="s">
        <v>3742</v>
      </c>
      <c r="C148" s="33" t="s">
        <v>190</v>
      </c>
      <c r="D148" s="34" t="s">
        <v>3179</v>
      </c>
      <c r="E148" s="11" t="str">
        <f>HYPERLINK("https://youtu.be/yiI9_SNYWtk?t=5982","channel 4")</f>
        <v>channel 4</v>
      </c>
    </row>
    <row r="149">
      <c r="B149" s="34" t="s">
        <v>2662</v>
      </c>
      <c r="C149" s="33" t="s">
        <v>533</v>
      </c>
      <c r="D149" s="34" t="s">
        <v>3683</v>
      </c>
      <c r="E149" s="11" t="str">
        <f>HYPERLINK("https://youtu.be/oqxH6RwFa74?t=7005","channel 3")</f>
        <v>channel 3</v>
      </c>
    </row>
    <row r="150">
      <c r="B150" s="34" t="s">
        <v>3730</v>
      </c>
      <c r="C150" s="33" t="s">
        <v>82</v>
      </c>
      <c r="D150" s="34" t="s">
        <v>3179</v>
      </c>
      <c r="E150" s="11" t="str">
        <f>HYPERLINK("https://youtu.be/yiI9_SNYWtk?t=7006","channel 4")</f>
        <v>channel 4</v>
      </c>
    </row>
    <row r="151">
      <c r="B151" s="34" t="s">
        <v>3742</v>
      </c>
      <c r="C151" s="33" t="s">
        <v>215</v>
      </c>
      <c r="D151" s="34" t="s">
        <v>3683</v>
      </c>
      <c r="E151" s="11" t="str">
        <f>HYPERLINK("https://youtu.be/oqxH6RwFa74?t=7891","channel 3")</f>
        <v>channel 3</v>
      </c>
    </row>
    <row r="152">
      <c r="B152" s="34" t="s">
        <v>3730</v>
      </c>
      <c r="C152" s="33" t="s">
        <v>22</v>
      </c>
      <c r="D152" s="34" t="s">
        <v>2662</v>
      </c>
      <c r="E152" s="11" t="str">
        <f>HYPERLINK("https://youtu.be/yiI9_SNYWtk?t=7930","channel 4")</f>
        <v>channel 4</v>
      </c>
    </row>
    <row r="153">
      <c r="B153" s="34" t="s">
        <v>3179</v>
      </c>
      <c r="C153" s="33" t="s">
        <v>71</v>
      </c>
      <c r="D153" s="34" t="s">
        <v>3683</v>
      </c>
      <c r="E153" s="11" t="str">
        <f>HYPERLINK("https://youtu.be/oqxH6RwFa74?t=8848","channel 3")</f>
        <v>channel 3</v>
      </c>
    </row>
    <row r="154">
      <c r="B154" s="34" t="s">
        <v>3742</v>
      </c>
      <c r="C154" s="33" t="s">
        <v>22</v>
      </c>
      <c r="D154" s="34" t="s">
        <v>2662</v>
      </c>
      <c r="E154" s="11" t="str">
        <f>HYPERLINK("https://youtu.be/yiI9_SNYWtk?t=8817","channel 4")</f>
        <v>channel 4</v>
      </c>
    </row>
    <row r="155">
      <c r="B155" s="72" t="s">
        <v>3743</v>
      </c>
      <c r="C155" s="2"/>
      <c r="D155" s="3"/>
      <c r="E155" s="2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34" t="s">
        <v>3211</v>
      </c>
      <c r="C157" s="33" t="s">
        <v>196</v>
      </c>
      <c r="D157" s="34" t="s">
        <v>1453</v>
      </c>
      <c r="E157" s="11" t="str">
        <f>HYPERLINK("https://youtu.be/iPzJUAZJ9cw","channel 3")</f>
        <v>channel 3</v>
      </c>
    </row>
    <row r="158">
      <c r="B158" s="34" t="s">
        <v>3176</v>
      </c>
      <c r="C158" s="33" t="s">
        <v>201</v>
      </c>
      <c r="D158" s="34" t="s">
        <v>3042</v>
      </c>
      <c r="E158" s="11" t="str">
        <f>HYPERLINK("https://youtu.be/5kOqR3g1iiA","channel 4")</f>
        <v>channel 4</v>
      </c>
    </row>
    <row r="159">
      <c r="B159" s="34" t="s">
        <v>3744</v>
      </c>
      <c r="C159" s="33" t="s">
        <v>190</v>
      </c>
      <c r="D159" s="34" t="s">
        <v>3211</v>
      </c>
      <c r="E159" s="11" t="str">
        <f>HYPERLINK("https://youtu.be/iPzJUAZJ9cw?t=992","channel 3")</f>
        <v>channel 3</v>
      </c>
    </row>
    <row r="160">
      <c r="B160" s="34" t="s">
        <v>3176</v>
      </c>
      <c r="C160" s="33" t="s">
        <v>196</v>
      </c>
      <c r="D160" s="34" t="s">
        <v>1453</v>
      </c>
      <c r="E160" s="11" t="str">
        <f>HYPERLINK("https://youtu.be/5kOqR3g1iiA?t=1015","channel 4")</f>
        <v>channel 4</v>
      </c>
    </row>
    <row r="161">
      <c r="B161" s="34" t="s">
        <v>3744</v>
      </c>
      <c r="C161" s="33" t="s">
        <v>814</v>
      </c>
      <c r="D161" s="34" t="s">
        <v>3042</v>
      </c>
      <c r="E161" s="11" t="str">
        <f>HYPERLINK("https://youtu.be/iPzJUAZJ9cw?t=1910","channel 3")</f>
        <v>channel 3</v>
      </c>
    </row>
    <row r="162">
      <c r="B162" s="34" t="s">
        <v>3176</v>
      </c>
      <c r="C162" s="33" t="s">
        <v>21</v>
      </c>
      <c r="D162" s="34" t="s">
        <v>3211</v>
      </c>
      <c r="E162" s="11" t="str">
        <f>HYPERLINK("https://youtu.be/5kOqR3g1iiA?t=2023","channel 4")</f>
        <v>channel 4</v>
      </c>
    </row>
    <row r="163">
      <c r="B163" s="34" t="s">
        <v>3744</v>
      </c>
      <c r="C163" s="33" t="s">
        <v>68</v>
      </c>
      <c r="D163" s="34" t="s">
        <v>1453</v>
      </c>
      <c r="E163" s="11" t="str">
        <f>HYPERLINK("https://youtu.be/iPzJUAZJ9cw?t=2821","channel 3")</f>
        <v>channel 3</v>
      </c>
    </row>
    <row r="164">
      <c r="B164" s="34" t="s">
        <v>3042</v>
      </c>
      <c r="C164" s="33" t="s">
        <v>2283</v>
      </c>
      <c r="D164" s="34" t="s">
        <v>3211</v>
      </c>
      <c r="E164" s="11" t="str">
        <f>HYPERLINK("https://youtu.be/5kOqR3g1iiA?t=2956","channel 4")</f>
        <v>channel 4</v>
      </c>
    </row>
    <row r="165">
      <c r="B165" s="34" t="s">
        <v>3744</v>
      </c>
      <c r="C165" s="33" t="s">
        <v>196</v>
      </c>
      <c r="D165" s="34" t="s">
        <v>3176</v>
      </c>
      <c r="E165" s="11" t="str">
        <f>HYPERLINK("https://youtu.be/iPzJUAZJ9cw?t=3745","channel 3")</f>
        <v>channel 3</v>
      </c>
    </row>
    <row r="166">
      <c r="B166" s="34" t="s">
        <v>3042</v>
      </c>
      <c r="C166" s="33" t="s">
        <v>25</v>
      </c>
      <c r="D166" s="34" t="s">
        <v>1453</v>
      </c>
      <c r="E166" s="11" t="str">
        <f>HYPERLINK("https://youtu.be/5kOqR3g1iiA?t=3885","channel 4")</f>
        <v>channel 4</v>
      </c>
    </row>
    <row r="167">
      <c r="B167" s="34" t="s">
        <v>1453</v>
      </c>
      <c r="C167" s="33" t="s">
        <v>196</v>
      </c>
      <c r="D167" s="34" t="s">
        <v>3211</v>
      </c>
      <c r="E167" s="11" t="str">
        <f>HYPERLINK("https://youtu.be/iPzJUAZJ9cw?t=4752","channel 3")</f>
        <v>channel 3</v>
      </c>
    </row>
    <row r="168">
      <c r="B168" s="34" t="s">
        <v>3042</v>
      </c>
      <c r="C168" s="33" t="s">
        <v>87</v>
      </c>
      <c r="D168" s="34" t="s">
        <v>3176</v>
      </c>
      <c r="E168" s="11" t="str">
        <f>HYPERLINK("https://youtu.be/5kOqR3g1iiA?t=4830","channel 4")</f>
        <v>channel 4</v>
      </c>
    </row>
    <row r="169">
      <c r="B169" s="34" t="s">
        <v>3211</v>
      </c>
      <c r="C169" s="33" t="s">
        <v>28</v>
      </c>
      <c r="D169" s="34" t="s">
        <v>3744</v>
      </c>
      <c r="E169" s="11" t="str">
        <f>HYPERLINK("https://youtu.be/iPzJUAZJ9cw?t=5732","channel 3")</f>
        <v>channel 3</v>
      </c>
    </row>
    <row r="170">
      <c r="B170" s="34" t="s">
        <v>1453</v>
      </c>
      <c r="C170" s="33" t="s">
        <v>81</v>
      </c>
      <c r="D170" s="34" t="s">
        <v>3176</v>
      </c>
      <c r="E170" s="11" t="str">
        <f>HYPERLINK("https://youtu.be/5kOqR3g1iiA?t=5751","channel 4")</f>
        <v>channel 4</v>
      </c>
    </row>
    <row r="171">
      <c r="B171" s="34" t="s">
        <v>3042</v>
      </c>
      <c r="C171" s="33" t="s">
        <v>434</v>
      </c>
      <c r="D171" s="34" t="s">
        <v>3744</v>
      </c>
      <c r="E171" s="11" t="str">
        <f>HYPERLINK("https://youtu.be/iPzJUAZJ9cw?t=6704","channel 3")</f>
        <v>channel 3</v>
      </c>
    </row>
    <row r="172">
      <c r="B172" s="34" t="s">
        <v>3211</v>
      </c>
      <c r="C172" s="33" t="s">
        <v>295</v>
      </c>
      <c r="D172" s="34" t="s">
        <v>3176</v>
      </c>
      <c r="E172" s="11" t="str">
        <f>HYPERLINK("https://youtu.be/5kOqR3g1iiA?t=6696","channel 4")</f>
        <v>channel 4</v>
      </c>
    </row>
    <row r="173">
      <c r="B173" s="34" t="s">
        <v>1453</v>
      </c>
      <c r="C173" s="33" t="s">
        <v>197</v>
      </c>
      <c r="D173" s="34" t="s">
        <v>3744</v>
      </c>
      <c r="E173" s="11" t="str">
        <f>HYPERLINK("https://youtu.be/iPzJUAZJ9cw?t=7632","channel 3")</f>
        <v>channel 3</v>
      </c>
    </row>
    <row r="174">
      <c r="B174" s="34" t="s">
        <v>3211</v>
      </c>
      <c r="C174" s="33" t="s">
        <v>190</v>
      </c>
      <c r="D174" s="34" t="s">
        <v>3042</v>
      </c>
      <c r="E174" s="11" t="str">
        <f>HYPERLINK("https://youtu.be/5kOqR3g1iiA?t=7735","channel 4")</f>
        <v>channel 4</v>
      </c>
    </row>
    <row r="175">
      <c r="B175" s="34" t="s">
        <v>3176</v>
      </c>
      <c r="C175" s="33" t="s">
        <v>477</v>
      </c>
      <c r="D175" s="34" t="s">
        <v>3744</v>
      </c>
      <c r="E175" s="11" t="str">
        <f>HYPERLINK("https://youtu.be/iPzJUAZJ9cw?t=8510","channel 3")</f>
        <v>channel 3</v>
      </c>
    </row>
    <row r="176">
      <c r="B176" s="34" t="s">
        <v>1453</v>
      </c>
      <c r="C176" s="33" t="s">
        <v>261</v>
      </c>
      <c r="D176" s="34" t="s">
        <v>3042</v>
      </c>
      <c r="E176" s="11" t="str">
        <f>HYPERLINK("https://youtu.be/5kOqR3g1iiA?t=8669","channel 4")</f>
        <v>channel 4</v>
      </c>
    </row>
    <row r="177">
      <c r="B177" s="72" t="s">
        <v>2907</v>
      </c>
      <c r="C177" s="2"/>
      <c r="D177" s="3"/>
      <c r="E177" s="2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34" t="s">
        <v>3745</v>
      </c>
      <c r="C179" s="33" t="s">
        <v>48</v>
      </c>
      <c r="D179" s="34" t="s">
        <v>966</v>
      </c>
      <c r="E179" s="11" t="str">
        <f>HYPERLINK("https://youtu.be/2gs0BVjeot8","channel 1")</f>
        <v>channel 1</v>
      </c>
    </row>
    <row r="180">
      <c r="B180" s="34" t="s">
        <v>3746</v>
      </c>
      <c r="C180" s="33" t="s">
        <v>270</v>
      </c>
      <c r="D180" s="34" t="s">
        <v>3747</v>
      </c>
      <c r="E180" s="11" t="str">
        <f>HYPERLINK("https://youtu.be/i5NUEBgLqa4","channel 2")</f>
        <v>channel 2</v>
      </c>
    </row>
    <row r="181">
      <c r="B181" s="34" t="s">
        <v>3748</v>
      </c>
      <c r="C181" s="33" t="s">
        <v>3749</v>
      </c>
      <c r="D181" s="34" t="s">
        <v>3745</v>
      </c>
      <c r="E181" s="11" t="str">
        <f>HYPERLINK("https://youtu.be/2gs0BVjeot8?t=1058","channel 1")</f>
        <v>channel 1</v>
      </c>
    </row>
    <row r="182">
      <c r="B182" s="34" t="s">
        <v>3746</v>
      </c>
      <c r="C182" s="33" t="s">
        <v>509</v>
      </c>
      <c r="D182" s="34" t="s">
        <v>966</v>
      </c>
      <c r="E182" s="11" t="str">
        <f>HYPERLINK("https://youtu.be/i5NUEBgLqa4?t=1025","channel 2")</f>
        <v>channel 2</v>
      </c>
    </row>
    <row r="183">
      <c r="B183" s="34" t="s">
        <v>3748</v>
      </c>
      <c r="C183" s="33" t="s">
        <v>497</v>
      </c>
      <c r="D183" s="34" t="s">
        <v>3747</v>
      </c>
      <c r="E183" s="11" t="str">
        <f>HYPERLINK("https://youtu.be/2gs0BVjeot8?t=1994","channel 1")</f>
        <v>channel 1</v>
      </c>
    </row>
    <row r="184">
      <c r="B184" s="34" t="s">
        <v>3746</v>
      </c>
      <c r="C184" s="33" t="s">
        <v>19</v>
      </c>
      <c r="D184" s="34" t="s">
        <v>3745</v>
      </c>
      <c r="E184" s="11" t="str">
        <f>HYPERLINK("https://youtu.be/i5NUEBgLqa4?t=1984","channel 2")</f>
        <v>channel 2</v>
      </c>
    </row>
    <row r="185">
      <c r="B185" s="34" t="s">
        <v>3748</v>
      </c>
      <c r="C185" s="33" t="s">
        <v>233</v>
      </c>
      <c r="D185" s="34" t="s">
        <v>966</v>
      </c>
      <c r="E185" s="11" t="str">
        <f>HYPERLINK("https://youtu.be/2gs0BVjeot8?t=2995","channel 1")</f>
        <v>channel 1</v>
      </c>
    </row>
    <row r="186">
      <c r="B186" s="34" t="s">
        <v>3747</v>
      </c>
      <c r="C186" s="33" t="s">
        <v>47</v>
      </c>
      <c r="D186" s="34" t="s">
        <v>3745</v>
      </c>
      <c r="E186" s="11" t="str">
        <f>HYPERLINK("https://youtu.be/i5NUEBgLqa4?t=2886","channel 2")</f>
        <v>channel 2</v>
      </c>
    </row>
    <row r="187">
      <c r="B187" s="34" t="s">
        <v>3748</v>
      </c>
      <c r="C187" s="33" t="s">
        <v>35</v>
      </c>
      <c r="D187" s="34" t="s">
        <v>3746</v>
      </c>
      <c r="E187" s="11" t="str">
        <f>HYPERLINK("https://youtu.be/2gs0BVjeot8?t=3979","channel 1")</f>
        <v>channel 1</v>
      </c>
    </row>
    <row r="188">
      <c r="B188" s="34" t="s">
        <v>3747</v>
      </c>
      <c r="C188" s="33" t="s">
        <v>68</v>
      </c>
      <c r="D188" s="34" t="s">
        <v>966</v>
      </c>
      <c r="E188" s="11" t="str">
        <f>HYPERLINK("https://youtu.be/i5NUEBgLqa4?t=3959","channel 2")</f>
        <v>channel 2</v>
      </c>
    </row>
    <row r="189">
      <c r="B189" s="34" t="s">
        <v>966</v>
      </c>
      <c r="C189" s="33" t="s">
        <v>354</v>
      </c>
      <c r="D189" s="34" t="s">
        <v>3745</v>
      </c>
      <c r="E189" s="11" t="str">
        <f>HYPERLINK("https://youtu.be/2gs0BVjeot8?t=4950","channel 1")</f>
        <v>channel 1</v>
      </c>
    </row>
    <row r="190">
      <c r="B190" s="34" t="s">
        <v>3747</v>
      </c>
      <c r="C190" s="33" t="s">
        <v>3750</v>
      </c>
      <c r="D190" s="34" t="s">
        <v>3746</v>
      </c>
      <c r="E190" s="11" t="str">
        <f>HYPERLINK("https://youtu.be/i5NUEBgLqa4?t=4861","channel 2")</f>
        <v>channel 2</v>
      </c>
    </row>
    <row r="191">
      <c r="B191" s="34" t="s">
        <v>3745</v>
      </c>
      <c r="C191" s="33" t="s">
        <v>369</v>
      </c>
      <c r="D191" s="34" t="s">
        <v>3748</v>
      </c>
      <c r="E191" s="11" t="str">
        <f>HYPERLINK("https://youtu.be/2gs0BVjeot8?t=5912","channel 1")</f>
        <v>channel 1</v>
      </c>
    </row>
    <row r="192">
      <c r="B192" s="34" t="s">
        <v>966</v>
      </c>
      <c r="C192" s="33" t="s">
        <v>566</v>
      </c>
      <c r="D192" s="34" t="s">
        <v>3746</v>
      </c>
      <c r="E192" s="11" t="str">
        <f>HYPERLINK("https://youtu.be/i5NUEBgLqa4?t=5896","channel 2")</f>
        <v>channel 2</v>
      </c>
    </row>
    <row r="193">
      <c r="B193" s="34" t="s">
        <v>3747</v>
      </c>
      <c r="C193" s="33" t="s">
        <v>52</v>
      </c>
      <c r="D193" s="34" t="s">
        <v>3748</v>
      </c>
      <c r="E193" s="11" t="str">
        <f>HYPERLINK("https://youtu.be/2gs0BVjeot8?t=6876","channel 1")</f>
        <v>channel 1</v>
      </c>
    </row>
    <row r="194">
      <c r="B194" s="34" t="s">
        <v>3745</v>
      </c>
      <c r="C194" s="33" t="s">
        <v>72</v>
      </c>
      <c r="D194" s="34" t="s">
        <v>3746</v>
      </c>
      <c r="E194" s="11" t="str">
        <f>HYPERLINK("https://youtu.be/i5NUEBgLqa4?t=6837","channel 2")</f>
        <v>channel 2</v>
      </c>
    </row>
    <row r="195">
      <c r="B195" s="34" t="s">
        <v>966</v>
      </c>
      <c r="C195" s="33" t="s">
        <v>283</v>
      </c>
      <c r="D195" s="34" t="s">
        <v>3748</v>
      </c>
      <c r="E195" s="11" t="str">
        <f>HYPERLINK("https://youtu.be/2gs0BVjeot8?t=7807","channel 1")</f>
        <v>channel 1</v>
      </c>
    </row>
    <row r="196">
      <c r="B196" s="34" t="s">
        <v>3745</v>
      </c>
      <c r="C196" s="33" t="s">
        <v>82</v>
      </c>
      <c r="D196" s="34" t="s">
        <v>3747</v>
      </c>
      <c r="E196" s="11" t="str">
        <f>HYPERLINK("https://youtu.be/i5NUEBgLqa4?t=7789","channel 2")</f>
        <v>channel 2</v>
      </c>
    </row>
    <row r="197">
      <c r="B197" s="34" t="s">
        <v>3746</v>
      </c>
      <c r="C197" s="33" t="s">
        <v>455</v>
      </c>
      <c r="D197" s="34" t="s">
        <v>3748</v>
      </c>
      <c r="E197" s="11" t="str">
        <f>HYPERLINK("https://youtu.be/2gs0BVjeot8?t=8706","channel 1")</f>
        <v>channel 1</v>
      </c>
    </row>
    <row r="198">
      <c r="B198" s="34" t="s">
        <v>966</v>
      </c>
      <c r="C198" s="33" t="s">
        <v>11</v>
      </c>
      <c r="D198" s="34" t="s">
        <v>3747</v>
      </c>
      <c r="E198" s="11" t="str">
        <f>HYPERLINK("https://youtu.be/i5NUEBgLqa4?t=8650","channel 2")</f>
        <v>channel 2</v>
      </c>
    </row>
    <row r="199">
      <c r="B199" s="72" t="s">
        <v>2200</v>
      </c>
      <c r="C199" s="2"/>
      <c r="D199" s="3"/>
      <c r="E199" s="2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34" t="s">
        <v>3751</v>
      </c>
      <c r="C201" s="33" t="s">
        <v>190</v>
      </c>
      <c r="D201" s="34" t="s">
        <v>2146</v>
      </c>
      <c r="E201" s="11" t="str">
        <f>HYPERLINK("https://youtu.be/GEA5oYSNWjA","channel 1")</f>
        <v>channel 1</v>
      </c>
    </row>
    <row r="202">
      <c r="B202" s="34" t="s">
        <v>2492</v>
      </c>
      <c r="C202" s="33" t="s">
        <v>82</v>
      </c>
      <c r="D202" s="34" t="s">
        <v>3752</v>
      </c>
      <c r="E202" s="11" t="str">
        <f>HYPERLINK("https://youtu.be/hSyc2OjSykc","channel 2")</f>
        <v>channel 2</v>
      </c>
    </row>
    <row r="203">
      <c r="B203" s="34" t="s">
        <v>3672</v>
      </c>
      <c r="C203" s="33" t="s">
        <v>239</v>
      </c>
      <c r="D203" s="34" t="s">
        <v>3751</v>
      </c>
      <c r="E203" s="11" t="str">
        <f>HYPERLINK("https://youtu.be/GEA5oYSNWjA?t=1132","channel 1")</f>
        <v>channel 1</v>
      </c>
    </row>
    <row r="204">
      <c r="B204" s="34" t="s">
        <v>2492</v>
      </c>
      <c r="C204" s="33" t="s">
        <v>16</v>
      </c>
      <c r="D204" s="34" t="s">
        <v>2146</v>
      </c>
      <c r="E204" s="11" t="str">
        <f>HYPERLINK("https://youtu.be/hSyc2OjSykc?t=1056","channel 2")</f>
        <v>channel 2</v>
      </c>
    </row>
    <row r="205">
      <c r="B205" s="34" t="s">
        <v>3672</v>
      </c>
      <c r="C205" s="33" t="s">
        <v>306</v>
      </c>
      <c r="D205" s="34" t="s">
        <v>3752</v>
      </c>
      <c r="E205" s="11" t="str">
        <f>HYPERLINK("https://youtu.be/GEA5oYSNWjA?t=2104","channel 1")</f>
        <v>channel 1</v>
      </c>
    </row>
    <row r="206">
      <c r="B206" s="34" t="s">
        <v>2492</v>
      </c>
      <c r="C206" s="33" t="s">
        <v>41</v>
      </c>
      <c r="D206" s="34" t="s">
        <v>3751</v>
      </c>
      <c r="E206" s="11" t="str">
        <f>HYPERLINK("https://youtu.be/hSyc2OjSykc?t=2018","channel 2")</f>
        <v>channel 2</v>
      </c>
    </row>
    <row r="207">
      <c r="B207" s="34" t="s">
        <v>3672</v>
      </c>
      <c r="C207" s="33" t="s">
        <v>239</v>
      </c>
      <c r="D207" s="34" t="s">
        <v>2146</v>
      </c>
      <c r="E207" s="11" t="str">
        <f>HYPERLINK("https://youtu.be/GEA5oYSNWjA?t=3120","channel 1")</f>
        <v>channel 1</v>
      </c>
    </row>
    <row r="208">
      <c r="B208" s="34" t="s">
        <v>3752</v>
      </c>
      <c r="C208" s="33" t="s">
        <v>22</v>
      </c>
      <c r="D208" s="34" t="s">
        <v>3751</v>
      </c>
      <c r="E208" s="11" t="str">
        <f>HYPERLINK("https://youtu.be/hSyc2OjSykc?t=2970","channel 2")</f>
        <v>channel 2</v>
      </c>
    </row>
    <row r="209">
      <c r="B209" s="34" t="s">
        <v>3672</v>
      </c>
      <c r="C209" s="33" t="s">
        <v>3274</v>
      </c>
      <c r="D209" s="34" t="s">
        <v>2492</v>
      </c>
      <c r="E209" s="11" t="str">
        <f>HYPERLINK("https://youtu.be/GEA5oYSNWjA?t=4125","channel 1")</f>
        <v>channel 1</v>
      </c>
    </row>
    <row r="210">
      <c r="B210" s="34" t="s">
        <v>3752</v>
      </c>
      <c r="C210" s="33" t="s">
        <v>28</v>
      </c>
      <c r="D210" s="34" t="s">
        <v>2146</v>
      </c>
      <c r="E210" s="11" t="str">
        <f>HYPERLINK("https://youtu.be/hSyc2OjSykc?t=3949","channel 2")</f>
        <v>channel 2</v>
      </c>
    </row>
    <row r="211">
      <c r="B211" s="34" t="s">
        <v>2146</v>
      </c>
      <c r="C211" s="33" t="s">
        <v>11</v>
      </c>
      <c r="D211" s="34" t="s">
        <v>3751</v>
      </c>
      <c r="E211" s="11" t="str">
        <f>HYPERLINK("https://youtu.be/GEA5oYSNWjA?t=5081","channel 1")</f>
        <v>channel 1</v>
      </c>
    </row>
    <row r="212">
      <c r="B212" s="34" t="s">
        <v>3752</v>
      </c>
      <c r="C212" s="33" t="s">
        <v>43</v>
      </c>
      <c r="D212" s="34" t="s">
        <v>2492</v>
      </c>
      <c r="E212" s="11" t="str">
        <f>HYPERLINK("https://youtu.be/hSyc2OjSykc?t=4988","channel 2")</f>
        <v>channel 2</v>
      </c>
    </row>
    <row r="213">
      <c r="B213" s="34" t="s">
        <v>3751</v>
      </c>
      <c r="C213" s="33" t="s">
        <v>42</v>
      </c>
      <c r="D213" s="34" t="s">
        <v>3672</v>
      </c>
      <c r="E213" s="11" t="str">
        <f>HYPERLINK("https://youtu.be/GEA5oYSNWjA?t=6039","channel 1")</f>
        <v>channel 1</v>
      </c>
    </row>
    <row r="214">
      <c r="B214" s="34" t="s">
        <v>2146</v>
      </c>
      <c r="C214" s="33" t="s">
        <v>58</v>
      </c>
      <c r="D214" s="34" t="s">
        <v>2492</v>
      </c>
      <c r="E214" s="11" t="str">
        <f>HYPERLINK("https://youtu.be/hSyc2OjSykc?t=5936","channel 2")</f>
        <v>channel 2</v>
      </c>
    </row>
    <row r="215">
      <c r="B215" s="34" t="s">
        <v>3752</v>
      </c>
      <c r="C215" s="33" t="s">
        <v>38</v>
      </c>
      <c r="D215" s="34" t="s">
        <v>3672</v>
      </c>
      <c r="E215" s="11" t="str">
        <f>HYPERLINK("https://youtu.be/GEA5oYSNWjA?t=6940","channel 1")</f>
        <v>channel 1</v>
      </c>
    </row>
    <row r="216">
      <c r="B216" s="34" t="s">
        <v>3751</v>
      </c>
      <c r="C216" s="33" t="s">
        <v>64</v>
      </c>
      <c r="D216" s="34" t="s">
        <v>2492</v>
      </c>
      <c r="E216" s="11" t="str">
        <f>HYPERLINK("https://youtu.be/hSyc2OjSykc?t=6861","channel 2")</f>
        <v>channel 2</v>
      </c>
    </row>
    <row r="217">
      <c r="B217" s="34" t="s">
        <v>2146</v>
      </c>
      <c r="C217" s="33" t="s">
        <v>815</v>
      </c>
      <c r="D217" s="34" t="s">
        <v>3672</v>
      </c>
      <c r="E217" s="11" t="str">
        <f>HYPERLINK("https://youtu.be/GEA5oYSNWjA?t=7852","channel 1")</f>
        <v>channel 1</v>
      </c>
    </row>
    <row r="218">
      <c r="B218" s="34" t="s">
        <v>3751</v>
      </c>
      <c r="C218" s="33" t="s">
        <v>329</v>
      </c>
      <c r="D218" s="34" t="s">
        <v>3752</v>
      </c>
      <c r="E218" s="11" t="str">
        <f>HYPERLINK("https://youtu.be/hSyc2OjSykc?t=7770","channel 2")</f>
        <v>channel 2</v>
      </c>
    </row>
    <row r="219">
      <c r="B219" s="34" t="s">
        <v>2492</v>
      </c>
      <c r="C219" s="33" t="s">
        <v>684</v>
      </c>
      <c r="D219" s="34" t="s">
        <v>3672</v>
      </c>
      <c r="E219" s="11" t="str">
        <f>HYPERLINK("https://youtu.be/GEA5oYSNWjA?t=8861","channel 1")</f>
        <v>channel 1</v>
      </c>
    </row>
    <row r="220">
      <c r="B220" s="34" t="s">
        <v>2146</v>
      </c>
      <c r="C220" s="33" t="s">
        <v>66</v>
      </c>
      <c r="D220" s="34" t="s">
        <v>3752</v>
      </c>
      <c r="E220" s="11" t="str">
        <f>HYPERLINK("https://youtu.be/hSyc2OjSykc?t=8711","channel 2")</f>
        <v>channel 2</v>
      </c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7"/>
      <c r="B1" s="1" t="s">
        <v>2790</v>
      </c>
      <c r="C1" s="2"/>
      <c r="D1" s="3"/>
      <c r="E1" s="14"/>
    </row>
    <row r="2">
      <c r="A2" s="118"/>
      <c r="B2" s="16" t="s">
        <v>2</v>
      </c>
      <c r="C2" s="16" t="s">
        <v>3</v>
      </c>
      <c r="D2" s="16" t="s">
        <v>4</v>
      </c>
      <c r="E2" s="6" t="s">
        <v>5</v>
      </c>
    </row>
    <row r="3">
      <c r="A3" s="118"/>
      <c r="B3" s="32" t="s">
        <v>3061</v>
      </c>
      <c r="C3" s="33" t="s">
        <v>293</v>
      </c>
      <c r="D3" s="32" t="s">
        <v>3753</v>
      </c>
      <c r="E3" s="11" t="str">
        <f>HYPERLINK("https://youtu.be/gYvtwBq69IQ","channel 1")</f>
        <v>channel 1</v>
      </c>
    </row>
    <row r="4">
      <c r="A4" s="118"/>
      <c r="B4" s="32" t="s">
        <v>3594</v>
      </c>
      <c r="C4" s="33" t="s">
        <v>286</v>
      </c>
      <c r="D4" s="32" t="s">
        <v>3090</v>
      </c>
      <c r="E4" s="11" t="str">
        <f>HYPERLINK("https://youtu.be/TrFo_TkKBLI","channel 2")</f>
        <v>channel 2</v>
      </c>
    </row>
    <row r="5">
      <c r="A5" s="118"/>
      <c r="B5" s="32" t="s">
        <v>3573</v>
      </c>
      <c r="C5" s="33" t="s">
        <v>62</v>
      </c>
      <c r="D5" s="32" t="s">
        <v>3061</v>
      </c>
      <c r="E5" s="11" t="str">
        <f>HYPERLINK("https://youtu.be/gYvtwBq69IQ?t=861","channel 1")</f>
        <v>channel 1</v>
      </c>
    </row>
    <row r="6">
      <c r="A6" s="118"/>
      <c r="B6" s="32" t="s">
        <v>3594</v>
      </c>
      <c r="C6" s="33" t="s">
        <v>23</v>
      </c>
      <c r="D6" s="32" t="s">
        <v>3753</v>
      </c>
      <c r="E6" s="11" t="str">
        <f>HYPERLINK("https://youtu.be/TrFo_TkKBLI?t=967","channel 2")</f>
        <v>channel 2</v>
      </c>
    </row>
    <row r="7">
      <c r="A7" s="118"/>
      <c r="B7" s="32" t="s">
        <v>3573</v>
      </c>
      <c r="C7" s="33" t="s">
        <v>411</v>
      </c>
      <c r="D7" s="32" t="s">
        <v>3090</v>
      </c>
      <c r="E7" s="11" t="str">
        <f>HYPERLINK("https://youtu.be/gYvtwBq69IQ?t=1887","channel 1")</f>
        <v>channel 1</v>
      </c>
    </row>
    <row r="8">
      <c r="A8" s="118"/>
      <c r="B8" s="32" t="s">
        <v>3594</v>
      </c>
      <c r="C8" s="33" t="s">
        <v>286</v>
      </c>
      <c r="D8" s="32" t="s">
        <v>3061</v>
      </c>
      <c r="E8" s="11" t="str">
        <f>HYPERLINK("https://youtu.be/TrFo_TkKBLI?t=1943","channel 2")</f>
        <v>channel 2</v>
      </c>
    </row>
    <row r="9">
      <c r="A9" s="118"/>
      <c r="B9" s="32" t="s">
        <v>3573</v>
      </c>
      <c r="C9" s="33" t="s">
        <v>488</v>
      </c>
      <c r="D9" s="32" t="s">
        <v>3753</v>
      </c>
      <c r="E9" s="11" t="str">
        <f>HYPERLINK("https://youtu.be/gYvtwBq69IQ?t=2745","channel 1")</f>
        <v>channel 1</v>
      </c>
    </row>
    <row r="10">
      <c r="A10" s="118"/>
      <c r="B10" s="32" t="s">
        <v>3090</v>
      </c>
      <c r="C10" s="33" t="s">
        <v>196</v>
      </c>
      <c r="D10" s="32" t="s">
        <v>3061</v>
      </c>
      <c r="E10" s="11" t="str">
        <f>HYPERLINK("https://youtu.be/TrFo_TkKBLI?t=2854","channel 2")</f>
        <v>channel 2</v>
      </c>
    </row>
    <row r="11">
      <c r="A11" s="118"/>
      <c r="B11" s="32" t="s">
        <v>3573</v>
      </c>
      <c r="C11" s="33" t="s">
        <v>699</v>
      </c>
      <c r="D11" s="32" t="s">
        <v>3594</v>
      </c>
      <c r="E11" s="11" t="str">
        <f>HYPERLINK("https://youtu.be/gYvtwBq69IQ?t=3608","channel 1")</f>
        <v>channel 1</v>
      </c>
    </row>
    <row r="12">
      <c r="A12" s="118"/>
      <c r="B12" s="32" t="s">
        <v>3090</v>
      </c>
      <c r="C12" s="33" t="s">
        <v>11</v>
      </c>
      <c r="D12" s="32" t="s">
        <v>3753</v>
      </c>
      <c r="E12" s="11" t="str">
        <f>HYPERLINK("https://youtu.be/TrFo_TkKBLI?t=3721","channel 2")</f>
        <v>channel 2</v>
      </c>
    </row>
    <row r="13">
      <c r="A13" s="118"/>
      <c r="B13" s="32" t="s">
        <v>3753</v>
      </c>
      <c r="C13" s="33" t="s">
        <v>3754</v>
      </c>
      <c r="D13" s="32" t="s">
        <v>3061</v>
      </c>
      <c r="E13" s="68" t="str">
        <f>HYPERLINK("https://youtu.be/gYvtwBq69IQ?t=4548","channel 1")</f>
        <v>channel 1</v>
      </c>
    </row>
    <row r="14">
      <c r="A14" s="118"/>
      <c r="B14" s="32" t="s">
        <v>3090</v>
      </c>
      <c r="C14" s="35" t="s">
        <v>47</v>
      </c>
      <c r="D14" s="32" t="s">
        <v>3594</v>
      </c>
      <c r="E14" s="11" t="str">
        <f>HYPERLINK("https://youtu.be/TrFo_TkKBLI?t=4588","channel 2")</f>
        <v>channel 2</v>
      </c>
    </row>
    <row r="15">
      <c r="A15" s="118"/>
      <c r="B15" s="32" t="s">
        <v>3061</v>
      </c>
      <c r="C15" s="35" t="s">
        <v>2014</v>
      </c>
      <c r="D15" s="32" t="s">
        <v>3573</v>
      </c>
      <c r="E15" s="11" t="str">
        <f>HYPERLINK("https://youtu.be/j8dwPcYahek","channel 1")</f>
        <v>channel 1</v>
      </c>
    </row>
    <row r="16">
      <c r="A16" s="118"/>
      <c r="B16" s="32" t="s">
        <v>3753</v>
      </c>
      <c r="C16" s="33" t="s">
        <v>22</v>
      </c>
      <c r="D16" s="32" t="s">
        <v>3594</v>
      </c>
      <c r="E16" s="11" t="str">
        <f>HYPERLINK("https://youtu.be/KANbqNPdVoU","channel 2")</f>
        <v>channel 2</v>
      </c>
    </row>
    <row r="17">
      <c r="A17" s="118"/>
      <c r="B17" s="32" t="s">
        <v>3090</v>
      </c>
      <c r="C17" s="33" t="s">
        <v>267</v>
      </c>
      <c r="D17" s="32" t="s">
        <v>3573</v>
      </c>
      <c r="E17" s="11" t="str">
        <f>HYPERLINK("https://youtu.be/j8dwPcYahek?t=869","channel 1")</f>
        <v>channel 1</v>
      </c>
    </row>
    <row r="18">
      <c r="A18" s="118"/>
      <c r="B18" s="32" t="s">
        <v>3061</v>
      </c>
      <c r="C18" s="33" t="s">
        <v>699</v>
      </c>
      <c r="D18" s="32" t="s">
        <v>3594</v>
      </c>
      <c r="E18" s="11" t="str">
        <f>HYPERLINK("https://youtu.be/KANbqNPdVoU?t=894","channel 2")</f>
        <v>channel 2</v>
      </c>
    </row>
    <row r="19">
      <c r="A19" s="118"/>
      <c r="B19" s="32" t="s">
        <v>3753</v>
      </c>
      <c r="C19" s="57" t="s">
        <v>449</v>
      </c>
      <c r="D19" s="32" t="s">
        <v>3573</v>
      </c>
      <c r="E19" s="99" t="s">
        <v>9</v>
      </c>
    </row>
    <row r="20">
      <c r="A20" s="118"/>
      <c r="B20" s="32" t="s">
        <v>3061</v>
      </c>
      <c r="C20" s="57" t="s">
        <v>449</v>
      </c>
      <c r="D20" s="32" t="s">
        <v>3090</v>
      </c>
      <c r="E20" s="99" t="s">
        <v>13</v>
      </c>
    </row>
    <row r="21">
      <c r="A21" s="118"/>
      <c r="B21" s="32" t="s">
        <v>3594</v>
      </c>
      <c r="C21" s="57" t="s">
        <v>449</v>
      </c>
      <c r="D21" s="32" t="s">
        <v>3573</v>
      </c>
      <c r="E21" s="99" t="s">
        <v>9</v>
      </c>
    </row>
    <row r="22">
      <c r="A22" s="118"/>
      <c r="B22" s="32" t="s">
        <v>3753</v>
      </c>
      <c r="C22" s="57" t="s">
        <v>449</v>
      </c>
      <c r="D22" s="32" t="s">
        <v>3090</v>
      </c>
      <c r="E22" s="99" t="s">
        <v>13</v>
      </c>
    </row>
    <row r="23">
      <c r="A23" s="118"/>
      <c r="B23" s="1" t="s">
        <v>1664</v>
      </c>
      <c r="C23" s="2"/>
      <c r="D23" s="3"/>
      <c r="E23" s="4"/>
    </row>
    <row r="24">
      <c r="A24" s="118"/>
      <c r="B24" s="16" t="s">
        <v>2</v>
      </c>
      <c r="C24" s="16" t="s">
        <v>3</v>
      </c>
      <c r="D24" s="16" t="s">
        <v>4</v>
      </c>
      <c r="E24" s="6" t="s">
        <v>5</v>
      </c>
    </row>
    <row r="25">
      <c r="A25" s="118"/>
      <c r="B25" s="32" t="s">
        <v>2512</v>
      </c>
      <c r="C25" s="33" t="s">
        <v>20</v>
      </c>
      <c r="D25" s="32" t="s">
        <v>3358</v>
      </c>
      <c r="E25" s="11" t="str">
        <f>HYPERLINK("https://youtu.be/IK5usSnd414","channel 1")</f>
        <v>channel 1</v>
      </c>
    </row>
    <row r="26">
      <c r="A26" s="118"/>
      <c r="B26" s="32" t="s">
        <v>1851</v>
      </c>
      <c r="C26" s="33" t="s">
        <v>190</v>
      </c>
      <c r="D26" s="32" t="s">
        <v>1790</v>
      </c>
      <c r="E26" s="11" t="str">
        <f>HYPERLINK("https://youtu.be/axogPwES-G0","channel 2")</f>
        <v>channel 2</v>
      </c>
    </row>
    <row r="27">
      <c r="A27" s="118"/>
      <c r="B27" s="32" t="s">
        <v>3359</v>
      </c>
      <c r="C27" s="33" t="s">
        <v>41</v>
      </c>
      <c r="D27" s="32" t="s">
        <v>2512</v>
      </c>
      <c r="E27" s="11" t="str">
        <f>HYPERLINK("https://youtu.be/IK5usSnd414?t=935","channel 1")</f>
        <v>channel 1</v>
      </c>
    </row>
    <row r="28">
      <c r="A28" s="118"/>
      <c r="B28" s="32" t="s">
        <v>1851</v>
      </c>
      <c r="C28" s="33" t="s">
        <v>193</v>
      </c>
      <c r="D28" s="32" t="s">
        <v>3358</v>
      </c>
      <c r="E28" s="11" t="str">
        <f>HYPERLINK("https://youtu.be/axogPwES-G0?t=895","channel 2")</f>
        <v>channel 2</v>
      </c>
    </row>
    <row r="29">
      <c r="A29" s="118"/>
      <c r="B29" s="32" t="s">
        <v>3359</v>
      </c>
      <c r="C29" s="33" t="s">
        <v>291</v>
      </c>
      <c r="D29" s="32" t="s">
        <v>1790</v>
      </c>
      <c r="E29" s="11" t="str">
        <f>HYPERLINK("https://youtu.be/IK5usSnd414?t=1837","channel 1")</f>
        <v>channel 1</v>
      </c>
    </row>
    <row r="30">
      <c r="A30" s="118"/>
      <c r="B30" s="32" t="s">
        <v>1851</v>
      </c>
      <c r="C30" s="33" t="s">
        <v>64</v>
      </c>
      <c r="D30" s="32" t="s">
        <v>2512</v>
      </c>
      <c r="E30" s="11" t="str">
        <f>HYPERLINK("https://youtu.be/axogPwES-G0?t=1790","channel 2")</f>
        <v>channel 2</v>
      </c>
    </row>
    <row r="31">
      <c r="A31" s="118"/>
      <c r="B31" s="32" t="s">
        <v>3359</v>
      </c>
      <c r="C31" s="33" t="s">
        <v>238</v>
      </c>
      <c r="D31" s="32" t="s">
        <v>3358</v>
      </c>
      <c r="E31" s="11" t="str">
        <f>HYPERLINK("https://youtu.be/IK5usSnd414?t=2783","channel 1")</f>
        <v>channel 1</v>
      </c>
    </row>
    <row r="32">
      <c r="A32" s="118"/>
      <c r="B32" s="32" t="s">
        <v>1790</v>
      </c>
      <c r="C32" s="33" t="s">
        <v>58</v>
      </c>
      <c r="D32" s="32" t="s">
        <v>2512</v>
      </c>
      <c r="E32" s="11" t="str">
        <f>HYPERLINK("https://youtu.be/axogPwES-G0?t=2727","channel 2")</f>
        <v>channel 2</v>
      </c>
    </row>
    <row r="33">
      <c r="A33" s="118"/>
      <c r="B33" s="32" t="s">
        <v>3359</v>
      </c>
      <c r="C33" s="33" t="s">
        <v>11</v>
      </c>
      <c r="D33" s="32" t="s">
        <v>1851</v>
      </c>
      <c r="E33" s="11" t="str">
        <f>HYPERLINK("https://youtu.be/IK5usSnd414?t=3649","channel 1")</f>
        <v>channel 1</v>
      </c>
    </row>
    <row r="34">
      <c r="A34" s="118"/>
      <c r="B34" s="32" t="s">
        <v>1790</v>
      </c>
      <c r="C34" s="33" t="s">
        <v>770</v>
      </c>
      <c r="D34" s="32" t="s">
        <v>3358</v>
      </c>
      <c r="E34" s="11" t="str">
        <f>HYPERLINK("https://youtu.be/axogPwES-G0?t=3631","channel 2")</f>
        <v>channel 2</v>
      </c>
    </row>
    <row r="35">
      <c r="A35" s="118"/>
      <c r="B35" s="32" t="s">
        <v>3358</v>
      </c>
      <c r="C35" s="33" t="s">
        <v>16</v>
      </c>
      <c r="D35" s="32" t="s">
        <v>2512</v>
      </c>
      <c r="E35" s="11" t="str">
        <f>HYPERLINK("https://youtu.be/IK5usSnd414?t=4638","channel 1")</f>
        <v>channel 1</v>
      </c>
    </row>
    <row r="36">
      <c r="A36" s="118"/>
      <c r="B36" s="32" t="s">
        <v>1790</v>
      </c>
      <c r="C36" s="33" t="s">
        <v>259</v>
      </c>
      <c r="D36" s="32" t="s">
        <v>1851</v>
      </c>
      <c r="E36" s="11" t="str">
        <f>HYPERLINK("https://youtu.be/axogPwES-G0?t=4644","channel 2")</f>
        <v>channel 2</v>
      </c>
    </row>
    <row r="37">
      <c r="A37" s="118"/>
      <c r="B37" s="32" t="s">
        <v>2512</v>
      </c>
      <c r="C37" s="33" t="s">
        <v>370</v>
      </c>
      <c r="D37" s="32" t="s">
        <v>3359</v>
      </c>
      <c r="E37" s="11" t="str">
        <f>HYPERLINK("https://youtu.be/IK5usSnd414?t=5453","channel 1")</f>
        <v>channel 1</v>
      </c>
    </row>
    <row r="38">
      <c r="A38" s="118"/>
      <c r="B38" s="32" t="s">
        <v>3358</v>
      </c>
      <c r="C38" s="33" t="s">
        <v>312</v>
      </c>
      <c r="D38" s="32" t="s">
        <v>1851</v>
      </c>
      <c r="E38" s="11" t="str">
        <f>HYPERLINK("https://youtu.be/axogPwES-G0?t=5543","channel 2")</f>
        <v>channel 2</v>
      </c>
    </row>
    <row r="39">
      <c r="A39" s="118"/>
      <c r="B39" s="32" t="s">
        <v>1790</v>
      </c>
      <c r="C39" s="35" t="s">
        <v>66</v>
      </c>
      <c r="D39" s="32" t="s">
        <v>3359</v>
      </c>
      <c r="E39" s="11" t="str">
        <f>HYPERLINK("https://youtu.be/IK5usSnd414?t=6428","channel 1")</f>
        <v>channel 1</v>
      </c>
    </row>
    <row r="40">
      <c r="A40" s="118"/>
      <c r="B40" s="32" t="s">
        <v>2512</v>
      </c>
      <c r="C40" s="33" t="s">
        <v>81</v>
      </c>
      <c r="D40" s="32" t="s">
        <v>1851</v>
      </c>
      <c r="E40" s="11" t="str">
        <f>HYPERLINK("https://youtu.be/axogPwES-G0?t=6475","channel 2")</f>
        <v>channel 2</v>
      </c>
    </row>
    <row r="41">
      <c r="A41" s="118"/>
      <c r="B41" s="32" t="s">
        <v>3358</v>
      </c>
      <c r="C41" s="33" t="s">
        <v>494</v>
      </c>
      <c r="D41" s="32" t="s">
        <v>3359</v>
      </c>
      <c r="E41" s="11" t="str">
        <f>HYPERLINK("https://youtu.be/IK5usSnd414?t=7389","channel 1")</f>
        <v>channel 1</v>
      </c>
    </row>
    <row r="42">
      <c r="A42" s="118"/>
      <c r="B42" s="32" t="s">
        <v>2512</v>
      </c>
      <c r="C42" s="33" t="s">
        <v>201</v>
      </c>
      <c r="D42" s="32" t="s">
        <v>1790</v>
      </c>
      <c r="E42" s="11" t="str">
        <f>HYPERLINK("https://youtu.be/axogPwES-G0?t=7387","channel 2")</f>
        <v>channel 2</v>
      </c>
    </row>
    <row r="43">
      <c r="A43" s="118"/>
      <c r="B43" s="32" t="s">
        <v>1851</v>
      </c>
      <c r="C43" s="33" t="s">
        <v>566</v>
      </c>
      <c r="D43" s="32" t="s">
        <v>3359</v>
      </c>
      <c r="E43" s="11" t="str">
        <f>HYPERLINK("https://youtu.be/IK5usSnd414?t=8269","channel 1")</f>
        <v>channel 1</v>
      </c>
    </row>
    <row r="44">
      <c r="A44" s="118"/>
      <c r="B44" s="32" t="s">
        <v>3358</v>
      </c>
      <c r="C44" s="33" t="s">
        <v>7</v>
      </c>
      <c r="D44" s="32" t="s">
        <v>1790</v>
      </c>
      <c r="E44" s="11" t="str">
        <f>HYPERLINK("https://youtu.be/axogPwES-G0?t=8333","channel 2")</f>
        <v>channel 2</v>
      </c>
    </row>
    <row r="45">
      <c r="A45" s="118"/>
      <c r="B45" s="1" t="s">
        <v>2828</v>
      </c>
      <c r="C45" s="2"/>
      <c r="D45" s="3"/>
      <c r="E45" s="4"/>
    </row>
    <row r="46">
      <c r="A46" s="118"/>
      <c r="B46" s="16" t="s">
        <v>2</v>
      </c>
      <c r="C46" s="16" t="s">
        <v>3</v>
      </c>
      <c r="D46" s="16" t="s">
        <v>4</v>
      </c>
      <c r="E46" s="6" t="s">
        <v>5</v>
      </c>
    </row>
    <row r="47">
      <c r="A47" s="118"/>
      <c r="B47" s="32" t="s">
        <v>3755</v>
      </c>
      <c r="C47" s="33" t="s">
        <v>68</v>
      </c>
      <c r="D47" s="32" t="s">
        <v>3102</v>
      </c>
      <c r="E47" s="11" t="str">
        <f>HYPERLINK("https://youtu.be/Gt8f0Lpcrbw","channel 3")</f>
        <v>channel 3</v>
      </c>
    </row>
    <row r="48">
      <c r="A48" s="118"/>
      <c r="B48" s="32" t="s">
        <v>3705</v>
      </c>
      <c r="C48" s="33" t="s">
        <v>687</v>
      </c>
      <c r="D48" s="32" t="s">
        <v>1375</v>
      </c>
      <c r="E48" s="11" t="str">
        <f>HYPERLINK("https://youtu.be/qLTlyOHnbw4","channel 4")</f>
        <v>channel 4</v>
      </c>
    </row>
    <row r="49">
      <c r="A49" s="118"/>
      <c r="B49" s="32" t="s">
        <v>660</v>
      </c>
      <c r="C49" s="33" t="s">
        <v>22</v>
      </c>
      <c r="D49" s="32" t="s">
        <v>3755</v>
      </c>
      <c r="E49" s="11" t="str">
        <f>HYPERLINK("https://youtu.be/Gt8f0Lpcrbw?t=905","channel 3")</f>
        <v>channel 3</v>
      </c>
    </row>
    <row r="50">
      <c r="A50" s="118"/>
      <c r="B50" s="32" t="s">
        <v>3705</v>
      </c>
      <c r="C50" s="33" t="s">
        <v>460</v>
      </c>
      <c r="D50" s="32" t="s">
        <v>3102</v>
      </c>
      <c r="E50" s="11" t="str">
        <f>HYPERLINK("https://youtu.be/qLTlyOHnbw4?t=1082","channel 4")</f>
        <v>channel 4</v>
      </c>
    </row>
    <row r="51">
      <c r="A51" s="118"/>
      <c r="B51" s="32" t="s">
        <v>660</v>
      </c>
      <c r="C51" s="33" t="s">
        <v>58</v>
      </c>
      <c r="D51" s="32" t="s">
        <v>1375</v>
      </c>
      <c r="E51" s="11" t="str">
        <f>HYPERLINK("https://youtu.be/Gt8f0Lpcrbw?t=1795","channel 3")</f>
        <v>channel 3</v>
      </c>
    </row>
    <row r="52">
      <c r="A52" s="118"/>
      <c r="B52" s="32" t="s">
        <v>3705</v>
      </c>
      <c r="C52" s="33" t="s">
        <v>197</v>
      </c>
      <c r="D52" s="32" t="s">
        <v>3755</v>
      </c>
      <c r="E52" s="11" t="str">
        <f>HYPERLINK("https://youtu.be/qLTlyOHnbw4?t=2159","channel 4")</f>
        <v>channel 4</v>
      </c>
    </row>
    <row r="53">
      <c r="A53" s="118"/>
      <c r="B53" s="32" t="s">
        <v>660</v>
      </c>
      <c r="C53" s="33" t="s">
        <v>544</v>
      </c>
      <c r="D53" s="32" t="s">
        <v>3102</v>
      </c>
      <c r="E53" s="11" t="str">
        <f>HYPERLINK("https://youtu.be/Gt8f0Lpcrbw?t=2743","channel 3")</f>
        <v>channel 3</v>
      </c>
    </row>
    <row r="54">
      <c r="A54" s="118"/>
      <c r="B54" s="32" t="s">
        <v>1375</v>
      </c>
      <c r="C54" s="33" t="s">
        <v>55</v>
      </c>
      <c r="D54" s="32" t="s">
        <v>3755</v>
      </c>
      <c r="E54" s="11" t="str">
        <f>HYPERLINK("https://youtu.be/qLTlyOHnbw4?t=3081","channel 4")</f>
        <v>channel 4</v>
      </c>
    </row>
    <row r="55">
      <c r="A55" s="118"/>
      <c r="B55" s="32" t="s">
        <v>660</v>
      </c>
      <c r="C55" s="33" t="s">
        <v>193</v>
      </c>
      <c r="D55" s="32" t="s">
        <v>3705</v>
      </c>
      <c r="E55" s="11" t="str">
        <f>HYPERLINK("https://youtu.be/Gt8f0Lpcrbw?t=3624","channel 3")</f>
        <v>channel 3</v>
      </c>
    </row>
    <row r="56">
      <c r="A56" s="118"/>
      <c r="B56" s="32" t="s">
        <v>1375</v>
      </c>
      <c r="C56" s="33" t="s">
        <v>27</v>
      </c>
      <c r="D56" s="32" t="s">
        <v>3102</v>
      </c>
      <c r="E56" s="11" t="str">
        <f>HYPERLINK("https://youtu.be/qLTlyOHnbw4?t=4016","channel 4")</f>
        <v>channel 4</v>
      </c>
    </row>
    <row r="57">
      <c r="A57" s="118"/>
      <c r="B57" s="32" t="s">
        <v>3102</v>
      </c>
      <c r="C57" s="33" t="s">
        <v>187</v>
      </c>
      <c r="D57" s="32" t="s">
        <v>3755</v>
      </c>
      <c r="E57" s="11" t="str">
        <f>HYPERLINK("https://youtu.be/Gt8f0Lpcrbw?t=4875","channel 3")</f>
        <v>channel 3</v>
      </c>
    </row>
    <row r="58">
      <c r="A58" s="118"/>
      <c r="B58" s="32" t="s">
        <v>1375</v>
      </c>
      <c r="C58" s="33" t="s">
        <v>197</v>
      </c>
      <c r="D58" s="32" t="s">
        <v>3705</v>
      </c>
      <c r="E58" s="11" t="str">
        <f>HYPERLINK("https://youtu.be/qLTlyOHnbw4?t=4887","channel 4")</f>
        <v>channel 4</v>
      </c>
    </row>
    <row r="59">
      <c r="A59" s="118"/>
      <c r="B59" s="32" t="s">
        <v>3755</v>
      </c>
      <c r="C59" s="33" t="s">
        <v>19</v>
      </c>
      <c r="D59" s="32" t="s">
        <v>660</v>
      </c>
      <c r="E59" s="11" t="str">
        <f>HYPERLINK("https://youtu.be/Gt8f0Lpcrbw?t=5794","channel 3")</f>
        <v>channel 3</v>
      </c>
    </row>
    <row r="60">
      <c r="A60" s="118"/>
      <c r="B60" s="32" t="s">
        <v>3102</v>
      </c>
      <c r="C60" s="33" t="s">
        <v>494</v>
      </c>
      <c r="D60" s="32" t="s">
        <v>3705</v>
      </c>
      <c r="E60" s="11" t="str">
        <f>HYPERLINK("https://youtu.be/qLTlyOHnbw4?t=5819","channel 4")</f>
        <v>channel 4</v>
      </c>
    </row>
    <row r="61">
      <c r="A61" s="118"/>
      <c r="B61" s="32" t="s">
        <v>1375</v>
      </c>
      <c r="C61" s="33" t="s">
        <v>14</v>
      </c>
      <c r="D61" s="32" t="s">
        <v>660</v>
      </c>
      <c r="E61" s="11" t="str">
        <f>HYPERLINK("https://youtu.be/Gt8f0Lpcrbw?t=6661","channel 3")</f>
        <v>channel 3</v>
      </c>
    </row>
    <row r="62">
      <c r="A62" s="118"/>
      <c r="B62" s="32" t="s">
        <v>3755</v>
      </c>
      <c r="C62" s="33" t="s">
        <v>45</v>
      </c>
      <c r="D62" s="32" t="s">
        <v>3705</v>
      </c>
      <c r="E62" s="11" t="str">
        <f>HYPERLINK("https://youtu.be/qLTlyOHnbw4?t=6783","channel 4")</f>
        <v>channel 4</v>
      </c>
    </row>
    <row r="63">
      <c r="A63" s="118"/>
      <c r="B63" s="32" t="s">
        <v>3102</v>
      </c>
      <c r="C63" s="33" t="s">
        <v>55</v>
      </c>
      <c r="D63" s="32" t="s">
        <v>660</v>
      </c>
      <c r="E63" s="11" t="str">
        <f>HYPERLINK("https://youtu.be/Gt8f0Lpcrbw?t=7561","channel 3")</f>
        <v>channel 3</v>
      </c>
    </row>
    <row r="64">
      <c r="A64" s="118"/>
      <c r="B64" s="32" t="s">
        <v>3755</v>
      </c>
      <c r="C64" s="33" t="s">
        <v>250</v>
      </c>
      <c r="D64" s="32" t="s">
        <v>1375</v>
      </c>
      <c r="E64" s="11" t="str">
        <f>HYPERLINK("https://youtu.be/qLTlyOHnbw4?t=7735","channel 4")</f>
        <v>channel 4</v>
      </c>
    </row>
    <row r="65">
      <c r="A65" s="118"/>
      <c r="B65" s="32" t="s">
        <v>3705</v>
      </c>
      <c r="C65" s="33" t="s">
        <v>201</v>
      </c>
      <c r="D65" s="32" t="s">
        <v>660</v>
      </c>
      <c r="E65" s="11" t="str">
        <f>HYPERLINK("https://youtu.be/Gt8f0Lpcrbw?t=8479","channel 3")</f>
        <v>channel 3</v>
      </c>
    </row>
    <row r="66">
      <c r="A66" s="118"/>
      <c r="B66" s="32" t="s">
        <v>3102</v>
      </c>
      <c r="C66" s="33" t="s">
        <v>1465</v>
      </c>
      <c r="D66" s="32" t="s">
        <v>1375</v>
      </c>
      <c r="E66" s="11" t="str">
        <f>HYPERLINK("https://youtu.be/qLTlyOHnbw4?t=8640","channel 4")</f>
        <v>channel 4</v>
      </c>
    </row>
    <row r="67">
      <c r="A67" s="118"/>
      <c r="B67" s="1" t="s">
        <v>2551</v>
      </c>
      <c r="C67" s="2"/>
      <c r="D67" s="3"/>
      <c r="E67" s="4"/>
    </row>
    <row r="68">
      <c r="A68" s="118"/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118"/>
      <c r="B69" s="32" t="s">
        <v>3756</v>
      </c>
      <c r="C69" s="33" t="s">
        <v>793</v>
      </c>
      <c r="D69" s="32" t="s">
        <v>3757</v>
      </c>
      <c r="E69" s="11" t="str">
        <f>HYPERLINK("https://youtu.be/roERpTpNTcY","channel 3")</f>
        <v>channel 3</v>
      </c>
    </row>
    <row r="70">
      <c r="A70" s="118"/>
      <c r="B70" s="32" t="s">
        <v>3529</v>
      </c>
      <c r="C70" s="33" t="s">
        <v>43</v>
      </c>
      <c r="D70" s="32" t="s">
        <v>3304</v>
      </c>
      <c r="E70" s="11" t="str">
        <f>HYPERLINK("https://youtu.be/SvOxPTo70v4","channel 4")</f>
        <v>channel 4</v>
      </c>
    </row>
    <row r="71">
      <c r="A71" s="118"/>
      <c r="B71" s="32" t="s">
        <v>3758</v>
      </c>
      <c r="C71" s="33" t="s">
        <v>87</v>
      </c>
      <c r="D71" s="32" t="s">
        <v>3756</v>
      </c>
      <c r="E71" s="11" t="str">
        <f>HYPERLINK("https://youtu.be/roERpTpNTcY?t=899","channel 3")</f>
        <v>channel 3</v>
      </c>
    </row>
    <row r="72">
      <c r="A72" s="118"/>
      <c r="B72" s="32" t="s">
        <v>3529</v>
      </c>
      <c r="C72" s="33" t="s">
        <v>193</v>
      </c>
      <c r="D72" s="32" t="s">
        <v>3757</v>
      </c>
      <c r="E72" s="11" t="str">
        <f>HYPERLINK("https://youtu.be/SvOxPTo70v4?t=1745","channel 4")</f>
        <v>channel 4</v>
      </c>
    </row>
    <row r="73">
      <c r="A73" s="118"/>
      <c r="B73" s="32" t="s">
        <v>3758</v>
      </c>
      <c r="C73" s="33" t="s">
        <v>72</v>
      </c>
      <c r="D73" s="32" t="s">
        <v>3304</v>
      </c>
      <c r="E73" s="11" t="str">
        <f>HYPERLINK("https://youtu.be/roERpTpNTcY?t=1771","channel 3")</f>
        <v>channel 3</v>
      </c>
    </row>
    <row r="74">
      <c r="A74" s="118"/>
      <c r="B74" s="32" t="s">
        <v>3529</v>
      </c>
      <c r="C74" s="33" t="s">
        <v>231</v>
      </c>
      <c r="D74" s="32" t="s">
        <v>3756</v>
      </c>
      <c r="E74" s="11" t="str">
        <f>HYPERLINK("https://youtu.be/SvOxPTo70v4?t=1933","channel 4")</f>
        <v>channel 4</v>
      </c>
    </row>
    <row r="75">
      <c r="A75" s="118"/>
      <c r="B75" s="32" t="s">
        <v>3758</v>
      </c>
      <c r="C75" s="33" t="s">
        <v>193</v>
      </c>
      <c r="D75" s="32" t="s">
        <v>3757</v>
      </c>
      <c r="E75" s="11" t="str">
        <f>HYPERLINK("https://youtu.be/roERpTpNTcY?t=2685","channel 3")</f>
        <v>channel 3</v>
      </c>
    </row>
    <row r="76">
      <c r="A76" s="118"/>
      <c r="B76" s="32" t="s">
        <v>3304</v>
      </c>
      <c r="C76" s="33" t="s">
        <v>465</v>
      </c>
      <c r="D76" s="32" t="s">
        <v>3756</v>
      </c>
      <c r="E76" s="11" t="str">
        <f>HYPERLINK("https://youtu.be/SvOxPTo70v4?t=2906","channel 4")</f>
        <v>channel 4</v>
      </c>
    </row>
    <row r="77">
      <c r="A77" s="118"/>
      <c r="B77" s="32" t="s">
        <v>3758</v>
      </c>
      <c r="C77" s="33" t="s">
        <v>47</v>
      </c>
      <c r="D77" s="32" t="s">
        <v>3529</v>
      </c>
      <c r="E77" s="11" t="str">
        <f>HYPERLINK("https://youtu.be/roERpTpNTcY?t=3602","channel 3")</f>
        <v>channel 3</v>
      </c>
    </row>
    <row r="78">
      <c r="A78" s="118"/>
      <c r="B78" s="32" t="s">
        <v>3304</v>
      </c>
      <c r="C78" s="33" t="s">
        <v>44</v>
      </c>
      <c r="D78" s="32" t="s">
        <v>3757</v>
      </c>
      <c r="E78" s="11" t="str">
        <f>HYPERLINK("https://youtu.be/SvOxPTo70v4?t=3843","channel 4")</f>
        <v>channel 4</v>
      </c>
    </row>
    <row r="79">
      <c r="A79" s="118"/>
      <c r="B79" s="32" t="s">
        <v>3757</v>
      </c>
      <c r="C79" s="33" t="s">
        <v>1952</v>
      </c>
      <c r="D79" s="32" t="s">
        <v>3756</v>
      </c>
      <c r="E79" s="11" t="str">
        <f>HYPERLINK("https://youtu.be/roERpTpNTcY?t=4609","channel 3")</f>
        <v>channel 3</v>
      </c>
    </row>
    <row r="80">
      <c r="A80" s="118"/>
      <c r="B80" s="32" t="s">
        <v>3304</v>
      </c>
      <c r="C80" s="33" t="s">
        <v>260</v>
      </c>
      <c r="D80" s="32" t="s">
        <v>3529</v>
      </c>
      <c r="E80" s="11" t="str">
        <f>HYPERLINK("https://youtu.be/SvOxPTo70v4?t=4701","channel 4")</f>
        <v>channel 4</v>
      </c>
    </row>
    <row r="81">
      <c r="A81" s="118"/>
      <c r="B81" s="32" t="s">
        <v>3756</v>
      </c>
      <c r="C81" s="33" t="s">
        <v>355</v>
      </c>
      <c r="D81" s="32" t="s">
        <v>3758</v>
      </c>
      <c r="E81" s="11" t="str">
        <f>HYPERLINK("https://youtu.be/roERpTpNTcY?t=5501","channel 3")</f>
        <v>channel 3</v>
      </c>
    </row>
    <row r="82">
      <c r="A82" s="118"/>
      <c r="B82" s="32" t="s">
        <v>3757</v>
      </c>
      <c r="C82" s="33" t="s">
        <v>197</v>
      </c>
      <c r="D82" s="32" t="s">
        <v>3529</v>
      </c>
      <c r="E82" s="11" t="str">
        <f>HYPERLINK("https://youtu.be/SvOxPTo70v4?t=5546","channel 4")</f>
        <v>channel 4</v>
      </c>
    </row>
    <row r="83">
      <c r="A83" s="118"/>
      <c r="B83" s="32" t="s">
        <v>3304</v>
      </c>
      <c r="C83" s="33" t="s">
        <v>260</v>
      </c>
      <c r="D83" s="32" t="s">
        <v>3758</v>
      </c>
      <c r="E83" s="11" t="str">
        <f>HYPERLINK("https://youtu.be/roERpTpNTcY?t=6438","channel 3")</f>
        <v>channel 3</v>
      </c>
    </row>
    <row r="84">
      <c r="A84" s="118"/>
      <c r="B84" s="32" t="s">
        <v>3756</v>
      </c>
      <c r="C84" s="33" t="s">
        <v>953</v>
      </c>
      <c r="D84" s="32" t="s">
        <v>3529</v>
      </c>
      <c r="E84" s="11" t="str">
        <f>HYPERLINK("https://youtu.be/SvOxPTo70v4?t=6461","channel 4")</f>
        <v>channel 4</v>
      </c>
    </row>
    <row r="85">
      <c r="A85" s="118"/>
      <c r="B85" s="32" t="s">
        <v>3757</v>
      </c>
      <c r="C85" s="33" t="s">
        <v>65</v>
      </c>
      <c r="D85" s="32" t="s">
        <v>3758</v>
      </c>
      <c r="E85" s="11" t="str">
        <f>HYPERLINK("https://youtu.be/roERpTpNTcY?t=7333","channel 3")</f>
        <v>channel 3</v>
      </c>
    </row>
    <row r="86">
      <c r="A86" s="118"/>
      <c r="B86" s="32" t="s">
        <v>3756</v>
      </c>
      <c r="C86" s="33" t="s">
        <v>62</v>
      </c>
      <c r="D86" s="32" t="s">
        <v>3304</v>
      </c>
      <c r="E86" s="11" t="str">
        <f>HYPERLINK("https://youtu.be/SvOxPTo70v4?t=7471","channel 4")</f>
        <v>channel 4</v>
      </c>
    </row>
    <row r="87">
      <c r="A87" s="118"/>
      <c r="B87" s="32" t="s">
        <v>3529</v>
      </c>
      <c r="C87" s="33" t="s">
        <v>412</v>
      </c>
      <c r="D87" s="32" t="s">
        <v>3758</v>
      </c>
      <c r="E87" s="11" t="str">
        <f>HYPERLINK("https://youtu.be/roERpTpNTcY?t=8240","channel 3")</f>
        <v>channel 3</v>
      </c>
    </row>
    <row r="88">
      <c r="A88" s="118"/>
      <c r="B88" s="32" t="s">
        <v>3757</v>
      </c>
      <c r="C88" s="33" t="s">
        <v>78</v>
      </c>
      <c r="D88" s="32" t="s">
        <v>3304</v>
      </c>
      <c r="E88" s="11" t="str">
        <f>HYPERLINK("https://youtu.be/SvOxPTo70v4?t=8674","channel 4")</f>
        <v>channel 4</v>
      </c>
    </row>
    <row r="89">
      <c r="A89" s="118"/>
      <c r="B89" s="1" t="s">
        <v>2554</v>
      </c>
      <c r="C89" s="2"/>
      <c r="D89" s="3"/>
      <c r="E89" s="4"/>
    </row>
    <row r="90">
      <c r="A90" s="118"/>
      <c r="B90" s="16" t="s">
        <v>2</v>
      </c>
      <c r="C90" s="16" t="s">
        <v>3</v>
      </c>
      <c r="D90" s="16" t="s">
        <v>4</v>
      </c>
      <c r="E90" s="16" t="s">
        <v>5</v>
      </c>
    </row>
    <row r="91">
      <c r="A91" s="118"/>
      <c r="B91" s="32" t="s">
        <v>3759</v>
      </c>
      <c r="C91" s="33" t="s">
        <v>83</v>
      </c>
      <c r="D91" s="32" t="s">
        <v>3760</v>
      </c>
      <c r="E91" s="11" t="str">
        <f>HYPERLINK("https://youtu.be/rbP9hcNcK10","channel 1")</f>
        <v>channel 1</v>
      </c>
    </row>
    <row r="92">
      <c r="A92" s="118"/>
      <c r="B92" s="32" t="s">
        <v>3761</v>
      </c>
      <c r="C92" s="33" t="s">
        <v>286</v>
      </c>
      <c r="D92" s="32" t="s">
        <v>1439</v>
      </c>
      <c r="E92" s="11" t="str">
        <f>HYPERLINK("https://youtu.be/HgxKY0FFjbQ","channel 2")</f>
        <v>channel 2</v>
      </c>
    </row>
    <row r="93">
      <c r="A93" s="118"/>
      <c r="B93" s="32" t="s">
        <v>3762</v>
      </c>
      <c r="C93" s="33" t="s">
        <v>69</v>
      </c>
      <c r="D93" s="32" t="s">
        <v>3759</v>
      </c>
      <c r="E93" s="11" t="str">
        <f>HYPERLINK("https://youtu.be/rbP9hcNcK10?t=1110","channel 1")</f>
        <v>channel 1</v>
      </c>
    </row>
    <row r="94">
      <c r="A94" s="118"/>
      <c r="B94" s="32" t="s">
        <v>3761</v>
      </c>
      <c r="C94" s="33" t="s">
        <v>533</v>
      </c>
      <c r="D94" s="32" t="s">
        <v>3760</v>
      </c>
      <c r="E94" s="11" t="str">
        <f>HYPERLINK("https://youtu.be/HgxKY0FFjbQ?t=988","channel 2")</f>
        <v>channel 2</v>
      </c>
    </row>
    <row r="95">
      <c r="A95" s="118"/>
      <c r="B95" s="32" t="s">
        <v>3762</v>
      </c>
      <c r="C95" s="33" t="s">
        <v>49</v>
      </c>
      <c r="D95" s="32" t="s">
        <v>1439</v>
      </c>
      <c r="E95" s="11" t="str">
        <f>HYPERLINK("https://youtu.be/rbP9hcNcK10?t=2034","channel 1")</f>
        <v>channel 1</v>
      </c>
    </row>
    <row r="96">
      <c r="A96" s="118"/>
      <c r="B96" s="32" t="s">
        <v>3761</v>
      </c>
      <c r="C96" s="33" t="s">
        <v>47</v>
      </c>
      <c r="D96" s="32" t="s">
        <v>3759</v>
      </c>
      <c r="E96" s="11" t="str">
        <f>HYPERLINK("https://youtu.be/HgxKY0FFjbQ?t=1897","channel 2")</f>
        <v>channel 2</v>
      </c>
    </row>
    <row r="97">
      <c r="A97" s="118"/>
      <c r="B97" s="32" t="s">
        <v>3762</v>
      </c>
      <c r="C97" s="33" t="s">
        <v>17</v>
      </c>
      <c r="D97" s="32" t="s">
        <v>3760</v>
      </c>
      <c r="E97" s="11" t="str">
        <f>HYPERLINK("https://youtu.be/rbP9hcNcK10?t=3025","channel 1")</f>
        <v>channel 1</v>
      </c>
    </row>
    <row r="98">
      <c r="A98" s="118"/>
      <c r="B98" s="32" t="s">
        <v>1439</v>
      </c>
      <c r="C98" s="33" t="s">
        <v>389</v>
      </c>
      <c r="D98" s="32" t="s">
        <v>3759</v>
      </c>
      <c r="E98" s="11" t="str">
        <f>HYPERLINK("https://youtu.be/HgxKY0FFjbQ?t=2863","channel 2")</f>
        <v>channel 2</v>
      </c>
    </row>
    <row r="99">
      <c r="A99" s="118"/>
      <c r="B99" s="32" t="s">
        <v>3762</v>
      </c>
      <c r="C99" s="33" t="s">
        <v>72</v>
      </c>
      <c r="D99" s="32" t="s">
        <v>3761</v>
      </c>
      <c r="E99" s="11" t="str">
        <f>HYPERLINK("https://youtu.be/rbP9hcNcK10?t=3914","channel 1")</f>
        <v>channel 1</v>
      </c>
    </row>
    <row r="100">
      <c r="A100" s="118"/>
      <c r="B100" s="32" t="s">
        <v>1439</v>
      </c>
      <c r="C100" s="33" t="s">
        <v>52</v>
      </c>
      <c r="D100" s="32" t="s">
        <v>3760</v>
      </c>
      <c r="E100" s="11" t="str">
        <f>HYPERLINK("https://youtu.be/HgxKY0FFjbQ?t=3856","channel 2")</f>
        <v>channel 2</v>
      </c>
    </row>
    <row r="101">
      <c r="A101" s="118"/>
      <c r="B101" s="32" t="s">
        <v>3760</v>
      </c>
      <c r="C101" s="33" t="s">
        <v>2488</v>
      </c>
      <c r="D101" s="32" t="s">
        <v>3759</v>
      </c>
      <c r="E101" s="11" t="str">
        <f>HYPERLINK("https://youtu.be/rbP9hcNcK10?t=4837","channel 1")</f>
        <v>channel 1</v>
      </c>
    </row>
    <row r="102">
      <c r="A102" s="118"/>
      <c r="B102" s="32" t="s">
        <v>1439</v>
      </c>
      <c r="C102" s="33" t="s">
        <v>293</v>
      </c>
      <c r="D102" s="32" t="s">
        <v>3761</v>
      </c>
      <c r="E102" s="11" t="str">
        <f>HYPERLINK("https://youtu.be/HgxKY0FFjbQ?t=4724","channel 2")</f>
        <v>channel 2</v>
      </c>
    </row>
    <row r="103">
      <c r="A103" s="118"/>
      <c r="B103" s="32" t="s">
        <v>3759</v>
      </c>
      <c r="C103" s="33" t="s">
        <v>243</v>
      </c>
      <c r="D103" s="32" t="s">
        <v>3762</v>
      </c>
      <c r="E103" s="11" t="str">
        <f>HYPERLINK("https://youtu.be/rbP9hcNcK10?t=5755","channel 1")</f>
        <v>channel 1</v>
      </c>
    </row>
    <row r="104">
      <c r="A104" s="118"/>
      <c r="B104" s="32" t="s">
        <v>3760</v>
      </c>
      <c r="C104" s="33" t="s">
        <v>875</v>
      </c>
      <c r="D104" s="32" t="s">
        <v>3761</v>
      </c>
      <c r="E104" s="11" t="str">
        <f>HYPERLINK("https://youtu.be/HgxKY0FFjbQ?t=5652","channel 2")</f>
        <v>channel 2</v>
      </c>
    </row>
    <row r="105">
      <c r="A105" s="118"/>
      <c r="B105" s="32" t="s">
        <v>1439</v>
      </c>
      <c r="C105" s="33" t="s">
        <v>81</v>
      </c>
      <c r="D105" s="32" t="s">
        <v>3762</v>
      </c>
      <c r="E105" s="11" t="str">
        <f>HYPERLINK("https://youtu.be/rbP9hcNcK10?t=6723","channel 1")</f>
        <v>channel 1</v>
      </c>
    </row>
    <row r="106">
      <c r="A106" s="118"/>
      <c r="B106" s="32" t="s">
        <v>3759</v>
      </c>
      <c r="C106" s="33" t="s">
        <v>260</v>
      </c>
      <c r="D106" s="32" t="s">
        <v>3761</v>
      </c>
      <c r="E106" s="11" t="str">
        <f>HYPERLINK("https://youtu.be/HgxKY0FFjbQ?t=6605","channel 2")</f>
        <v>channel 2</v>
      </c>
    </row>
    <row r="107">
      <c r="A107" s="118"/>
      <c r="B107" s="32" t="s">
        <v>3760</v>
      </c>
      <c r="C107" s="33" t="s">
        <v>26</v>
      </c>
      <c r="D107" s="32" t="s">
        <v>3762</v>
      </c>
      <c r="E107" s="11" t="str">
        <f>HYPERLINK("https://youtu.be/rbP9hcNcK10?t=7606","channel 1")</f>
        <v>channel 1</v>
      </c>
    </row>
    <row r="108">
      <c r="A108" s="118"/>
      <c r="B108" s="32" t="s">
        <v>3759</v>
      </c>
      <c r="C108" s="33" t="s">
        <v>71</v>
      </c>
      <c r="D108" s="32" t="s">
        <v>1439</v>
      </c>
      <c r="E108" s="11" t="str">
        <f>HYPERLINK("https://youtu.be/HgxKY0FFjbQ?t=7556","channel 2")</f>
        <v>channel 2</v>
      </c>
    </row>
    <row r="109">
      <c r="A109" s="118"/>
      <c r="B109" s="32" t="s">
        <v>3761</v>
      </c>
      <c r="C109" s="33" t="s">
        <v>43</v>
      </c>
      <c r="D109" s="32" t="s">
        <v>3762</v>
      </c>
      <c r="E109" s="11" t="str">
        <f>HYPERLINK("https://youtu.be/rbP9hcNcK10?t=8574","channel 1")</f>
        <v>channel 1</v>
      </c>
    </row>
    <row r="110">
      <c r="A110" s="118"/>
      <c r="B110" s="32" t="s">
        <v>3760</v>
      </c>
      <c r="C110" s="33" t="s">
        <v>545</v>
      </c>
      <c r="D110" s="32" t="s">
        <v>1439</v>
      </c>
      <c r="E110" s="11" t="str">
        <f>HYPERLINK("https://youtu.be/HgxKY0FFjbQ?t=8486","channel 2")</f>
        <v>channel 2</v>
      </c>
    </row>
    <row r="111">
      <c r="A111" s="118"/>
      <c r="B111" s="1" t="s">
        <v>2923</v>
      </c>
      <c r="C111" s="2"/>
      <c r="D111" s="3"/>
      <c r="E111" s="4"/>
    </row>
    <row r="112">
      <c r="A112" s="118"/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A113" s="118"/>
      <c r="B113" s="32" t="s">
        <v>3763</v>
      </c>
      <c r="C113" s="33" t="s">
        <v>83</v>
      </c>
      <c r="D113" s="32" t="s">
        <v>3764</v>
      </c>
      <c r="E113" s="11" t="str">
        <f>HYPERLINK("https://youtu.be/sMkw_-wplSc","channel 1")</f>
        <v>channel 1</v>
      </c>
    </row>
    <row r="114">
      <c r="A114" s="118"/>
      <c r="B114" s="32" t="s">
        <v>3765</v>
      </c>
      <c r="C114" s="33" t="s">
        <v>63</v>
      </c>
      <c r="D114" s="32" t="s">
        <v>2546</v>
      </c>
      <c r="E114" s="11" t="str">
        <f>HYPERLINK("https://youtu.be/dKi4WzjhgAk","channel 2")</f>
        <v>channel 2</v>
      </c>
    </row>
    <row r="115">
      <c r="A115" s="118"/>
      <c r="B115" s="32" t="s">
        <v>3766</v>
      </c>
      <c r="C115" s="33" t="s">
        <v>49</v>
      </c>
      <c r="D115" s="32" t="s">
        <v>3763</v>
      </c>
      <c r="E115" s="11" t="str">
        <f>HYPERLINK("https://youtu.be/sMkw_-wplSc?t=1145","channel 1")</f>
        <v>channel 1</v>
      </c>
    </row>
    <row r="116">
      <c r="A116" s="118"/>
      <c r="B116" s="32" t="s">
        <v>3765</v>
      </c>
      <c r="C116" s="33" t="s">
        <v>260</v>
      </c>
      <c r="D116" s="32" t="s">
        <v>3764</v>
      </c>
      <c r="E116" s="11" t="str">
        <f>HYPERLINK("https://youtu.be/dKi4WzjhgAk?t=1036","channel 2")</f>
        <v>channel 2</v>
      </c>
    </row>
    <row r="117">
      <c r="A117" s="118"/>
      <c r="B117" s="32" t="s">
        <v>3766</v>
      </c>
      <c r="C117" s="33" t="s">
        <v>578</v>
      </c>
      <c r="D117" s="32" t="s">
        <v>2546</v>
      </c>
      <c r="E117" s="11" t="str">
        <f>HYPERLINK("https://youtu.be/sMkw_-wplSc?t=2170","channel 1")</f>
        <v>channel 1</v>
      </c>
    </row>
    <row r="118">
      <c r="A118" s="118"/>
      <c r="B118" s="32" t="s">
        <v>3765</v>
      </c>
      <c r="C118" s="33" t="s">
        <v>556</v>
      </c>
      <c r="D118" s="32" t="s">
        <v>3763</v>
      </c>
      <c r="E118" s="11" t="str">
        <f>HYPERLINK("https://youtu.be/dKi4WzjhgAk?t=2108","channel 2")</f>
        <v>channel 2</v>
      </c>
    </row>
    <row r="119">
      <c r="A119" s="118"/>
      <c r="B119" s="32" t="s">
        <v>3766</v>
      </c>
      <c r="C119" s="33" t="s">
        <v>239</v>
      </c>
      <c r="D119" s="32" t="s">
        <v>3764</v>
      </c>
      <c r="E119" s="11" t="str">
        <f>HYPERLINK("https://youtu.be/sMkw_-wplSc?t=3161","channel 1")</f>
        <v>channel 1</v>
      </c>
    </row>
    <row r="120">
      <c r="A120" s="118"/>
      <c r="B120" s="32" t="s">
        <v>2546</v>
      </c>
      <c r="C120" s="33" t="s">
        <v>41</v>
      </c>
      <c r="D120" s="32" t="s">
        <v>3763</v>
      </c>
      <c r="E120" s="11" t="str">
        <f>HYPERLINK("https://youtu.be/dKi4WzjhgAk?t=3048","channel 2")</f>
        <v>channel 2</v>
      </c>
    </row>
    <row r="121">
      <c r="A121" s="118"/>
      <c r="B121" s="32" t="s">
        <v>3766</v>
      </c>
      <c r="C121" s="33" t="s">
        <v>536</v>
      </c>
      <c r="D121" s="32" t="s">
        <v>3765</v>
      </c>
      <c r="E121" s="11" t="str">
        <f>HYPERLINK("https://youtu.be/sMkw_-wplSc?t=3950","channel 1")</f>
        <v>channel 1</v>
      </c>
    </row>
    <row r="122">
      <c r="A122" s="118"/>
      <c r="B122" s="32" t="s">
        <v>2546</v>
      </c>
      <c r="C122" s="33" t="s">
        <v>16</v>
      </c>
      <c r="D122" s="32" t="s">
        <v>3764</v>
      </c>
      <c r="E122" s="11" t="str">
        <f>HYPERLINK("https://youtu.be/dKi4WzjhgAk?t=3954","channel 2")</f>
        <v>channel 2</v>
      </c>
    </row>
    <row r="123">
      <c r="A123" s="118"/>
      <c r="B123" s="32" t="s">
        <v>3764</v>
      </c>
      <c r="C123" s="33" t="s">
        <v>241</v>
      </c>
      <c r="D123" s="32" t="s">
        <v>3763</v>
      </c>
      <c r="E123" s="11" t="str">
        <f>HYPERLINK("https://youtu.be/sMkw_-wplSc?t=4858","channel 1")</f>
        <v>channel 1</v>
      </c>
    </row>
    <row r="124">
      <c r="A124" s="118"/>
      <c r="B124" s="32" t="s">
        <v>2546</v>
      </c>
      <c r="C124" s="33" t="s">
        <v>71</v>
      </c>
      <c r="D124" s="32" t="s">
        <v>3765</v>
      </c>
      <c r="E124" s="11" t="str">
        <f>HYPERLINK("https://youtu.be/dKi4WzjhgAk?t=4912","channel 2")</f>
        <v>channel 2</v>
      </c>
    </row>
    <row r="125">
      <c r="A125" s="118"/>
      <c r="B125" s="32" t="s">
        <v>3763</v>
      </c>
      <c r="C125" s="33" t="s">
        <v>196</v>
      </c>
      <c r="D125" s="32" t="s">
        <v>3766</v>
      </c>
      <c r="E125" s="11" t="str">
        <f>HYPERLINK("https://youtu.be/sMkw_-wplSc?t=5791","channel 1")</f>
        <v>channel 1</v>
      </c>
    </row>
    <row r="126">
      <c r="A126" s="118"/>
      <c r="B126" s="32" t="s">
        <v>3764</v>
      </c>
      <c r="C126" s="33" t="s">
        <v>71</v>
      </c>
      <c r="D126" s="32" t="s">
        <v>3765</v>
      </c>
      <c r="E126" s="11" t="str">
        <f>HYPERLINK("https://youtu.be/dKi4WzjhgAk?t=5848","channel 2")</f>
        <v>channel 2</v>
      </c>
    </row>
    <row r="127">
      <c r="A127" s="118"/>
      <c r="B127" s="32" t="s">
        <v>2546</v>
      </c>
      <c r="C127" s="33" t="s">
        <v>47</v>
      </c>
      <c r="D127" s="32" t="s">
        <v>3766</v>
      </c>
      <c r="E127" s="11" t="str">
        <f>HYPERLINK("https://youtu.be/sMkw_-wplSc?t=6772","channel 1")</f>
        <v>channel 1</v>
      </c>
    </row>
    <row r="128">
      <c r="A128" s="118"/>
      <c r="B128" s="32" t="s">
        <v>3763</v>
      </c>
      <c r="C128" s="33" t="s">
        <v>312</v>
      </c>
      <c r="D128" s="32" t="s">
        <v>3765</v>
      </c>
      <c r="E128" s="11" t="str">
        <f>HYPERLINK("https://youtu.be/dKi4WzjhgAk?t=6766","channel 2")</f>
        <v>channel 2</v>
      </c>
    </row>
    <row r="129">
      <c r="A129" s="118"/>
      <c r="B129" s="32" t="s">
        <v>3764</v>
      </c>
      <c r="C129" s="33" t="s">
        <v>88</v>
      </c>
      <c r="D129" s="32" t="s">
        <v>3766</v>
      </c>
      <c r="E129" s="11" t="str">
        <f>HYPERLINK("https://youtu.be/sMkw_-wplSc?t=7692","channel 1")</f>
        <v>channel 1</v>
      </c>
    </row>
    <row r="130">
      <c r="A130" s="118"/>
      <c r="B130" s="32" t="s">
        <v>3763</v>
      </c>
      <c r="C130" s="33" t="s">
        <v>302</v>
      </c>
      <c r="D130" s="32" t="s">
        <v>2546</v>
      </c>
      <c r="E130" s="11" t="str">
        <f>HYPERLINK("https://youtu.be/dKi4WzjhgAk?t=7728","channel 2")</f>
        <v>channel 2</v>
      </c>
    </row>
    <row r="131">
      <c r="A131" s="118"/>
      <c r="B131" s="32" t="s">
        <v>3765</v>
      </c>
      <c r="C131" s="33" t="s">
        <v>2007</v>
      </c>
      <c r="D131" s="32" t="s">
        <v>3766</v>
      </c>
      <c r="E131" s="11" t="str">
        <f>HYPERLINK("https://youtu.be/sMkw_-wplSc?t=8559","channel 1")</f>
        <v>channel 1</v>
      </c>
    </row>
    <row r="132">
      <c r="A132" s="122"/>
      <c r="B132" s="32" t="s">
        <v>3764</v>
      </c>
      <c r="C132" s="33" t="s">
        <v>1019</v>
      </c>
      <c r="D132" s="32" t="s">
        <v>2546</v>
      </c>
      <c r="E132" s="11" t="str">
        <f>HYPERLINK("https://youtu.be/dKi4WzjhgAk?t=8659","channel 2")</f>
        <v>channel 2</v>
      </c>
    </row>
    <row r="133">
      <c r="B133" s="28" t="s">
        <v>2567</v>
      </c>
      <c r="C133" s="2"/>
      <c r="D133" s="3"/>
      <c r="E133" s="2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34" t="s">
        <v>3767</v>
      </c>
      <c r="C135" s="33" t="s">
        <v>19</v>
      </c>
      <c r="D135" s="34" t="s">
        <v>2740</v>
      </c>
      <c r="E135" s="11" t="str">
        <f>HYPERLINK("https://youtu.be/LDYZ6snU15I","channel 3")</f>
        <v>channel 3</v>
      </c>
    </row>
    <row r="136">
      <c r="B136" s="34" t="s">
        <v>3768</v>
      </c>
      <c r="C136" s="33" t="s">
        <v>587</v>
      </c>
      <c r="D136" s="34" t="s">
        <v>1125</v>
      </c>
      <c r="E136" s="11" t="str">
        <f>HYPERLINK("https://youtu.be/2Wz-Lsr6EYM","channel 4")</f>
        <v>channel 4</v>
      </c>
    </row>
    <row r="137">
      <c r="B137" s="34" t="s">
        <v>1852</v>
      </c>
      <c r="C137" s="33" t="s">
        <v>218</v>
      </c>
      <c r="D137" s="34" t="s">
        <v>3767</v>
      </c>
      <c r="E137" s="11" t="str">
        <f>HYPERLINK("https://youtu.be/LDYZ6snU15I?t=895","channel 3")</f>
        <v>channel 3</v>
      </c>
    </row>
    <row r="138">
      <c r="B138" s="34" t="s">
        <v>3768</v>
      </c>
      <c r="C138" s="33" t="s">
        <v>218</v>
      </c>
      <c r="D138" s="34" t="s">
        <v>2740</v>
      </c>
      <c r="E138" s="11" t="str">
        <f>HYPERLINK("https://youtu.be/2Wz-Lsr6EYM?t=1329","channel 4")</f>
        <v>channel 4</v>
      </c>
    </row>
    <row r="139">
      <c r="B139" s="34" t="s">
        <v>1852</v>
      </c>
      <c r="C139" s="33" t="s">
        <v>35</v>
      </c>
      <c r="D139" s="34" t="s">
        <v>1125</v>
      </c>
      <c r="E139" s="11" t="str">
        <f>HYPERLINK("https://youtu.be/LDYZ6snU15I?t=1839","channel 3")</f>
        <v>channel 3</v>
      </c>
    </row>
    <row r="140">
      <c r="B140" s="34" t="s">
        <v>3768</v>
      </c>
      <c r="C140" s="33" t="s">
        <v>1025</v>
      </c>
      <c r="D140" s="34" t="s">
        <v>3767</v>
      </c>
      <c r="E140" s="11" t="str">
        <f>HYPERLINK("https://youtu.be/2Wz-Lsr6EYM?t=2196","channel 4")</f>
        <v>channel 4</v>
      </c>
    </row>
    <row r="141">
      <c r="B141" s="34" t="s">
        <v>1852</v>
      </c>
      <c r="C141" s="33" t="s">
        <v>270</v>
      </c>
      <c r="D141" s="34" t="s">
        <v>2740</v>
      </c>
      <c r="E141" s="11" t="str">
        <f>HYPERLINK("https://youtu.be/LDYZ6snU15I?t=2743","channel 3")</f>
        <v>channel 3</v>
      </c>
    </row>
    <row r="142">
      <c r="B142" s="34" t="s">
        <v>1125</v>
      </c>
      <c r="C142" s="33" t="s">
        <v>446</v>
      </c>
      <c r="D142" s="34" t="s">
        <v>3767</v>
      </c>
      <c r="E142" s="11" t="str">
        <f>HYPERLINK("https://youtu.be/2Wz-Lsr6EYM?t=3080","channel 4")</f>
        <v>channel 4</v>
      </c>
    </row>
    <row r="143">
      <c r="B143" s="34" t="s">
        <v>1852</v>
      </c>
      <c r="C143" s="33" t="s">
        <v>201</v>
      </c>
      <c r="D143" s="34" t="s">
        <v>3768</v>
      </c>
      <c r="E143" s="11" t="str">
        <f>HYPERLINK("https://youtu.be/LDYZ6snU15I?t=3886","channel 3")</f>
        <v>channel 3</v>
      </c>
    </row>
    <row r="144">
      <c r="B144" s="34" t="s">
        <v>1125</v>
      </c>
      <c r="C144" s="33" t="s">
        <v>28</v>
      </c>
      <c r="D144" s="34" t="s">
        <v>2740</v>
      </c>
      <c r="E144" s="11" t="str">
        <f>HYPERLINK("https://youtu.be/2Wz-Lsr6EYM?t=3929","channel 4")</f>
        <v>channel 4</v>
      </c>
    </row>
    <row r="145">
      <c r="B145" s="34" t="s">
        <v>2740</v>
      </c>
      <c r="C145" s="33" t="s">
        <v>297</v>
      </c>
      <c r="D145" s="34" t="s">
        <v>3767</v>
      </c>
      <c r="E145" s="11" t="str">
        <f>HYPERLINK("https://youtu.be/LDYZ6snU15I?t=4957","channel 3")</f>
        <v>channel 3</v>
      </c>
    </row>
    <row r="146">
      <c r="B146" s="34" t="s">
        <v>1125</v>
      </c>
      <c r="C146" s="33" t="s">
        <v>239</v>
      </c>
      <c r="D146" s="34" t="s">
        <v>3768</v>
      </c>
      <c r="E146" s="11" t="str">
        <f>HYPERLINK("https://youtu.be/2Wz-Lsr6EYM?t=4952","channel 4")</f>
        <v>channel 4</v>
      </c>
    </row>
    <row r="147">
      <c r="B147" s="34" t="s">
        <v>3767</v>
      </c>
      <c r="C147" s="33" t="s">
        <v>699</v>
      </c>
      <c r="D147" s="34" t="s">
        <v>1852</v>
      </c>
      <c r="E147" s="11" t="str">
        <f>HYPERLINK("https://youtu.be/LDYZ6snU15I?t=5861","channel 3")</f>
        <v>channel 3</v>
      </c>
    </row>
    <row r="148">
      <c r="B148" s="34" t="s">
        <v>2740</v>
      </c>
      <c r="C148" s="33" t="s">
        <v>11</v>
      </c>
      <c r="D148" s="34" t="s">
        <v>3768</v>
      </c>
      <c r="E148" s="11" t="str">
        <f>HYPERLINK("https://youtu.be/2Wz-Lsr6EYM?t=5843","channel 4")</f>
        <v>channel 4</v>
      </c>
    </row>
    <row r="149">
      <c r="B149" s="34" t="s">
        <v>1125</v>
      </c>
      <c r="C149" s="33" t="s">
        <v>363</v>
      </c>
      <c r="D149" s="34" t="s">
        <v>1852</v>
      </c>
      <c r="E149" s="11" t="str">
        <f>HYPERLINK("https://youtu.be/LDYZ6snU15I?t=6775","channel 3")</f>
        <v>channel 3</v>
      </c>
    </row>
    <row r="150">
      <c r="B150" s="34" t="s">
        <v>3767</v>
      </c>
      <c r="C150" s="33" t="s">
        <v>193</v>
      </c>
      <c r="D150" s="34" t="s">
        <v>3768</v>
      </c>
      <c r="E150" s="11" t="str">
        <f>HYPERLINK("https://youtu.be/2Wz-Lsr6EYM?t=5843","channel 4")</f>
        <v>channel 4</v>
      </c>
    </row>
    <row r="151">
      <c r="B151" s="34" t="s">
        <v>2740</v>
      </c>
      <c r="C151" s="33" t="s">
        <v>363</v>
      </c>
      <c r="D151" s="34" t="s">
        <v>1852</v>
      </c>
      <c r="E151" s="11" t="str">
        <f>HYPERLINK("https://youtu.be/LDYZ6snU15I?t=7644","channel 3")</f>
        <v>channel 3</v>
      </c>
    </row>
    <row r="152">
      <c r="B152" s="34" t="s">
        <v>3767</v>
      </c>
      <c r="C152" s="33" t="s">
        <v>544</v>
      </c>
      <c r="D152" s="34" t="s">
        <v>1125</v>
      </c>
      <c r="E152" s="11" t="str">
        <f>HYPERLINK("https://youtu.be/2Wz-Lsr6EYM?t=7693","channel 4")</f>
        <v>channel 4</v>
      </c>
    </row>
    <row r="153">
      <c r="B153" s="34" t="s">
        <v>3768</v>
      </c>
      <c r="C153" s="33" t="s">
        <v>71</v>
      </c>
      <c r="D153" s="34" t="s">
        <v>1852</v>
      </c>
      <c r="E153" s="11" t="str">
        <f>HYPERLINK("https://youtu.be/LDYZ6snU15I?t=8499","channel 3")</f>
        <v>channel 3</v>
      </c>
    </row>
    <row r="154">
      <c r="B154" s="34" t="s">
        <v>2740</v>
      </c>
      <c r="C154" s="33" t="s">
        <v>64</v>
      </c>
      <c r="D154" s="34" t="s">
        <v>1125</v>
      </c>
      <c r="E154" s="11" t="str">
        <f>HYPERLINK("https://youtu.be/2Wz-Lsr6EYM?t=8559","channel 4")</f>
        <v>channel 4</v>
      </c>
    </row>
    <row r="155">
      <c r="B155" s="28" t="s">
        <v>2769</v>
      </c>
      <c r="C155" s="2"/>
      <c r="D155" s="3"/>
      <c r="E155" s="2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34" t="s">
        <v>3769</v>
      </c>
      <c r="C157" s="33" t="s">
        <v>28</v>
      </c>
      <c r="D157" s="34" t="s">
        <v>2747</v>
      </c>
      <c r="E157" s="11" t="str">
        <f>HYPERLINK("https://youtu.be/STNgUVQg8J8","channel 3")</f>
        <v>channel 3</v>
      </c>
    </row>
    <row r="158">
      <c r="B158" s="34" t="s">
        <v>3770</v>
      </c>
      <c r="C158" s="33" t="s">
        <v>544</v>
      </c>
      <c r="D158" s="34" t="s">
        <v>1560</v>
      </c>
      <c r="E158" s="11" t="str">
        <f>HYPERLINK("https://youtu.be/wZ0aM98ah1Q","channel 4")</f>
        <v>channel 4</v>
      </c>
    </row>
    <row r="159">
      <c r="B159" s="34" t="s">
        <v>399</v>
      </c>
      <c r="C159" s="33" t="s">
        <v>195</v>
      </c>
      <c r="D159" s="34" t="s">
        <v>3769</v>
      </c>
      <c r="E159" s="11" t="str">
        <f>HYPERLINK("https://youtu.be/STNgUVQg8J8?t=959","channel 3")</f>
        <v>channel 3</v>
      </c>
    </row>
    <row r="160">
      <c r="B160" s="34" t="s">
        <v>3770</v>
      </c>
      <c r="C160" s="33" t="s">
        <v>28</v>
      </c>
      <c r="D160" s="34" t="s">
        <v>2747</v>
      </c>
      <c r="E160" s="11" t="str">
        <f>HYPERLINK("https://youtu.be/wZ0aM98ah1Q?t=972","channel 4")</f>
        <v>channel 4</v>
      </c>
    </row>
    <row r="161">
      <c r="B161" s="34" t="s">
        <v>399</v>
      </c>
      <c r="C161" s="33" t="s">
        <v>193</v>
      </c>
      <c r="D161" s="34" t="s">
        <v>1560</v>
      </c>
      <c r="E161" s="11" t="str">
        <f>HYPERLINK("https://youtu.be/STNgUVQg8J8?t=1882","channel 3")</f>
        <v>channel 3</v>
      </c>
    </row>
    <row r="162">
      <c r="B162" s="34" t="s">
        <v>3770</v>
      </c>
      <c r="C162" s="33" t="s">
        <v>232</v>
      </c>
      <c r="D162" s="34" t="s">
        <v>3769</v>
      </c>
      <c r="E162" s="11" t="str">
        <f>HYPERLINK("https://youtu.be/wZ0aM98ah1Q?t=1884","channel 4")</f>
        <v>channel 4</v>
      </c>
    </row>
    <row r="163">
      <c r="B163" s="34" t="s">
        <v>399</v>
      </c>
      <c r="C163" s="33" t="s">
        <v>684</v>
      </c>
      <c r="D163" s="34" t="s">
        <v>2747</v>
      </c>
      <c r="E163" s="11" t="str">
        <f>HYPERLINK("https://youtu.be/STNgUVQg8J8?t=2793","channel 3")</f>
        <v>channel 3</v>
      </c>
    </row>
    <row r="164">
      <c r="B164" s="34" t="s">
        <v>1560</v>
      </c>
      <c r="C164" s="33" t="s">
        <v>217</v>
      </c>
      <c r="D164" s="34" t="s">
        <v>3769</v>
      </c>
      <c r="E164" s="11" t="str">
        <f>HYPERLINK("https://youtu.be/wZ0aM98ah1Q?t=2786","channel 4")</f>
        <v>channel 4</v>
      </c>
    </row>
    <row r="165">
      <c r="B165" s="34" t="s">
        <v>399</v>
      </c>
      <c r="C165" s="33" t="s">
        <v>87</v>
      </c>
      <c r="D165" s="34" t="s">
        <v>3770</v>
      </c>
      <c r="E165" s="11" t="str">
        <f>HYPERLINK("https://youtu.be/STNgUVQg8J8?t=3702","channel 3")</f>
        <v>channel 3</v>
      </c>
    </row>
    <row r="166">
      <c r="B166" s="34" t="s">
        <v>1560</v>
      </c>
      <c r="C166" s="33" t="s">
        <v>190</v>
      </c>
      <c r="D166" s="34" t="s">
        <v>2747</v>
      </c>
      <c r="E166" s="11" t="str">
        <f>HYPERLINK("https://youtu.be/wZ0aM98ah1Q?t=3685","channel 4")</f>
        <v>channel 4</v>
      </c>
    </row>
    <row r="167">
      <c r="B167" s="34" t="s">
        <v>2747</v>
      </c>
      <c r="C167" s="33" t="s">
        <v>7</v>
      </c>
      <c r="D167" s="34" t="s">
        <v>3769</v>
      </c>
      <c r="E167" s="11" t="str">
        <f>HYPERLINK("https://youtu.be/STNgUVQg8J8?t=4696","channel 3")</f>
        <v>channel 3</v>
      </c>
    </row>
    <row r="168">
      <c r="B168" s="34" t="s">
        <v>1560</v>
      </c>
      <c r="C168" s="33" t="s">
        <v>195</v>
      </c>
      <c r="D168" s="34" t="s">
        <v>3770</v>
      </c>
      <c r="E168" s="11" t="str">
        <f>HYPERLINK("https://youtu.be/wZ0aM98ah1Q?t=4660","channel 4")</f>
        <v>channel 4</v>
      </c>
    </row>
    <row r="169">
      <c r="B169" s="34" t="s">
        <v>3769</v>
      </c>
      <c r="C169" s="33" t="s">
        <v>19</v>
      </c>
      <c r="D169" s="34" t="s">
        <v>399</v>
      </c>
      <c r="E169" s="11" t="str">
        <f>HYPERLINK("https://youtu.be/STNgUVQg8J8?t=5692","channel 3")</f>
        <v>channel 3</v>
      </c>
    </row>
    <row r="170">
      <c r="B170" s="34" t="s">
        <v>2747</v>
      </c>
      <c r="C170" s="33" t="s">
        <v>81</v>
      </c>
      <c r="D170" s="34" t="s">
        <v>3770</v>
      </c>
      <c r="E170" s="11" t="str">
        <f>HYPERLINK("https://youtu.be/wZ0aM98ah1Q?t=5641","channel 4")</f>
        <v>channel 4</v>
      </c>
    </row>
    <row r="171">
      <c r="B171" s="34" t="s">
        <v>1560</v>
      </c>
      <c r="C171" s="33" t="s">
        <v>239</v>
      </c>
      <c r="D171" s="34" t="s">
        <v>399</v>
      </c>
      <c r="E171" s="11" t="str">
        <f>HYPERLINK("https://youtu.be/STNgUVQg8J8?t=6763","channel 3")</f>
        <v>channel 3</v>
      </c>
    </row>
    <row r="172">
      <c r="B172" s="34" t="s">
        <v>3769</v>
      </c>
      <c r="C172" s="33" t="s">
        <v>17</v>
      </c>
      <c r="D172" s="34" t="s">
        <v>3770</v>
      </c>
      <c r="E172" s="11" t="str">
        <f>HYPERLINK("https://youtu.be/wZ0aM98ah1Q?t=6658","channel 4")</f>
        <v>channel 4</v>
      </c>
    </row>
    <row r="173">
      <c r="B173" s="34" t="s">
        <v>2747</v>
      </c>
      <c r="C173" s="33" t="s">
        <v>66</v>
      </c>
      <c r="D173" s="34" t="s">
        <v>399</v>
      </c>
      <c r="E173" s="11" t="str">
        <f>HYPERLINK("https://youtu.be/STNgUVQg8J8?t=7709","channel 3")</f>
        <v>channel 3</v>
      </c>
    </row>
    <row r="174">
      <c r="B174" s="34" t="s">
        <v>3769</v>
      </c>
      <c r="C174" s="33" t="s">
        <v>320</v>
      </c>
      <c r="D174" s="34" t="s">
        <v>1560</v>
      </c>
      <c r="E174" s="11" t="str">
        <f>HYPERLINK("https://youtu.be/wZ0aM98ah1Q?t=7721","channel 4")</f>
        <v>channel 4</v>
      </c>
    </row>
    <row r="175">
      <c r="B175" s="34" t="s">
        <v>3770</v>
      </c>
      <c r="C175" s="33" t="s">
        <v>260</v>
      </c>
      <c r="D175" s="34" t="s">
        <v>399</v>
      </c>
      <c r="E175" s="11" t="str">
        <f>HYPERLINK("https://youtu.be/STNgUVQg8J8?t=8679","channel 3")</f>
        <v>channel 3</v>
      </c>
    </row>
    <row r="176">
      <c r="B176" s="34" t="s">
        <v>2747</v>
      </c>
      <c r="C176" s="33" t="s">
        <v>78</v>
      </c>
      <c r="D176" s="34" t="s">
        <v>1560</v>
      </c>
      <c r="E176" s="11" t="str">
        <f>HYPERLINK("https://youtu.be/wZ0aM98ah1Q?t=8694","channel 4")</f>
        <v>channel 4</v>
      </c>
    </row>
    <row r="177">
      <c r="B177" s="28" t="s">
        <v>2735</v>
      </c>
      <c r="C177" s="2"/>
      <c r="D177" s="3"/>
      <c r="E177" s="2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34" t="s">
        <v>3613</v>
      </c>
      <c r="C179" s="33" t="s">
        <v>250</v>
      </c>
      <c r="D179" s="34" t="s">
        <v>3771</v>
      </c>
      <c r="E179" s="11" t="str">
        <f>HYPERLINK("https://youtu.be/EdMwpWVfid4","channel 1")</f>
        <v>channel 1</v>
      </c>
    </row>
    <row r="180">
      <c r="B180" s="34" t="s">
        <v>2003</v>
      </c>
      <c r="C180" s="33" t="s">
        <v>11</v>
      </c>
      <c r="D180" s="34" t="s">
        <v>3772</v>
      </c>
      <c r="E180" s="11" t="str">
        <f>HYPERLINK("https://youtu.be/6384diPPYU4","channel 2")</f>
        <v>channel 2</v>
      </c>
    </row>
    <row r="181">
      <c r="B181" s="34" t="s">
        <v>3589</v>
      </c>
      <c r="C181" s="33" t="s">
        <v>194</v>
      </c>
      <c r="D181" s="34" t="s">
        <v>3613</v>
      </c>
      <c r="E181" s="11" t="str">
        <f>HYPERLINK("https://youtu.be/EdMwpWVfid4?t=2466","channel 1")</f>
        <v>channel 1</v>
      </c>
    </row>
    <row r="182">
      <c r="B182" s="34" t="s">
        <v>2003</v>
      </c>
      <c r="C182" s="33" t="s">
        <v>58</v>
      </c>
      <c r="D182" s="34" t="s">
        <v>3771</v>
      </c>
      <c r="E182" s="11" t="str">
        <f>HYPERLINK("https://youtu.be/6384diPPYU4?t=2319","channel 2")</f>
        <v>channel 2</v>
      </c>
    </row>
    <row r="183">
      <c r="B183" s="34" t="s">
        <v>3589</v>
      </c>
      <c r="C183" s="33" t="s">
        <v>187</v>
      </c>
      <c r="D183" s="34" t="s">
        <v>3772</v>
      </c>
      <c r="E183" s="11" t="str">
        <f>HYPERLINK("https://youtu.be/EdMwpWVfid4?t=3329","channel 1")</f>
        <v>channel 1</v>
      </c>
    </row>
    <row r="184">
      <c r="B184" s="34" t="s">
        <v>2003</v>
      </c>
      <c r="C184" s="33" t="s">
        <v>218</v>
      </c>
      <c r="D184" s="34" t="s">
        <v>3613</v>
      </c>
      <c r="E184" s="11" t="str">
        <f>HYPERLINK("https://youtu.be/6384diPPYU4?t=3271","channel 2")</f>
        <v>channel 2</v>
      </c>
    </row>
    <row r="185">
      <c r="B185" s="34" t="s">
        <v>3589</v>
      </c>
      <c r="C185" s="33" t="s">
        <v>2256</v>
      </c>
      <c r="D185" s="34" t="s">
        <v>3771</v>
      </c>
      <c r="E185" s="11" t="str">
        <f>HYPERLINK("https://youtu.be/EdMwpWVfid4?t=4198","channel 1")</f>
        <v>channel 1</v>
      </c>
    </row>
    <row r="186">
      <c r="B186" s="34" t="s">
        <v>3772</v>
      </c>
      <c r="C186" s="33" t="s">
        <v>21</v>
      </c>
      <c r="D186" s="34" t="s">
        <v>3613</v>
      </c>
      <c r="E186" s="11" t="str">
        <f>HYPERLINK("https://youtu.be/6384diPPYU4?t=4147","channel 2")</f>
        <v>channel 2</v>
      </c>
    </row>
    <row r="187">
      <c r="B187" s="34" t="s">
        <v>3589</v>
      </c>
      <c r="C187" s="33" t="s">
        <v>699</v>
      </c>
      <c r="D187" s="34" t="s">
        <v>2003</v>
      </c>
      <c r="E187" s="11" t="str">
        <f>HYPERLINK("https://youtu.be/EdMwpWVfid4?t=5113","channel 1")</f>
        <v>channel 1</v>
      </c>
    </row>
    <row r="188">
      <c r="B188" s="34" t="s">
        <v>3772</v>
      </c>
      <c r="C188" s="33" t="s">
        <v>544</v>
      </c>
      <c r="D188" s="34" t="s">
        <v>3771</v>
      </c>
      <c r="E188" s="11" t="str">
        <f>HYPERLINK("https://youtu.be/6384diPPYU4?t=5092","channel 2")</f>
        <v>channel 2</v>
      </c>
    </row>
    <row r="189">
      <c r="B189" s="110" t="s">
        <v>3771</v>
      </c>
      <c r="C189" s="70" t="s">
        <v>17</v>
      </c>
      <c r="D189" s="110" t="s">
        <v>3613</v>
      </c>
      <c r="E189" s="11" t="str">
        <f>HYPERLINK("https://youtu.be/EdMwpWVfid4?t=1476","channel 1")</f>
        <v>channel 1</v>
      </c>
    </row>
    <row r="190">
      <c r="B190" s="110" t="s">
        <v>3772</v>
      </c>
      <c r="C190" s="70" t="s">
        <v>17</v>
      </c>
      <c r="D190" s="110" t="s">
        <v>2003</v>
      </c>
      <c r="E190" s="11" t="str">
        <f>HYPERLINK("https://youtu.be/6384diPPYU4?t=1466","channel 2")</f>
        <v>channel 2</v>
      </c>
    </row>
    <row r="191">
      <c r="B191" s="34" t="s">
        <v>3613</v>
      </c>
      <c r="C191" s="33" t="s">
        <v>797</v>
      </c>
      <c r="D191" s="34" t="s">
        <v>3589</v>
      </c>
      <c r="E191" s="11" t="str">
        <f>HYPERLINK("https://youtu.be/EdMwpWVfid4?t=6015","channel 1")</f>
        <v>channel 1</v>
      </c>
    </row>
    <row r="192">
      <c r="B192" s="34" t="s">
        <v>3771</v>
      </c>
      <c r="C192" s="33" t="s">
        <v>259</v>
      </c>
      <c r="D192" s="34" t="s">
        <v>2003</v>
      </c>
      <c r="E192" s="11" t="str">
        <f>HYPERLINK("https://youtu.be/6384diPPYU4?t=5983","channel 2")</f>
        <v>channel 2</v>
      </c>
    </row>
    <row r="193">
      <c r="B193" s="34" t="s">
        <v>3772</v>
      </c>
      <c r="C193" s="33" t="s">
        <v>238</v>
      </c>
      <c r="D193" s="34" t="s">
        <v>3589</v>
      </c>
      <c r="E193" s="11" t="str">
        <f>HYPERLINK("https://youtu.be/EdMwpWVfid4?t=6903","channel 1")</f>
        <v>channel 1</v>
      </c>
    </row>
    <row r="194">
      <c r="B194" s="34" t="s">
        <v>3613</v>
      </c>
      <c r="C194" s="33" t="s">
        <v>11</v>
      </c>
      <c r="D194" s="34" t="s">
        <v>2003</v>
      </c>
      <c r="E194" s="11" t="str">
        <f>HYPERLINK("https://youtu.be/6384diPPYU4?t=6887","channel 2")</f>
        <v>channel 2</v>
      </c>
    </row>
    <row r="195">
      <c r="B195" s="34" t="s">
        <v>3771</v>
      </c>
      <c r="C195" s="33" t="s">
        <v>325</v>
      </c>
      <c r="D195" s="34" t="s">
        <v>3589</v>
      </c>
      <c r="E195" s="11" t="str">
        <f>HYPERLINK("https://youtu.be/EdMwpWVfid4?t=7777","channel 1")</f>
        <v>channel 1</v>
      </c>
    </row>
    <row r="196">
      <c r="B196" s="34" t="s">
        <v>3613</v>
      </c>
      <c r="C196" s="33" t="s">
        <v>187</v>
      </c>
      <c r="D196" s="34" t="s">
        <v>3772</v>
      </c>
      <c r="E196" s="11" t="str">
        <f>HYPERLINK("https://youtu.be/6384diPPYU4?t=7792","channel 2")</f>
        <v>channel 2</v>
      </c>
    </row>
    <row r="197">
      <c r="B197" s="34" t="s">
        <v>2003</v>
      </c>
      <c r="C197" s="33" t="s">
        <v>64</v>
      </c>
      <c r="D197" s="34" t="s">
        <v>3589</v>
      </c>
      <c r="E197" s="11" t="str">
        <f>HYPERLINK("https://youtu.be/EdMwpWVfid4?t=8702","channel 1")</f>
        <v>channel 1</v>
      </c>
    </row>
    <row r="198">
      <c r="B198" s="34" t="s">
        <v>3771</v>
      </c>
      <c r="C198" s="33" t="s">
        <v>18</v>
      </c>
      <c r="D198" s="34" t="s">
        <v>3772</v>
      </c>
      <c r="E198" s="11" t="str">
        <f>HYPERLINK("https://youtu.be/6384diPPYU4?t=8636","channel 2")</f>
        <v>channel 2</v>
      </c>
    </row>
    <row r="199">
      <c r="B199" s="28" t="s">
        <v>3552</v>
      </c>
      <c r="C199" s="2"/>
      <c r="D199" s="3"/>
      <c r="E199" s="2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34" t="s">
        <v>3751</v>
      </c>
      <c r="C201" s="33" t="s">
        <v>64</v>
      </c>
      <c r="D201" s="34" t="s">
        <v>3554</v>
      </c>
      <c r="E201" s="11" t="str">
        <f>HYPERLINK("https://youtu.be/SBJzbW8JpWM","channel 1")</f>
        <v>channel 1</v>
      </c>
    </row>
    <row r="202">
      <c r="B202" s="34" t="s">
        <v>3136</v>
      </c>
      <c r="C202" s="33" t="s">
        <v>201</v>
      </c>
      <c r="D202" s="34" t="s">
        <v>3773</v>
      </c>
      <c r="E202" s="11" t="str">
        <f>HYPERLINK("https://youtu.be/LF0sMJ51470","channel 2")</f>
        <v>channel 2</v>
      </c>
    </row>
    <row r="203">
      <c r="B203" s="34" t="s">
        <v>3592</v>
      </c>
      <c r="C203" s="33" t="s">
        <v>215</v>
      </c>
      <c r="D203" s="34" t="s">
        <v>3751</v>
      </c>
      <c r="E203" s="11" t="str">
        <f>HYPERLINK("https://youtu.be/SBJzbW8JpWM?t=1135","channel 1")</f>
        <v>channel 1</v>
      </c>
    </row>
    <row r="204">
      <c r="B204" s="34" t="s">
        <v>3136</v>
      </c>
      <c r="C204" s="33" t="s">
        <v>196</v>
      </c>
      <c r="D204" s="34" t="s">
        <v>3554</v>
      </c>
      <c r="E204" s="11" t="str">
        <f>HYPERLINK("https://youtu.be/LF0sMJ51470?t=1048","channel 2")</f>
        <v>channel 2</v>
      </c>
    </row>
    <row r="205">
      <c r="B205" s="34" t="s">
        <v>3592</v>
      </c>
      <c r="C205" s="33" t="s">
        <v>328</v>
      </c>
      <c r="D205" s="34" t="s">
        <v>3773</v>
      </c>
      <c r="E205" s="11" t="str">
        <f>HYPERLINK("https://youtu.be/SBJzbW8JpWM?t=2071","channel 1")</f>
        <v>channel 1</v>
      </c>
    </row>
    <row r="206">
      <c r="B206" s="34" t="s">
        <v>3136</v>
      </c>
      <c r="C206" s="33" t="s">
        <v>78</v>
      </c>
      <c r="D206" s="34" t="s">
        <v>3751</v>
      </c>
      <c r="E206" s="11" t="str">
        <f>HYPERLINK("https://youtu.be/LF0sMJ51470?t=2052","channel 2")</f>
        <v>channel 2</v>
      </c>
    </row>
    <row r="207">
      <c r="B207" s="34" t="s">
        <v>3592</v>
      </c>
      <c r="C207" s="33" t="s">
        <v>17</v>
      </c>
      <c r="D207" s="34" t="s">
        <v>3554</v>
      </c>
      <c r="E207" s="11" t="str">
        <f>HYPERLINK("https://youtu.be/SBJzbW8JpWM?t=3078","channel 1")</f>
        <v>channel 1</v>
      </c>
    </row>
    <row r="208">
      <c r="B208" s="34" t="s">
        <v>3773</v>
      </c>
      <c r="C208" s="33" t="s">
        <v>370</v>
      </c>
      <c r="D208" s="34" t="s">
        <v>3751</v>
      </c>
      <c r="E208" s="11" t="str">
        <f>HYPERLINK("https://youtu.be/LF0sMJ51470?t=3045","channel 2")</f>
        <v>channel 2</v>
      </c>
    </row>
    <row r="209">
      <c r="B209" s="34" t="s">
        <v>3592</v>
      </c>
      <c r="C209" s="33" t="s">
        <v>857</v>
      </c>
      <c r="D209" s="34" t="s">
        <v>3136</v>
      </c>
      <c r="E209" s="11" t="str">
        <f>HYPERLINK("https://youtu.be/SBJzbW8JpWM?t=3987","channel 1")</f>
        <v>channel 1</v>
      </c>
    </row>
    <row r="210">
      <c r="B210" s="34" t="s">
        <v>3773</v>
      </c>
      <c r="C210" s="33" t="s">
        <v>1342</v>
      </c>
      <c r="D210" s="34" t="s">
        <v>3554</v>
      </c>
      <c r="E210" s="11" t="str">
        <f>HYPERLINK("https://youtu.be/LF0sMJ51470?t=3955","channel 2")</f>
        <v>channel 2</v>
      </c>
    </row>
    <row r="211">
      <c r="B211" s="34" t="s">
        <v>3554</v>
      </c>
      <c r="C211" s="33" t="s">
        <v>25</v>
      </c>
      <c r="D211" s="34" t="s">
        <v>3751</v>
      </c>
      <c r="E211" s="11" t="str">
        <f>HYPERLINK("https://youtu.be/SBJzbW8JpWM?t=4946","channel 1")</f>
        <v>channel 1</v>
      </c>
    </row>
    <row r="212">
      <c r="B212" s="34" t="s">
        <v>3773</v>
      </c>
      <c r="C212" s="33" t="s">
        <v>76</v>
      </c>
      <c r="D212" s="34" t="s">
        <v>3136</v>
      </c>
      <c r="E212" s="11" t="str">
        <f>HYPERLINK("https://youtu.be/LF0sMJ51470?t=4893","channel 2")</f>
        <v>channel 2</v>
      </c>
    </row>
    <row r="213">
      <c r="B213" s="34" t="s">
        <v>3751</v>
      </c>
      <c r="C213" s="33" t="s">
        <v>70</v>
      </c>
      <c r="D213" s="34" t="s">
        <v>3592</v>
      </c>
      <c r="E213" s="11" t="str">
        <f>HYPERLINK("https://youtu.be/SBJzbW8JpWM?t=5876","channel 1")</f>
        <v>channel 1</v>
      </c>
    </row>
    <row r="214">
      <c r="B214" s="34" t="s">
        <v>3554</v>
      </c>
      <c r="C214" s="33" t="s">
        <v>64</v>
      </c>
      <c r="D214" s="34" t="s">
        <v>3136</v>
      </c>
      <c r="E214" s="11" t="str">
        <f>HYPERLINK("https://youtu.be/LF0sMJ51470?t=5817","channel 2")</f>
        <v>channel 2</v>
      </c>
    </row>
    <row r="215">
      <c r="B215" s="34" t="s">
        <v>3773</v>
      </c>
      <c r="C215" s="33" t="s">
        <v>82</v>
      </c>
      <c r="D215" s="34" t="s">
        <v>3592</v>
      </c>
      <c r="E215" s="11" t="str">
        <f>HYPERLINK("https://youtu.be/SBJzbW8JpWM?t=6825","channel 1")</f>
        <v>channel 1</v>
      </c>
    </row>
    <row r="216">
      <c r="B216" s="34" t="s">
        <v>3751</v>
      </c>
      <c r="C216" s="33" t="s">
        <v>2707</v>
      </c>
      <c r="D216" s="34" t="s">
        <v>3136</v>
      </c>
      <c r="E216" s="11" t="str">
        <f>HYPERLINK("https://youtu.be/LF0sMJ51470?t=6803","channel 2")</f>
        <v>channel 2</v>
      </c>
    </row>
    <row r="217">
      <c r="B217" s="34" t="s">
        <v>3554</v>
      </c>
      <c r="C217" s="33" t="s">
        <v>65</v>
      </c>
      <c r="D217" s="34" t="s">
        <v>3592</v>
      </c>
      <c r="E217" s="11" t="str">
        <f>HYPERLINK("https://youtu.be/SBJzbW8JpWM?t=7797","channel 1")</f>
        <v>channel 1</v>
      </c>
    </row>
    <row r="218">
      <c r="B218" s="34" t="s">
        <v>3751</v>
      </c>
      <c r="C218" s="33" t="s">
        <v>291</v>
      </c>
      <c r="D218" s="34" t="s">
        <v>3773</v>
      </c>
      <c r="E218" s="11" t="str">
        <f>HYPERLINK("https://youtu.be/LF0sMJ51470?t=7765","channel 2")</f>
        <v>channel 2</v>
      </c>
    </row>
    <row r="219">
      <c r="B219" s="34" t="s">
        <v>3136</v>
      </c>
      <c r="C219" s="33" t="s">
        <v>2279</v>
      </c>
      <c r="D219" s="34" t="s">
        <v>3592</v>
      </c>
      <c r="E219" s="11" t="str">
        <f>HYPERLINK("https://youtu.be/SBJzbW8JpWM?t=8686","channel 1")</f>
        <v>channel 1</v>
      </c>
    </row>
    <row r="220">
      <c r="B220" s="34" t="s">
        <v>3554</v>
      </c>
      <c r="C220" s="33" t="s">
        <v>2326</v>
      </c>
      <c r="D220" s="34" t="s">
        <v>3773</v>
      </c>
      <c r="E220" s="11" t="str">
        <f>HYPERLINK("https://youtu.be/LF0sMJ51470?t=8640","channel 2")</f>
        <v>channel 2</v>
      </c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7"/>
      <c r="B1" s="1" t="s">
        <v>2154</v>
      </c>
      <c r="C1" s="2"/>
      <c r="D1" s="3"/>
      <c r="E1" s="14"/>
    </row>
    <row r="2">
      <c r="A2" s="118"/>
      <c r="B2" s="16" t="s">
        <v>2</v>
      </c>
      <c r="C2" s="16" t="s">
        <v>3</v>
      </c>
      <c r="D2" s="16" t="s">
        <v>4</v>
      </c>
      <c r="E2" s="6" t="s">
        <v>5</v>
      </c>
    </row>
    <row r="3">
      <c r="A3" s="118"/>
      <c r="B3" s="32" t="s">
        <v>830</v>
      </c>
      <c r="C3" s="33" t="s">
        <v>41</v>
      </c>
      <c r="D3" s="32" t="s">
        <v>3422</v>
      </c>
      <c r="E3" s="44" t="str">
        <f>HYPERLINK("https://youtu.be/CxdFOwTQ9ko","channel 2")</f>
        <v>channel 2</v>
      </c>
    </row>
    <row r="4">
      <c r="A4" s="118"/>
      <c r="B4" s="32" t="s">
        <v>738</v>
      </c>
      <c r="C4" s="33" t="s">
        <v>68</v>
      </c>
      <c r="D4" s="32" t="s">
        <v>3023</v>
      </c>
      <c r="E4" s="44" t="str">
        <f>HYPERLINK("https://youtu.be/p5r7HgIDNHo","channel 4")</f>
        <v>channel 4</v>
      </c>
    </row>
    <row r="5">
      <c r="A5" s="118"/>
      <c r="B5" s="32" t="s">
        <v>3762</v>
      </c>
      <c r="C5" s="33" t="s">
        <v>506</v>
      </c>
      <c r="D5" s="32" t="s">
        <v>830</v>
      </c>
      <c r="E5" s="44" t="str">
        <f>HYPERLINK("https://youtu.be/CxdFOwTQ9ko?t=1106","channel 2")</f>
        <v>channel 2</v>
      </c>
    </row>
    <row r="6">
      <c r="A6" s="118"/>
      <c r="B6" s="32" t="s">
        <v>738</v>
      </c>
      <c r="C6" s="33" t="s">
        <v>17</v>
      </c>
      <c r="D6" s="32" t="s">
        <v>3422</v>
      </c>
      <c r="E6" s="44" t="str">
        <f>HYPERLINK("https://youtu.be/p5r7HgIDNHo?t=1332","channel 4")</f>
        <v>channel 4</v>
      </c>
    </row>
    <row r="7">
      <c r="A7" s="118"/>
      <c r="B7" s="32" t="s">
        <v>3762</v>
      </c>
      <c r="C7" s="33" t="s">
        <v>286</v>
      </c>
      <c r="D7" s="32" t="s">
        <v>3023</v>
      </c>
      <c r="E7" s="44" t="str">
        <f>HYPERLINK("https://youtu.be/CxdFOwTQ9ko?t=2101","channel 2")</f>
        <v>channel 2</v>
      </c>
    </row>
    <row r="8">
      <c r="A8" s="118"/>
      <c r="B8" s="32" t="s">
        <v>738</v>
      </c>
      <c r="C8" s="33" t="s">
        <v>82</v>
      </c>
      <c r="D8" s="32" t="s">
        <v>830</v>
      </c>
      <c r="E8" s="44" t="str">
        <f>HYPERLINK("https://youtu.be/p5r7HgIDNHo?t=2147","channel 4")</f>
        <v>channel 4</v>
      </c>
    </row>
    <row r="9">
      <c r="A9" s="118"/>
      <c r="B9" s="32" t="s">
        <v>3762</v>
      </c>
      <c r="C9" s="33" t="s">
        <v>38</v>
      </c>
      <c r="D9" s="32" t="s">
        <v>3422</v>
      </c>
      <c r="E9" s="44" t="str">
        <f>HYPERLINK("https://youtu.be/CxdFOwTQ9ko?t=3026","channel 2")</f>
        <v>channel 2</v>
      </c>
    </row>
    <row r="10">
      <c r="A10" s="118"/>
      <c r="B10" s="32" t="s">
        <v>3023</v>
      </c>
      <c r="C10" s="33" t="s">
        <v>520</v>
      </c>
      <c r="D10" s="32" t="s">
        <v>830</v>
      </c>
      <c r="E10" s="44" t="str">
        <f>HYPERLINK("https://youtu.be/p5r7HgIDNHo?t=3168","channel 4")</f>
        <v>channel 4</v>
      </c>
    </row>
    <row r="11">
      <c r="A11" s="118"/>
      <c r="B11" s="32" t="s">
        <v>3762</v>
      </c>
      <c r="C11" s="33" t="s">
        <v>215</v>
      </c>
      <c r="D11" s="32" t="s">
        <v>738</v>
      </c>
      <c r="E11" s="44" t="str">
        <f>HYPERLINK("https://youtu.be/CxdFOwTQ9ko?t=3932","channel 2")</f>
        <v>channel 2</v>
      </c>
    </row>
    <row r="12">
      <c r="A12" s="118"/>
      <c r="B12" s="32" t="s">
        <v>3023</v>
      </c>
      <c r="C12" s="33" t="s">
        <v>42</v>
      </c>
      <c r="D12" s="32" t="s">
        <v>3422</v>
      </c>
      <c r="E12" s="44" t="str">
        <f>HYPERLINK("https://youtu.be/p5r7HgIDNHo?t=4167","channel 4")</f>
        <v>channel 4</v>
      </c>
    </row>
    <row r="13">
      <c r="A13" s="118"/>
      <c r="B13" s="32" t="s">
        <v>3422</v>
      </c>
      <c r="C13" s="33" t="s">
        <v>44</v>
      </c>
      <c r="D13" s="32" t="s">
        <v>830</v>
      </c>
      <c r="E13" s="44" t="str">
        <f>HYPERLINK("https://youtu.be/CxdFOwTQ9ko?t=4864","channel 2")</f>
        <v>channel 2</v>
      </c>
    </row>
    <row r="14">
      <c r="A14" s="118"/>
      <c r="B14" s="32" t="s">
        <v>3023</v>
      </c>
      <c r="C14" s="35" t="s">
        <v>17</v>
      </c>
      <c r="D14" s="32" t="s">
        <v>738</v>
      </c>
      <c r="E14" s="44" t="str">
        <f>HYPERLINK("https://youtu.be/p5r7HgIDNHo?t=5089","channel 4")</f>
        <v>channel 4</v>
      </c>
    </row>
    <row r="15">
      <c r="A15" s="118"/>
      <c r="B15" s="32" t="s">
        <v>830</v>
      </c>
      <c r="C15" s="35" t="s">
        <v>797</v>
      </c>
      <c r="D15" s="32" t="s">
        <v>3762</v>
      </c>
      <c r="E15" s="44" t="str">
        <f>HYPERLINK("https://youtu.be/CxdFOwTQ9ko?t=5765","channel 2")</f>
        <v>channel 2</v>
      </c>
    </row>
    <row r="16">
      <c r="A16" s="118"/>
      <c r="B16" s="32" t="s">
        <v>3422</v>
      </c>
      <c r="C16" s="33" t="s">
        <v>231</v>
      </c>
      <c r="D16" s="32" t="s">
        <v>738</v>
      </c>
      <c r="E16" s="44" t="str">
        <f>HYPERLINK("https://youtu.be/p5r7HgIDNHo?t=5934","channel 4")</f>
        <v>channel 4</v>
      </c>
    </row>
    <row r="17">
      <c r="A17" s="118"/>
      <c r="B17" s="32" t="s">
        <v>3023</v>
      </c>
      <c r="C17" s="33" t="s">
        <v>285</v>
      </c>
      <c r="D17" s="32" t="s">
        <v>3762</v>
      </c>
      <c r="E17" s="44" t="str">
        <f>HYPERLINK("https://youtu.be/CxdFOwTQ9ko?t=6754","channel 2")</f>
        <v>channel 2</v>
      </c>
    </row>
    <row r="18">
      <c r="A18" s="118"/>
      <c r="B18" s="32" t="s">
        <v>830</v>
      </c>
      <c r="C18" s="33" t="s">
        <v>545</v>
      </c>
      <c r="D18" s="32" t="s">
        <v>738</v>
      </c>
      <c r="E18" s="44" t="str">
        <f>HYPERLINK("https://youtu.be/p5r7HgIDNHo?t=6932","channel 4")</f>
        <v>channel 4</v>
      </c>
    </row>
    <row r="19">
      <c r="A19" s="118"/>
      <c r="B19" s="32" t="s">
        <v>3422</v>
      </c>
      <c r="C19" s="33" t="s">
        <v>22</v>
      </c>
      <c r="D19" s="32" t="s">
        <v>3762</v>
      </c>
      <c r="E19" s="44" t="str">
        <f>HYPERLINK("https://youtu.be/CxdFOwTQ9ko?t=7721","channel 2")</f>
        <v>channel 2</v>
      </c>
    </row>
    <row r="20">
      <c r="A20" s="118"/>
      <c r="B20" s="32" t="s">
        <v>830</v>
      </c>
      <c r="C20" s="33" t="s">
        <v>28</v>
      </c>
      <c r="D20" s="32" t="s">
        <v>3023</v>
      </c>
      <c r="E20" s="44" t="str">
        <f>HYPERLINK("https://youtu.be/p5r7HgIDNHo?t=7931","channel 4")</f>
        <v>channel 4</v>
      </c>
    </row>
    <row r="21">
      <c r="A21" s="118"/>
      <c r="B21" s="32" t="s">
        <v>738</v>
      </c>
      <c r="C21" s="33" t="s">
        <v>21</v>
      </c>
      <c r="D21" s="32" t="s">
        <v>3762</v>
      </c>
      <c r="E21" s="44" t="str">
        <f>HYPERLINK("https://youtu.be/CxdFOwTQ9ko?t=8612","channel 2")</f>
        <v>channel 2</v>
      </c>
    </row>
    <row r="22">
      <c r="A22" s="118"/>
      <c r="B22" s="32" t="s">
        <v>3422</v>
      </c>
      <c r="C22" s="33" t="s">
        <v>87</v>
      </c>
      <c r="D22" s="32" t="s">
        <v>3023</v>
      </c>
      <c r="E22" s="44" t="str">
        <f>HYPERLINK("https://youtu.be/p5r7HgIDNHo?t=8860","channel 4")</f>
        <v>channel 4</v>
      </c>
    </row>
    <row r="23">
      <c r="A23" s="118"/>
      <c r="B23" s="1" t="s">
        <v>2160</v>
      </c>
      <c r="C23" s="2"/>
      <c r="D23" s="3"/>
      <c r="E23" s="4"/>
    </row>
    <row r="24">
      <c r="A24" s="118"/>
      <c r="B24" s="16" t="s">
        <v>2</v>
      </c>
      <c r="C24" s="16" t="s">
        <v>3</v>
      </c>
      <c r="D24" s="16" t="s">
        <v>4</v>
      </c>
      <c r="E24" s="6" t="s">
        <v>5</v>
      </c>
    </row>
    <row r="25">
      <c r="A25" s="118"/>
      <c r="B25" s="32" t="s">
        <v>3390</v>
      </c>
      <c r="C25" s="33" t="s">
        <v>89</v>
      </c>
      <c r="D25" s="32" t="s">
        <v>3543</v>
      </c>
      <c r="E25" s="44" t="str">
        <f>HYPERLINK("https://youtu.be/bJjnVicPwTM","channel 2")</f>
        <v>channel 2</v>
      </c>
    </row>
    <row r="26">
      <c r="A26" s="118"/>
      <c r="B26" s="32" t="s">
        <v>3774</v>
      </c>
      <c r="C26" s="33" t="s">
        <v>67</v>
      </c>
      <c r="D26" s="32" t="s">
        <v>3775</v>
      </c>
      <c r="E26" s="44" t="str">
        <f>HYPERLINK("https://youtu.be/3EHvFl2LS1E","channel 4")</f>
        <v>channel 4</v>
      </c>
    </row>
    <row r="27">
      <c r="A27" s="118"/>
      <c r="B27" s="32" t="s">
        <v>3776</v>
      </c>
      <c r="C27" s="33" t="s">
        <v>64</v>
      </c>
      <c r="D27" s="32" t="s">
        <v>3390</v>
      </c>
      <c r="E27" s="44" t="str">
        <f>HYPERLINK("https://youtu.be/bJjnVicPwTM?t=1133","channel 2")</f>
        <v>channel 2</v>
      </c>
    </row>
    <row r="28">
      <c r="A28" s="118"/>
      <c r="B28" s="32" t="s">
        <v>3774</v>
      </c>
      <c r="C28" s="33" t="s">
        <v>18</v>
      </c>
      <c r="D28" s="32" t="s">
        <v>3543</v>
      </c>
      <c r="E28" s="44" t="str">
        <f>HYPERLINK("https://youtu.be/3EHvFl2LS1E?t=952","channel 4")</f>
        <v>channel 4</v>
      </c>
    </row>
    <row r="29">
      <c r="A29" s="118"/>
      <c r="B29" s="32" t="s">
        <v>3776</v>
      </c>
      <c r="C29" s="33" t="s">
        <v>70</v>
      </c>
      <c r="D29" s="32" t="s">
        <v>3775</v>
      </c>
      <c r="E29" s="44" t="str">
        <f>HYPERLINK("https://youtu.be/bJjnVicPwTM?t=2151","channel 2")</f>
        <v>channel 2</v>
      </c>
    </row>
    <row r="30">
      <c r="A30" s="118"/>
      <c r="B30" s="32" t="s">
        <v>3774</v>
      </c>
      <c r="C30" s="33" t="s">
        <v>260</v>
      </c>
      <c r="D30" s="32" t="s">
        <v>3390</v>
      </c>
      <c r="E30" s="44" t="str">
        <f>HYPERLINK("https://youtu.be/3EHvFl2LS1E?t=1964","channel 4")</f>
        <v>channel 4</v>
      </c>
    </row>
    <row r="31">
      <c r="A31" s="118"/>
      <c r="B31" s="32" t="s">
        <v>3776</v>
      </c>
      <c r="C31" s="33" t="s">
        <v>270</v>
      </c>
      <c r="D31" s="32" t="s">
        <v>3543</v>
      </c>
      <c r="E31" s="44" t="str">
        <f>HYPERLINK("https://youtu.be/bJjnVicPwTM?t=3062","channel 2")</f>
        <v>channel 2</v>
      </c>
    </row>
    <row r="32">
      <c r="A32" s="118"/>
      <c r="B32" s="32" t="s">
        <v>3775</v>
      </c>
      <c r="C32" s="33" t="s">
        <v>195</v>
      </c>
      <c r="D32" s="32" t="s">
        <v>3390</v>
      </c>
      <c r="E32" s="44" t="str">
        <f>HYPERLINK("https://youtu.be/3EHvFl2LS1E?t=3157","channel 4")</f>
        <v>channel 4</v>
      </c>
    </row>
    <row r="33">
      <c r="A33" s="118"/>
      <c r="B33" s="32" t="s">
        <v>3776</v>
      </c>
      <c r="C33" s="33" t="s">
        <v>22</v>
      </c>
      <c r="D33" s="32" t="s">
        <v>3774</v>
      </c>
      <c r="E33" s="44" t="str">
        <f>HYPERLINK("https://youtu.be/bJjnVicPwTM?t=4046","channel 2")</f>
        <v>channel 2</v>
      </c>
    </row>
    <row r="34">
      <c r="A34" s="118"/>
      <c r="B34" s="32" t="s">
        <v>3775</v>
      </c>
      <c r="C34" s="33" t="s">
        <v>7</v>
      </c>
      <c r="D34" s="32" t="s">
        <v>3543</v>
      </c>
      <c r="E34" s="44" t="str">
        <f>HYPERLINK("https://youtu.be/3EHvFl2LS1E?t=4083","channel 4")</f>
        <v>channel 4</v>
      </c>
    </row>
    <row r="35">
      <c r="A35" s="118"/>
      <c r="B35" s="32" t="s">
        <v>3543</v>
      </c>
      <c r="C35" s="33" t="s">
        <v>306</v>
      </c>
      <c r="D35" s="32" t="s">
        <v>3390</v>
      </c>
      <c r="E35" s="44" t="str">
        <f>HYPERLINK("https://youtu.be/bJjnVicPwTM?t=4904","channel 2")</f>
        <v>channel 2</v>
      </c>
    </row>
    <row r="36">
      <c r="A36" s="118"/>
      <c r="B36" s="32" t="s">
        <v>3775</v>
      </c>
      <c r="C36" s="33" t="s">
        <v>556</v>
      </c>
      <c r="D36" s="32" t="s">
        <v>3774</v>
      </c>
      <c r="E36" s="44" t="str">
        <f>HYPERLINK("https://youtu.be/3EHvFl2LS1E?t=5088","channel 4")</f>
        <v>channel 4</v>
      </c>
    </row>
    <row r="37">
      <c r="A37" s="118"/>
      <c r="B37" s="32" t="s">
        <v>3390</v>
      </c>
      <c r="C37" s="33" t="s">
        <v>19</v>
      </c>
      <c r="D37" s="32" t="s">
        <v>3776</v>
      </c>
      <c r="E37" s="44" t="str">
        <f>HYPERLINK("https://youtu.be/bJjnVicPwTM?t=5871","channel 2")</f>
        <v>channel 2</v>
      </c>
    </row>
    <row r="38">
      <c r="A38" s="118"/>
      <c r="B38" s="32" t="s">
        <v>3543</v>
      </c>
      <c r="C38" s="33" t="s">
        <v>416</v>
      </c>
      <c r="D38" s="32" t="s">
        <v>3774</v>
      </c>
      <c r="E38" s="44" t="str">
        <f>HYPERLINK("https://youtu.be/3EHvFl2LS1E?t=5923","channel 4")</f>
        <v>channel 4</v>
      </c>
    </row>
    <row r="39">
      <c r="A39" s="118"/>
      <c r="B39" s="32" t="s">
        <v>3775</v>
      </c>
      <c r="C39" s="35" t="s">
        <v>69</v>
      </c>
      <c r="D39" s="32" t="s">
        <v>3776</v>
      </c>
      <c r="E39" s="44" t="str">
        <f>HYPERLINK("https://youtu.be/bJjnVicPwTM?t=6693","channel 2")</f>
        <v>channel 2</v>
      </c>
    </row>
    <row r="40">
      <c r="A40" s="118"/>
      <c r="B40" s="32" t="s">
        <v>3390</v>
      </c>
      <c r="C40" s="33" t="s">
        <v>416</v>
      </c>
      <c r="D40" s="32" t="s">
        <v>3774</v>
      </c>
      <c r="E40" s="44" t="str">
        <f>HYPERLINK("https://youtu.be/3EHvFl2LS1E?t=6887","channel 4")</f>
        <v>channel 4</v>
      </c>
    </row>
    <row r="41">
      <c r="A41" s="118"/>
      <c r="B41" s="32" t="s">
        <v>3543</v>
      </c>
      <c r="C41" s="33" t="s">
        <v>83</v>
      </c>
      <c r="D41" s="32" t="s">
        <v>3776</v>
      </c>
      <c r="E41" s="44" t="str">
        <f>HYPERLINK("https://youtu.be/bJjnVicPwTM?t=7542","channel 2")</f>
        <v>channel 2</v>
      </c>
    </row>
    <row r="42">
      <c r="A42" s="118"/>
      <c r="B42" s="32" t="s">
        <v>3390</v>
      </c>
      <c r="C42" s="33" t="s">
        <v>557</v>
      </c>
      <c r="D42" s="32" t="s">
        <v>3775</v>
      </c>
      <c r="E42" s="44" t="str">
        <f>HYPERLINK("https://youtu.be/3EHvFl2LS1E?t=7745","channel 4")</f>
        <v>channel 4</v>
      </c>
    </row>
    <row r="43">
      <c r="A43" s="118"/>
      <c r="B43" s="32" t="s">
        <v>3774</v>
      </c>
      <c r="C43" s="33" t="s">
        <v>42</v>
      </c>
      <c r="D43" s="32" t="s">
        <v>3776</v>
      </c>
      <c r="E43" s="44" t="str">
        <f>HYPERLINK("https://youtu.be/bJjnVicPwTM?t=8464","channel 2")</f>
        <v>channel 2</v>
      </c>
    </row>
    <row r="44">
      <c r="A44" s="118"/>
      <c r="B44" s="32" t="s">
        <v>3543</v>
      </c>
      <c r="C44" s="33" t="s">
        <v>378</v>
      </c>
      <c r="D44" s="32" t="s">
        <v>3775</v>
      </c>
      <c r="E44" s="44" t="str">
        <f>HYPERLINK("https://youtu.be/3EHvFl2LS1E?t=8716","channel 4")</f>
        <v>channel 4</v>
      </c>
    </row>
    <row r="45">
      <c r="A45" s="118"/>
      <c r="B45" s="1" t="s">
        <v>3207</v>
      </c>
      <c r="C45" s="2"/>
      <c r="D45" s="3"/>
      <c r="E45" s="4"/>
    </row>
    <row r="46">
      <c r="A46" s="118"/>
      <c r="B46" s="16" t="s">
        <v>2</v>
      </c>
      <c r="C46" s="16" t="s">
        <v>3</v>
      </c>
      <c r="D46" s="16" t="s">
        <v>4</v>
      </c>
      <c r="E46" s="6" t="s">
        <v>5</v>
      </c>
    </row>
    <row r="47">
      <c r="A47" s="118"/>
      <c r="B47" s="32" t="s">
        <v>3777</v>
      </c>
      <c r="C47" s="33" t="s">
        <v>354</v>
      </c>
      <c r="D47" s="32" t="s">
        <v>634</v>
      </c>
      <c r="E47" s="11" t="str">
        <f>HYPERLINK("https://youtu.be/ClZvPxeQX6A","channel 1")</f>
        <v>channel 1</v>
      </c>
    </row>
    <row r="48">
      <c r="A48" s="118"/>
      <c r="B48" s="32" t="s">
        <v>3778</v>
      </c>
      <c r="C48" s="33" t="s">
        <v>27</v>
      </c>
      <c r="D48" s="32" t="s">
        <v>2881</v>
      </c>
      <c r="E48" s="11" t="str">
        <f>HYPERLINK("https://youtu.be/EYolK-HdoS8","channel 3")</f>
        <v>channel 3</v>
      </c>
    </row>
    <row r="49">
      <c r="A49" s="118"/>
      <c r="B49" s="32" t="s">
        <v>2400</v>
      </c>
      <c r="C49" s="33" t="s">
        <v>2294</v>
      </c>
      <c r="D49" s="32" t="s">
        <v>3777</v>
      </c>
      <c r="E49" s="11" t="str">
        <f>HYPERLINK("https://youtu.be/ClZvPxeQX6A?t=1502","channel 1")</f>
        <v>channel 1</v>
      </c>
    </row>
    <row r="50">
      <c r="A50" s="118"/>
      <c r="B50" s="32" t="s">
        <v>3778</v>
      </c>
      <c r="C50" s="33" t="s">
        <v>566</v>
      </c>
      <c r="D50" s="32" t="s">
        <v>634</v>
      </c>
      <c r="E50" s="11" t="str">
        <f>HYPERLINK("https://youtu.be/EYolK-HdoS8?t=1275","channel 3")</f>
        <v>channel 3</v>
      </c>
    </row>
    <row r="51">
      <c r="A51" s="118"/>
      <c r="B51" s="32" t="s">
        <v>2400</v>
      </c>
      <c r="C51" s="33" t="s">
        <v>3779</v>
      </c>
      <c r="D51" s="32" t="s">
        <v>2881</v>
      </c>
      <c r="E51" s="11" t="str">
        <f>HYPERLINK("https://youtu.be/ClZvPxeQX6A?t=2707","channel 1")</f>
        <v>channel 1</v>
      </c>
    </row>
    <row r="52">
      <c r="A52" s="118"/>
      <c r="B52" s="32" t="s">
        <v>3778</v>
      </c>
      <c r="C52" s="33" t="s">
        <v>65</v>
      </c>
      <c r="D52" s="32" t="s">
        <v>3777</v>
      </c>
      <c r="E52" s="11" t="str">
        <f>HYPERLINK("https://youtu.be/EYolK-HdoS8?t=2456","channel 3")</f>
        <v>channel 3</v>
      </c>
    </row>
    <row r="53">
      <c r="A53" s="118"/>
      <c r="B53" s="32" t="s">
        <v>2400</v>
      </c>
      <c r="C53" s="33" t="s">
        <v>46</v>
      </c>
      <c r="D53" s="32" t="s">
        <v>634</v>
      </c>
      <c r="E53" s="11" t="str">
        <f>HYPERLINK("https://youtu.be/ClZvPxeQX6A?t=3731","channel 1")</f>
        <v>channel 1</v>
      </c>
    </row>
    <row r="54">
      <c r="A54" s="118"/>
      <c r="B54" s="32" t="s">
        <v>2881</v>
      </c>
      <c r="C54" s="33" t="s">
        <v>733</v>
      </c>
      <c r="D54" s="32" t="s">
        <v>3777</v>
      </c>
      <c r="E54" s="11" t="str">
        <f>HYPERLINK("https://youtu.be/EYolK-HdoS8?t=3399","channel 3")</f>
        <v>channel 3</v>
      </c>
    </row>
    <row r="55">
      <c r="A55" s="118"/>
      <c r="B55" s="32" t="s">
        <v>2400</v>
      </c>
      <c r="C55" s="33" t="s">
        <v>11</v>
      </c>
      <c r="D55" s="32" t="s">
        <v>3778</v>
      </c>
      <c r="E55" s="11" t="str">
        <f>HYPERLINK("https://youtu.be/ClZvPxeQX6A?t=4707","channel 1")</f>
        <v>channel 1</v>
      </c>
    </row>
    <row r="56">
      <c r="A56" s="118"/>
      <c r="B56" s="32" t="s">
        <v>2881</v>
      </c>
      <c r="C56" s="33" t="s">
        <v>78</v>
      </c>
      <c r="D56" s="32" t="s">
        <v>634</v>
      </c>
      <c r="E56" s="11" t="str">
        <f>HYPERLINK("https://youtu.be/EYolK-HdoS8?t=4478","channel 3")</f>
        <v>channel 3</v>
      </c>
    </row>
    <row r="57">
      <c r="A57" s="118"/>
      <c r="B57" s="32" t="s">
        <v>634</v>
      </c>
      <c r="C57" s="33" t="s">
        <v>293</v>
      </c>
      <c r="D57" s="32" t="s">
        <v>3777</v>
      </c>
      <c r="E57" s="11" t="str">
        <f>HYPERLINK("https://youtu.be/ClZvPxeQX6A?t=5664","channel 1")</f>
        <v>channel 1</v>
      </c>
    </row>
    <row r="58">
      <c r="A58" s="118"/>
      <c r="B58" s="32" t="s">
        <v>2881</v>
      </c>
      <c r="C58" s="33" t="s">
        <v>81</v>
      </c>
      <c r="D58" s="32" t="s">
        <v>3778</v>
      </c>
      <c r="E58" s="11" t="str">
        <f>HYPERLINK("https://youtu.be/EYolK-HdoS8?t=5611","channel 3")</f>
        <v>channel 3</v>
      </c>
    </row>
    <row r="59">
      <c r="A59" s="118"/>
      <c r="B59" s="32" t="s">
        <v>3777</v>
      </c>
      <c r="C59" s="33" t="s">
        <v>726</v>
      </c>
      <c r="D59" s="32" t="s">
        <v>2400</v>
      </c>
      <c r="E59" s="11" t="str">
        <f>HYPERLINK("https://youtu.be/ClZvPxeQX6A?t=6597","channel 1")</f>
        <v>channel 1</v>
      </c>
    </row>
    <row r="60">
      <c r="A60" s="118"/>
      <c r="B60" s="32" t="s">
        <v>634</v>
      </c>
      <c r="C60" s="33" t="s">
        <v>218</v>
      </c>
      <c r="D60" s="32" t="s">
        <v>3778</v>
      </c>
      <c r="E60" s="11" t="str">
        <f>HYPERLINK("https://youtu.be/EYolK-HdoS8?t=6507","channel 3")</f>
        <v>channel 3</v>
      </c>
    </row>
    <row r="61">
      <c r="A61" s="118"/>
      <c r="B61" s="32" t="s">
        <v>2881</v>
      </c>
      <c r="C61" s="33" t="s">
        <v>446</v>
      </c>
      <c r="D61" s="32" t="s">
        <v>2400</v>
      </c>
      <c r="E61" s="11" t="str">
        <f>HYPERLINK("https://youtu.be/ClZvPxeQX6A?t=7557","channel 1")</f>
        <v>channel 1</v>
      </c>
    </row>
    <row r="62">
      <c r="A62" s="118"/>
      <c r="B62" s="32" t="s">
        <v>3777</v>
      </c>
      <c r="C62" s="35" t="s">
        <v>43</v>
      </c>
      <c r="D62" s="32" t="s">
        <v>3778</v>
      </c>
      <c r="E62" s="11" t="str">
        <f>HYPERLINK("https://youtu.be/EYolK-HdoS8?t=7448","channel 3")</f>
        <v>channel 3</v>
      </c>
    </row>
    <row r="63">
      <c r="A63" s="118"/>
      <c r="B63" s="32" t="s">
        <v>634</v>
      </c>
      <c r="C63" s="33" t="s">
        <v>11</v>
      </c>
      <c r="D63" s="32" t="s">
        <v>2400</v>
      </c>
      <c r="E63" s="11" t="str">
        <f>HYPERLINK("https://youtu.be/ClZvPxeQX6A?t=8518","channel 1")</f>
        <v>channel 1</v>
      </c>
    </row>
    <row r="64">
      <c r="A64" s="118"/>
      <c r="B64" s="32" t="s">
        <v>3777</v>
      </c>
      <c r="C64" s="33" t="s">
        <v>426</v>
      </c>
      <c r="D64" s="32" t="s">
        <v>2881</v>
      </c>
      <c r="E64" s="11" t="str">
        <f>HYPERLINK("https://youtu.be/EYolK-HdoS8?t=8404","channel 3")</f>
        <v>channel 3</v>
      </c>
    </row>
    <row r="65">
      <c r="A65" s="118"/>
      <c r="B65" s="32" t="s">
        <v>3778</v>
      </c>
      <c r="C65" s="33" t="s">
        <v>21</v>
      </c>
      <c r="D65" s="32" t="s">
        <v>2400</v>
      </c>
      <c r="E65" s="11" t="str">
        <f>HYPERLINK("https://youtu.be/ClZvPxeQX6A?t=9468","channel 1")</f>
        <v>channel 1</v>
      </c>
    </row>
    <row r="66">
      <c r="A66" s="118"/>
      <c r="B66" s="32" t="s">
        <v>634</v>
      </c>
      <c r="C66" s="33" t="s">
        <v>426</v>
      </c>
      <c r="D66" s="32" t="s">
        <v>2881</v>
      </c>
      <c r="E66" s="11" t="str">
        <f>HYPERLINK("https://youtu.be/EYolK-HdoS8?t=9307","channel 3")</f>
        <v>channel 3</v>
      </c>
    </row>
    <row r="67">
      <c r="A67" s="118"/>
      <c r="B67" s="1" t="s">
        <v>2646</v>
      </c>
      <c r="C67" s="2"/>
      <c r="D67" s="3"/>
      <c r="E67" s="4"/>
    </row>
    <row r="68">
      <c r="A68" s="118"/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118"/>
      <c r="B69" s="32" t="s">
        <v>3780</v>
      </c>
      <c r="C69" s="33" t="s">
        <v>24</v>
      </c>
      <c r="D69" s="32" t="s">
        <v>3781</v>
      </c>
      <c r="E69" s="11" t="str">
        <f>HYPERLINK("https://youtu.be/27k5fdJnOFs","channel 1")</f>
        <v>channel 1</v>
      </c>
    </row>
    <row r="70">
      <c r="A70" s="118"/>
      <c r="B70" s="32" t="s">
        <v>3152</v>
      </c>
      <c r="C70" s="33" t="s">
        <v>80</v>
      </c>
      <c r="D70" s="32" t="s">
        <v>3698</v>
      </c>
      <c r="E70" s="11" t="str">
        <f>HYPERLINK("https://youtu.be/O-br6qm_RpY","channel 3")</f>
        <v>channel 3</v>
      </c>
    </row>
    <row r="71">
      <c r="A71" s="118"/>
      <c r="B71" s="32" t="s">
        <v>1913</v>
      </c>
      <c r="C71" s="33" t="s">
        <v>86</v>
      </c>
      <c r="D71" s="32" t="s">
        <v>3780</v>
      </c>
      <c r="E71" s="11" t="str">
        <f>HYPERLINK("https://youtu.be/27k5fdJnOFs?t=877","channel 1")</f>
        <v>channel 1</v>
      </c>
    </row>
    <row r="72">
      <c r="A72" s="118"/>
      <c r="B72" s="32" t="s">
        <v>3152</v>
      </c>
      <c r="C72" s="33" t="s">
        <v>218</v>
      </c>
      <c r="D72" s="32" t="s">
        <v>3781</v>
      </c>
      <c r="E72" s="11" t="str">
        <f>HYPERLINK("https://youtu.be/O-br6qm_RpY?t=954","channel 3")</f>
        <v>channel 3</v>
      </c>
    </row>
    <row r="73">
      <c r="A73" s="118"/>
      <c r="B73" s="32" t="s">
        <v>1913</v>
      </c>
      <c r="C73" s="33" t="s">
        <v>21</v>
      </c>
      <c r="D73" s="32" t="s">
        <v>3698</v>
      </c>
      <c r="E73" s="11" t="str">
        <f>HYPERLINK("https://youtu.be/27k5fdJnOFs?t=1849","channel 1")</f>
        <v>channel 1</v>
      </c>
    </row>
    <row r="74">
      <c r="A74" s="118"/>
      <c r="B74" s="32" t="s">
        <v>3152</v>
      </c>
      <c r="C74" s="33" t="s">
        <v>412</v>
      </c>
      <c r="D74" s="32" t="s">
        <v>3780</v>
      </c>
      <c r="E74" s="11" t="str">
        <f>HYPERLINK("https://youtu.be/O-br6qm_RpY?t=1931","channel 3")</f>
        <v>channel 3</v>
      </c>
    </row>
    <row r="75">
      <c r="A75" s="118"/>
      <c r="B75" s="32" t="s">
        <v>1913</v>
      </c>
      <c r="C75" s="33" t="s">
        <v>217</v>
      </c>
      <c r="D75" s="32" t="s">
        <v>3781</v>
      </c>
      <c r="E75" s="11" t="str">
        <f>HYPERLINK("https://youtu.be/27k5fdJnOFs?t=2839","channel 1")</f>
        <v>channel 1</v>
      </c>
    </row>
    <row r="76">
      <c r="A76" s="118"/>
      <c r="B76" s="32" t="s">
        <v>3698</v>
      </c>
      <c r="C76" s="33" t="s">
        <v>533</v>
      </c>
      <c r="D76" s="32" t="s">
        <v>3780</v>
      </c>
      <c r="E76" s="11" t="str">
        <f>HYPERLINK("https://youtu.be/O-br6qm_RpY?t=3095","channel 3")</f>
        <v>channel 3</v>
      </c>
    </row>
    <row r="77">
      <c r="A77" s="118"/>
      <c r="B77" s="32" t="s">
        <v>1913</v>
      </c>
      <c r="C77" s="33" t="s">
        <v>78</v>
      </c>
      <c r="D77" s="32" t="s">
        <v>3152</v>
      </c>
      <c r="E77" s="11" t="str">
        <f>HYPERLINK("https://youtu.be/27k5fdJnOFs?t=3790","сhannel 1")</f>
        <v>сhannel 1</v>
      </c>
    </row>
    <row r="78">
      <c r="A78" s="118"/>
      <c r="B78" s="32" t="s">
        <v>3698</v>
      </c>
      <c r="C78" s="33" t="s">
        <v>495</v>
      </c>
      <c r="D78" s="32" t="s">
        <v>3781</v>
      </c>
      <c r="E78" s="11" t="str">
        <f>HYPERLINK("https://youtu.be/O-br6qm_RpY?t=3974","channel 3")</f>
        <v>channel 3</v>
      </c>
    </row>
    <row r="79">
      <c r="A79" s="118"/>
      <c r="B79" s="32" t="s">
        <v>3781</v>
      </c>
      <c r="C79" s="33" t="s">
        <v>71</v>
      </c>
      <c r="D79" s="32" t="s">
        <v>3780</v>
      </c>
      <c r="E79" s="11" t="str">
        <f>HYPERLINK("https://youtu.be/27k5fdJnOFs?t=4802","channel 1")</f>
        <v>channel 1</v>
      </c>
    </row>
    <row r="80">
      <c r="A80" s="118"/>
      <c r="B80" s="32" t="s">
        <v>3698</v>
      </c>
      <c r="C80" s="33" t="s">
        <v>414</v>
      </c>
      <c r="D80" s="32" t="s">
        <v>3152</v>
      </c>
      <c r="E80" s="11" t="str">
        <f>HYPERLINK("https://youtu.be/O-br6qm_RpY?t=4914","channel 3")</f>
        <v>channel 3</v>
      </c>
    </row>
    <row r="81">
      <c r="A81" s="118"/>
      <c r="B81" s="32" t="s">
        <v>3780</v>
      </c>
      <c r="C81" s="33" t="s">
        <v>62</v>
      </c>
      <c r="D81" s="32" t="s">
        <v>1913</v>
      </c>
      <c r="E81" s="11" t="str">
        <f>HYPERLINK("https://youtu.be/27k5fdJnOFs?t=5767","channel 1")</f>
        <v>channel 1</v>
      </c>
    </row>
    <row r="82">
      <c r="A82" s="118"/>
      <c r="B82" s="32" t="s">
        <v>3781</v>
      </c>
      <c r="C82" s="33" t="s">
        <v>190</v>
      </c>
      <c r="D82" s="32" t="s">
        <v>3152</v>
      </c>
      <c r="E82" s="11" t="str">
        <f>HYPERLINK("https://youtu.be/O-br6qm_RpY?t=5865","channel 3")</f>
        <v>channel 3</v>
      </c>
    </row>
    <row r="83">
      <c r="A83" s="118"/>
      <c r="B83" s="32" t="s">
        <v>3698</v>
      </c>
      <c r="C83" s="33" t="s">
        <v>378</v>
      </c>
      <c r="D83" s="32" t="s">
        <v>1913</v>
      </c>
      <c r="E83" s="11" t="str">
        <f>HYPERLINK("https://youtu.be/27k5fdJnOFs?t=6649","channel 1")</f>
        <v>channel 1</v>
      </c>
    </row>
    <row r="84">
      <c r="A84" s="118"/>
      <c r="B84" s="32" t="s">
        <v>3780</v>
      </c>
      <c r="C84" s="33" t="s">
        <v>190</v>
      </c>
      <c r="D84" s="32" t="s">
        <v>3152</v>
      </c>
      <c r="E84" s="11" t="str">
        <f>HYPERLINK("https://youtu.be/O-br6qm_RpY?t=7577","channel 3")</f>
        <v>channel 3</v>
      </c>
    </row>
    <row r="85">
      <c r="A85" s="118"/>
      <c r="B85" s="32" t="s">
        <v>3781</v>
      </c>
      <c r="C85" s="33" t="s">
        <v>52</v>
      </c>
      <c r="D85" s="32" t="s">
        <v>1913</v>
      </c>
      <c r="E85" s="11" t="str">
        <f>HYPERLINK("https://youtu.be/27k5fdJnOFs?t=7674","channel 1")</f>
        <v>channel 1</v>
      </c>
    </row>
    <row r="86">
      <c r="A86" s="118"/>
      <c r="B86" s="32" t="s">
        <v>3780</v>
      </c>
      <c r="C86" s="33" t="s">
        <v>3782</v>
      </c>
      <c r="D86" s="32" t="s">
        <v>3698</v>
      </c>
      <c r="E86" s="11" t="str">
        <f>HYPERLINK("https://youtu.be/O-br6qm_RpY?t=8429","channel 3")</f>
        <v>channel 3</v>
      </c>
    </row>
    <row r="87">
      <c r="A87" s="118"/>
      <c r="B87" s="32" t="s">
        <v>3152</v>
      </c>
      <c r="C87" s="33" t="s">
        <v>352</v>
      </c>
      <c r="D87" s="32" t="s">
        <v>1913</v>
      </c>
      <c r="E87" s="11" t="str">
        <f>HYPERLINK("https://youtu.be/27k5fdJnOFs?t=8606","channel 1")</f>
        <v>channel 1</v>
      </c>
    </row>
    <row r="88">
      <c r="A88" s="118"/>
      <c r="B88" s="32" t="s">
        <v>3781</v>
      </c>
      <c r="C88" s="33" t="s">
        <v>1108</v>
      </c>
      <c r="D88" s="32" t="s">
        <v>3698</v>
      </c>
      <c r="E88" s="11" t="str">
        <f>HYPERLINK("https://youtu.be/O-br6qm_RpY?t=9302","channel 3")</f>
        <v>channel 3</v>
      </c>
    </row>
    <row r="89">
      <c r="A89" s="118"/>
      <c r="B89" s="1" t="s">
        <v>3019</v>
      </c>
      <c r="C89" s="2"/>
      <c r="D89" s="3"/>
      <c r="E89" s="4"/>
    </row>
    <row r="90">
      <c r="A90" s="118"/>
      <c r="B90" s="16" t="s">
        <v>2</v>
      </c>
      <c r="C90" s="16" t="s">
        <v>3</v>
      </c>
      <c r="D90" s="16" t="s">
        <v>4</v>
      </c>
      <c r="E90" s="16" t="s">
        <v>5</v>
      </c>
    </row>
    <row r="91">
      <c r="A91" s="118"/>
      <c r="B91" s="32" t="s">
        <v>3783</v>
      </c>
      <c r="C91" s="33" t="s">
        <v>26</v>
      </c>
      <c r="D91" s="32" t="s">
        <v>3784</v>
      </c>
      <c r="E91" s="44" t="str">
        <f>HYPERLINK("https://youtu.be/hjfKe8r_o3U","channel 2")</f>
        <v>channel 2</v>
      </c>
    </row>
    <row r="92">
      <c r="A92" s="118"/>
      <c r="B92" s="32" t="s">
        <v>3785</v>
      </c>
      <c r="C92" s="33" t="s">
        <v>43</v>
      </c>
      <c r="D92" s="32" t="s">
        <v>3786</v>
      </c>
      <c r="E92" s="44" t="str">
        <f>HYPERLINK("https://youtu.be/Kqtx9N08-I8","channel 4")</f>
        <v>channel 4</v>
      </c>
    </row>
    <row r="93">
      <c r="A93" s="118"/>
      <c r="B93" s="32" t="s">
        <v>3787</v>
      </c>
      <c r="C93" s="33" t="s">
        <v>196</v>
      </c>
      <c r="D93" s="32" t="s">
        <v>3783</v>
      </c>
      <c r="E93" s="44" t="str">
        <f>HYPERLINK("https://youtu.be/hjfKe8r_o3U?t=942","channel 2")</f>
        <v>channel 2</v>
      </c>
    </row>
    <row r="94">
      <c r="A94" s="118"/>
      <c r="B94" s="32" t="s">
        <v>3785</v>
      </c>
      <c r="C94" s="33" t="s">
        <v>215</v>
      </c>
      <c r="D94" s="32" t="s">
        <v>3784</v>
      </c>
      <c r="E94" s="44" t="str">
        <f>HYPERLINK("https://youtu.be/Kqtx9N08-I8?t=1080","channel 4")</f>
        <v>channel 4</v>
      </c>
    </row>
    <row r="95">
      <c r="A95" s="118"/>
      <c r="B95" s="32" t="s">
        <v>3787</v>
      </c>
      <c r="C95" s="35" t="s">
        <v>42</v>
      </c>
      <c r="D95" s="32" t="s">
        <v>3786</v>
      </c>
      <c r="E95" s="44" t="str">
        <f>HYPERLINK("https://youtu.be/hjfKe8r_o3U?t=1870","channel 2")</f>
        <v>channel 2</v>
      </c>
    </row>
    <row r="96">
      <c r="A96" s="118"/>
      <c r="B96" s="32" t="s">
        <v>3785</v>
      </c>
      <c r="C96" s="33" t="s">
        <v>87</v>
      </c>
      <c r="D96" s="32" t="s">
        <v>3783</v>
      </c>
      <c r="E96" s="44" t="str">
        <f>HYPERLINK("https://youtu.be/Kqtx9N08-I8?t=1972","channel 4")</f>
        <v>channel 4</v>
      </c>
    </row>
    <row r="97">
      <c r="A97" s="118"/>
      <c r="B97" s="32" t="s">
        <v>3787</v>
      </c>
      <c r="C97" s="33" t="s">
        <v>31</v>
      </c>
      <c r="D97" s="32" t="s">
        <v>3784</v>
      </c>
      <c r="E97" s="44" t="str">
        <f>HYPERLINK("https://youtu.be/hjfKe8r_o3U?t=2907","channel 2")</f>
        <v>channel 2</v>
      </c>
    </row>
    <row r="98">
      <c r="A98" s="118"/>
      <c r="B98" s="32" t="s">
        <v>3786</v>
      </c>
      <c r="C98" s="33" t="s">
        <v>321</v>
      </c>
      <c r="D98" s="32" t="s">
        <v>3783</v>
      </c>
      <c r="E98" s="44" t="str">
        <f>HYPERLINK("https://youtu.be/Kqtx9N08-I8?t=1972","channel 4")</f>
        <v>channel 4</v>
      </c>
    </row>
    <row r="99">
      <c r="A99" s="118"/>
      <c r="B99" s="32" t="s">
        <v>3787</v>
      </c>
      <c r="C99" s="33" t="s">
        <v>197</v>
      </c>
      <c r="D99" s="32" t="s">
        <v>3785</v>
      </c>
      <c r="E99" s="44" t="str">
        <f>HYPERLINK("https://youtu.be/hjfKe8r_o3U?t=3841","channel 2")</f>
        <v>channel 2</v>
      </c>
    </row>
    <row r="100">
      <c r="A100" s="118"/>
      <c r="B100" s="32" t="s">
        <v>3786</v>
      </c>
      <c r="C100" s="33" t="s">
        <v>28</v>
      </c>
      <c r="D100" s="32" t="s">
        <v>3784</v>
      </c>
      <c r="E100" s="44" t="str">
        <f>HYPERLINK("https://youtu.be/Kqtx9N08-I8?t=4061","channel 4")</f>
        <v>channel 4</v>
      </c>
    </row>
    <row r="101">
      <c r="A101" s="118"/>
      <c r="B101" s="32" t="s">
        <v>3784</v>
      </c>
      <c r="C101" s="33" t="s">
        <v>362</v>
      </c>
      <c r="D101" s="32" t="s">
        <v>3783</v>
      </c>
      <c r="E101" s="44" t="str">
        <f>HYPERLINK("https://youtu.be/hjfKe8r_o3U?t=4798","channel 2")</f>
        <v>channel 2</v>
      </c>
    </row>
    <row r="102">
      <c r="A102" s="118"/>
      <c r="B102" s="32" t="s">
        <v>3786</v>
      </c>
      <c r="C102" s="33" t="s">
        <v>260</v>
      </c>
      <c r="D102" s="32" t="s">
        <v>3785</v>
      </c>
      <c r="E102" s="44" t="str">
        <f>HYPERLINK("https://youtu.be/Kqtx9N08-I8?t=4991","channel 4")</f>
        <v>channel 4</v>
      </c>
    </row>
    <row r="103">
      <c r="A103" s="118"/>
      <c r="B103" s="32" t="s">
        <v>3783</v>
      </c>
      <c r="C103" s="33" t="s">
        <v>330</v>
      </c>
      <c r="D103" s="32" t="s">
        <v>3787</v>
      </c>
      <c r="E103" s="44" t="str">
        <f>HYPERLINK("https://youtu.be/hjfKe8r_o3U?t=4798","channel 2")</f>
        <v>channel 2</v>
      </c>
    </row>
    <row r="104">
      <c r="A104" s="118"/>
      <c r="B104" s="32" t="s">
        <v>3784</v>
      </c>
      <c r="C104" s="33" t="s">
        <v>259</v>
      </c>
      <c r="D104" s="32" t="s">
        <v>3785</v>
      </c>
      <c r="E104" s="44" t="str">
        <f>HYPERLINK("https://youtu.be/Kqtx9N08-I8?t=5919","channel 4")</f>
        <v>channel 4</v>
      </c>
    </row>
    <row r="105">
      <c r="A105" s="118"/>
      <c r="B105" s="32" t="s">
        <v>3786</v>
      </c>
      <c r="C105" s="33" t="s">
        <v>190</v>
      </c>
      <c r="D105" s="32" t="s">
        <v>3787</v>
      </c>
      <c r="E105" s="44" t="str">
        <f>HYPERLINK("https://youtu.be/hjfKe8r_o3U?t=6686","channel 2")</f>
        <v>channel 2</v>
      </c>
    </row>
    <row r="106">
      <c r="A106" s="118"/>
      <c r="B106" s="32" t="s">
        <v>3783</v>
      </c>
      <c r="C106" s="33" t="s">
        <v>48</v>
      </c>
      <c r="D106" s="32" t="s">
        <v>3785</v>
      </c>
      <c r="E106" s="44" t="str">
        <f>HYPERLINK("https://youtu.be/Kqtx9N08-I8?t=6839","channel 4")</f>
        <v>channel 4</v>
      </c>
    </row>
    <row r="107">
      <c r="A107" s="118"/>
      <c r="B107" s="32" t="s">
        <v>3784</v>
      </c>
      <c r="C107" s="33" t="s">
        <v>64</v>
      </c>
      <c r="D107" s="32" t="s">
        <v>3787</v>
      </c>
      <c r="E107" s="44" t="str">
        <f>HYPERLINK("https://youtu.be/hjfKe8r_o3U?t=7647","channel 2")</f>
        <v>channel 2</v>
      </c>
    </row>
    <row r="108">
      <c r="A108" s="118"/>
      <c r="B108" s="32" t="s">
        <v>3783</v>
      </c>
      <c r="C108" s="33" t="s">
        <v>239</v>
      </c>
      <c r="D108" s="32" t="s">
        <v>3786</v>
      </c>
      <c r="E108" s="44" t="str">
        <f>HYPERLINK("https://youtu.be/Kqtx9N08-I8?t=7818","channel 4")</f>
        <v>channel 4</v>
      </c>
    </row>
    <row r="109">
      <c r="A109" s="118"/>
      <c r="B109" s="32" t="s">
        <v>3785</v>
      </c>
      <c r="C109" s="33" t="s">
        <v>26</v>
      </c>
      <c r="D109" s="32" t="s">
        <v>3787</v>
      </c>
      <c r="E109" s="44" t="str">
        <f>HYPERLINK("https://youtu.be/hjfKe8r_o3U?t=8634","channel 2")</f>
        <v>channel 2</v>
      </c>
    </row>
    <row r="110">
      <c r="A110" s="118"/>
      <c r="B110" s="32" t="s">
        <v>3784</v>
      </c>
      <c r="C110" s="33" t="s">
        <v>260</v>
      </c>
      <c r="D110" s="32" t="s">
        <v>3786</v>
      </c>
      <c r="E110" s="44" t="str">
        <f>HYPERLINK("https://youtu.be/Kqtx9N08-I8?t=8750","channel 4")</f>
        <v>channel 4</v>
      </c>
    </row>
    <row r="111">
      <c r="A111" s="118"/>
      <c r="B111" s="1" t="s">
        <v>2560</v>
      </c>
      <c r="C111" s="2"/>
      <c r="D111" s="3"/>
      <c r="E111" s="4"/>
    </row>
    <row r="112">
      <c r="A112" s="118"/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A113" s="118"/>
      <c r="B113" s="32" t="s">
        <v>3788</v>
      </c>
      <c r="C113" s="33" t="s">
        <v>2488</v>
      </c>
      <c r="D113" s="32" t="s">
        <v>3789</v>
      </c>
      <c r="E113" s="44" t="str">
        <f>HYPERLINK("https://youtu.be/ijwe3Zcbd0E","channel 2")</f>
        <v>channel 2</v>
      </c>
    </row>
    <row r="114">
      <c r="A114" s="118"/>
      <c r="B114" s="32" t="s">
        <v>3790</v>
      </c>
      <c r="C114" s="33" t="s">
        <v>190</v>
      </c>
      <c r="D114" s="32" t="s">
        <v>3791</v>
      </c>
      <c r="E114" s="44" t="str">
        <f>HYPERLINK("https://youtu.be/ZuHF86NXxt8","channel 4")</f>
        <v>channel 4</v>
      </c>
    </row>
    <row r="115">
      <c r="A115" s="118"/>
      <c r="B115" s="32" t="s">
        <v>3792</v>
      </c>
      <c r="C115" s="33" t="s">
        <v>302</v>
      </c>
      <c r="D115" s="32" t="s">
        <v>3788</v>
      </c>
      <c r="E115" s="44" t="str">
        <f>HYPERLINK("https://youtu.be/ijwe3Zcbd0E?t=1003","channel 2")</f>
        <v>channel 2</v>
      </c>
    </row>
    <row r="116">
      <c r="A116" s="118"/>
      <c r="B116" s="32" t="s">
        <v>3790</v>
      </c>
      <c r="C116" s="33" t="s">
        <v>321</v>
      </c>
      <c r="D116" s="32" t="s">
        <v>3789</v>
      </c>
      <c r="E116" s="44" t="str">
        <f>HYPERLINK("https://youtu.be/ZuHF86NXxt8?t=1175","channel 4")</f>
        <v>channel 4</v>
      </c>
    </row>
    <row r="117">
      <c r="A117" s="118"/>
      <c r="B117" s="32" t="s">
        <v>3792</v>
      </c>
      <c r="C117" s="33" t="s">
        <v>197</v>
      </c>
      <c r="D117" s="32" t="s">
        <v>3791</v>
      </c>
      <c r="E117" s="44" t="str">
        <f>HYPERLINK("https://youtu.be/ijwe3Zcbd0E?t=1986","channel 2")</f>
        <v>channel 2</v>
      </c>
    </row>
    <row r="118">
      <c r="A118" s="118"/>
      <c r="B118" s="32" t="s">
        <v>3790</v>
      </c>
      <c r="C118" s="33" t="s">
        <v>50</v>
      </c>
      <c r="D118" s="32" t="s">
        <v>3788</v>
      </c>
      <c r="E118" s="44" t="str">
        <f>HYPERLINK("https://youtu.be/ZuHF86NXxt8?t=2124","channel 4")</f>
        <v>channel 4</v>
      </c>
    </row>
    <row r="119">
      <c r="A119" s="118"/>
      <c r="B119" s="32" t="s">
        <v>3792</v>
      </c>
      <c r="C119" s="33" t="s">
        <v>295</v>
      </c>
      <c r="D119" s="32" t="s">
        <v>3789</v>
      </c>
      <c r="E119" s="44" t="str">
        <f>HYPERLINK("https://youtu.be/ijwe3Zcbd0E?t=2972","channel 2")</f>
        <v>channel 2</v>
      </c>
    </row>
    <row r="120">
      <c r="A120" s="118"/>
      <c r="B120" s="32" t="s">
        <v>3791</v>
      </c>
      <c r="C120" s="33" t="s">
        <v>520</v>
      </c>
      <c r="D120" s="32" t="s">
        <v>3788</v>
      </c>
      <c r="E120" s="44" t="str">
        <f>HYPERLINK("https://youtu.be/ZuHF86NXxt8?t=3056","channel 4")</f>
        <v>channel 4</v>
      </c>
    </row>
    <row r="121">
      <c r="A121" s="118"/>
      <c r="B121" s="32" t="s">
        <v>3792</v>
      </c>
      <c r="C121" s="33" t="s">
        <v>614</v>
      </c>
      <c r="D121" s="32" t="s">
        <v>3790</v>
      </c>
      <c r="E121" s="44" t="str">
        <f>HYPERLINK("https://youtu.be/ijwe3Zcbd0E?t=3942","channel 2")</f>
        <v>channel 2</v>
      </c>
    </row>
    <row r="122">
      <c r="A122" s="118"/>
      <c r="B122" s="32" t="s">
        <v>3791</v>
      </c>
      <c r="C122" s="33" t="s">
        <v>376</v>
      </c>
      <c r="D122" s="32" t="s">
        <v>3789</v>
      </c>
      <c r="E122" s="44" t="str">
        <f>HYPERLINK("https://youtu.be/ZuHF86NXxt8?t=4202","channel 4")</f>
        <v>channel 4</v>
      </c>
    </row>
    <row r="123">
      <c r="A123" s="118"/>
      <c r="B123" s="32" t="s">
        <v>3789</v>
      </c>
      <c r="C123" s="33" t="s">
        <v>842</v>
      </c>
      <c r="D123" s="32" t="s">
        <v>3788</v>
      </c>
      <c r="E123" s="44" t="str">
        <f>HYPERLINK("https://youtu.be/ijwe3Zcbd0E?t=4966","channel 2")</f>
        <v>channel 2</v>
      </c>
    </row>
    <row r="124">
      <c r="A124" s="118"/>
      <c r="B124" s="32" t="s">
        <v>3791</v>
      </c>
      <c r="C124" s="33" t="s">
        <v>3793</v>
      </c>
      <c r="D124" s="32" t="s">
        <v>3790</v>
      </c>
      <c r="E124" s="44" t="str">
        <f>HYPERLINK("https://youtu.be/ZuHF86NXxt8?t=5103","channel 4")</f>
        <v>channel 4</v>
      </c>
    </row>
    <row r="125">
      <c r="A125" s="118"/>
      <c r="B125" s="32" t="s">
        <v>3788</v>
      </c>
      <c r="C125" s="33" t="s">
        <v>302</v>
      </c>
      <c r="D125" s="32" t="s">
        <v>3792</v>
      </c>
      <c r="E125" s="44" t="str">
        <f>HYPERLINK("https://youtu.be/ijwe3Zcbd0E?t=5970","channel 2")</f>
        <v>channel 2</v>
      </c>
    </row>
    <row r="126">
      <c r="A126" s="118"/>
      <c r="B126" s="32" t="s">
        <v>3789</v>
      </c>
      <c r="C126" s="33" t="s">
        <v>369</v>
      </c>
      <c r="D126" s="32" t="s">
        <v>3790</v>
      </c>
      <c r="E126" s="44" t="str">
        <f>HYPERLINK("https://youtu.be/ZuHF86NXxt8?t=6075","channel 4")</f>
        <v>channel 4</v>
      </c>
    </row>
    <row r="127">
      <c r="A127" s="118"/>
      <c r="B127" s="32" t="s">
        <v>3791</v>
      </c>
      <c r="C127" s="33" t="s">
        <v>295</v>
      </c>
      <c r="D127" s="32" t="s">
        <v>3792</v>
      </c>
      <c r="E127" s="44" t="str">
        <f>HYPERLINK("https://youtu.be/ijwe3Zcbd0E?t=6917","channel 2")</f>
        <v>channel 2</v>
      </c>
    </row>
    <row r="128">
      <c r="A128" s="118"/>
      <c r="B128" s="32" t="s">
        <v>3788</v>
      </c>
      <c r="C128" s="33" t="s">
        <v>50</v>
      </c>
      <c r="D128" s="32" t="s">
        <v>3790</v>
      </c>
      <c r="E128" s="44" t="str">
        <f>HYPERLINK("https://youtu.be/ZuHF86NXxt8?t=6950","channel 4")</f>
        <v>channel 4</v>
      </c>
    </row>
    <row r="129">
      <c r="A129" s="118"/>
      <c r="B129" s="32" t="s">
        <v>3789</v>
      </c>
      <c r="C129" s="33" t="s">
        <v>829</v>
      </c>
      <c r="D129" s="32" t="s">
        <v>3792</v>
      </c>
      <c r="E129" s="44" t="str">
        <f>HYPERLINK("https://youtu.be/ijwe3Zcbd0E?t=7906","channel 2")</f>
        <v>channel 2</v>
      </c>
    </row>
    <row r="130">
      <c r="A130" s="118"/>
      <c r="B130" s="32" t="s">
        <v>3788</v>
      </c>
      <c r="C130" s="33" t="s">
        <v>535</v>
      </c>
      <c r="D130" s="32" t="s">
        <v>3791</v>
      </c>
      <c r="E130" s="44" t="str">
        <f>HYPERLINK("https://youtu.be/ZuHF86NXxt8?t=7953","channel 4")</f>
        <v>channel 4</v>
      </c>
    </row>
    <row r="131">
      <c r="A131" s="118"/>
      <c r="B131" s="32" t="s">
        <v>3790</v>
      </c>
      <c r="C131" s="33" t="s">
        <v>2189</v>
      </c>
      <c r="D131" s="32" t="s">
        <v>3792</v>
      </c>
      <c r="E131" s="44" t="str">
        <f>HYPERLINK("https://youtu.be/ijwe3Zcbd0E?t=8842","channel 2")</f>
        <v>channel 2</v>
      </c>
    </row>
    <row r="132">
      <c r="A132" s="122"/>
      <c r="B132" s="32" t="s">
        <v>3789</v>
      </c>
      <c r="C132" s="33" t="s">
        <v>195</v>
      </c>
      <c r="D132" s="32" t="s">
        <v>3791</v>
      </c>
      <c r="E132" s="44" t="str">
        <f>HYPERLINK("https://youtu.be/ZuHF86NXxt8?t=8827","channel 4")</f>
        <v>channel 4</v>
      </c>
    </row>
    <row r="133">
      <c r="B133" s="28" t="s">
        <v>2567</v>
      </c>
      <c r="C133" s="2"/>
      <c r="D133" s="3"/>
      <c r="E133" s="2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34" t="s">
        <v>3794</v>
      </c>
      <c r="C135" s="35" t="s">
        <v>68</v>
      </c>
      <c r="D135" s="34" t="s">
        <v>1510</v>
      </c>
      <c r="E135" s="11" t="str">
        <f>HYPERLINK("https://youtu.be/mBxpLoFPu7c","channel 1")</f>
        <v>channel 1</v>
      </c>
    </row>
    <row r="136">
      <c r="B136" s="34" t="s">
        <v>3795</v>
      </c>
      <c r="C136" s="35" t="s">
        <v>455</v>
      </c>
      <c r="D136" s="34" t="s">
        <v>2704</v>
      </c>
      <c r="E136" s="11" t="str">
        <f>HYPERLINK("https://youtu.be/yVuEmyhyqiI","channel 3")</f>
        <v>channel 3</v>
      </c>
    </row>
    <row r="137">
      <c r="B137" s="34" t="s">
        <v>3098</v>
      </c>
      <c r="C137" s="35" t="s">
        <v>370</v>
      </c>
      <c r="D137" s="34" t="s">
        <v>3794</v>
      </c>
      <c r="E137" s="11" t="str">
        <f>HYPERLINK("https://youtu.be/mBxpLoFPu7c?t=1085","channel 1")</f>
        <v>channel 1</v>
      </c>
    </row>
    <row r="138">
      <c r="B138" s="34" t="s">
        <v>3795</v>
      </c>
      <c r="C138" s="35" t="s">
        <v>22</v>
      </c>
      <c r="D138" s="34" t="s">
        <v>1510</v>
      </c>
      <c r="E138" s="11" t="str">
        <f>HYPERLINK("https://youtu.be/yVuEmyhyqiI?t=1018","channel 3")</f>
        <v>channel 3</v>
      </c>
    </row>
    <row r="139">
      <c r="B139" s="34" t="s">
        <v>3098</v>
      </c>
      <c r="C139" s="35" t="s">
        <v>7</v>
      </c>
      <c r="D139" s="34" t="s">
        <v>2704</v>
      </c>
      <c r="E139" s="11" t="str">
        <f>HYPERLINK("https://youtu.be/mBxpLoFPu7c?t=1959","channel 1")</f>
        <v>channel 1</v>
      </c>
    </row>
    <row r="140">
      <c r="B140" s="34" t="s">
        <v>3795</v>
      </c>
      <c r="C140" s="35" t="s">
        <v>25</v>
      </c>
      <c r="D140" s="34" t="s">
        <v>3794</v>
      </c>
      <c r="E140" s="11" t="str">
        <f>HYPERLINK("https://youtu.be/yVuEmyhyqiI?t=1965","channel 3")</f>
        <v>channel 3</v>
      </c>
    </row>
    <row r="141">
      <c r="B141" s="34" t="s">
        <v>3098</v>
      </c>
      <c r="C141" s="35" t="s">
        <v>81</v>
      </c>
      <c r="D141" s="34" t="s">
        <v>1510</v>
      </c>
      <c r="E141" s="11" t="str">
        <f>HYPERLINK("https://youtu.be/mBxpLoFPu7c?t=2833","channel 1")</f>
        <v>channel 1</v>
      </c>
    </row>
    <row r="142">
      <c r="B142" s="34" t="s">
        <v>2704</v>
      </c>
      <c r="C142" s="35" t="s">
        <v>207</v>
      </c>
      <c r="D142" s="34" t="s">
        <v>3794</v>
      </c>
      <c r="E142" s="11" t="str">
        <f>HYPERLINK("https://youtu.be/yVuEmyhyqiI?t=2957","channel 3")</f>
        <v>channel 3</v>
      </c>
    </row>
    <row r="143">
      <c r="B143" s="34" t="s">
        <v>3098</v>
      </c>
      <c r="C143" s="35" t="s">
        <v>25</v>
      </c>
      <c r="D143" s="34" t="s">
        <v>3795</v>
      </c>
      <c r="E143" s="11" t="str">
        <f>HYPERLINK("https://youtu.be/mBxpLoFPu7c?t=3785","channel 1")</f>
        <v>channel 1</v>
      </c>
    </row>
    <row r="144">
      <c r="B144" s="34" t="s">
        <v>2704</v>
      </c>
      <c r="C144" s="35" t="s">
        <v>81</v>
      </c>
      <c r="D144" s="34" t="s">
        <v>1510</v>
      </c>
      <c r="E144" s="11" t="str">
        <f>HYPERLINK("https://youtu.be/yVuEmyhyqiI?t=3892","channel 3")</f>
        <v>channel 3</v>
      </c>
    </row>
    <row r="145">
      <c r="B145" s="34" t="s">
        <v>1510</v>
      </c>
      <c r="C145" s="35" t="s">
        <v>337</v>
      </c>
      <c r="D145" s="34" t="s">
        <v>3794</v>
      </c>
      <c r="E145" s="11" t="str">
        <f>HYPERLINK("https://youtu.be/mBxpLoFPu7c?t=4851","channel 1")</f>
        <v>channel 1</v>
      </c>
    </row>
    <row r="146">
      <c r="B146" s="34" t="s">
        <v>2704</v>
      </c>
      <c r="C146" s="35" t="s">
        <v>71</v>
      </c>
      <c r="D146" s="34" t="s">
        <v>3795</v>
      </c>
      <c r="E146" s="11" t="str">
        <f>HYPERLINK("https://youtu.be/yVuEmyhyqiI?t=4835","channel 3")</f>
        <v>channel 3</v>
      </c>
    </row>
    <row r="147">
      <c r="B147" s="34" t="s">
        <v>3794</v>
      </c>
      <c r="C147" s="35" t="s">
        <v>41</v>
      </c>
      <c r="D147" s="34" t="s">
        <v>3098</v>
      </c>
      <c r="E147" s="11" t="str">
        <f>HYPERLINK("https://youtu.be/mBxpLoFPu7c?t=5836","channel 1")</f>
        <v>channel 1</v>
      </c>
    </row>
    <row r="148">
      <c r="B148" s="34" t="s">
        <v>1510</v>
      </c>
      <c r="C148" s="35" t="s">
        <v>43</v>
      </c>
      <c r="D148" s="34" t="s">
        <v>3795</v>
      </c>
      <c r="E148" s="11" t="str">
        <f>HYPERLINK("https://youtu.be/yVuEmyhyqiI?t=5807","channel 3")</f>
        <v>channel 3</v>
      </c>
    </row>
    <row r="149">
      <c r="B149" s="34" t="s">
        <v>2704</v>
      </c>
      <c r="C149" s="35" t="s">
        <v>718</v>
      </c>
      <c r="D149" s="34" t="s">
        <v>3098</v>
      </c>
      <c r="E149" s="11" t="str">
        <f>HYPERLINK("https://youtu.be/mBxpLoFPu7c?t=6764","channel 1")</f>
        <v>channel 1</v>
      </c>
    </row>
    <row r="150">
      <c r="B150" s="34" t="s">
        <v>3794</v>
      </c>
      <c r="C150" s="35" t="s">
        <v>544</v>
      </c>
      <c r="D150" s="34" t="s">
        <v>3795</v>
      </c>
      <c r="E150" s="11" t="str">
        <f>HYPERLINK("https://youtu.be/yVuEmyhyqiI?t=6727","channel 3")</f>
        <v>channel 3</v>
      </c>
    </row>
    <row r="151">
      <c r="B151" s="34" t="s">
        <v>1510</v>
      </c>
      <c r="C151" s="35" t="s">
        <v>3796</v>
      </c>
      <c r="D151" s="34" t="s">
        <v>3098</v>
      </c>
      <c r="E151" s="11" t="str">
        <f>HYPERLINK("https://youtu.be/mBxpLoFPu7c?t=7658","channel 1")</f>
        <v>channel 1</v>
      </c>
    </row>
    <row r="152">
      <c r="B152" s="34" t="s">
        <v>3794</v>
      </c>
      <c r="C152" s="35" t="s">
        <v>837</v>
      </c>
      <c r="D152" s="34" t="s">
        <v>2704</v>
      </c>
      <c r="E152" s="11" t="str">
        <f>HYPERLINK("https://youtu.be/yVuEmyhyqiI?t=7647","channel 3")</f>
        <v>channel 3</v>
      </c>
    </row>
    <row r="153">
      <c r="B153" s="34" t="s">
        <v>3795</v>
      </c>
      <c r="C153" s="35" t="s">
        <v>699</v>
      </c>
      <c r="D153" s="34" t="s">
        <v>3098</v>
      </c>
      <c r="E153" s="11" t="str">
        <f>HYPERLINK("https://youtu.be/mBxpLoFPu7c?t=8599","channel 1")</f>
        <v>channel 1</v>
      </c>
    </row>
    <row r="154">
      <c r="B154" s="34" t="s">
        <v>1510</v>
      </c>
      <c r="C154" s="35" t="s">
        <v>545</v>
      </c>
      <c r="D154" s="34" t="s">
        <v>2704</v>
      </c>
      <c r="E154" s="11" t="str">
        <f>HYPERLINK("https://youtu.be/yVuEmyhyqiI?t=8608","channel 3")</f>
        <v>channel 3</v>
      </c>
    </row>
    <row r="155">
      <c r="B155" s="28" t="s">
        <v>2999</v>
      </c>
      <c r="C155" s="2"/>
      <c r="D155" s="3"/>
      <c r="E155" s="2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34" t="s">
        <v>3797</v>
      </c>
      <c r="C157" s="35" t="s">
        <v>45</v>
      </c>
      <c r="D157" s="34" t="s">
        <v>1908</v>
      </c>
      <c r="E157" s="99" t="s">
        <v>9</v>
      </c>
    </row>
    <row r="158">
      <c r="B158" s="34" t="s">
        <v>3564</v>
      </c>
      <c r="C158" s="35" t="s">
        <v>509</v>
      </c>
      <c r="D158" s="34" t="s">
        <v>2909</v>
      </c>
      <c r="E158" s="11" t="str">
        <f>HYPERLINK("https://youtu.be/-ZRexXFb3eY","channel 3")</f>
        <v>channel 3</v>
      </c>
    </row>
    <row r="159">
      <c r="B159" s="34" t="s">
        <v>1574</v>
      </c>
      <c r="C159" s="35" t="s">
        <v>1622</v>
      </c>
      <c r="D159" s="34" t="s">
        <v>3797</v>
      </c>
      <c r="E159" s="99" t="s">
        <v>9</v>
      </c>
    </row>
    <row r="160">
      <c r="B160" s="34" t="s">
        <v>3564</v>
      </c>
      <c r="C160" s="35" t="s">
        <v>195</v>
      </c>
      <c r="D160" s="34" t="s">
        <v>1908</v>
      </c>
      <c r="E160" s="11" t="str">
        <f>HYPERLINK("https://youtu.be/-ZRexXFb3eY?t=960","channel 3")</f>
        <v>channel 3</v>
      </c>
    </row>
    <row r="161">
      <c r="B161" s="34" t="s">
        <v>1574</v>
      </c>
      <c r="C161" s="35" t="s">
        <v>3798</v>
      </c>
      <c r="D161" s="34" t="s">
        <v>2909</v>
      </c>
      <c r="E161" s="99" t="s">
        <v>9</v>
      </c>
    </row>
    <row r="162">
      <c r="B162" s="34" t="s">
        <v>3564</v>
      </c>
      <c r="C162" s="35" t="s">
        <v>412</v>
      </c>
      <c r="D162" s="34" t="s">
        <v>3797</v>
      </c>
      <c r="E162" s="11" t="str">
        <f>HYPERLINK("https://youtu.be/-ZRexXFb3eY?t=1922","channel 3")</f>
        <v>channel 3</v>
      </c>
    </row>
    <row r="163">
      <c r="B163" s="34" t="s">
        <v>1574</v>
      </c>
      <c r="C163" s="35" t="s">
        <v>270</v>
      </c>
      <c r="D163" s="34" t="s">
        <v>1908</v>
      </c>
      <c r="E163" s="99" t="s">
        <v>9</v>
      </c>
    </row>
    <row r="164">
      <c r="B164" s="34" t="s">
        <v>2909</v>
      </c>
      <c r="C164" s="35" t="s">
        <v>434</v>
      </c>
      <c r="D164" s="34" t="s">
        <v>3797</v>
      </c>
      <c r="E164" s="11" t="str">
        <f>HYPERLINK("https://youtu.be/-ZRexXFb3eY?t=2937","channel 3")</f>
        <v>channel 3</v>
      </c>
    </row>
    <row r="165">
      <c r="B165" s="34" t="s">
        <v>1574</v>
      </c>
      <c r="C165" s="35" t="s">
        <v>3799</v>
      </c>
      <c r="D165" s="34" t="s">
        <v>3564</v>
      </c>
      <c r="E165" s="99" t="s">
        <v>9</v>
      </c>
    </row>
    <row r="166">
      <c r="B166" s="34" t="s">
        <v>2909</v>
      </c>
      <c r="C166" s="35" t="s">
        <v>413</v>
      </c>
      <c r="D166" s="34" t="s">
        <v>1908</v>
      </c>
      <c r="E166" s="11" t="str">
        <f>HYPERLINK("https://youtu.be/-ZRexXFb3eY?t=3858","channel 3")</f>
        <v>channel 3</v>
      </c>
    </row>
    <row r="167">
      <c r="B167" s="34" t="s">
        <v>1908</v>
      </c>
      <c r="C167" s="35" t="s">
        <v>71</v>
      </c>
      <c r="D167" s="34" t="s">
        <v>3797</v>
      </c>
      <c r="E167" s="99" t="s">
        <v>9</v>
      </c>
    </row>
    <row r="168">
      <c r="B168" s="34" t="s">
        <v>2909</v>
      </c>
      <c r="C168" s="35" t="s">
        <v>226</v>
      </c>
      <c r="D168" s="34" t="s">
        <v>3564</v>
      </c>
      <c r="E168" s="11" t="str">
        <f>HYPERLINK("https://youtu.be/-ZRexXFb3eY?t=4770","channel 3")</f>
        <v>channel 3</v>
      </c>
    </row>
    <row r="169">
      <c r="B169" s="34" t="s">
        <v>3797</v>
      </c>
      <c r="C169" s="35" t="s">
        <v>3603</v>
      </c>
      <c r="D169" s="34" t="s">
        <v>1574</v>
      </c>
      <c r="E169" s="99" t="s">
        <v>9</v>
      </c>
    </row>
    <row r="170">
      <c r="B170" s="34" t="s">
        <v>1908</v>
      </c>
      <c r="C170" s="35" t="s">
        <v>69</v>
      </c>
      <c r="D170" s="34" t="s">
        <v>3564</v>
      </c>
      <c r="E170" s="11" t="str">
        <f>HYPERLINK("https://youtu.be/-ZRexXFb3eY?t=5744","channel 3")</f>
        <v>channel 3</v>
      </c>
    </row>
    <row r="171">
      <c r="B171" s="34" t="s">
        <v>2909</v>
      </c>
      <c r="C171" s="35" t="s">
        <v>269</v>
      </c>
      <c r="D171" s="34" t="s">
        <v>1574</v>
      </c>
      <c r="E171" s="99" t="s">
        <v>9</v>
      </c>
    </row>
    <row r="172">
      <c r="B172" s="34" t="s">
        <v>3797</v>
      </c>
      <c r="C172" s="35" t="s">
        <v>27</v>
      </c>
      <c r="D172" s="34" t="s">
        <v>3564</v>
      </c>
      <c r="E172" s="11" t="str">
        <f>HYPERLINK("https://youtu.be/-ZRexXFb3eY?t=6678","channel 3")</f>
        <v>channel 3</v>
      </c>
    </row>
    <row r="173">
      <c r="B173" s="34" t="s">
        <v>1908</v>
      </c>
      <c r="C173" s="35" t="s">
        <v>283</v>
      </c>
      <c r="D173" s="34" t="s">
        <v>1574</v>
      </c>
      <c r="E173" s="99" t="s">
        <v>9</v>
      </c>
    </row>
    <row r="174">
      <c r="B174" s="34" t="s">
        <v>3797</v>
      </c>
      <c r="C174" s="35" t="s">
        <v>250</v>
      </c>
      <c r="D174" s="34" t="s">
        <v>2909</v>
      </c>
      <c r="E174" s="11" t="str">
        <f>HYPERLINK("https://youtu.be/-ZRexXFb3eY?t=7607","channel 3")</f>
        <v>channel 3</v>
      </c>
    </row>
    <row r="175">
      <c r="B175" s="34" t="s">
        <v>3564</v>
      </c>
      <c r="C175" s="35" t="s">
        <v>3800</v>
      </c>
      <c r="D175" s="34" t="s">
        <v>1574</v>
      </c>
      <c r="E175" s="99" t="s">
        <v>9</v>
      </c>
    </row>
    <row r="176">
      <c r="B176" s="34" t="s">
        <v>1908</v>
      </c>
      <c r="C176" s="35" t="s">
        <v>1019</v>
      </c>
      <c r="D176" s="34" t="s">
        <v>2909</v>
      </c>
      <c r="E176" s="11" t="str">
        <f>HYPERLINK("https://youtu.be/-ZRexXFb3eY?t=8527","channel 3")</f>
        <v>channel 3</v>
      </c>
    </row>
    <row r="177">
      <c r="B177" s="28" t="s">
        <v>1441</v>
      </c>
      <c r="C177" s="2"/>
      <c r="D177" s="3"/>
      <c r="E177" s="2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34" t="s">
        <v>3801</v>
      </c>
      <c r="C179" s="35" t="s">
        <v>378</v>
      </c>
      <c r="D179" s="34" t="s">
        <v>1692</v>
      </c>
      <c r="E179" s="44" t="str">
        <f>HYPERLINK("https://youtu.be/uJGSShBvxmM","channel 2")</f>
        <v>channel 2</v>
      </c>
    </row>
    <row r="180">
      <c r="B180" s="34" t="s">
        <v>3010</v>
      </c>
      <c r="C180" s="35" t="s">
        <v>282</v>
      </c>
      <c r="D180" s="34" t="s">
        <v>2973</v>
      </c>
      <c r="E180" s="44" t="str">
        <f>HYPERLINK("https://youtu.be/sCzcNw4wL6o","channel 4")</f>
        <v>channel 4</v>
      </c>
    </row>
    <row r="181">
      <c r="B181" s="34" t="s">
        <v>3802</v>
      </c>
      <c r="C181" s="35" t="s">
        <v>66</v>
      </c>
      <c r="D181" s="34" t="s">
        <v>3801</v>
      </c>
      <c r="E181" s="44" t="str">
        <f>HYPERLINK("https://youtu.be/uJGSShBvxmM?t=882","channel 2")</f>
        <v>channel 2</v>
      </c>
    </row>
    <row r="182">
      <c r="B182" s="34" t="s">
        <v>3010</v>
      </c>
      <c r="C182" s="35" t="s">
        <v>64</v>
      </c>
      <c r="D182" s="34" t="s">
        <v>1692</v>
      </c>
      <c r="E182" s="44" t="str">
        <f>HYPERLINK("https://youtu.be/sCzcNw4wL6o?t=933","channel 4")</f>
        <v>channel 4</v>
      </c>
    </row>
    <row r="183">
      <c r="B183" s="34" t="s">
        <v>3802</v>
      </c>
      <c r="C183" s="35" t="s">
        <v>65</v>
      </c>
      <c r="D183" s="34" t="s">
        <v>2973</v>
      </c>
      <c r="E183" s="44" t="str">
        <f>HYPERLINK("https://youtu.be/uJGSShBvxmM?t=1832","channel 2")</f>
        <v>channel 2</v>
      </c>
    </row>
    <row r="184">
      <c r="B184" s="34" t="s">
        <v>3010</v>
      </c>
      <c r="C184" s="35" t="s">
        <v>82</v>
      </c>
      <c r="D184" s="34" t="s">
        <v>3801</v>
      </c>
      <c r="E184" s="44" t="str">
        <f>HYPERLINK("https://youtu.be/sCzcNw4wL6o?t=1861","channel 4")</f>
        <v>channel 4</v>
      </c>
    </row>
    <row r="185">
      <c r="B185" s="34" t="s">
        <v>3802</v>
      </c>
      <c r="C185" s="35" t="s">
        <v>18</v>
      </c>
      <c r="D185" s="34" t="s">
        <v>1692</v>
      </c>
      <c r="E185" s="44" t="str">
        <f>HYPERLINK("https://youtu.be/uJGSShBvxmM?t=2715","channel 2")</f>
        <v>channel 2</v>
      </c>
    </row>
    <row r="186">
      <c r="B186" s="34" t="s">
        <v>2973</v>
      </c>
      <c r="C186" s="35" t="s">
        <v>62</v>
      </c>
      <c r="D186" s="34" t="s">
        <v>3801</v>
      </c>
      <c r="E186" s="44" t="str">
        <f>HYPERLINK("https://youtu.be/sCzcNw4wL6o?t=2810","channel 4")</f>
        <v>channel 4</v>
      </c>
    </row>
    <row r="187">
      <c r="B187" s="34" t="s">
        <v>3802</v>
      </c>
      <c r="C187" s="35" t="s">
        <v>286</v>
      </c>
      <c r="D187" s="34" t="s">
        <v>3010</v>
      </c>
      <c r="E187" s="44" t="str">
        <f>HYPERLINK("https://youtu.be/uJGSShBvxmM?t=3607","channel 2")</f>
        <v>channel 2</v>
      </c>
    </row>
    <row r="188">
      <c r="B188" s="34" t="s">
        <v>2973</v>
      </c>
      <c r="C188" s="35" t="s">
        <v>380</v>
      </c>
      <c r="D188" s="34" t="s">
        <v>1692</v>
      </c>
      <c r="E188" s="44" t="str">
        <f>HYPERLINK("https://youtu.be/sCzcNw4wL6o?t=3649","channel 4")</f>
        <v>channel 4</v>
      </c>
    </row>
    <row r="189">
      <c r="B189" s="34" t="s">
        <v>1692</v>
      </c>
      <c r="C189" s="35" t="s">
        <v>1465</v>
      </c>
      <c r="D189" s="34" t="s">
        <v>3801</v>
      </c>
      <c r="E189" s="44" t="str">
        <f>HYPERLINK("https://youtu.be/uJGSShBvxmM?t=4554","channel 2")</f>
        <v>channel 2</v>
      </c>
    </row>
    <row r="190">
      <c r="B190" s="34" t="s">
        <v>2973</v>
      </c>
      <c r="C190" s="35" t="s">
        <v>218</v>
      </c>
      <c r="D190" s="34" t="s">
        <v>3010</v>
      </c>
      <c r="E190" s="44" t="str">
        <f>HYPERLINK("https://youtu.be/sCzcNw4wL6o?t=4566","channel 4")</f>
        <v>channel 4</v>
      </c>
    </row>
    <row r="191">
      <c r="B191" s="34" t="s">
        <v>3801</v>
      </c>
      <c r="C191" s="35" t="s">
        <v>72</v>
      </c>
      <c r="D191" s="34" t="s">
        <v>3802</v>
      </c>
      <c r="E191" s="44" t="str">
        <f>HYPERLINK("https://youtu.be/uJGSShBvxmM?t=5467","channel 2")</f>
        <v>channel 2</v>
      </c>
    </row>
    <row r="192">
      <c r="B192" s="34" t="s">
        <v>1692</v>
      </c>
      <c r="C192" s="35" t="s">
        <v>7</v>
      </c>
      <c r="D192" s="34" t="s">
        <v>3010</v>
      </c>
      <c r="E192" s="44" t="str">
        <f>HYPERLINK("https://youtu.be/sCzcNw4wL6o?t=5482","channel 4")</f>
        <v>channel 4</v>
      </c>
    </row>
    <row r="193">
      <c r="B193" s="34" t="s">
        <v>2973</v>
      </c>
      <c r="C193" s="35" t="s">
        <v>45</v>
      </c>
      <c r="D193" s="34" t="s">
        <v>3802</v>
      </c>
      <c r="E193" s="44" t="str">
        <f>HYPERLINK("https://youtu.be/uJGSShBvxmM?t=6356","channel 2")</f>
        <v>channel 2</v>
      </c>
    </row>
    <row r="194">
      <c r="B194" s="34" t="s">
        <v>3801</v>
      </c>
      <c r="C194" s="35" t="s">
        <v>284</v>
      </c>
      <c r="D194" s="34" t="s">
        <v>3010</v>
      </c>
      <c r="E194" s="44" t="str">
        <f>HYPERLINK("https://youtu.be/sCzcNw4wL6o?t=6423","channel 4")</f>
        <v>channel 4</v>
      </c>
    </row>
    <row r="195">
      <c r="B195" s="34" t="s">
        <v>1692</v>
      </c>
      <c r="C195" s="35" t="s">
        <v>545</v>
      </c>
      <c r="D195" s="34" t="s">
        <v>3802</v>
      </c>
      <c r="E195" s="44" t="str">
        <f>HYPERLINK("https://youtu.be/uJGSShBvxmM?t=7226","channel 2")</f>
        <v>channel 2</v>
      </c>
    </row>
    <row r="196">
      <c r="B196" s="34" t="s">
        <v>3801</v>
      </c>
      <c r="C196" s="35" t="s">
        <v>196</v>
      </c>
      <c r="D196" s="34" t="s">
        <v>2973</v>
      </c>
      <c r="E196" s="44" t="str">
        <f>HYPERLINK("https://youtu.be/sCzcNw4wL6o?t=7332","channel 4")</f>
        <v>channel 4</v>
      </c>
    </row>
    <row r="197">
      <c r="B197" s="34" t="s">
        <v>3010</v>
      </c>
      <c r="C197" s="35" t="s">
        <v>426</v>
      </c>
      <c r="D197" s="34" t="s">
        <v>3802</v>
      </c>
      <c r="E197" s="44" t="str">
        <f>HYPERLINK("https://youtu.be/uJGSShBvxmM?t=8114","channel 2")</f>
        <v>channel 2</v>
      </c>
    </row>
    <row r="198">
      <c r="B198" s="34" t="s">
        <v>1692</v>
      </c>
      <c r="C198" s="35" t="s">
        <v>17</v>
      </c>
      <c r="D198" s="34" t="s">
        <v>2973</v>
      </c>
      <c r="E198" s="44" t="str">
        <f>HYPERLINK("https://youtu.be/sCzcNw4wL6o?t=8207","channel 4")</f>
        <v>channel 4</v>
      </c>
    </row>
    <row r="199">
      <c r="B199" s="28" t="s">
        <v>2200</v>
      </c>
      <c r="C199" s="2"/>
      <c r="D199" s="3"/>
      <c r="E199" s="2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34" t="s">
        <v>3803</v>
      </c>
      <c r="C201" s="35" t="s">
        <v>21</v>
      </c>
      <c r="D201" s="34" t="s">
        <v>3429</v>
      </c>
      <c r="E201" s="44" t="str">
        <f>HYPERLINK("https://youtu.be/EzAouMX1Yzc","channel 2")</f>
        <v>channel 2</v>
      </c>
    </row>
    <row r="202">
      <c r="B202" s="34" t="s">
        <v>2063</v>
      </c>
      <c r="C202" s="35" t="s">
        <v>488</v>
      </c>
      <c r="D202" s="34" t="s">
        <v>2582</v>
      </c>
      <c r="E202" s="44" t="str">
        <f>HYPERLINK("https://youtu.be/rGs45dSxR9A","channel 4")</f>
        <v>channel 4</v>
      </c>
    </row>
    <row r="203">
      <c r="B203" s="34" t="s">
        <v>3804</v>
      </c>
      <c r="C203" s="35" t="s">
        <v>26</v>
      </c>
      <c r="D203" s="34" t="s">
        <v>3803</v>
      </c>
      <c r="E203" s="44" t="str">
        <f>HYPERLINK("https://youtu.be/EzAouMX1Yzc?t=1079","channel 2")</f>
        <v>channel 2</v>
      </c>
    </row>
    <row r="204">
      <c r="B204" s="34" t="s">
        <v>2063</v>
      </c>
      <c r="C204" s="35" t="s">
        <v>19</v>
      </c>
      <c r="D204" s="34" t="s">
        <v>3429</v>
      </c>
      <c r="E204" s="44" t="str">
        <f>HYPERLINK("https://youtu.be/rGs45dSxR9A?t=1175","channel 4")</f>
        <v>channel 4</v>
      </c>
    </row>
    <row r="205">
      <c r="B205" s="34" t="s">
        <v>3804</v>
      </c>
      <c r="C205" s="35" t="s">
        <v>195</v>
      </c>
      <c r="D205" s="34" t="s">
        <v>2582</v>
      </c>
      <c r="E205" s="44" t="str">
        <f>HYPERLINK("https://youtu.be/EzAouMX1Yzc?t=1986","channel 2")</f>
        <v>channel 2</v>
      </c>
    </row>
    <row r="206">
      <c r="B206" s="34" t="s">
        <v>2063</v>
      </c>
      <c r="C206" s="35" t="s">
        <v>218</v>
      </c>
      <c r="D206" s="34" t="s">
        <v>3803</v>
      </c>
      <c r="E206" s="44" t="str">
        <f>HYPERLINK("https://youtu.be/rGs45dSxR9A?t=2012","channel 4")</f>
        <v>channel 4</v>
      </c>
    </row>
    <row r="207">
      <c r="B207" s="34" t="s">
        <v>3804</v>
      </c>
      <c r="C207" s="35" t="s">
        <v>197</v>
      </c>
      <c r="D207" s="34" t="s">
        <v>3429</v>
      </c>
      <c r="E207" s="44" t="str">
        <f>HYPERLINK("https://youtu.be/EzAouMX1Yzc?t=2844","channel 2")</f>
        <v>channel 2</v>
      </c>
    </row>
    <row r="208">
      <c r="B208" s="34" t="s">
        <v>2582</v>
      </c>
      <c r="C208" s="35" t="s">
        <v>435</v>
      </c>
      <c r="D208" s="34" t="s">
        <v>3803</v>
      </c>
      <c r="E208" s="44" t="str">
        <f>HYPERLINK("https://youtu.be/rGs45dSxR9A?t=2916","channel 4")</f>
        <v>channel 4</v>
      </c>
    </row>
    <row r="209">
      <c r="B209" s="34" t="s">
        <v>3804</v>
      </c>
      <c r="C209" s="35" t="s">
        <v>78</v>
      </c>
      <c r="D209" s="34" t="s">
        <v>2063</v>
      </c>
      <c r="E209" s="44" t="str">
        <f>HYPERLINK("https://youtu.be/EzAouMX1Yzc?t=3731","channel 2")</f>
        <v>channel 2</v>
      </c>
    </row>
    <row r="210">
      <c r="B210" s="34" t="s">
        <v>2582</v>
      </c>
      <c r="C210" s="35" t="s">
        <v>62</v>
      </c>
      <c r="D210" s="34" t="s">
        <v>3429</v>
      </c>
      <c r="E210" s="44" t="str">
        <f>HYPERLINK("https://youtu.be/rGs45dSxR9A?t=3798","channel 4")</f>
        <v>channel 4</v>
      </c>
    </row>
    <row r="211">
      <c r="B211" s="34" t="s">
        <v>3429</v>
      </c>
      <c r="C211" s="35" t="s">
        <v>11</v>
      </c>
      <c r="D211" s="34" t="s">
        <v>3803</v>
      </c>
      <c r="E211" s="44" t="str">
        <f>HYPERLINK("https://youtu.be/EzAouMX1Yzc?t=4658","channel 2")</f>
        <v>channel 2</v>
      </c>
    </row>
    <row r="212">
      <c r="B212" s="34" t="s">
        <v>2582</v>
      </c>
      <c r="C212" s="35" t="s">
        <v>17</v>
      </c>
      <c r="D212" s="34" t="s">
        <v>2063</v>
      </c>
      <c r="E212" s="44" t="str">
        <f>HYPERLINK("https://youtu.be/rGs45dSxR9A?t=4695","channel 4")</f>
        <v>channel 4</v>
      </c>
    </row>
    <row r="213">
      <c r="B213" s="34" t="s">
        <v>3803</v>
      </c>
      <c r="C213" s="35" t="s">
        <v>2276</v>
      </c>
      <c r="D213" s="34" t="s">
        <v>3804</v>
      </c>
      <c r="E213" s="44" t="str">
        <f>HYPERLINK("https://youtu.be/EzAouMX1Yzc?t=5560","channel 2")</f>
        <v>channel 2</v>
      </c>
    </row>
    <row r="214">
      <c r="B214" s="34" t="s">
        <v>3429</v>
      </c>
      <c r="C214" s="35" t="s">
        <v>201</v>
      </c>
      <c r="D214" s="34" t="s">
        <v>2063</v>
      </c>
      <c r="E214" s="44" t="str">
        <f>HYPERLINK("https://youtu.be/rGs45dSxR9A?t=5648","channel 4")</f>
        <v>channel 4</v>
      </c>
    </row>
    <row r="215">
      <c r="B215" s="34" t="s">
        <v>2582</v>
      </c>
      <c r="C215" s="35" t="s">
        <v>544</v>
      </c>
      <c r="D215" s="34" t="s">
        <v>3804</v>
      </c>
      <c r="E215" s="44" t="str">
        <f>HYPERLINK("https://youtu.be/EzAouMX1Yzc?t=6639","channel 2")</f>
        <v>channel 2</v>
      </c>
    </row>
    <row r="216">
      <c r="B216" s="34" t="s">
        <v>3803</v>
      </c>
      <c r="C216" s="35" t="s">
        <v>87</v>
      </c>
      <c r="D216" s="34" t="s">
        <v>2063</v>
      </c>
      <c r="E216" s="44" t="str">
        <f>HYPERLINK("https://youtu.be/rGs45dSxR9A?t=6673","channel 4")</f>
        <v>channel 4</v>
      </c>
    </row>
    <row r="217">
      <c r="B217" s="34" t="s">
        <v>3429</v>
      </c>
      <c r="C217" s="35" t="s">
        <v>7</v>
      </c>
      <c r="D217" s="34" t="s">
        <v>3804</v>
      </c>
      <c r="E217" s="44" t="str">
        <f>HYPERLINK("https://youtu.be/EzAouMX1Yzc?t=7548","channel 2")</f>
        <v>channel 2</v>
      </c>
    </row>
    <row r="218">
      <c r="B218" s="34" t="s">
        <v>3803</v>
      </c>
      <c r="C218" s="35" t="s">
        <v>7</v>
      </c>
      <c r="D218" s="34" t="s">
        <v>2582</v>
      </c>
      <c r="E218" s="44" t="str">
        <f>HYPERLINK("https://youtu.be/rGs45dSxR9A?t=7639","channel 4")</f>
        <v>channel 4</v>
      </c>
    </row>
    <row r="219">
      <c r="B219" s="34" t="s">
        <v>2063</v>
      </c>
      <c r="C219" s="35" t="s">
        <v>19</v>
      </c>
      <c r="D219" s="34" t="s">
        <v>3804</v>
      </c>
      <c r="E219" s="44" t="str">
        <f>HYPERLINK("https://youtu.be/EzAouMX1Yzc?t=8494","channel 2")</f>
        <v>channel 2</v>
      </c>
    </row>
    <row r="220">
      <c r="B220" s="34" t="s">
        <v>3429</v>
      </c>
      <c r="C220" s="35" t="s">
        <v>25</v>
      </c>
      <c r="D220" s="34" t="s">
        <v>2582</v>
      </c>
      <c r="E220" s="44" t="str">
        <f>HYPERLINK("https://youtu.be/rGs45dSxR9A?t=8573","channel 4")</f>
        <v>channel 4</v>
      </c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7"/>
      <c r="B1" s="72" t="s">
        <v>1400</v>
      </c>
      <c r="C1" s="2"/>
      <c r="D1" s="3"/>
      <c r="E1" s="134"/>
    </row>
    <row r="2">
      <c r="A2" s="118"/>
      <c r="B2" s="35" t="s">
        <v>2</v>
      </c>
      <c r="C2" s="35" t="s">
        <v>3</v>
      </c>
      <c r="D2" s="35" t="s">
        <v>4</v>
      </c>
      <c r="E2" s="6" t="s">
        <v>5</v>
      </c>
    </row>
    <row r="3">
      <c r="A3" s="118"/>
      <c r="B3" s="8" t="s">
        <v>3769</v>
      </c>
      <c r="C3" s="33" t="s">
        <v>270</v>
      </c>
      <c r="D3" s="8" t="s">
        <v>2922</v>
      </c>
      <c r="E3" s="135" t="str">
        <f>HYPERLINK("https://youtu.be/PcKiCgUNb6s","channel 2")</f>
        <v>channel 2</v>
      </c>
    </row>
    <row r="4">
      <c r="A4" s="118"/>
      <c r="B4" s="8" t="s">
        <v>3805</v>
      </c>
      <c r="C4" s="60" t="s">
        <v>11</v>
      </c>
      <c r="D4" s="8" t="s">
        <v>3806</v>
      </c>
      <c r="E4" s="11" t="str">
        <f>HYPERLINK("https://youtu.be/jPrkTzjeYtE","channel 4")</f>
        <v>channel 4</v>
      </c>
    </row>
    <row r="5">
      <c r="A5" s="118"/>
      <c r="B5" s="8" t="s">
        <v>3778</v>
      </c>
      <c r="C5" s="33" t="s">
        <v>82</v>
      </c>
      <c r="D5" s="8" t="s">
        <v>3769</v>
      </c>
      <c r="E5" s="135" t="str">
        <f>HYPERLINK("https://youtu.be/PcKiCgUNb6s?t=967","channel 2")</f>
        <v>channel 2</v>
      </c>
    </row>
    <row r="6">
      <c r="A6" s="118"/>
      <c r="B6" s="8" t="s">
        <v>3805</v>
      </c>
      <c r="C6" s="33" t="s">
        <v>187</v>
      </c>
      <c r="D6" s="8" t="s">
        <v>2922</v>
      </c>
      <c r="E6" s="11" t="str">
        <f>HYPERLINK("https://youtu.be/jPrkTzjeYtE?t=989","channel 4")</f>
        <v>channel 4</v>
      </c>
    </row>
    <row r="7">
      <c r="A7" s="118"/>
      <c r="B7" s="8" t="s">
        <v>3778</v>
      </c>
      <c r="C7" s="33" t="s">
        <v>22</v>
      </c>
      <c r="D7" s="8" t="s">
        <v>3806</v>
      </c>
      <c r="E7" s="135" t="str">
        <f>HYPERLINK("https://youtu.be/PcKiCgUNb6s?t=1921","channel 2")</f>
        <v>channel 2</v>
      </c>
    </row>
    <row r="8">
      <c r="A8" s="118"/>
      <c r="B8" s="8" t="s">
        <v>3805</v>
      </c>
      <c r="C8" s="33" t="s">
        <v>14</v>
      </c>
      <c r="D8" s="8" t="s">
        <v>3769</v>
      </c>
      <c r="E8" s="11" t="str">
        <f>HYPERLINK("https://youtu.be/jPrkTzjeYtE?t=2015","channel 4")</f>
        <v>channel 4</v>
      </c>
    </row>
    <row r="9">
      <c r="A9" s="118"/>
      <c r="B9" s="8" t="s">
        <v>3778</v>
      </c>
      <c r="C9" s="33" t="s">
        <v>217</v>
      </c>
      <c r="D9" s="8" t="s">
        <v>2922</v>
      </c>
      <c r="E9" s="135" t="str">
        <f>HYPERLINK("https://youtu.be/PcKiCgUNb6s?t=2967","channel 2")</f>
        <v>channel 2</v>
      </c>
    </row>
    <row r="10">
      <c r="A10" s="118"/>
      <c r="B10" s="8" t="s">
        <v>3806</v>
      </c>
      <c r="C10" s="33" t="s">
        <v>81</v>
      </c>
      <c r="D10" s="8" t="s">
        <v>3769</v>
      </c>
      <c r="E10" s="11" t="str">
        <f>HYPERLINK("https://youtu.be/jPrkTzjeYtE?t=3030","channel 4")</f>
        <v>channel 4</v>
      </c>
    </row>
    <row r="11">
      <c r="A11" s="118"/>
      <c r="B11" s="8" t="s">
        <v>3778</v>
      </c>
      <c r="C11" s="33" t="s">
        <v>20</v>
      </c>
      <c r="D11" s="8" t="s">
        <v>3805</v>
      </c>
      <c r="E11" s="135" t="str">
        <f>HYPERLINK("https://youtu.be/PcKiCgUNb6s?t=3930","channel 2")</f>
        <v>channel 2</v>
      </c>
    </row>
    <row r="12">
      <c r="A12" s="118"/>
      <c r="B12" s="8" t="s">
        <v>3806</v>
      </c>
      <c r="C12" s="33" t="s">
        <v>329</v>
      </c>
      <c r="D12" s="8" t="s">
        <v>2922</v>
      </c>
      <c r="E12" s="11" t="str">
        <f>HYPERLINK("https://youtu.be/jPrkTzjeYtE?t=3954","channel 4")</f>
        <v>channel 4</v>
      </c>
    </row>
    <row r="13">
      <c r="A13" s="118"/>
      <c r="B13" s="8" t="s">
        <v>2922</v>
      </c>
      <c r="C13" s="33" t="s">
        <v>81</v>
      </c>
      <c r="D13" s="8" t="s">
        <v>3769</v>
      </c>
      <c r="E13" s="135" t="str">
        <f>HYPERLINK("https://youtu.be/PcKiCgUNb6s?t=4911","channel 2")</f>
        <v>channel 2</v>
      </c>
    </row>
    <row r="14">
      <c r="A14" s="118"/>
      <c r="B14" s="8" t="s">
        <v>3806</v>
      </c>
      <c r="C14" s="136" t="s">
        <v>238</v>
      </c>
      <c r="D14" s="8" t="s">
        <v>3805</v>
      </c>
      <c r="E14" s="11" t="str">
        <f>HYPERLINK("https://youtu.be/jPrkTzjeYtE?t=4937","channel 4")</f>
        <v>channel 4</v>
      </c>
    </row>
    <row r="15">
      <c r="A15" s="118"/>
      <c r="B15" s="8" t="s">
        <v>3769</v>
      </c>
      <c r="C15" s="136" t="s">
        <v>64</v>
      </c>
      <c r="D15" s="8" t="s">
        <v>3778</v>
      </c>
      <c r="E15" s="135" t="str">
        <f>HYPERLINK("https://youtu.be/PcKiCgUNb6s?t=5872","channel 2")</f>
        <v>channel 2</v>
      </c>
    </row>
    <row r="16">
      <c r="A16" s="118"/>
      <c r="B16" s="8" t="s">
        <v>2922</v>
      </c>
      <c r="C16" s="33" t="s">
        <v>355</v>
      </c>
      <c r="D16" s="8" t="s">
        <v>3805</v>
      </c>
      <c r="E16" s="11" t="str">
        <f>HYPERLINK("https://youtu.be/jPrkTzjeYtE?t=5899","channel 4")</f>
        <v>channel 4</v>
      </c>
    </row>
    <row r="17">
      <c r="A17" s="118"/>
      <c r="B17" s="8" t="s">
        <v>3806</v>
      </c>
      <c r="C17" s="33" t="s">
        <v>81</v>
      </c>
      <c r="D17" s="8" t="s">
        <v>3778</v>
      </c>
      <c r="E17" s="135" t="str">
        <f>HYPERLINK("https://youtu.be/PcKiCgUNb6s?t=6820","channel 2")</f>
        <v>channel 2</v>
      </c>
    </row>
    <row r="18">
      <c r="A18" s="118"/>
      <c r="B18" s="8" t="s">
        <v>3769</v>
      </c>
      <c r="C18" s="33" t="s">
        <v>72</v>
      </c>
      <c r="D18" s="8" t="s">
        <v>3805</v>
      </c>
      <c r="E18" s="11" t="str">
        <f>HYPERLINK("https://youtu.be/jPrkTzjeYtE?t=6882","channel 4")</f>
        <v>channel 4</v>
      </c>
    </row>
    <row r="19">
      <c r="A19" s="118"/>
      <c r="B19" s="8" t="s">
        <v>2922</v>
      </c>
      <c r="C19" s="33" t="s">
        <v>88</v>
      </c>
      <c r="D19" s="8" t="s">
        <v>3778</v>
      </c>
      <c r="E19" s="135" t="str">
        <f>HYPERLINK("https://youtu.be/PcKiCgUNb6s?t=7763","channel 2")</f>
        <v>channel 2</v>
      </c>
    </row>
    <row r="20">
      <c r="A20" s="118"/>
      <c r="B20" s="8" t="s">
        <v>3769</v>
      </c>
      <c r="C20" s="33" t="s">
        <v>68</v>
      </c>
      <c r="D20" s="8" t="s">
        <v>3806</v>
      </c>
      <c r="E20" s="11" t="str">
        <f>HYPERLINK("https://youtu.be/jPrkTzjeYtE?t=7778","channel 4")</f>
        <v>channel 4</v>
      </c>
    </row>
    <row r="21">
      <c r="A21" s="118"/>
      <c r="B21" s="8" t="s">
        <v>3805</v>
      </c>
      <c r="C21" s="33" t="s">
        <v>285</v>
      </c>
      <c r="D21" s="8" t="s">
        <v>3778</v>
      </c>
      <c r="E21" s="135" t="str">
        <f>HYPERLINK("https://youtu.be/PcKiCgUNb6s?t=8764","channel 2")</f>
        <v>channel 2</v>
      </c>
    </row>
    <row r="22">
      <c r="A22" s="118"/>
      <c r="B22" s="8" t="s">
        <v>2922</v>
      </c>
      <c r="C22" s="33" t="s">
        <v>872</v>
      </c>
      <c r="D22" s="8" t="s">
        <v>3806</v>
      </c>
      <c r="E22" s="11" t="str">
        <f>HYPERLINK("https://youtu.be/jPrkTzjeYtE?t=8772","channel 4")</f>
        <v>channel 4</v>
      </c>
    </row>
    <row r="23">
      <c r="A23" s="118"/>
      <c r="B23" s="72" t="s">
        <v>3807</v>
      </c>
      <c r="C23" s="2"/>
      <c r="D23" s="3"/>
      <c r="E23" s="134"/>
    </row>
    <row r="24">
      <c r="A24" s="118"/>
      <c r="B24" s="35" t="s">
        <v>2</v>
      </c>
      <c r="C24" s="35" t="s">
        <v>3</v>
      </c>
      <c r="D24" s="35" t="s">
        <v>4</v>
      </c>
      <c r="E24" s="6" t="s">
        <v>5</v>
      </c>
    </row>
    <row r="25">
      <c r="A25" s="118"/>
      <c r="B25" s="8" t="s">
        <v>3808</v>
      </c>
      <c r="C25" s="33" t="s">
        <v>25</v>
      </c>
      <c r="D25" s="8" t="s">
        <v>3809</v>
      </c>
      <c r="E25" s="135" t="str">
        <f>HYPERLINK("https://youtu.be/IZwRWot9qqQ","channel 2")</f>
        <v>channel 2</v>
      </c>
    </row>
    <row r="26">
      <c r="A26" s="118"/>
      <c r="B26" s="8" t="s">
        <v>3810</v>
      </c>
      <c r="C26" s="33" t="s">
        <v>1067</v>
      </c>
      <c r="D26" s="8" t="s">
        <v>586</v>
      </c>
      <c r="E26" s="11" t="str">
        <f>HYPERLINK("https://youtu.be/CSsLPA3jO8o","channel 4")</f>
        <v>channel 4</v>
      </c>
    </row>
    <row r="27">
      <c r="A27" s="118"/>
      <c r="B27" s="8" t="s">
        <v>3811</v>
      </c>
      <c r="C27" s="33" t="s">
        <v>260</v>
      </c>
      <c r="D27" s="8" t="s">
        <v>3808</v>
      </c>
      <c r="E27" s="135" t="str">
        <f>HYPERLINK("https://youtu.be/IZwRWot9qqQ?t=1010","channel 2")</f>
        <v>channel 2</v>
      </c>
    </row>
    <row r="28">
      <c r="A28" s="118"/>
      <c r="B28" s="8" t="s">
        <v>3810</v>
      </c>
      <c r="C28" s="33" t="s">
        <v>81</v>
      </c>
      <c r="D28" s="8" t="s">
        <v>3809</v>
      </c>
      <c r="E28" s="11" t="str">
        <f>HYPERLINK("https://youtu.be/CSsLPA3jO8o?t=957","channel 4")</f>
        <v>channel 4</v>
      </c>
    </row>
    <row r="29">
      <c r="A29" s="118"/>
      <c r="B29" s="8" t="s">
        <v>3811</v>
      </c>
      <c r="C29" s="33" t="s">
        <v>201</v>
      </c>
      <c r="D29" s="8" t="s">
        <v>586</v>
      </c>
      <c r="E29" s="135" t="str">
        <f>HYPERLINK("https://youtu.be/IZwRWot9qqQ?t=1954","channel 2")</f>
        <v>channel 2</v>
      </c>
    </row>
    <row r="30">
      <c r="A30" s="118"/>
      <c r="B30" s="8" t="s">
        <v>3810</v>
      </c>
      <c r="C30" s="33" t="s">
        <v>23</v>
      </c>
      <c r="D30" s="8" t="s">
        <v>3808</v>
      </c>
      <c r="E30" s="11" t="str">
        <f>HYPERLINK("https://youtu.be/CSsLPA3jO8o?t=1932","channel 4")</f>
        <v>channel 4</v>
      </c>
    </row>
    <row r="31">
      <c r="A31" s="118"/>
      <c r="B31" s="8" t="s">
        <v>3811</v>
      </c>
      <c r="C31" s="33" t="s">
        <v>81</v>
      </c>
      <c r="D31" s="8" t="s">
        <v>3809</v>
      </c>
      <c r="E31" s="135" t="str">
        <f>HYPERLINK("https://youtu.be/IZwRWot9qqQ?t=3001","channel 2")</f>
        <v>channel 2</v>
      </c>
    </row>
    <row r="32">
      <c r="A32" s="118"/>
      <c r="B32" s="8" t="s">
        <v>586</v>
      </c>
      <c r="C32" s="33" t="s">
        <v>363</v>
      </c>
      <c r="D32" s="8" t="s">
        <v>3808</v>
      </c>
      <c r="E32" s="11" t="str">
        <f>HYPERLINK("https://youtu.be/CSsLPA3jO8o?t=3037","channel 4")</f>
        <v>channel 4</v>
      </c>
    </row>
    <row r="33">
      <c r="A33" s="118"/>
      <c r="B33" s="8" t="s">
        <v>3811</v>
      </c>
      <c r="C33" s="33" t="s">
        <v>352</v>
      </c>
      <c r="D33" s="8" t="s">
        <v>3810</v>
      </c>
      <c r="E33" s="135" t="str">
        <f>HYPERLINK("https://youtu.be/IZwRWot9qqQ?t=3951","channel 2")</f>
        <v>channel 2</v>
      </c>
    </row>
    <row r="34">
      <c r="A34" s="118"/>
      <c r="B34" s="8" t="s">
        <v>586</v>
      </c>
      <c r="C34" s="33" t="s">
        <v>536</v>
      </c>
      <c r="D34" s="8" t="s">
        <v>3809</v>
      </c>
      <c r="E34" s="11" t="str">
        <f>HYPERLINK("https://youtu.be/CSsLPA3jO8o?t=4049","channel 4")</f>
        <v>channel 4</v>
      </c>
    </row>
    <row r="35">
      <c r="A35" s="118"/>
      <c r="B35" s="8" t="s">
        <v>3809</v>
      </c>
      <c r="C35" s="33" t="s">
        <v>259</v>
      </c>
      <c r="D35" s="8" t="s">
        <v>3808</v>
      </c>
      <c r="E35" s="135" t="str">
        <f>HYPERLINK("https://youtu.be/IZwRWot9qqQ?t=4907","channel 2")</f>
        <v>channel 2</v>
      </c>
    </row>
    <row r="36">
      <c r="A36" s="118"/>
      <c r="B36" s="8" t="s">
        <v>586</v>
      </c>
      <c r="C36" s="33" t="s">
        <v>411</v>
      </c>
      <c r="D36" s="8" t="s">
        <v>3810</v>
      </c>
      <c r="E36" s="11" t="str">
        <f>HYPERLINK("https://youtu.be/CSsLPA3jO8o?t=4989","channel 4")</f>
        <v>channel 4</v>
      </c>
    </row>
    <row r="37">
      <c r="A37" s="118"/>
      <c r="B37" s="8" t="s">
        <v>3808</v>
      </c>
      <c r="C37" s="33" t="s">
        <v>22</v>
      </c>
      <c r="D37" s="8" t="s">
        <v>3811</v>
      </c>
      <c r="E37" s="135" t="str">
        <f>HYPERLINK("https://youtu.be/IZwRWot9qqQ?t=5949","channel 2")</f>
        <v>channel 2</v>
      </c>
    </row>
    <row r="38">
      <c r="A38" s="118"/>
      <c r="B38" s="8" t="s">
        <v>3809</v>
      </c>
      <c r="C38" s="33" t="s">
        <v>724</v>
      </c>
      <c r="D38" s="8" t="s">
        <v>3810</v>
      </c>
      <c r="E38" s="11" t="str">
        <f>HYPERLINK("https://youtu.be/CSsLPA3jO8o?t=5972","channel 4")</f>
        <v>channel 4</v>
      </c>
    </row>
    <row r="39">
      <c r="A39" s="118"/>
      <c r="B39" s="8" t="s">
        <v>586</v>
      </c>
      <c r="C39" s="35" t="s">
        <v>11</v>
      </c>
      <c r="D39" s="8" t="s">
        <v>3811</v>
      </c>
      <c r="E39" s="135" t="str">
        <f>HYPERLINK("https://youtu.be/IZwRWot9qqQ?t=6904","channel 2")</f>
        <v>channel 2</v>
      </c>
    </row>
    <row r="40">
      <c r="A40" s="118"/>
      <c r="B40" s="8" t="s">
        <v>3808</v>
      </c>
      <c r="C40" s="33" t="s">
        <v>3812</v>
      </c>
      <c r="D40" s="8" t="s">
        <v>3810</v>
      </c>
      <c r="E40" s="11" t="str">
        <f>HYPERLINK("https://youtu.be/CSsLPA3jO8o?t=6918","channel 4")</f>
        <v>channel 4</v>
      </c>
    </row>
    <row r="41">
      <c r="A41" s="118"/>
      <c r="B41" s="8" t="s">
        <v>3809</v>
      </c>
      <c r="C41" s="33" t="s">
        <v>218</v>
      </c>
      <c r="D41" s="8" t="s">
        <v>3811</v>
      </c>
      <c r="E41" s="135" t="str">
        <f>HYPERLINK("https://youtu.be/IZwRWot9qqQ?t=7875","channel 2")</f>
        <v>channel 2</v>
      </c>
    </row>
    <row r="42">
      <c r="A42" s="118"/>
      <c r="B42" s="8" t="s">
        <v>3808</v>
      </c>
      <c r="C42" s="33" t="s">
        <v>273</v>
      </c>
      <c r="D42" s="8" t="s">
        <v>586</v>
      </c>
      <c r="E42" s="11" t="str">
        <f>HYPERLINK("https://youtu.be/CSsLPA3jO8o?t=7871","channel 4")</f>
        <v>channel 4</v>
      </c>
    </row>
    <row r="43">
      <c r="A43" s="118"/>
      <c r="B43" s="8" t="s">
        <v>3810</v>
      </c>
      <c r="C43" s="33" t="s">
        <v>695</v>
      </c>
      <c r="D43" s="8" t="s">
        <v>3811</v>
      </c>
      <c r="E43" s="135" t="str">
        <f>HYPERLINK("https://youtu.be/IZwRWot9qqQ?t=8798","channel 2")</f>
        <v>channel 2</v>
      </c>
    </row>
    <row r="44">
      <c r="A44" s="118"/>
      <c r="B44" s="8" t="s">
        <v>3809</v>
      </c>
      <c r="C44" s="33" t="s">
        <v>693</v>
      </c>
      <c r="D44" s="8" t="s">
        <v>586</v>
      </c>
      <c r="E44" s="11" t="str">
        <f>HYPERLINK("https://youtu.be/CSsLPA3jO8o?t=8826","channel 4")</f>
        <v>channel 4</v>
      </c>
    </row>
    <row r="45">
      <c r="A45" s="118"/>
      <c r="B45" s="72" t="s">
        <v>2554</v>
      </c>
      <c r="C45" s="2"/>
      <c r="D45" s="3"/>
      <c r="E45" s="134"/>
    </row>
    <row r="46">
      <c r="A46" s="118"/>
      <c r="B46" s="35" t="s">
        <v>2</v>
      </c>
      <c r="C46" s="35" t="s">
        <v>3</v>
      </c>
      <c r="D46" s="35" t="s">
        <v>4</v>
      </c>
      <c r="E46" s="6" t="s">
        <v>5</v>
      </c>
    </row>
    <row r="47">
      <c r="A47" s="118"/>
      <c r="B47" s="8" t="s">
        <v>3813</v>
      </c>
      <c r="C47" s="33" t="s">
        <v>413</v>
      </c>
      <c r="D47" s="8" t="s">
        <v>3814</v>
      </c>
      <c r="E47" s="135" t="str">
        <f>HYPERLINK("https://youtu.be/CrzKPvRxopI","channel 2")</f>
        <v>channel 2</v>
      </c>
    </row>
    <row r="48">
      <c r="A48" s="118"/>
      <c r="B48" s="8" t="s">
        <v>3815</v>
      </c>
      <c r="C48" s="33" t="s">
        <v>645</v>
      </c>
      <c r="D48" s="8" t="s">
        <v>3816</v>
      </c>
      <c r="E48" s="11" t="str">
        <f>HYPERLINK("https://youtu.be/Lmy5QdgI-OI","channel 4")</f>
        <v>channel 4</v>
      </c>
    </row>
    <row r="49">
      <c r="A49" s="118"/>
      <c r="B49" s="8" t="s">
        <v>3817</v>
      </c>
      <c r="C49" s="33" t="s">
        <v>21</v>
      </c>
      <c r="D49" s="8" t="s">
        <v>3813</v>
      </c>
      <c r="E49" s="135" t="str">
        <f>HYPERLINK("https://youtu.be/CrzKPvRxopI?t=1000","channel 2")</f>
        <v>channel 2</v>
      </c>
    </row>
    <row r="50">
      <c r="A50" s="118"/>
      <c r="B50" s="8" t="s">
        <v>3815</v>
      </c>
      <c r="C50" s="33" t="s">
        <v>270</v>
      </c>
      <c r="D50" s="8" t="s">
        <v>3814</v>
      </c>
      <c r="E50" s="11" t="str">
        <f>HYPERLINK("https://youtu.be/Lmy5QdgI-OI?t=1028","channel 4")</f>
        <v>channel 4</v>
      </c>
    </row>
    <row r="51">
      <c r="A51" s="118"/>
      <c r="B51" s="8" t="s">
        <v>3817</v>
      </c>
      <c r="C51" s="33" t="s">
        <v>403</v>
      </c>
      <c r="D51" s="8" t="s">
        <v>3816</v>
      </c>
      <c r="E51" s="135" t="str">
        <f>HYPERLINK("https://youtu.be/CrzKPvRxopI?t=1932","channel 2")</f>
        <v>channel 2</v>
      </c>
    </row>
    <row r="52">
      <c r="A52" s="118"/>
      <c r="B52" s="8" t="s">
        <v>3815</v>
      </c>
      <c r="C52" s="33" t="s">
        <v>325</v>
      </c>
      <c r="D52" s="8" t="s">
        <v>3813</v>
      </c>
      <c r="E52" s="11" t="str">
        <f>HYPERLINK("https://youtu.be/Lmy5QdgI-OI?t=2028","channel 4")</f>
        <v>channel 4</v>
      </c>
    </row>
    <row r="53">
      <c r="A53" s="118"/>
      <c r="B53" s="8" t="s">
        <v>3817</v>
      </c>
      <c r="C53" s="33" t="s">
        <v>22</v>
      </c>
      <c r="D53" s="8" t="s">
        <v>3814</v>
      </c>
      <c r="E53" s="135" t="str">
        <f>HYPERLINK("https://youtu.be/CrzKPvRxopI?t=2946","channel 2")</f>
        <v>channel 2</v>
      </c>
    </row>
    <row r="54">
      <c r="A54" s="118"/>
      <c r="B54" s="8" t="s">
        <v>3816</v>
      </c>
      <c r="C54" s="33" t="s">
        <v>308</v>
      </c>
      <c r="D54" s="8" t="s">
        <v>3813</v>
      </c>
      <c r="E54" s="11" t="str">
        <f>HYPERLINK("https://youtu.be/Lmy5QdgI-OI?t=2946","channel 4")</f>
        <v>channel 4</v>
      </c>
    </row>
    <row r="55">
      <c r="A55" s="118"/>
      <c r="B55" s="8" t="s">
        <v>3817</v>
      </c>
      <c r="C55" s="33" t="s">
        <v>260</v>
      </c>
      <c r="D55" s="8" t="s">
        <v>3815</v>
      </c>
      <c r="E55" s="135" t="str">
        <f>HYPERLINK("https://youtu.be/CrzKPvRxopI?t=3857","channel 2")</f>
        <v>channel 2</v>
      </c>
    </row>
    <row r="56">
      <c r="A56" s="118"/>
      <c r="B56" s="8" t="s">
        <v>3816</v>
      </c>
      <c r="C56" s="33" t="s">
        <v>86</v>
      </c>
      <c r="D56" s="8" t="s">
        <v>3814</v>
      </c>
      <c r="E56" s="11" t="str">
        <f>HYPERLINK("https://youtu.be/Lmy5QdgI-OI?t=3938","channel 4")</f>
        <v>channel 4</v>
      </c>
    </row>
    <row r="57">
      <c r="A57" s="118"/>
      <c r="B57" s="8" t="s">
        <v>3814</v>
      </c>
      <c r="C57" s="33" t="s">
        <v>726</v>
      </c>
      <c r="D57" s="8" t="s">
        <v>3813</v>
      </c>
      <c r="E57" s="135" t="str">
        <f>HYPERLINK("https://youtu.be/CrzKPvRxopI?t=4818","channel 2")</f>
        <v>channel 2</v>
      </c>
    </row>
    <row r="58">
      <c r="A58" s="118"/>
      <c r="B58" s="8" t="s">
        <v>3816</v>
      </c>
      <c r="C58" s="33" t="s">
        <v>3818</v>
      </c>
      <c r="D58" s="8" t="s">
        <v>3815</v>
      </c>
      <c r="E58" s="11" t="str">
        <f>HYPERLINK("https://youtu.be/Lmy5QdgI-OI?t=4883","channel 4")</f>
        <v>channel 4</v>
      </c>
    </row>
    <row r="59">
      <c r="A59" s="118"/>
      <c r="B59" s="8" t="s">
        <v>3813</v>
      </c>
      <c r="C59" s="33" t="s">
        <v>20</v>
      </c>
      <c r="D59" s="8" t="s">
        <v>3817</v>
      </c>
      <c r="E59" s="135" t="str">
        <f>HYPERLINK("https://youtu.be/CrzKPvRxopI?t=5729","channel 2")</f>
        <v>channel 2</v>
      </c>
    </row>
    <row r="60">
      <c r="A60" s="118"/>
      <c r="B60" s="8" t="s">
        <v>3814</v>
      </c>
      <c r="C60" s="33" t="s">
        <v>52</v>
      </c>
      <c r="D60" s="8" t="s">
        <v>3815</v>
      </c>
      <c r="E60" s="11" t="str">
        <f>HYPERLINK("https://youtu.be/Lmy5QdgI-OI?t=5825","channel 4")</f>
        <v>channel 4</v>
      </c>
    </row>
    <row r="61">
      <c r="A61" s="118"/>
      <c r="B61" s="8" t="s">
        <v>3816</v>
      </c>
      <c r="C61" s="33" t="s">
        <v>239</v>
      </c>
      <c r="D61" s="8" t="s">
        <v>3817</v>
      </c>
      <c r="E61" s="135" t="str">
        <f>HYPERLINK("https://youtu.be/CrzKPvRxopI?t=6714","channel 2")</f>
        <v>channel 2</v>
      </c>
    </row>
    <row r="62">
      <c r="A62" s="118"/>
      <c r="B62" s="8" t="s">
        <v>3813</v>
      </c>
      <c r="C62" s="35" t="s">
        <v>329</v>
      </c>
      <c r="D62" s="8" t="s">
        <v>3815</v>
      </c>
      <c r="E62" s="11" t="str">
        <f>HYPERLINK("https://youtu.be/Lmy5QdgI-OI?t=6754","channel 4")</f>
        <v>channel 4</v>
      </c>
    </row>
    <row r="63">
      <c r="A63" s="118"/>
      <c r="B63" s="8" t="s">
        <v>3814</v>
      </c>
      <c r="C63" s="33" t="s">
        <v>291</v>
      </c>
      <c r="D63" s="8" t="s">
        <v>3817</v>
      </c>
      <c r="E63" s="135" t="str">
        <f>HYPERLINK("https://youtu.be/CrzKPvRxopI?t=7712","channel 2")</f>
        <v>channel 2</v>
      </c>
    </row>
    <row r="64">
      <c r="A64" s="118"/>
      <c r="B64" s="8" t="s">
        <v>3813</v>
      </c>
      <c r="C64" s="33" t="s">
        <v>289</v>
      </c>
      <c r="D64" s="8" t="s">
        <v>3816</v>
      </c>
      <c r="E64" s="11" t="str">
        <f>HYPERLINK("https://youtu.be/Lmy5QdgI-OI?t=7656","channel 4")</f>
        <v>channel 4</v>
      </c>
    </row>
    <row r="65">
      <c r="A65" s="118"/>
      <c r="B65" s="8" t="s">
        <v>3815</v>
      </c>
      <c r="C65" s="33" t="s">
        <v>239</v>
      </c>
      <c r="D65" s="8" t="s">
        <v>3817</v>
      </c>
      <c r="E65" s="135" t="str">
        <f>HYPERLINK("https://youtu.be/CrzKPvRxopI?t=8574","channel 2")</f>
        <v>channel 2</v>
      </c>
    </row>
    <row r="66">
      <c r="A66" s="118"/>
      <c r="B66" s="8" t="s">
        <v>3814</v>
      </c>
      <c r="C66" s="33" t="s">
        <v>533</v>
      </c>
      <c r="D66" s="8" t="s">
        <v>3816</v>
      </c>
      <c r="E66" s="11" t="str">
        <f>HYPERLINK("https://youtu.be/Lmy5QdgI-OI?t=8584","channel 4")</f>
        <v>channel 4</v>
      </c>
    </row>
    <row r="67">
      <c r="A67" s="118"/>
      <c r="B67" s="137" t="s">
        <v>1435</v>
      </c>
      <c r="C67" s="2"/>
      <c r="D67" s="3"/>
      <c r="E67" s="138"/>
    </row>
    <row r="68">
      <c r="A68" s="118"/>
      <c r="B68" s="35" t="s">
        <v>2</v>
      </c>
      <c r="C68" s="35" t="s">
        <v>3</v>
      </c>
      <c r="D68" s="35" t="s">
        <v>4</v>
      </c>
      <c r="E68" s="16" t="s">
        <v>5</v>
      </c>
    </row>
    <row r="69">
      <c r="A69" s="118"/>
      <c r="B69" s="8" t="s">
        <v>3819</v>
      </c>
      <c r="C69" s="33" t="s">
        <v>535</v>
      </c>
      <c r="D69" s="8" t="s">
        <v>3820</v>
      </c>
      <c r="E69" s="135" t="str">
        <f>HYPERLINK("https://youtu.be/cEJ50AoWFPQ","channel 2")</f>
        <v>channel 2</v>
      </c>
    </row>
    <row r="70">
      <c r="A70" s="118"/>
      <c r="B70" s="8" t="s">
        <v>3821</v>
      </c>
      <c r="C70" s="33" t="s">
        <v>286</v>
      </c>
      <c r="D70" s="8" t="s">
        <v>3822</v>
      </c>
      <c r="E70" s="11" t="str">
        <f>HYPERLINK("https://youtu.be/EcIkyzb7QsM","channel 4")</f>
        <v>channel 4</v>
      </c>
    </row>
    <row r="71">
      <c r="A71" s="118"/>
      <c r="B71" s="8" t="s">
        <v>3823</v>
      </c>
      <c r="C71" s="33" t="s">
        <v>328</v>
      </c>
      <c r="D71" s="8" t="s">
        <v>3819</v>
      </c>
      <c r="E71" s="135" t="str">
        <f>HYPERLINK("https://youtu.be/cEJ50AoWFPQ?t=974","channel 2")</f>
        <v>channel 2</v>
      </c>
    </row>
    <row r="72">
      <c r="A72" s="118"/>
      <c r="B72" s="8" t="s">
        <v>3821</v>
      </c>
      <c r="C72" s="33" t="s">
        <v>2783</v>
      </c>
      <c r="D72" s="8" t="s">
        <v>3820</v>
      </c>
      <c r="E72" s="11" t="str">
        <f>HYPERLINK("https://youtu.be/EcIkyzb7QsM?t=1085","channel 4")</f>
        <v>channel 4</v>
      </c>
    </row>
    <row r="73">
      <c r="A73" s="118"/>
      <c r="B73" s="8" t="s">
        <v>3823</v>
      </c>
      <c r="C73" s="33" t="s">
        <v>195</v>
      </c>
      <c r="D73" s="8" t="s">
        <v>3822</v>
      </c>
      <c r="E73" s="135" t="str">
        <f>HYPERLINK("https://youtu.be/cEJ50AoWFPQ?t=1937","channel 2")</f>
        <v>channel 2</v>
      </c>
    </row>
    <row r="74">
      <c r="A74" s="118"/>
      <c r="B74" s="8" t="s">
        <v>3821</v>
      </c>
      <c r="C74" s="33" t="s">
        <v>48</v>
      </c>
      <c r="D74" s="8" t="s">
        <v>3819</v>
      </c>
      <c r="E74" s="11" t="str">
        <f>HYPERLINK("https://youtu.be/EcIkyzb7QsM?t=2009","channel 4")</f>
        <v>channel 4</v>
      </c>
    </row>
    <row r="75">
      <c r="A75" s="118"/>
      <c r="B75" s="8" t="s">
        <v>3823</v>
      </c>
      <c r="C75" s="33" t="s">
        <v>733</v>
      </c>
      <c r="D75" s="8" t="s">
        <v>3820</v>
      </c>
      <c r="E75" s="135" t="str">
        <f>HYPERLINK("https://youtu.be/cEJ50AoWFPQ?t=2945","channel 2")</f>
        <v>channel 2</v>
      </c>
    </row>
    <row r="76">
      <c r="A76" s="118"/>
      <c r="B76" s="8" t="s">
        <v>3822</v>
      </c>
      <c r="C76" s="33" t="s">
        <v>62</v>
      </c>
      <c r="D76" s="8" t="s">
        <v>3819</v>
      </c>
      <c r="E76" s="11" t="str">
        <f>HYPERLINK("https://youtu.be/EcIkyzb7QsM?t=2947","channel 4")</f>
        <v>channel 4</v>
      </c>
    </row>
    <row r="77">
      <c r="A77" s="118"/>
      <c r="B77" s="8" t="s">
        <v>3823</v>
      </c>
      <c r="C77" s="33" t="s">
        <v>2461</v>
      </c>
      <c r="D77" s="8" t="s">
        <v>3821</v>
      </c>
      <c r="E77" s="135" t="str">
        <f>HYPERLINK("https://youtu.be/cEJ50AoWFPQ?t=4035","channel 2")</f>
        <v>channel 2</v>
      </c>
    </row>
    <row r="78">
      <c r="A78" s="118"/>
      <c r="B78" s="8" t="s">
        <v>3822</v>
      </c>
      <c r="C78" s="33" t="s">
        <v>31</v>
      </c>
      <c r="D78" s="8" t="s">
        <v>3820</v>
      </c>
      <c r="E78" s="11" t="str">
        <f>HYPERLINK("https://youtu.be/EcIkyzb7QsM?t=4082","channel 4")</f>
        <v>channel 4</v>
      </c>
    </row>
    <row r="79">
      <c r="A79" s="118"/>
      <c r="B79" s="8" t="s">
        <v>3820</v>
      </c>
      <c r="C79" s="33" t="s">
        <v>352</v>
      </c>
      <c r="D79" s="8" t="s">
        <v>3819</v>
      </c>
      <c r="E79" s="135" t="str">
        <f>HYPERLINK("https://youtu.be/cEJ50AoWFPQ?t=4964","channel 2")</f>
        <v>channel 2</v>
      </c>
    </row>
    <row r="80">
      <c r="A80" s="118"/>
      <c r="B80" s="8" t="s">
        <v>3822</v>
      </c>
      <c r="C80" s="33" t="s">
        <v>243</v>
      </c>
      <c r="D80" s="8" t="s">
        <v>3821</v>
      </c>
      <c r="E80" s="11" t="str">
        <f>HYPERLINK("https://youtu.be/EcIkyzb7QsM?t=5026","channel 4")</f>
        <v>channel 4</v>
      </c>
    </row>
    <row r="81">
      <c r="A81" s="118"/>
      <c r="B81" s="8" t="s">
        <v>3819</v>
      </c>
      <c r="C81" s="33" t="s">
        <v>297</v>
      </c>
      <c r="D81" s="8" t="s">
        <v>3823</v>
      </c>
      <c r="E81" s="135" t="str">
        <f>HYPERLINK("https://youtu.be/cEJ50AoWFPQ?t=5884","channel 2")</f>
        <v>channel 2</v>
      </c>
    </row>
    <row r="82">
      <c r="A82" s="118"/>
      <c r="B82" s="8" t="s">
        <v>3820</v>
      </c>
      <c r="C82" s="33" t="s">
        <v>72</v>
      </c>
      <c r="D82" s="8" t="s">
        <v>3821</v>
      </c>
      <c r="E82" s="11" t="str">
        <f>HYPERLINK("https://youtu.be/EcIkyzb7QsM?t=5926","channel 4")</f>
        <v>channel 4</v>
      </c>
    </row>
    <row r="83">
      <c r="A83" s="118"/>
      <c r="B83" s="8" t="s">
        <v>3822</v>
      </c>
      <c r="C83" s="33" t="s">
        <v>857</v>
      </c>
      <c r="D83" s="8" t="s">
        <v>3823</v>
      </c>
      <c r="E83" s="135" t="str">
        <f>HYPERLINK("https://youtu.be/cEJ50AoWFPQ?t=6847","channel 2")</f>
        <v>channel 2</v>
      </c>
    </row>
    <row r="84">
      <c r="A84" s="118"/>
      <c r="B84" s="8" t="s">
        <v>3819</v>
      </c>
      <c r="C84" s="33" t="s">
        <v>3824</v>
      </c>
      <c r="D84" s="8" t="s">
        <v>3821</v>
      </c>
      <c r="E84" s="11" t="str">
        <f>HYPERLINK("https://youtu.be/EcIkyzb7QsM?t=6823","channel 4")</f>
        <v>channel 4</v>
      </c>
    </row>
    <row r="85">
      <c r="A85" s="118"/>
      <c r="B85" s="8" t="s">
        <v>3820</v>
      </c>
      <c r="C85" s="33" t="s">
        <v>42</v>
      </c>
      <c r="D85" s="8" t="s">
        <v>3823</v>
      </c>
      <c r="E85" s="135" t="str">
        <f>HYPERLINK("https://youtu.be/cEJ50AoWFPQ?t=7770","channel 2")</f>
        <v>channel 2</v>
      </c>
    </row>
    <row r="86">
      <c r="A86" s="118"/>
      <c r="B86" s="8" t="s">
        <v>3819</v>
      </c>
      <c r="C86" s="33" t="s">
        <v>413</v>
      </c>
      <c r="D86" s="8" t="s">
        <v>3822</v>
      </c>
      <c r="E86" s="11" t="str">
        <f>HYPERLINK("https://youtu.be/EcIkyzb7QsM?t=7790","channel 4")</f>
        <v>channel 4</v>
      </c>
    </row>
    <row r="87">
      <c r="A87" s="118"/>
      <c r="B87" s="8" t="s">
        <v>3821</v>
      </c>
      <c r="C87" s="33" t="s">
        <v>285</v>
      </c>
      <c r="D87" s="8" t="s">
        <v>3823</v>
      </c>
      <c r="E87" s="135" t="str">
        <f>HYPERLINK("https://youtu.be/cEJ50AoWFPQ?t=8680","channel 2")</f>
        <v>channel 2</v>
      </c>
    </row>
    <row r="88">
      <c r="A88" s="118"/>
      <c r="B88" s="8" t="s">
        <v>3820</v>
      </c>
      <c r="C88" s="33" t="s">
        <v>658</v>
      </c>
      <c r="D88" s="8" t="s">
        <v>3822</v>
      </c>
      <c r="E88" s="11" t="str">
        <f>HYPERLINK("https://youtu.be/EcIkyzb7QsM?t=8696","channel 4")</f>
        <v>channel 4</v>
      </c>
    </row>
    <row r="89">
      <c r="A89" s="118"/>
      <c r="B89" s="72" t="s">
        <v>3825</v>
      </c>
      <c r="C89" s="2"/>
      <c r="D89" s="3"/>
      <c r="E89" s="138"/>
    </row>
    <row r="90">
      <c r="A90" s="118"/>
      <c r="B90" s="35" t="s">
        <v>2</v>
      </c>
      <c r="C90" s="35" t="s">
        <v>3</v>
      </c>
      <c r="D90" s="35" t="s">
        <v>4</v>
      </c>
      <c r="E90" s="16" t="s">
        <v>5</v>
      </c>
    </row>
    <row r="91">
      <c r="A91" s="118"/>
      <c r="B91" s="139" t="s">
        <v>1890</v>
      </c>
      <c r="C91" s="33" t="s">
        <v>260</v>
      </c>
      <c r="D91" s="8" t="s">
        <v>3826</v>
      </c>
      <c r="E91" s="135" t="str">
        <f>HYPERLINK("https://youtu.be/xNhjvCk1qsM","channel 2")</f>
        <v>channel 2</v>
      </c>
    </row>
    <row r="92">
      <c r="A92" s="118"/>
      <c r="B92" s="8" t="s">
        <v>1829</v>
      </c>
      <c r="C92" s="33" t="s">
        <v>16</v>
      </c>
      <c r="D92" s="8" t="s">
        <v>3827</v>
      </c>
      <c r="E92" s="11" t="str">
        <f>HYPERLINK("https://youtu.be/ywGmwA9d7tc","channel 4")</f>
        <v>channel 4</v>
      </c>
    </row>
    <row r="93">
      <c r="A93" s="118"/>
      <c r="B93" s="8" t="s">
        <v>2814</v>
      </c>
      <c r="C93" s="33" t="s">
        <v>16</v>
      </c>
      <c r="D93" s="8" t="s">
        <v>1890</v>
      </c>
      <c r="E93" s="135" t="str">
        <f>HYPERLINK("https://youtu.be/xNhjvCk1qsM?t=875","channel 2")</f>
        <v>channel 2</v>
      </c>
    </row>
    <row r="94">
      <c r="A94" s="118"/>
      <c r="B94" s="8" t="s">
        <v>1829</v>
      </c>
      <c r="C94" s="33" t="s">
        <v>22</v>
      </c>
      <c r="D94" s="8" t="s">
        <v>3826</v>
      </c>
      <c r="E94" s="11" t="str">
        <f>HYPERLINK("https://youtu.be/ywGmwA9d7tc?t=988","channel 4")</f>
        <v>channel 4</v>
      </c>
    </row>
    <row r="95">
      <c r="A95" s="118"/>
      <c r="B95" s="8" t="s">
        <v>2814</v>
      </c>
      <c r="C95" s="37" t="s">
        <v>362</v>
      </c>
      <c r="D95" s="8" t="s">
        <v>3827</v>
      </c>
      <c r="E95" s="135" t="str">
        <f>HYPERLINK("https://youtu.be/xNhjvCk1qsM?t=1741","channel 2")</f>
        <v>channel 2</v>
      </c>
    </row>
    <row r="96">
      <c r="A96" s="118"/>
      <c r="B96" s="8" t="s">
        <v>1829</v>
      </c>
      <c r="C96" s="33" t="s">
        <v>269</v>
      </c>
      <c r="D96" s="8" t="s">
        <v>1890</v>
      </c>
      <c r="E96" s="11" t="str">
        <f>HYPERLINK("https://youtu.be/ywGmwA9d7tc?t=1858","channel 4")</f>
        <v>channel 4</v>
      </c>
    </row>
    <row r="97">
      <c r="A97" s="118"/>
      <c r="B97" s="8" t="s">
        <v>2814</v>
      </c>
      <c r="C97" s="33" t="s">
        <v>14</v>
      </c>
      <c r="D97" s="8" t="s">
        <v>3826</v>
      </c>
      <c r="E97" s="135" t="str">
        <f>HYPERLINK("https://youtu.be/xNhjvCk1qsM?t=2607","channel 2")</f>
        <v>channel 2</v>
      </c>
    </row>
    <row r="98">
      <c r="A98" s="118"/>
      <c r="B98" s="8" t="s">
        <v>3827</v>
      </c>
      <c r="C98" s="33" t="s">
        <v>829</v>
      </c>
      <c r="D98" s="8" t="s">
        <v>1890</v>
      </c>
      <c r="E98" s="11" t="str">
        <f>HYPERLINK("https://youtu.be/ywGmwA9d7tc?t=2738","channel 4")</f>
        <v>channel 4</v>
      </c>
    </row>
    <row r="99">
      <c r="A99" s="118"/>
      <c r="B99" s="8" t="s">
        <v>2814</v>
      </c>
      <c r="C99" s="33" t="s">
        <v>64</v>
      </c>
      <c r="D99" s="8" t="s">
        <v>1829</v>
      </c>
      <c r="E99" s="135" t="str">
        <f>HYPERLINK("https://youtu.be/xNhjvCk1qsM?t=3519","channel 2")</f>
        <v>channel 2</v>
      </c>
    </row>
    <row r="100">
      <c r="A100" s="118"/>
      <c r="B100" s="8" t="s">
        <v>3827</v>
      </c>
      <c r="C100" s="33" t="s">
        <v>337</v>
      </c>
      <c r="D100" s="8" t="s">
        <v>3826</v>
      </c>
      <c r="E100" s="11" t="str">
        <f>HYPERLINK("https://youtu.be/ywGmwA9d7tc?t=3664","channel 4")</f>
        <v>channel 4</v>
      </c>
    </row>
    <row r="101">
      <c r="A101" s="118"/>
      <c r="B101" s="8" t="s">
        <v>3826</v>
      </c>
      <c r="C101" s="33" t="s">
        <v>2573</v>
      </c>
      <c r="D101" s="8" t="s">
        <v>1890</v>
      </c>
      <c r="E101" s="135" t="str">
        <f>HYPERLINK("https://youtu.be/xNhjvCk1qsM?t=4463","channel 2")</f>
        <v>channel 2</v>
      </c>
    </row>
    <row r="102">
      <c r="A102" s="118"/>
      <c r="B102" s="8" t="s">
        <v>3827</v>
      </c>
      <c r="C102" s="33" t="s">
        <v>226</v>
      </c>
      <c r="D102" s="8" t="s">
        <v>1829</v>
      </c>
      <c r="E102" s="11" t="str">
        <f>HYPERLINK("https://youtu.be/ywGmwA9d7tc?t=4573","channel 4")</f>
        <v>channel 4</v>
      </c>
    </row>
    <row r="103">
      <c r="A103" s="118"/>
      <c r="B103" s="8" t="s">
        <v>1890</v>
      </c>
      <c r="C103" s="33" t="s">
        <v>197</v>
      </c>
      <c r="D103" s="8" t="s">
        <v>2814</v>
      </c>
      <c r="E103" s="135" t="str">
        <f>HYPERLINK("https://youtu.be/xNhjvCk1qsM?t=5445","channel 2")</f>
        <v>channel 2</v>
      </c>
    </row>
    <row r="104">
      <c r="A104" s="118"/>
      <c r="B104" s="8" t="s">
        <v>3826</v>
      </c>
      <c r="C104" s="33" t="s">
        <v>25</v>
      </c>
      <c r="D104" s="8" t="s">
        <v>1829</v>
      </c>
      <c r="E104" s="11" t="str">
        <f>HYPERLINK("https://youtu.be/ywGmwA9d7tc?t=5526","channel 4")</f>
        <v>channel 4</v>
      </c>
    </row>
    <row r="105">
      <c r="A105" s="118"/>
      <c r="B105" s="8" t="s">
        <v>3827</v>
      </c>
      <c r="C105" s="33" t="s">
        <v>14</v>
      </c>
      <c r="D105" s="8" t="s">
        <v>2814</v>
      </c>
      <c r="E105" s="135" t="str">
        <f>HYPERLINK("https://youtu.be/xNhjvCk1qsM?t=6376","channel 2")</f>
        <v>channel 2</v>
      </c>
    </row>
    <row r="106">
      <c r="A106" s="118"/>
      <c r="B106" s="8" t="s">
        <v>1890</v>
      </c>
      <c r="C106" s="33" t="s">
        <v>1602</v>
      </c>
      <c r="D106" s="8" t="s">
        <v>1829</v>
      </c>
      <c r="E106" s="11" t="str">
        <f>HYPERLINK("https://youtu.be/ywGmwA9d7tc?t=6456","channel 4")</f>
        <v>channel 4</v>
      </c>
    </row>
    <row r="107">
      <c r="A107" s="118"/>
      <c r="B107" s="8" t="s">
        <v>3826</v>
      </c>
      <c r="C107" s="33" t="s">
        <v>285</v>
      </c>
      <c r="D107" s="8" t="s">
        <v>2814</v>
      </c>
      <c r="E107" s="135" t="str">
        <f>HYPERLINK("https://youtu.be/xNhjvCk1qsM?t=7273","channel 2")</f>
        <v>channel 2</v>
      </c>
    </row>
    <row r="108">
      <c r="A108" s="118"/>
      <c r="B108" s="8" t="s">
        <v>1890</v>
      </c>
      <c r="C108" s="33" t="s">
        <v>362</v>
      </c>
      <c r="D108" s="8" t="s">
        <v>3827</v>
      </c>
      <c r="E108" s="11" t="str">
        <f>HYPERLINK("https://youtu.be/ywGmwA9d7tc?t=7405","channel 4")</f>
        <v>channel 4</v>
      </c>
    </row>
    <row r="109">
      <c r="A109" s="118"/>
      <c r="B109" s="8" t="s">
        <v>1829</v>
      </c>
      <c r="C109" s="33" t="s">
        <v>297</v>
      </c>
      <c r="D109" s="8" t="s">
        <v>2814</v>
      </c>
      <c r="E109" s="135" t="str">
        <f>HYPERLINK("https://youtu.be/xNhjvCk1qsM?t=8183","channel 2")</f>
        <v>channel 2</v>
      </c>
    </row>
    <row r="110">
      <c r="A110" s="118"/>
      <c r="B110" s="8" t="s">
        <v>3826</v>
      </c>
      <c r="C110" s="33" t="s">
        <v>58</v>
      </c>
      <c r="D110" s="8" t="s">
        <v>3827</v>
      </c>
      <c r="E110" s="11" t="str">
        <f>HYPERLINK("https://youtu.be/ywGmwA9d7tc?t=8296","channel 4")</f>
        <v>channel 4</v>
      </c>
    </row>
    <row r="111">
      <c r="A111" s="118"/>
      <c r="B111" s="72" t="s">
        <v>3828</v>
      </c>
      <c r="C111" s="2"/>
      <c r="D111" s="3"/>
      <c r="E111" s="138"/>
    </row>
    <row r="112">
      <c r="A112" s="118"/>
      <c r="B112" s="35" t="s">
        <v>2</v>
      </c>
      <c r="C112" s="35" t="s">
        <v>3</v>
      </c>
      <c r="D112" s="35" t="s">
        <v>4</v>
      </c>
      <c r="E112" s="16" t="s">
        <v>5</v>
      </c>
    </row>
    <row r="113">
      <c r="A113" s="118"/>
      <c r="B113" s="139" t="s">
        <v>2006</v>
      </c>
      <c r="C113" s="33" t="s">
        <v>197</v>
      </c>
      <c r="D113" s="8" t="s">
        <v>1155</v>
      </c>
      <c r="E113" s="135" t="str">
        <f>HYPERLINK("https://youtu.be/s-yJbdwqUTE","channel 2")</f>
        <v>channel 2</v>
      </c>
    </row>
    <row r="114">
      <c r="A114" s="118"/>
      <c r="B114" s="8" t="s">
        <v>2286</v>
      </c>
      <c r="C114" s="33" t="s">
        <v>72</v>
      </c>
      <c r="D114" s="8" t="s">
        <v>3829</v>
      </c>
      <c r="E114" s="11" t="str">
        <f>HYPERLINK("https://youtu.be/6_fj-k33EcI","channel 4")</f>
        <v>channel 4</v>
      </c>
    </row>
    <row r="115">
      <c r="A115" s="118"/>
      <c r="B115" s="8" t="s">
        <v>1003</v>
      </c>
      <c r="C115" s="33" t="s">
        <v>416</v>
      </c>
      <c r="D115" s="8" t="s">
        <v>2006</v>
      </c>
      <c r="E115" s="135" t="str">
        <f>HYPERLINK("https://youtu.be/s-yJbdwqUTE?t=929","channel 2")</f>
        <v>channel 2</v>
      </c>
    </row>
    <row r="116">
      <c r="A116" s="118"/>
      <c r="B116" s="8" t="s">
        <v>2286</v>
      </c>
      <c r="C116" s="33" t="s">
        <v>357</v>
      </c>
      <c r="D116" s="8" t="s">
        <v>1155</v>
      </c>
      <c r="E116" s="11" t="str">
        <f>HYPERLINK("https://youtu.be/6_fj-k33EcI?t=1072","channel 4")</f>
        <v>channel 4</v>
      </c>
    </row>
    <row r="117">
      <c r="A117" s="118"/>
      <c r="B117" s="8" t="s">
        <v>1003</v>
      </c>
      <c r="C117" s="33" t="s">
        <v>250</v>
      </c>
      <c r="D117" s="8" t="s">
        <v>3829</v>
      </c>
      <c r="E117" s="135" t="str">
        <f>HYPERLINK("https://youtu.be/s-yJbdwqUTE?t=1882","channel 2")</f>
        <v>channel 2</v>
      </c>
    </row>
    <row r="118">
      <c r="A118" s="118"/>
      <c r="B118" s="8" t="s">
        <v>2286</v>
      </c>
      <c r="C118" s="33" t="s">
        <v>28</v>
      </c>
      <c r="D118" s="8" t="s">
        <v>2006</v>
      </c>
      <c r="E118" s="11" t="str">
        <f>HYPERLINK("https://youtu.be/6_fj-k33EcI?t=1988","channel 4")</f>
        <v>channel 4</v>
      </c>
    </row>
    <row r="119">
      <c r="A119" s="118"/>
      <c r="B119" s="8" t="s">
        <v>1003</v>
      </c>
      <c r="C119" s="33" t="s">
        <v>35</v>
      </c>
      <c r="D119" s="8" t="s">
        <v>1155</v>
      </c>
      <c r="E119" s="135" t="str">
        <f>HYPERLINK("https://youtu.be/s-yJbdwqUTE?t=2784","channel 2")</f>
        <v>channel 2</v>
      </c>
    </row>
    <row r="120">
      <c r="A120" s="118"/>
      <c r="B120" s="8" t="s">
        <v>3829</v>
      </c>
      <c r="C120" s="33" t="s">
        <v>64</v>
      </c>
      <c r="D120" s="8" t="s">
        <v>2006</v>
      </c>
      <c r="E120" s="11" t="str">
        <f>HYPERLINK("https://youtu.be/6_fj-k33EcI?t=2901","channel 4")</f>
        <v>channel 4</v>
      </c>
    </row>
    <row r="121">
      <c r="A121" s="118"/>
      <c r="B121" s="8" t="s">
        <v>1003</v>
      </c>
      <c r="C121" s="33" t="s">
        <v>20</v>
      </c>
      <c r="D121" s="8" t="s">
        <v>2286</v>
      </c>
      <c r="E121" s="135" t="str">
        <f>HYPERLINK("https://youtu.be/s-yJbdwqUTE?t=3670","channel 2")</f>
        <v>channel 2</v>
      </c>
    </row>
    <row r="122">
      <c r="A122" s="118"/>
      <c r="B122" s="8" t="s">
        <v>3829</v>
      </c>
      <c r="C122" s="33" t="s">
        <v>217</v>
      </c>
      <c r="D122" s="8" t="s">
        <v>1155</v>
      </c>
      <c r="E122" s="11" t="str">
        <f>HYPERLINK("https://youtu.be/6_fj-k33EcI?t=3801","channel 4")</f>
        <v>channel 4</v>
      </c>
    </row>
    <row r="123">
      <c r="A123" s="118"/>
      <c r="B123" s="8" t="s">
        <v>1155</v>
      </c>
      <c r="C123" s="33" t="s">
        <v>243</v>
      </c>
      <c r="D123" s="8" t="s">
        <v>2006</v>
      </c>
      <c r="E123" s="135" t="str">
        <f>HYPERLINK("https://youtu.be/s-yJbdwqUTE?t=4589","channel 2")</f>
        <v>channel 2</v>
      </c>
    </row>
    <row r="124">
      <c r="A124" s="118"/>
      <c r="B124" s="8" t="s">
        <v>3829</v>
      </c>
      <c r="C124" s="33" t="s">
        <v>1760</v>
      </c>
      <c r="D124" s="8" t="s">
        <v>2286</v>
      </c>
      <c r="E124" s="11" t="str">
        <f>HYPERLINK("https://youtu.be/6_fj-k33EcI?t=4692","channel 4")</f>
        <v>channel 4</v>
      </c>
    </row>
    <row r="125">
      <c r="A125" s="118"/>
      <c r="B125" s="8" t="s">
        <v>2006</v>
      </c>
      <c r="C125" s="33" t="s">
        <v>937</v>
      </c>
      <c r="D125" s="8" t="s">
        <v>1003</v>
      </c>
      <c r="E125" s="135" t="str">
        <f>HYPERLINK("https://youtu.be/s-yJbdwqUTE?t=5598","channel 2")</f>
        <v>channel 2</v>
      </c>
    </row>
    <row r="126">
      <c r="A126" s="118"/>
      <c r="B126" s="8" t="s">
        <v>1155</v>
      </c>
      <c r="C126" s="33" t="s">
        <v>41</v>
      </c>
      <c r="D126" s="8" t="s">
        <v>2286</v>
      </c>
      <c r="E126" s="11" t="str">
        <f>HYPERLINK("https://youtu.be/6_fj-k33EcI?t=5740","channel 4")</f>
        <v>channel 4</v>
      </c>
    </row>
    <row r="127">
      <c r="A127" s="118"/>
      <c r="B127" s="8" t="s">
        <v>3829</v>
      </c>
      <c r="C127" s="33" t="s">
        <v>64</v>
      </c>
      <c r="D127" s="8" t="s">
        <v>1003</v>
      </c>
      <c r="E127" s="135" t="str">
        <f>HYPERLINK("https://youtu.be/s-yJbdwqUTE?t=6649","channel 2")</f>
        <v>channel 2</v>
      </c>
    </row>
    <row r="128">
      <c r="A128" s="118"/>
      <c r="B128" s="8" t="s">
        <v>2006</v>
      </c>
      <c r="C128" s="33" t="s">
        <v>194</v>
      </c>
      <c r="D128" s="8" t="s">
        <v>2286</v>
      </c>
      <c r="E128" s="11" t="str">
        <f>HYPERLINK("https://youtu.be/6_fj-k33EcI?t=6736","channel 4")</f>
        <v>channel 4</v>
      </c>
    </row>
    <row r="129">
      <c r="A129" s="118"/>
      <c r="B129" s="8" t="s">
        <v>1155</v>
      </c>
      <c r="C129" s="33" t="s">
        <v>544</v>
      </c>
      <c r="D129" s="8" t="s">
        <v>1003</v>
      </c>
      <c r="E129" s="135" t="str">
        <f>HYPERLINK("https://youtu.be/s-yJbdwqUTE?t=7634","channel 2")</f>
        <v>channel 2</v>
      </c>
    </row>
    <row r="130">
      <c r="A130" s="118"/>
      <c r="B130" s="8" t="s">
        <v>2006</v>
      </c>
      <c r="C130" s="33" t="s">
        <v>67</v>
      </c>
      <c r="D130" s="8" t="s">
        <v>3829</v>
      </c>
      <c r="E130" s="11" t="str">
        <f>HYPERLINK("https://youtu.be/6_fj-k33EcI?t=7699","channel 4")</f>
        <v>channel 4</v>
      </c>
    </row>
    <row r="131">
      <c r="A131" s="118"/>
      <c r="B131" s="8" t="s">
        <v>2286</v>
      </c>
      <c r="C131" s="33" t="s">
        <v>267</v>
      </c>
      <c r="D131" s="8" t="s">
        <v>1003</v>
      </c>
      <c r="E131" s="135" t="str">
        <f>HYPERLINK("https://youtu.be/s-yJbdwqUTE?t=8585","channel 2")</f>
        <v>channel 2</v>
      </c>
    </row>
    <row r="132">
      <c r="A132" s="122"/>
      <c r="B132" s="8" t="s">
        <v>1155</v>
      </c>
      <c r="C132" s="33" t="s">
        <v>219</v>
      </c>
      <c r="D132" s="8" t="s">
        <v>3829</v>
      </c>
      <c r="E132" s="11" t="str">
        <f>HYPERLINK("https://youtu.be/6_fj-k33EcI?t=8690","channel 4")</f>
        <v>channel 4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7"/>
      <c r="B1" s="72" t="s">
        <v>2154</v>
      </c>
      <c r="C1" s="2"/>
      <c r="D1" s="3"/>
      <c r="E1" s="134"/>
    </row>
    <row r="2">
      <c r="A2" s="118"/>
      <c r="B2" s="35" t="s">
        <v>2</v>
      </c>
      <c r="C2" s="35" t="s">
        <v>3</v>
      </c>
      <c r="D2" s="35" t="s">
        <v>4</v>
      </c>
      <c r="E2" s="6" t="s">
        <v>5</v>
      </c>
    </row>
    <row r="3">
      <c r="A3" s="118"/>
      <c r="B3" s="32" t="s">
        <v>3830</v>
      </c>
      <c r="C3" s="33" t="s">
        <v>201</v>
      </c>
      <c r="D3" s="32" t="s">
        <v>3559</v>
      </c>
      <c r="E3" s="135" t="str">
        <f>HYPERLINK("https://youtu.be/g6KMUMYRKSM","channel 2")</f>
        <v>channel 2</v>
      </c>
    </row>
    <row r="4">
      <c r="A4" s="118"/>
      <c r="B4" s="32" t="s">
        <v>3639</v>
      </c>
      <c r="C4" s="60" t="s">
        <v>270</v>
      </c>
      <c r="D4" s="32" t="s">
        <v>1387</v>
      </c>
      <c r="E4" s="11" t="str">
        <f>HYPERLINK("https://youtu.be/GxzAbYd489g","channel 4")</f>
        <v>channel 4</v>
      </c>
    </row>
    <row r="5">
      <c r="A5" s="118"/>
      <c r="B5" s="8" t="s">
        <v>3831</v>
      </c>
      <c r="C5" s="33" t="s">
        <v>370</v>
      </c>
      <c r="D5" s="32" t="s">
        <v>3830</v>
      </c>
      <c r="E5" s="135" t="str">
        <f>HYPERLINK("https://youtu.be/g6KMUMYRKSM?t=1062","channel 2")</f>
        <v>channel 2</v>
      </c>
    </row>
    <row r="6">
      <c r="A6" s="118"/>
      <c r="B6" s="32" t="s">
        <v>3639</v>
      </c>
      <c r="C6" s="33" t="s">
        <v>64</v>
      </c>
      <c r="D6" s="32" t="s">
        <v>3559</v>
      </c>
      <c r="E6" s="11" t="str">
        <f>HYPERLINK("https://youtu.be/GxzAbYd489g?t=811","channel 4")</f>
        <v>channel 4</v>
      </c>
    </row>
    <row r="7">
      <c r="A7" s="118"/>
      <c r="B7" s="8" t="s">
        <v>3831</v>
      </c>
      <c r="C7" s="33" t="s">
        <v>20</v>
      </c>
      <c r="D7" s="32" t="s">
        <v>1387</v>
      </c>
      <c r="E7" s="135" t="str">
        <f>HYPERLINK("https://youtu.be/g6KMUMYRKSM?t=2002","channel 2")</f>
        <v>channel 2</v>
      </c>
    </row>
    <row r="8">
      <c r="A8" s="118"/>
      <c r="B8" s="32" t="s">
        <v>3639</v>
      </c>
      <c r="C8" s="33" t="s">
        <v>1952</v>
      </c>
      <c r="D8" s="32" t="s">
        <v>3830</v>
      </c>
      <c r="E8" s="11" t="str">
        <f>HYPERLINK("https://youtu.be/GxzAbYd489g?t=1713","channel 4")</f>
        <v>channel 4</v>
      </c>
    </row>
    <row r="9">
      <c r="A9" s="118"/>
      <c r="B9" s="8" t="s">
        <v>3831</v>
      </c>
      <c r="C9" s="33" t="s">
        <v>321</v>
      </c>
      <c r="D9" s="32" t="s">
        <v>3559</v>
      </c>
      <c r="E9" s="135" t="str">
        <f>HYPERLINK("https://youtu.be/g6KMUMYRKSM?t=2939","channel 2")</f>
        <v>channel 2</v>
      </c>
    </row>
    <row r="10">
      <c r="A10" s="118"/>
      <c r="B10" s="32" t="s">
        <v>1387</v>
      </c>
      <c r="C10" s="33" t="s">
        <v>319</v>
      </c>
      <c r="D10" s="32" t="s">
        <v>3830</v>
      </c>
      <c r="E10" s="11" t="str">
        <f>HYPERLINK("https://youtu.be/GxzAbYd489g?t=2656","channel 4")</f>
        <v>channel 4</v>
      </c>
    </row>
    <row r="11">
      <c r="A11" s="118"/>
      <c r="B11" s="8" t="s">
        <v>3831</v>
      </c>
      <c r="C11" s="33" t="s">
        <v>378</v>
      </c>
      <c r="D11" s="32" t="s">
        <v>3639</v>
      </c>
      <c r="E11" s="135" t="str">
        <f>HYPERLINK("https://youtu.be/g6KMUMYRKSM?t=3911","channel 2")</f>
        <v>channel 2</v>
      </c>
    </row>
    <row r="12">
      <c r="A12" s="118"/>
      <c r="B12" s="32" t="s">
        <v>1387</v>
      </c>
      <c r="C12" s="33" t="s">
        <v>14</v>
      </c>
      <c r="D12" s="32" t="s">
        <v>3559</v>
      </c>
      <c r="E12" s="11" t="str">
        <f>HYPERLINK("https://youtu.be/GxzAbYd489g?t=3493","channel 4")</f>
        <v>channel 4</v>
      </c>
    </row>
    <row r="13">
      <c r="A13" s="118"/>
      <c r="B13" s="32" t="s">
        <v>3559</v>
      </c>
      <c r="C13" s="33" t="s">
        <v>362</v>
      </c>
      <c r="D13" s="32" t="s">
        <v>3830</v>
      </c>
      <c r="E13" s="135" t="str">
        <f>HYPERLINK("https://youtu.be/g6KMUMYRKSM?t=4859","channel 2")</f>
        <v>channel 2</v>
      </c>
    </row>
    <row r="14">
      <c r="A14" s="118"/>
      <c r="B14" s="32" t="s">
        <v>1387</v>
      </c>
      <c r="C14" s="136" t="s">
        <v>195</v>
      </c>
      <c r="D14" s="32" t="s">
        <v>3639</v>
      </c>
      <c r="E14" s="11" t="str">
        <f>HYPERLINK("https://youtu.be/GxzAbYd489g?t=4344","channel 4")</f>
        <v>channel 4</v>
      </c>
    </row>
    <row r="15">
      <c r="A15" s="118"/>
      <c r="B15" s="32" t="s">
        <v>3830</v>
      </c>
      <c r="C15" s="136" t="s">
        <v>84</v>
      </c>
      <c r="D15" s="8" t="s">
        <v>3831</v>
      </c>
      <c r="E15" s="135" t="str">
        <f>HYPERLINK("https://youtu.be/g6KMUMYRKSM?t=5764","channel 2")</f>
        <v>channel 2</v>
      </c>
    </row>
    <row r="16">
      <c r="A16" s="118"/>
      <c r="B16" s="32" t="s">
        <v>3559</v>
      </c>
      <c r="C16" s="33" t="s">
        <v>87</v>
      </c>
      <c r="D16" s="32" t="s">
        <v>3639</v>
      </c>
      <c r="E16" s="11" t="str">
        <f>HYPERLINK("https://youtu.be/GxzAbYd489g?t=5167","channel 4")</f>
        <v>channel 4</v>
      </c>
    </row>
    <row r="17">
      <c r="A17" s="118"/>
      <c r="B17" s="32" t="s">
        <v>1387</v>
      </c>
      <c r="C17" s="33" t="s">
        <v>195</v>
      </c>
      <c r="D17" s="8" t="s">
        <v>3831</v>
      </c>
      <c r="E17" s="135" t="str">
        <f>HYPERLINK("https://youtu.be/g6KMUMYRKSM?t=6643","channel 2")</f>
        <v>channel 2</v>
      </c>
    </row>
    <row r="18">
      <c r="A18" s="118"/>
      <c r="B18" s="32" t="s">
        <v>3830</v>
      </c>
      <c r="C18" s="33" t="s">
        <v>16</v>
      </c>
      <c r="D18" s="32" t="s">
        <v>3639</v>
      </c>
      <c r="E18" s="11" t="str">
        <f>HYPERLINK("https://youtu.be/GxzAbYd489g?t=6071","channel 4")</f>
        <v>channel 4</v>
      </c>
    </row>
    <row r="19">
      <c r="A19" s="118"/>
      <c r="B19" s="32" t="s">
        <v>3559</v>
      </c>
      <c r="C19" s="33" t="s">
        <v>48</v>
      </c>
      <c r="D19" s="8" t="s">
        <v>3831</v>
      </c>
      <c r="E19" s="135" t="str">
        <f>HYPERLINK("https://youtu.be/g6KMUMYRKSM?t=7518","channel 2")</f>
        <v>channel 2</v>
      </c>
    </row>
    <row r="20">
      <c r="A20" s="118"/>
      <c r="B20" s="32" t="s">
        <v>3830</v>
      </c>
      <c r="C20" s="33" t="s">
        <v>38</v>
      </c>
      <c r="D20" s="32" t="s">
        <v>1387</v>
      </c>
      <c r="E20" s="11" t="str">
        <f>HYPERLINK("https://youtu.be/GxzAbYd489g?t=6964","channel 4")</f>
        <v>channel 4</v>
      </c>
    </row>
    <row r="21">
      <c r="A21" s="118"/>
      <c r="B21" s="32" t="s">
        <v>3639</v>
      </c>
      <c r="C21" s="33" t="s">
        <v>270</v>
      </c>
      <c r="D21" s="8" t="s">
        <v>3831</v>
      </c>
      <c r="E21" s="135" t="str">
        <f>HYPERLINK("https://youtu.be/g6KMUMYRKSM?t=8363","channel 2")</f>
        <v>channel 2</v>
      </c>
    </row>
    <row r="22">
      <c r="A22" s="118"/>
      <c r="B22" s="32" t="s">
        <v>3559</v>
      </c>
      <c r="C22" s="33" t="s">
        <v>797</v>
      </c>
      <c r="D22" s="32" t="s">
        <v>1387</v>
      </c>
      <c r="E22" s="11" t="str">
        <f>HYPERLINK("https://youtu.be/GxzAbYd489g?t=7811","channel 4")</f>
        <v>channel 4</v>
      </c>
    </row>
    <row r="23">
      <c r="A23" s="118"/>
      <c r="B23" s="72" t="s">
        <v>2160</v>
      </c>
      <c r="C23" s="2"/>
      <c r="D23" s="3"/>
      <c r="E23" s="134"/>
    </row>
    <row r="24">
      <c r="A24" s="118"/>
      <c r="B24" s="35" t="s">
        <v>2</v>
      </c>
      <c r="C24" s="35" t="s">
        <v>3</v>
      </c>
      <c r="D24" s="35" t="s">
        <v>4</v>
      </c>
      <c r="E24" s="6" t="s">
        <v>5</v>
      </c>
    </row>
    <row r="25">
      <c r="A25" s="118"/>
      <c r="B25" s="32" t="s">
        <v>3832</v>
      </c>
      <c r="C25" s="33" t="s">
        <v>16</v>
      </c>
      <c r="D25" s="32" t="s">
        <v>3833</v>
      </c>
      <c r="E25" s="135" t="str">
        <f>HYPERLINK("https://youtu.be/yI4DMKEYHQU","channel 2")</f>
        <v>channel 2</v>
      </c>
    </row>
    <row r="26">
      <c r="A26" s="118"/>
      <c r="B26" s="32" t="s">
        <v>3770</v>
      </c>
      <c r="C26" s="33" t="s">
        <v>278</v>
      </c>
      <c r="D26" s="32" t="s">
        <v>2172</v>
      </c>
      <c r="E26" s="11" t="str">
        <f>HYPERLINK("https://youtu.be/ypGYQuFJykM","channel 4")</f>
        <v>channel 4</v>
      </c>
    </row>
    <row r="27">
      <c r="A27" s="118"/>
      <c r="B27" s="8" t="s">
        <v>3002</v>
      </c>
      <c r="C27" s="33" t="s">
        <v>55</v>
      </c>
      <c r="D27" s="32" t="s">
        <v>3832</v>
      </c>
      <c r="E27" s="135" t="str">
        <f>HYPERLINK("https://youtu.be/yI4DMKEYHQU?t=941","channel 2")</f>
        <v>channel 2</v>
      </c>
    </row>
    <row r="28">
      <c r="A28" s="118"/>
      <c r="B28" s="32" t="s">
        <v>3770</v>
      </c>
      <c r="C28" s="33" t="s">
        <v>83</v>
      </c>
      <c r="D28" s="32" t="s">
        <v>3833</v>
      </c>
      <c r="E28" s="11" t="str">
        <f>HYPERLINK("https://youtu.be/ypGYQuFJykM?t=1095","channel 4")</f>
        <v>channel 4</v>
      </c>
    </row>
    <row r="29">
      <c r="A29" s="118"/>
      <c r="B29" s="8" t="s">
        <v>3002</v>
      </c>
      <c r="C29" s="33" t="s">
        <v>19</v>
      </c>
      <c r="D29" s="32" t="s">
        <v>2172</v>
      </c>
      <c r="E29" s="135" t="str">
        <f>HYPERLINK("https://youtu.be/yI4DMKEYHQU?t=1900","channel 2")</f>
        <v>channel 2</v>
      </c>
    </row>
    <row r="30">
      <c r="A30" s="118"/>
      <c r="B30" s="32" t="s">
        <v>3770</v>
      </c>
      <c r="C30" s="33" t="s">
        <v>282</v>
      </c>
      <c r="D30" s="32" t="s">
        <v>3832</v>
      </c>
      <c r="E30" s="11" t="str">
        <f>HYPERLINK("https://youtu.be/ypGYQuFJykM?t=2155","channel 4")</f>
        <v>channel 4</v>
      </c>
    </row>
    <row r="31">
      <c r="A31" s="118"/>
      <c r="B31" s="8" t="s">
        <v>3002</v>
      </c>
      <c r="C31" s="33" t="s">
        <v>614</v>
      </c>
      <c r="D31" s="32" t="s">
        <v>3833</v>
      </c>
      <c r="E31" s="135" t="str">
        <f>HYPERLINK("https://youtu.be/yI4DMKEYHQU?t=2848","channel 2")</f>
        <v>channel 2</v>
      </c>
    </row>
    <row r="32">
      <c r="A32" s="118"/>
      <c r="B32" s="32" t="s">
        <v>2172</v>
      </c>
      <c r="C32" s="33" t="s">
        <v>220</v>
      </c>
      <c r="D32" s="32" t="s">
        <v>3832</v>
      </c>
      <c r="E32" s="11" t="str">
        <f>HYPERLINK("https://youtu.be/ypGYQuFJykM?t=3085","channel 4")</f>
        <v>channel 4</v>
      </c>
    </row>
    <row r="33">
      <c r="A33" s="118"/>
      <c r="B33" s="8" t="s">
        <v>3002</v>
      </c>
      <c r="C33" s="33" t="s">
        <v>35</v>
      </c>
      <c r="D33" s="32" t="s">
        <v>3770</v>
      </c>
      <c r="E33" s="135" t="str">
        <f>HYPERLINK("https://youtu.be/yI4DMKEYHQU?t=3729","channel 2")</f>
        <v>channel 2</v>
      </c>
    </row>
    <row r="34">
      <c r="A34" s="118"/>
      <c r="B34" s="32" t="s">
        <v>2172</v>
      </c>
      <c r="C34" s="33" t="s">
        <v>64</v>
      </c>
      <c r="D34" s="32" t="s">
        <v>3833</v>
      </c>
      <c r="E34" s="11" t="str">
        <f>HYPERLINK("https://youtu.be/ypGYQuFJykM?t=4021","channel 4")</f>
        <v>channel 4</v>
      </c>
    </row>
    <row r="35">
      <c r="A35" s="118"/>
      <c r="B35" s="32" t="s">
        <v>3833</v>
      </c>
      <c r="C35" s="33" t="s">
        <v>306</v>
      </c>
      <c r="D35" s="32" t="s">
        <v>3832</v>
      </c>
      <c r="E35" s="135" t="str">
        <f>HYPERLINK("https://youtu.be/yI4DMKEYHQU?t=4857","channel 2")</f>
        <v>channel 2</v>
      </c>
    </row>
    <row r="36">
      <c r="A36" s="118"/>
      <c r="B36" s="32" t="s">
        <v>2172</v>
      </c>
      <c r="C36" s="33" t="s">
        <v>362</v>
      </c>
      <c r="D36" s="32" t="s">
        <v>3770</v>
      </c>
      <c r="E36" s="11" t="str">
        <f>HYPERLINK("https://youtu.be/ypGYQuFJykM?t=4980","channel 4")</f>
        <v>channel 4</v>
      </c>
    </row>
    <row r="37">
      <c r="A37" s="118"/>
      <c r="B37" s="32" t="s">
        <v>3832</v>
      </c>
      <c r="C37" s="33" t="s">
        <v>72</v>
      </c>
      <c r="D37" s="8" t="s">
        <v>3002</v>
      </c>
      <c r="E37" s="135" t="str">
        <f>HYPERLINK("https://youtu.be/yI4DMKEYHQU?t=5981","channel 2")</f>
        <v>channel 2</v>
      </c>
    </row>
    <row r="38">
      <c r="A38" s="118"/>
      <c r="B38" s="32" t="s">
        <v>3833</v>
      </c>
      <c r="C38" s="33" t="s">
        <v>380</v>
      </c>
      <c r="D38" s="32" t="s">
        <v>3770</v>
      </c>
      <c r="E38" s="11" t="str">
        <f>HYPERLINK("https://youtu.be/ypGYQuFJykM?t=5970","channel 4")</f>
        <v>channel 4</v>
      </c>
    </row>
    <row r="39">
      <c r="A39" s="118"/>
      <c r="B39" s="32" t="s">
        <v>2172</v>
      </c>
      <c r="C39" s="140" t="s">
        <v>52</v>
      </c>
      <c r="D39" s="8" t="s">
        <v>3002</v>
      </c>
      <c r="E39" s="135" t="str">
        <f>HYPERLINK("https://youtu.be/yI4DMKEYHQU?t=6933","channel 2")</f>
        <v>channel 2</v>
      </c>
    </row>
    <row r="40">
      <c r="A40" s="118"/>
      <c r="B40" s="32" t="s">
        <v>3832</v>
      </c>
      <c r="C40" s="33" t="s">
        <v>239</v>
      </c>
      <c r="D40" s="32" t="s">
        <v>3770</v>
      </c>
      <c r="E40" s="11" t="str">
        <f>HYPERLINK("https://youtu.be/ypGYQuFJykM?t=7020","channel 4")</f>
        <v>channel 4</v>
      </c>
    </row>
    <row r="41">
      <c r="A41" s="118"/>
      <c r="B41" s="32" t="s">
        <v>3833</v>
      </c>
      <c r="C41" s="33" t="s">
        <v>68</v>
      </c>
      <c r="D41" s="8" t="s">
        <v>3002</v>
      </c>
      <c r="E41" s="135" t="str">
        <f>HYPERLINK("https://youtu.be/yI4DMKEYHQU?t=7913","channel 2")</f>
        <v>channel 2</v>
      </c>
    </row>
    <row r="42">
      <c r="A42" s="118"/>
      <c r="B42" s="32" t="s">
        <v>3832</v>
      </c>
      <c r="C42" s="33" t="s">
        <v>218</v>
      </c>
      <c r="D42" s="32" t="s">
        <v>2172</v>
      </c>
      <c r="E42" s="11" t="str">
        <f>HYPERLINK("https://youtu.be/ypGYQuFJykM?t=7995","channel 4")</f>
        <v>channel 4</v>
      </c>
    </row>
    <row r="43">
      <c r="A43" s="118"/>
      <c r="B43" s="32" t="s">
        <v>3770</v>
      </c>
      <c r="C43" s="33" t="s">
        <v>41</v>
      </c>
      <c r="D43" s="8" t="s">
        <v>3002</v>
      </c>
      <c r="E43" s="135" t="str">
        <f>HYPERLINK("https://youtu.be/yI4DMKEYHQU?t=8919","channel 2")</f>
        <v>channel 2</v>
      </c>
    </row>
    <row r="44">
      <c r="A44" s="118"/>
      <c r="B44" s="32" t="s">
        <v>3833</v>
      </c>
      <c r="C44" s="33" t="s">
        <v>201</v>
      </c>
      <c r="D44" s="32" t="s">
        <v>2172</v>
      </c>
      <c r="E44" s="11" t="str">
        <f>HYPERLINK("https://youtu.be/ypGYQuFJykM?t=9015","channel 4")</f>
        <v>channel 4</v>
      </c>
    </row>
    <row r="45">
      <c r="A45" s="118"/>
      <c r="B45" s="72" t="s">
        <v>3019</v>
      </c>
      <c r="C45" s="2"/>
      <c r="D45" s="3"/>
      <c r="E45" s="134"/>
    </row>
    <row r="46">
      <c r="A46" s="118"/>
      <c r="B46" s="35" t="s">
        <v>2</v>
      </c>
      <c r="C46" s="35" t="s">
        <v>3</v>
      </c>
      <c r="D46" s="35" t="s">
        <v>4</v>
      </c>
      <c r="E46" s="6" t="s">
        <v>5</v>
      </c>
    </row>
    <row r="47">
      <c r="A47" s="118"/>
      <c r="B47" s="32" t="s">
        <v>3738</v>
      </c>
      <c r="C47" s="33" t="s">
        <v>302</v>
      </c>
      <c r="D47" s="32" t="s">
        <v>3834</v>
      </c>
      <c r="E47" s="135" t="str">
        <f>HYPERLINK("https://youtu.be/GgeK-zJaZy8?t=2664","channel 2")</f>
        <v>channel 2</v>
      </c>
    </row>
    <row r="48">
      <c r="A48" s="118"/>
      <c r="B48" s="32" t="s">
        <v>3565</v>
      </c>
      <c r="C48" s="33" t="s">
        <v>302</v>
      </c>
      <c r="D48" s="32" t="s">
        <v>3835</v>
      </c>
      <c r="E48" s="11" t="str">
        <f>HYPERLINK("https://youtu.be/bsg9jBKsv4w?t=2842","channel 4")</f>
        <v>channel 4</v>
      </c>
    </row>
    <row r="49">
      <c r="A49" s="118"/>
      <c r="B49" s="113" t="s">
        <v>3836</v>
      </c>
      <c r="C49" s="70" t="s">
        <v>412</v>
      </c>
      <c r="D49" s="91" t="s">
        <v>3738</v>
      </c>
      <c r="E49" s="135" t="str">
        <f>HYPERLINK("https://youtu.be/GgeK-zJaZy8?t=910","channel 2")</f>
        <v>channel 2</v>
      </c>
    </row>
    <row r="50">
      <c r="A50" s="118"/>
      <c r="B50" s="91" t="s">
        <v>3565</v>
      </c>
      <c r="C50" s="70" t="s">
        <v>17</v>
      </c>
      <c r="D50" s="91" t="s">
        <v>3834</v>
      </c>
      <c r="E50" s="11" t="str">
        <f>HYPERLINK("https://youtu.be/bsg9jBKsv4w?t=967","channel 4")</f>
        <v>channel 4</v>
      </c>
    </row>
    <row r="51">
      <c r="A51" s="118"/>
      <c r="B51" s="8" t="s">
        <v>3836</v>
      </c>
      <c r="C51" s="33" t="s">
        <v>17</v>
      </c>
      <c r="D51" s="32" t="s">
        <v>3835</v>
      </c>
      <c r="E51" s="135" t="str">
        <f>HYPERLINK("https://youtu.be/GgeK-zJaZy8?t=3599","channel 2")</f>
        <v>channel 2</v>
      </c>
    </row>
    <row r="52">
      <c r="A52" s="118"/>
      <c r="B52" s="32" t="s">
        <v>3565</v>
      </c>
      <c r="C52" s="33" t="s">
        <v>802</v>
      </c>
      <c r="D52" s="32" t="s">
        <v>3738</v>
      </c>
      <c r="E52" s="11" t="str">
        <f>HYPERLINK("https://youtu.be/bsg9jBKsv4w?t=3842","channel 4")</f>
        <v>channel 4</v>
      </c>
    </row>
    <row r="53">
      <c r="A53" s="118"/>
      <c r="B53" s="8" t="s">
        <v>3836</v>
      </c>
      <c r="C53" s="33" t="s">
        <v>71</v>
      </c>
      <c r="D53" s="32" t="s">
        <v>3834</v>
      </c>
      <c r="E53" s="135" t="str">
        <f>HYPERLINK("https://youtu.be/GgeK-zJaZy8?t=4629","channel 2")</f>
        <v>channel 2</v>
      </c>
    </row>
    <row r="54">
      <c r="A54" s="118"/>
      <c r="B54" s="32" t="s">
        <v>3835</v>
      </c>
      <c r="C54" s="33" t="s">
        <v>319</v>
      </c>
      <c r="D54" s="32" t="s">
        <v>3738</v>
      </c>
      <c r="E54" s="11" t="str">
        <f>HYPERLINK("https://youtu.be/bsg9jBKsv4w?t=4853","channel 4")</f>
        <v>channel 4</v>
      </c>
    </row>
    <row r="55">
      <c r="A55" s="118"/>
      <c r="B55" s="8" t="s">
        <v>3836</v>
      </c>
      <c r="C55" s="33" t="s">
        <v>297</v>
      </c>
      <c r="D55" s="32" t="s">
        <v>3565</v>
      </c>
      <c r="E55" s="135" t="str">
        <f>HYPERLINK("https://youtu.be/GgeK-zJaZy8?t=5549","channel 2")</f>
        <v>channel 2</v>
      </c>
    </row>
    <row r="56">
      <c r="A56" s="118"/>
      <c r="B56" s="32" t="s">
        <v>3835</v>
      </c>
      <c r="C56" s="33" t="s">
        <v>260</v>
      </c>
      <c r="D56" s="32" t="s">
        <v>3834</v>
      </c>
      <c r="E56" s="11" t="str">
        <f>HYPERLINK("https://youtu.be/bsg9jBKsv4w?t=5742","channel 4")</f>
        <v>channel 4</v>
      </c>
    </row>
    <row r="57">
      <c r="A57" s="118"/>
      <c r="B57" s="32" t="s">
        <v>3834</v>
      </c>
      <c r="C57" s="33" t="s">
        <v>285</v>
      </c>
      <c r="D57" s="32" t="s">
        <v>3738</v>
      </c>
      <c r="E57" s="135" t="str">
        <f>HYPERLINK("https://youtu.be/GgeK-zJaZy8?t=6443","channel 2")</f>
        <v>channel 2</v>
      </c>
    </row>
    <row r="58">
      <c r="A58" s="118"/>
      <c r="B58" s="32" t="s">
        <v>3835</v>
      </c>
      <c r="C58" s="33" t="s">
        <v>197</v>
      </c>
      <c r="D58" s="32" t="s">
        <v>3565</v>
      </c>
      <c r="E58" s="11" t="str">
        <f>HYPERLINK("https://youtu.be/bsg9jBKsv4w?t=6631","channel 4")</f>
        <v>channel 4</v>
      </c>
    </row>
    <row r="59">
      <c r="A59" s="118"/>
      <c r="B59" s="91" t="s">
        <v>3738</v>
      </c>
      <c r="C59" s="70" t="s">
        <v>11</v>
      </c>
      <c r="D59" s="113" t="s">
        <v>3836</v>
      </c>
      <c r="E59" s="135" t="str">
        <f>HYPERLINK("https://youtu.be/GgeK-zJaZy8?t=1706","channel 2")</f>
        <v>channel 2</v>
      </c>
    </row>
    <row r="60">
      <c r="A60" s="118"/>
      <c r="B60" s="91" t="s">
        <v>3834</v>
      </c>
      <c r="C60" s="70" t="s">
        <v>65</v>
      </c>
      <c r="D60" s="91" t="s">
        <v>3565</v>
      </c>
      <c r="E60" s="11" t="str">
        <f>HYPERLINK("https://youtu.be/bsg9jBKsv4w?t=1877","channel 4")</f>
        <v>channel 4</v>
      </c>
    </row>
    <row r="61">
      <c r="A61" s="118"/>
      <c r="B61" s="32" t="s">
        <v>3835</v>
      </c>
      <c r="C61" s="33" t="s">
        <v>218</v>
      </c>
      <c r="D61" s="8" t="s">
        <v>3836</v>
      </c>
      <c r="E61" s="135" t="str">
        <f>HYPERLINK("https://youtu.be/GgeK-zJaZy8?t=7401","channel 2")</f>
        <v>channel 2</v>
      </c>
    </row>
    <row r="62">
      <c r="A62" s="118"/>
      <c r="B62" s="32" t="s">
        <v>3738</v>
      </c>
      <c r="C62" s="35" t="s">
        <v>411</v>
      </c>
      <c r="D62" s="32" t="s">
        <v>3565</v>
      </c>
      <c r="E62" s="11" t="str">
        <f>HYPERLINK("https://youtu.be/bsg9jBKsv4w?t=7498","channel 4")</f>
        <v>channel 4</v>
      </c>
      <c r="G62" s="36"/>
    </row>
    <row r="63">
      <c r="A63" s="118"/>
      <c r="B63" s="32" t="s">
        <v>3834</v>
      </c>
      <c r="C63" s="33" t="s">
        <v>815</v>
      </c>
      <c r="D63" s="8" t="s">
        <v>3836</v>
      </c>
      <c r="E63" s="135" t="str">
        <f>HYPERLINK("https://youtu.be/GgeK-zJaZy8?t=8318","channel 2")</f>
        <v>channel 2</v>
      </c>
    </row>
    <row r="64">
      <c r="A64" s="118"/>
      <c r="B64" s="32" t="s">
        <v>3738</v>
      </c>
      <c r="C64" s="33" t="s">
        <v>320</v>
      </c>
      <c r="D64" s="32" t="s">
        <v>3835</v>
      </c>
      <c r="E64" s="11" t="str">
        <f>HYPERLINK("https://youtu.be/bsg9jBKsv4w?t=8459","channel 4")</f>
        <v>channel 4</v>
      </c>
    </row>
    <row r="65">
      <c r="A65" s="118"/>
      <c r="B65" s="32" t="s">
        <v>3565</v>
      </c>
      <c r="C65" s="33" t="s">
        <v>3837</v>
      </c>
      <c r="D65" s="8" t="s">
        <v>3836</v>
      </c>
      <c r="E65" s="135" t="str">
        <f>HYPERLINK("https://youtu.be/GgeK-zJaZy8?t=9276","channel 2")</f>
        <v>channel 2</v>
      </c>
    </row>
    <row r="66">
      <c r="A66" s="118"/>
      <c r="B66" s="32" t="s">
        <v>3834</v>
      </c>
      <c r="C66" s="33" t="s">
        <v>52</v>
      </c>
      <c r="D66" s="32" t="s">
        <v>3835</v>
      </c>
      <c r="E66" s="11" t="str">
        <f>HYPERLINK("https://youtu.be/bsg9jBKsv4w?t=9364","channel 4")</f>
        <v>channel 4</v>
      </c>
    </row>
    <row r="67">
      <c r="A67" s="118"/>
      <c r="B67" s="137" t="s">
        <v>1435</v>
      </c>
      <c r="C67" s="2"/>
      <c r="D67" s="3"/>
      <c r="E67" s="138"/>
    </row>
    <row r="68">
      <c r="A68" s="118"/>
      <c r="B68" s="35" t="s">
        <v>2</v>
      </c>
      <c r="C68" s="35" t="s">
        <v>3</v>
      </c>
      <c r="D68" s="35" t="s">
        <v>4</v>
      </c>
      <c r="E68" s="16" t="s">
        <v>5</v>
      </c>
    </row>
    <row r="69">
      <c r="A69" s="118"/>
      <c r="B69" s="32" t="s">
        <v>3838</v>
      </c>
      <c r="C69" s="33" t="s">
        <v>69</v>
      </c>
      <c r="D69" s="32" t="s">
        <v>3185</v>
      </c>
      <c r="E69" s="135" t="str">
        <f>HYPERLINK("https://youtu.be/xCPf9WHqaFM","channel 2")</f>
        <v>channel 2</v>
      </c>
    </row>
    <row r="70">
      <c r="A70" s="118"/>
      <c r="B70" s="32" t="s">
        <v>3839</v>
      </c>
      <c r="C70" s="33" t="s">
        <v>261</v>
      </c>
      <c r="D70" s="32" t="s">
        <v>3840</v>
      </c>
      <c r="E70" s="11" t="str">
        <f>HYPERLINK("https://youtu.be/Ii7SBT9Lq6c","channel 4")</f>
        <v>channel 4</v>
      </c>
    </row>
    <row r="71">
      <c r="A71" s="118"/>
      <c r="B71" s="8" t="s">
        <v>3630</v>
      </c>
      <c r="C71" s="33" t="s">
        <v>428</v>
      </c>
      <c r="D71" s="32" t="s">
        <v>3838</v>
      </c>
      <c r="E71" s="135" t="str">
        <f>HYPERLINK("https://youtu.be/xCPf9WHqaFM?t=1088","channel 2")</f>
        <v>channel 2</v>
      </c>
    </row>
    <row r="72">
      <c r="A72" s="118"/>
      <c r="B72" s="32" t="s">
        <v>3839</v>
      </c>
      <c r="C72" s="33" t="s">
        <v>244</v>
      </c>
      <c r="D72" s="32" t="s">
        <v>3185</v>
      </c>
      <c r="E72" s="11" t="str">
        <f>HYPERLINK("https://youtu.be/Ii7SBT9Lq6c?t=1172","channel 4")</f>
        <v>channel 4</v>
      </c>
    </row>
    <row r="73">
      <c r="A73" s="118"/>
      <c r="B73" s="8" t="s">
        <v>3630</v>
      </c>
      <c r="C73" s="33" t="s">
        <v>325</v>
      </c>
      <c r="D73" s="32" t="s">
        <v>3840</v>
      </c>
      <c r="E73" s="135" t="str">
        <f>HYPERLINK("https://youtu.be/xCPf9WHqaFM?t=2020","channel 2")</f>
        <v>channel 2</v>
      </c>
    </row>
    <row r="74">
      <c r="A74" s="118"/>
      <c r="B74" s="32" t="s">
        <v>3839</v>
      </c>
      <c r="C74" s="33" t="s">
        <v>3841</v>
      </c>
      <c r="D74" s="32" t="s">
        <v>3838</v>
      </c>
      <c r="E74" s="11" t="str">
        <f>HYPERLINK("https://youtu.be/Ii7SBT9Lq6c?t=2158","channel 4")</f>
        <v>channel 4</v>
      </c>
      <c r="G74" s="36"/>
    </row>
    <row r="75">
      <c r="A75" s="118"/>
      <c r="B75" s="8" t="s">
        <v>3630</v>
      </c>
      <c r="C75" s="33" t="s">
        <v>836</v>
      </c>
      <c r="D75" s="32" t="s">
        <v>3185</v>
      </c>
      <c r="E75" s="135" t="str">
        <f>HYPERLINK("https://youtu.be/xCPf9WHqaFM?t=3017","channel 2")</f>
        <v>channel 2</v>
      </c>
    </row>
    <row r="76">
      <c r="A76" s="118"/>
      <c r="B76" s="32" t="s">
        <v>3840</v>
      </c>
      <c r="C76" s="33" t="s">
        <v>319</v>
      </c>
      <c r="D76" s="32" t="s">
        <v>3838</v>
      </c>
      <c r="E76" s="11" t="str">
        <f>HYPERLINK("https://youtu.be/Ii7SBT9Lq6c?t=3177","channel 4")</f>
        <v>channel 4</v>
      </c>
    </row>
    <row r="77">
      <c r="A77" s="118"/>
      <c r="B77" s="8" t="s">
        <v>3630</v>
      </c>
      <c r="C77" s="33" t="s">
        <v>2742</v>
      </c>
      <c r="D77" s="32" t="s">
        <v>3839</v>
      </c>
      <c r="E77" s="135" t="str">
        <f>HYPERLINK("https://youtu.be/xCPf9WHqaFM?t=3987","channel 2")</f>
        <v>channel 2</v>
      </c>
    </row>
    <row r="78">
      <c r="A78" s="118"/>
      <c r="B78" s="32" t="s">
        <v>3840</v>
      </c>
      <c r="C78" s="70" t="s">
        <v>196</v>
      </c>
      <c r="D78" s="32" t="s">
        <v>3185</v>
      </c>
      <c r="E78" s="11" t="str">
        <f>HYPERLINK("https://youtu.be/Ii7SBT9Lq6c?t=4082","channel 4")</f>
        <v>channel 4</v>
      </c>
    </row>
    <row r="79">
      <c r="A79" s="118"/>
      <c r="B79" s="32" t="s">
        <v>3185</v>
      </c>
      <c r="C79" s="33" t="s">
        <v>25</v>
      </c>
      <c r="D79" s="32" t="s">
        <v>3838</v>
      </c>
      <c r="E79" s="135" t="str">
        <f>HYPERLINK("https://youtu.be/xCPf9WHqaFM?t=4984","channel 2")</f>
        <v>channel 2</v>
      </c>
    </row>
    <row r="80">
      <c r="A80" s="118"/>
      <c r="B80" s="32" t="s">
        <v>3840</v>
      </c>
      <c r="C80" s="33" t="s">
        <v>719</v>
      </c>
      <c r="D80" s="32" t="s">
        <v>3839</v>
      </c>
      <c r="E80" s="11" t="str">
        <f>HYPERLINK("https://youtu.be/Ii7SBT9Lq6c?t=5132","channel 4")</f>
        <v>channel 4</v>
      </c>
    </row>
    <row r="81">
      <c r="A81" s="118"/>
      <c r="B81" s="32" t="s">
        <v>3838</v>
      </c>
      <c r="C81" s="33" t="s">
        <v>80</v>
      </c>
      <c r="D81" s="8" t="s">
        <v>3630</v>
      </c>
      <c r="E81" s="135" t="str">
        <f>HYPERLINK("https://youtu.be/xCPf9WHqaFM?t=6009","channel 2")</f>
        <v>channel 2</v>
      </c>
    </row>
    <row r="82">
      <c r="A82" s="118"/>
      <c r="B82" s="32" t="s">
        <v>3185</v>
      </c>
      <c r="C82" s="33" t="s">
        <v>17</v>
      </c>
      <c r="D82" s="32" t="s">
        <v>3839</v>
      </c>
      <c r="E82" s="11" t="str">
        <f>HYPERLINK("https://youtu.be/Ii7SBT9Lq6c?t=6132","channel 4")</f>
        <v>channel 4</v>
      </c>
    </row>
    <row r="83">
      <c r="A83" s="118"/>
      <c r="B83" s="32" t="s">
        <v>3840</v>
      </c>
      <c r="C83" s="33" t="s">
        <v>78</v>
      </c>
      <c r="D83" s="8" t="s">
        <v>3630</v>
      </c>
      <c r="E83" s="135" t="str">
        <f>HYPERLINK("https://youtu.be/xCPf9WHqaFM?t=6982","channel 2")</f>
        <v>channel 2</v>
      </c>
    </row>
    <row r="84">
      <c r="A84" s="118"/>
      <c r="B84" s="32" t="s">
        <v>3838</v>
      </c>
      <c r="C84" s="33" t="s">
        <v>2784</v>
      </c>
      <c r="D84" s="32" t="s">
        <v>3839</v>
      </c>
      <c r="E84" s="11" t="str">
        <f>HYPERLINK("https://youtu.be/Ii7SBT9Lq6c?t=7180","channel 4")</f>
        <v>channel 4</v>
      </c>
    </row>
    <row r="85">
      <c r="A85" s="118"/>
      <c r="B85" s="32" t="s">
        <v>3185</v>
      </c>
      <c r="C85" s="33" t="s">
        <v>3842</v>
      </c>
      <c r="D85" s="8" t="s">
        <v>3630</v>
      </c>
      <c r="E85" s="135" t="str">
        <f>HYPERLINK("https://youtu.be/xCPf9WHqaFM?t=7901","channel 2")</f>
        <v>channel 2</v>
      </c>
    </row>
    <row r="86">
      <c r="A86" s="118"/>
      <c r="B86" s="32" t="s">
        <v>3838</v>
      </c>
      <c r="C86" s="33" t="s">
        <v>1396</v>
      </c>
      <c r="D86" s="32" t="s">
        <v>3840</v>
      </c>
      <c r="E86" s="11" t="str">
        <f>HYPERLINK("https://youtu.be/Ii7SBT9Lq6c?t=8072","channel 4")</f>
        <v>channel 4</v>
      </c>
    </row>
    <row r="87">
      <c r="A87" s="118"/>
      <c r="B87" s="32" t="s">
        <v>3839</v>
      </c>
      <c r="C87" s="33" t="s">
        <v>35</v>
      </c>
      <c r="D87" s="8" t="s">
        <v>3630</v>
      </c>
      <c r="E87" s="135" t="str">
        <f>HYPERLINK("https://youtu.be/xCPf9WHqaFM?t=8843","channel 2")</f>
        <v>channel 2</v>
      </c>
    </row>
    <row r="88">
      <c r="A88" s="118"/>
      <c r="B88" s="32" t="s">
        <v>3185</v>
      </c>
      <c r="C88" s="33" t="s">
        <v>190</v>
      </c>
      <c r="D88" s="32" t="s">
        <v>3840</v>
      </c>
      <c r="E88" s="11" t="str">
        <f>HYPERLINK("https://youtu.be/Ii7SBT9Lq6c?t=8974","channel 4")</f>
        <v>channel 4</v>
      </c>
    </row>
    <row r="89">
      <c r="A89" s="118"/>
      <c r="B89" s="72" t="s">
        <v>2575</v>
      </c>
      <c r="C89" s="2"/>
      <c r="D89" s="3"/>
      <c r="E89" s="138"/>
    </row>
    <row r="90">
      <c r="A90" s="118"/>
      <c r="B90" s="35" t="s">
        <v>2</v>
      </c>
      <c r="C90" s="35" t="s">
        <v>3</v>
      </c>
      <c r="D90" s="35" t="s">
        <v>4</v>
      </c>
      <c r="E90" s="16" t="s">
        <v>5</v>
      </c>
    </row>
    <row r="91">
      <c r="A91" s="118"/>
      <c r="B91" s="119" t="s">
        <v>3772</v>
      </c>
      <c r="C91" s="33" t="s">
        <v>28</v>
      </c>
      <c r="D91" s="32" t="s">
        <v>2210</v>
      </c>
      <c r="E91" s="135" t="str">
        <f>HYPERLINK("https://youtu.be/YR51g0pEjx8","channel 2")</f>
        <v>channel 2</v>
      </c>
    </row>
    <row r="92">
      <c r="A92" s="118"/>
      <c r="B92" s="32" t="s">
        <v>2941</v>
      </c>
      <c r="C92" s="33" t="s">
        <v>65</v>
      </c>
      <c r="D92" s="32" t="s">
        <v>1852</v>
      </c>
      <c r="E92" s="11" t="str">
        <f>HYPERLINK("https://youtu.be/2e2W9ppWmZU","channel 4")</f>
        <v>channel 4</v>
      </c>
    </row>
    <row r="93">
      <c r="A93" s="118"/>
      <c r="B93" s="32" t="s">
        <v>3843</v>
      </c>
      <c r="C93" s="33" t="s">
        <v>82</v>
      </c>
      <c r="D93" s="32" t="s">
        <v>3772</v>
      </c>
      <c r="E93" s="135" t="str">
        <f>HYPERLINK("https://youtu.be/YR51g0pEjx8?t=937","channel 2")</f>
        <v>channel 2</v>
      </c>
    </row>
    <row r="94">
      <c r="A94" s="118"/>
      <c r="B94" s="32" t="s">
        <v>2941</v>
      </c>
      <c r="C94" s="33" t="s">
        <v>207</v>
      </c>
      <c r="D94" s="32" t="s">
        <v>2210</v>
      </c>
      <c r="E94" s="11" t="str">
        <f>HYPERLINK("https://youtu.be/2e2W9ppWmZU?t=1159","channel 4")</f>
        <v>channel 4</v>
      </c>
    </row>
    <row r="95">
      <c r="A95" s="118"/>
      <c r="B95" s="32" t="s">
        <v>3843</v>
      </c>
      <c r="C95" s="37" t="s">
        <v>195</v>
      </c>
      <c r="D95" s="32" t="s">
        <v>1852</v>
      </c>
      <c r="E95" s="135" t="str">
        <f>HYPERLINK("https://youtu.be/YR51g0pEjx8?t=1823","channel 2")</f>
        <v>channel 2</v>
      </c>
    </row>
    <row r="96">
      <c r="A96" s="118"/>
      <c r="B96" s="32" t="s">
        <v>2941</v>
      </c>
      <c r="C96" s="33" t="s">
        <v>282</v>
      </c>
      <c r="D96" s="32" t="s">
        <v>3772</v>
      </c>
      <c r="E96" s="11" t="str">
        <f>HYPERLINK("https://youtu.be/2e2W9ppWmZU?t=2034","channel 4")</f>
        <v>channel 4</v>
      </c>
    </row>
    <row r="97">
      <c r="A97" s="118"/>
      <c r="B97" s="32" t="s">
        <v>3843</v>
      </c>
      <c r="C97" s="33" t="s">
        <v>81</v>
      </c>
      <c r="D97" s="32" t="s">
        <v>2210</v>
      </c>
      <c r="E97" s="135" t="str">
        <f>HYPERLINK("https://youtu.be/YR51g0pEjx8?t=2745","channel 2")</f>
        <v>channel 2</v>
      </c>
    </row>
    <row r="98">
      <c r="A98" s="118"/>
      <c r="B98" s="32" t="s">
        <v>1852</v>
      </c>
      <c r="C98" s="33" t="s">
        <v>81</v>
      </c>
      <c r="D98" s="32" t="s">
        <v>3772</v>
      </c>
      <c r="E98" s="11" t="str">
        <f>HYPERLINK("https://youtu.be/2e2W9ppWmZU?t=2936","channel 4")</f>
        <v>channel 4</v>
      </c>
    </row>
    <row r="99">
      <c r="A99" s="118"/>
      <c r="B99" s="32" t="s">
        <v>3843</v>
      </c>
      <c r="C99" s="33" t="s">
        <v>270</v>
      </c>
      <c r="D99" s="32" t="s">
        <v>2941</v>
      </c>
      <c r="E99" s="135" t="str">
        <f>HYPERLINK("https://youtu.be/YR51g0pEjx8?t=3655","channel 2")</f>
        <v>channel 2</v>
      </c>
    </row>
    <row r="100">
      <c r="A100" s="118"/>
      <c r="B100" s="32" t="s">
        <v>1852</v>
      </c>
      <c r="C100" s="33" t="s">
        <v>72</v>
      </c>
      <c r="D100" s="32" t="s">
        <v>2210</v>
      </c>
      <c r="E100" s="11" t="str">
        <f>HYPERLINK("https://youtu.be/2e2W9ppWmZU?t=3842","channel 4")</f>
        <v>channel 4</v>
      </c>
    </row>
    <row r="101">
      <c r="A101" s="118"/>
      <c r="B101" s="32" t="s">
        <v>2210</v>
      </c>
      <c r="C101" s="33" t="s">
        <v>218</v>
      </c>
      <c r="D101" s="32" t="s">
        <v>3772</v>
      </c>
      <c r="E101" s="135" t="str">
        <f>HYPERLINK("https://youtu.be/YR51g0pEjx8?t=4619","channel 2")</f>
        <v>channel 2</v>
      </c>
    </row>
    <row r="102">
      <c r="A102" s="118"/>
      <c r="B102" s="32" t="s">
        <v>1852</v>
      </c>
      <c r="C102" s="33" t="s">
        <v>267</v>
      </c>
      <c r="D102" s="32" t="s">
        <v>2941</v>
      </c>
      <c r="E102" s="11" t="str">
        <f>HYPERLINK("https://youtu.be/2e2W9ppWmZU?t=4821","channel 4")</f>
        <v>channel 4</v>
      </c>
    </row>
    <row r="103">
      <c r="A103" s="118"/>
      <c r="B103" s="32" t="s">
        <v>3772</v>
      </c>
      <c r="C103" s="33" t="s">
        <v>68</v>
      </c>
      <c r="D103" s="32" t="s">
        <v>3843</v>
      </c>
      <c r="E103" s="135" t="str">
        <f>HYPERLINK("https://youtu.be/YR51g0pEjx8?t=5559","channel 2")</f>
        <v>channel 2</v>
      </c>
    </row>
    <row r="104">
      <c r="A104" s="118"/>
      <c r="B104" s="32" t="s">
        <v>2210</v>
      </c>
      <c r="C104" s="33" t="s">
        <v>1019</v>
      </c>
      <c r="D104" s="32" t="s">
        <v>2941</v>
      </c>
      <c r="E104" s="11" t="str">
        <f>HYPERLINK("https://youtu.be/2e2W9ppWmZU?t=5729","channel 4")</f>
        <v>channel 4</v>
      </c>
    </row>
    <row r="105">
      <c r="A105" s="118"/>
      <c r="B105" s="32" t="s">
        <v>1852</v>
      </c>
      <c r="C105" s="33" t="s">
        <v>291</v>
      </c>
      <c r="D105" s="32" t="s">
        <v>3843</v>
      </c>
      <c r="E105" s="135" t="str">
        <f>HYPERLINK("https://youtu.be/YR51g0pEjx8?t=6644","channel 2")</f>
        <v>channel 2</v>
      </c>
    </row>
    <row r="106">
      <c r="A106" s="118"/>
      <c r="B106" s="32" t="s">
        <v>3772</v>
      </c>
      <c r="C106" s="33" t="s">
        <v>291</v>
      </c>
      <c r="D106" s="32" t="s">
        <v>2941</v>
      </c>
      <c r="E106" s="11" t="str">
        <f>HYPERLINK("https://youtu.be/2e2W9ppWmZU?t=6818","channel 4")</f>
        <v>channel 4</v>
      </c>
    </row>
    <row r="107">
      <c r="A107" s="118"/>
      <c r="B107" s="32" t="s">
        <v>2210</v>
      </c>
      <c r="C107" s="33" t="s">
        <v>45</v>
      </c>
      <c r="D107" s="32" t="s">
        <v>3843</v>
      </c>
      <c r="E107" s="135" t="str">
        <f>HYPERLINK("https://youtu.be/YR51g0pEjx8?t=7558","channel 2")</f>
        <v>channel 2</v>
      </c>
    </row>
    <row r="108">
      <c r="A108" s="118"/>
      <c r="B108" s="32" t="s">
        <v>3772</v>
      </c>
      <c r="C108" s="33" t="s">
        <v>87</v>
      </c>
      <c r="D108" s="32" t="s">
        <v>1852</v>
      </c>
      <c r="E108" s="11" t="str">
        <f>HYPERLINK("https://youtu.be/2e2W9ppWmZU?t=7717","channel 4")</f>
        <v>channel 4</v>
      </c>
    </row>
    <row r="109">
      <c r="A109" s="118"/>
      <c r="B109" s="32" t="s">
        <v>2941</v>
      </c>
      <c r="C109" s="33" t="s">
        <v>251</v>
      </c>
      <c r="D109" s="32" t="s">
        <v>3843</v>
      </c>
      <c r="E109" s="135" t="str">
        <f>HYPERLINK("https://youtu.be/YR51g0pEjx8?t=8519","channel 2")</f>
        <v>channel 2</v>
      </c>
    </row>
    <row r="110">
      <c r="A110" s="118"/>
      <c r="B110" s="32" t="s">
        <v>2210</v>
      </c>
      <c r="C110" s="33" t="s">
        <v>413</v>
      </c>
      <c r="D110" s="32" t="s">
        <v>1852</v>
      </c>
      <c r="E110" s="11" t="str">
        <f>HYPERLINK("https://youtu.be/2e2W9ppWmZU?t=8614","channel 4")</f>
        <v>channel 4</v>
      </c>
    </row>
    <row r="111">
      <c r="A111" s="118"/>
      <c r="B111" s="72" t="s">
        <v>2200</v>
      </c>
      <c r="C111" s="2"/>
      <c r="D111" s="3"/>
      <c r="E111" s="138"/>
    </row>
    <row r="112">
      <c r="A112" s="118"/>
      <c r="B112" s="35" t="s">
        <v>2</v>
      </c>
      <c r="C112" s="35" t="s">
        <v>3</v>
      </c>
      <c r="D112" s="35" t="s">
        <v>4</v>
      </c>
      <c r="E112" s="16" t="s">
        <v>5</v>
      </c>
    </row>
    <row r="113">
      <c r="A113" s="118"/>
      <c r="B113" s="119" t="s">
        <v>3252</v>
      </c>
      <c r="C113" s="33" t="s">
        <v>17</v>
      </c>
      <c r="D113" s="32" t="s">
        <v>1536</v>
      </c>
      <c r="E113" s="135" t="str">
        <f>HYPERLINK("https://youtu.be/e_F5bSS6D9c","channel 2")</f>
        <v>channel 2</v>
      </c>
    </row>
    <row r="114">
      <c r="A114" s="118"/>
      <c r="B114" s="32" t="s">
        <v>3844</v>
      </c>
      <c r="C114" s="33" t="s">
        <v>220</v>
      </c>
      <c r="D114" s="32" t="s">
        <v>3781</v>
      </c>
      <c r="E114" s="11" t="str">
        <f>HYPERLINK("https://youtu.be/1PLKyyPW1Ic","channel 4")</f>
        <v>channel 4</v>
      </c>
    </row>
    <row r="115">
      <c r="A115" s="118"/>
      <c r="B115" s="32" t="s">
        <v>2060</v>
      </c>
      <c r="C115" s="33" t="s">
        <v>58</v>
      </c>
      <c r="D115" s="32" t="s">
        <v>3252</v>
      </c>
      <c r="E115" s="135" t="str">
        <f>HYPERLINK("https://youtu.be/e_F5bSS6D9c?t=947","channel 2")</f>
        <v>channel 2</v>
      </c>
    </row>
    <row r="116">
      <c r="A116" s="118"/>
      <c r="B116" s="32" t="s">
        <v>3844</v>
      </c>
      <c r="C116" s="33" t="s">
        <v>25</v>
      </c>
      <c r="D116" s="32" t="s">
        <v>1536</v>
      </c>
      <c r="E116" s="11" t="str">
        <f>HYPERLINK("https://youtu.be/1PLKyyPW1Ic?t=1112","channel 4")</f>
        <v>channel 4</v>
      </c>
    </row>
    <row r="117">
      <c r="A117" s="118"/>
      <c r="B117" s="32" t="s">
        <v>2060</v>
      </c>
      <c r="C117" s="33" t="s">
        <v>187</v>
      </c>
      <c r="D117" s="32" t="s">
        <v>3781</v>
      </c>
      <c r="E117" s="135" t="str">
        <f>HYPERLINK("https://youtu.be/e_F5bSS6D9c?t=1857","channel 2")</f>
        <v>channel 2</v>
      </c>
    </row>
    <row r="118">
      <c r="A118" s="118"/>
      <c r="B118" s="32" t="s">
        <v>3844</v>
      </c>
      <c r="C118" s="33" t="s">
        <v>260</v>
      </c>
      <c r="D118" s="32" t="s">
        <v>3252</v>
      </c>
      <c r="E118" s="11" t="str">
        <f>HYPERLINK("https://youtu.be/1PLKyyPW1Ic?t=2003","channel 4")</f>
        <v>channel 4</v>
      </c>
    </row>
    <row r="119">
      <c r="A119" s="118"/>
      <c r="B119" s="32" t="s">
        <v>2060</v>
      </c>
      <c r="C119" s="33" t="s">
        <v>239</v>
      </c>
      <c r="D119" s="32" t="s">
        <v>1536</v>
      </c>
      <c r="E119" s="135" t="str">
        <f>HYPERLINK("https://youtu.be/e_F5bSS6D9c?t=2778","channel 2")</f>
        <v>channel 2</v>
      </c>
    </row>
    <row r="120">
      <c r="A120" s="118"/>
      <c r="B120" s="32" t="s">
        <v>3781</v>
      </c>
      <c r="C120" s="33" t="s">
        <v>28</v>
      </c>
      <c r="D120" s="32" t="s">
        <v>3252</v>
      </c>
      <c r="E120" s="11" t="str">
        <f>HYPERLINK("https://youtu.be/1PLKyyPW1Ic?t=2923","channel 4")</f>
        <v>channel 4</v>
      </c>
    </row>
    <row r="121">
      <c r="A121" s="118"/>
      <c r="B121" s="32" t="s">
        <v>2060</v>
      </c>
      <c r="C121" s="33" t="s">
        <v>196</v>
      </c>
      <c r="D121" s="32" t="s">
        <v>3844</v>
      </c>
      <c r="E121" s="135" t="str">
        <f>HYPERLINK("https://youtu.be/e_F5bSS6D9c?t=3684","channel 2")</f>
        <v>channel 2</v>
      </c>
    </row>
    <row r="122">
      <c r="A122" s="118"/>
      <c r="B122" s="32" t="s">
        <v>3781</v>
      </c>
      <c r="C122" s="33" t="s">
        <v>7</v>
      </c>
      <c r="D122" s="32" t="s">
        <v>1536</v>
      </c>
      <c r="E122" s="11" t="str">
        <f>HYPERLINK("https://youtu.be/1PLKyyPW1Ic?t=3831","channel 4")</f>
        <v>channel 4</v>
      </c>
    </row>
    <row r="123">
      <c r="A123" s="118"/>
      <c r="B123" s="32" t="s">
        <v>1536</v>
      </c>
      <c r="C123" s="33" t="s">
        <v>64</v>
      </c>
      <c r="D123" s="32" t="s">
        <v>3252</v>
      </c>
      <c r="E123" s="135" t="str">
        <f>HYPERLINK("https://youtu.be/e_F5bSS6D9c?t=4589","channel 2")</f>
        <v>channel 2</v>
      </c>
    </row>
    <row r="124">
      <c r="A124" s="118"/>
      <c r="B124" s="32" t="s">
        <v>3781</v>
      </c>
      <c r="C124" s="33" t="s">
        <v>1102</v>
      </c>
      <c r="D124" s="32" t="s">
        <v>3844</v>
      </c>
      <c r="E124" s="11" t="str">
        <f>HYPERLINK("https://youtu.be/1PLKyyPW1Ic?t=4764","channel 4")</f>
        <v>channel 4</v>
      </c>
    </row>
    <row r="125">
      <c r="A125" s="118"/>
      <c r="B125" s="32" t="s">
        <v>3252</v>
      </c>
      <c r="C125" s="33" t="s">
        <v>35</v>
      </c>
      <c r="D125" s="32" t="s">
        <v>2060</v>
      </c>
      <c r="E125" s="135" t="str">
        <f>HYPERLINK("https://youtu.be/e_F5bSS6D9c?t=5489","channel 2")</f>
        <v>channel 2</v>
      </c>
    </row>
    <row r="126">
      <c r="A126" s="118"/>
      <c r="B126" s="32" t="s">
        <v>1536</v>
      </c>
      <c r="C126" s="33" t="s">
        <v>355</v>
      </c>
      <c r="D126" s="32" t="s">
        <v>3844</v>
      </c>
      <c r="E126" s="11" t="str">
        <f>HYPERLINK("https://youtu.be/1PLKyyPW1Ic?t=5669","channel 4")</f>
        <v>channel 4</v>
      </c>
    </row>
    <row r="127">
      <c r="A127" s="118"/>
      <c r="B127" s="32" t="s">
        <v>3781</v>
      </c>
      <c r="C127" s="33" t="s">
        <v>320</v>
      </c>
      <c r="D127" s="32" t="s">
        <v>2060</v>
      </c>
      <c r="E127" s="135" t="str">
        <f>HYPERLINK("https://youtu.be/e_F5bSS6D9c?t=6491","channel 2")</f>
        <v>channel 2</v>
      </c>
    </row>
    <row r="128">
      <c r="A128" s="118"/>
      <c r="B128" s="32" t="s">
        <v>3252</v>
      </c>
      <c r="C128" s="33" t="s">
        <v>857</v>
      </c>
      <c r="D128" s="32" t="s">
        <v>3844</v>
      </c>
      <c r="E128" s="11" t="str">
        <f>HYPERLINK("https://youtu.be/1PLKyyPW1Ic?t=6675","channel 4")</f>
        <v>channel 4</v>
      </c>
    </row>
    <row r="129">
      <c r="A129" s="118"/>
      <c r="B129" s="32" t="s">
        <v>1536</v>
      </c>
      <c r="C129" s="33" t="s">
        <v>88</v>
      </c>
      <c r="D129" s="32" t="s">
        <v>2060</v>
      </c>
      <c r="E129" s="135" t="str">
        <f>HYPERLINK("https://youtu.be/e_F5bSS6D9c?t=7454","channel 2")</f>
        <v>channel 2</v>
      </c>
    </row>
    <row r="130">
      <c r="A130" s="118"/>
      <c r="B130" s="32" t="s">
        <v>3252</v>
      </c>
      <c r="C130" s="33" t="s">
        <v>78</v>
      </c>
      <c r="D130" s="32" t="s">
        <v>3781</v>
      </c>
      <c r="E130" s="11" t="str">
        <f>HYPERLINK("https://youtu.be/1PLKyyPW1Ic?t=7648","channel 4")</f>
        <v>channel 4</v>
      </c>
    </row>
    <row r="131">
      <c r="A131" s="118"/>
      <c r="B131" s="32" t="s">
        <v>3844</v>
      </c>
      <c r="C131" s="33" t="s">
        <v>66</v>
      </c>
      <c r="D131" s="32" t="s">
        <v>2060</v>
      </c>
      <c r="E131" s="135" t="str">
        <f>HYPERLINK("https://youtu.be/e_F5bSS6D9c?t=8522","channel 2")</f>
        <v>channel 2</v>
      </c>
    </row>
    <row r="132">
      <c r="A132" s="122"/>
      <c r="B132" s="32" t="s">
        <v>1536</v>
      </c>
      <c r="C132" s="33" t="s">
        <v>201</v>
      </c>
      <c r="D132" s="32" t="s">
        <v>3781</v>
      </c>
      <c r="E132" s="11" t="str">
        <f>HYPERLINK("https://youtu.be/1PLKyyPW1Ic?t=8635","channel 4")</f>
        <v>channel 4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7"/>
      <c r="B1" s="72" t="s">
        <v>2370</v>
      </c>
      <c r="C1" s="2"/>
      <c r="D1" s="3"/>
      <c r="E1" s="134"/>
    </row>
    <row r="2">
      <c r="A2" s="118"/>
      <c r="B2" s="35" t="s">
        <v>2</v>
      </c>
      <c r="C2" s="35" t="s">
        <v>3</v>
      </c>
      <c r="D2" s="35" t="s">
        <v>4</v>
      </c>
      <c r="E2" s="6" t="s">
        <v>5</v>
      </c>
    </row>
    <row r="3">
      <c r="A3" s="118"/>
      <c r="B3" s="32" t="s">
        <v>3845</v>
      </c>
      <c r="C3" s="33" t="s">
        <v>201</v>
      </c>
      <c r="D3" s="32" t="s">
        <v>3078</v>
      </c>
      <c r="E3" s="135" t="str">
        <f>HYPERLINK("https://youtu.be/59ubV-yidPk","channel 1")</f>
        <v>channel 1</v>
      </c>
    </row>
    <row r="4">
      <c r="A4" s="118"/>
      <c r="B4" s="32" t="s">
        <v>3471</v>
      </c>
      <c r="C4" s="60" t="s">
        <v>41</v>
      </c>
      <c r="D4" s="32" t="s">
        <v>3846</v>
      </c>
      <c r="E4" s="11" t="str">
        <f>HYPERLINK("https://youtu.be/_47birgidd4","channel 2")</f>
        <v>channel 2</v>
      </c>
    </row>
    <row r="5">
      <c r="A5" s="118"/>
      <c r="B5" s="32" t="s">
        <v>3847</v>
      </c>
      <c r="C5" s="33" t="s">
        <v>195</v>
      </c>
      <c r="D5" s="32" t="s">
        <v>3845</v>
      </c>
      <c r="E5" s="135" t="str">
        <f>HYPERLINK("https://youtu.be/59ubV-yidPk?t=947","channel 1")</f>
        <v>channel 1</v>
      </c>
    </row>
    <row r="6">
      <c r="A6" s="118"/>
      <c r="B6" s="32" t="s">
        <v>3471</v>
      </c>
      <c r="C6" s="33" t="s">
        <v>196</v>
      </c>
      <c r="D6" s="32" t="s">
        <v>3078</v>
      </c>
      <c r="E6" s="11" t="str">
        <f>HYPERLINK("https://youtu.be/_47birgidd4?t=935","channel 2")</f>
        <v>channel 2</v>
      </c>
    </row>
    <row r="7">
      <c r="A7" s="118"/>
      <c r="B7" s="32" t="s">
        <v>3847</v>
      </c>
      <c r="C7" s="33" t="s">
        <v>369</v>
      </c>
      <c r="D7" s="32" t="s">
        <v>3846</v>
      </c>
      <c r="E7" s="135" t="str">
        <f>HYPERLINK("https://youtu.be/59ubV-yidPk?t=1867","channel 1")</f>
        <v>channel 1</v>
      </c>
    </row>
    <row r="8">
      <c r="A8" s="118"/>
      <c r="B8" s="32" t="s">
        <v>3471</v>
      </c>
      <c r="C8" s="33" t="s">
        <v>297</v>
      </c>
      <c r="D8" s="32" t="s">
        <v>3845</v>
      </c>
      <c r="E8" s="11" t="str">
        <f>HYPERLINK("https://youtu.be/_47birgidd4?t=1935","channel 2")</f>
        <v>channel 2</v>
      </c>
    </row>
    <row r="9">
      <c r="A9" s="118"/>
      <c r="B9" s="32" t="s">
        <v>3847</v>
      </c>
      <c r="C9" s="33" t="s">
        <v>196</v>
      </c>
      <c r="D9" s="32" t="s">
        <v>3078</v>
      </c>
      <c r="E9" s="135" t="str">
        <f>HYPERLINK("https://youtu.be/59ubV-yidPk?t=2884","channel 1")</f>
        <v>channel 1</v>
      </c>
    </row>
    <row r="10">
      <c r="A10" s="118"/>
      <c r="B10" s="32" t="s">
        <v>3846</v>
      </c>
      <c r="C10" s="33" t="s">
        <v>49</v>
      </c>
      <c r="D10" s="32" t="s">
        <v>3845</v>
      </c>
      <c r="E10" s="11" t="str">
        <f>HYPERLINK("https://youtu.be/_47birgidd4?t=2870","channel 2")</f>
        <v>channel 2</v>
      </c>
    </row>
    <row r="11">
      <c r="A11" s="118"/>
      <c r="B11" s="32" t="s">
        <v>3847</v>
      </c>
      <c r="C11" s="33" t="s">
        <v>282</v>
      </c>
      <c r="D11" s="32" t="s">
        <v>3471</v>
      </c>
      <c r="E11" s="135" t="str">
        <f>HYPERLINK("https://youtu.be/59ubV-yidPk?t=3779","channel 1")</f>
        <v>channel 1</v>
      </c>
    </row>
    <row r="12">
      <c r="A12" s="118"/>
      <c r="B12" s="32" t="s">
        <v>3846</v>
      </c>
      <c r="C12" s="33" t="s">
        <v>284</v>
      </c>
      <c r="D12" s="32" t="s">
        <v>3078</v>
      </c>
      <c r="E12" s="11" t="str">
        <f>HYPERLINK("https://youtu.be/_47birgidd4?t=3811","channel 2")</f>
        <v>channel 2</v>
      </c>
    </row>
    <row r="13">
      <c r="A13" s="118"/>
      <c r="B13" s="32" t="s">
        <v>3078</v>
      </c>
      <c r="C13" s="33" t="s">
        <v>218</v>
      </c>
      <c r="D13" s="32" t="s">
        <v>3845</v>
      </c>
      <c r="E13" s="135" t="str">
        <f>HYPERLINK("https://youtu.be/59ubV-yidPk?t=4664","channel 1")</f>
        <v>channel 1</v>
      </c>
    </row>
    <row r="14">
      <c r="A14" s="118"/>
      <c r="B14" s="32" t="s">
        <v>3846</v>
      </c>
      <c r="C14" s="33" t="s">
        <v>21</v>
      </c>
      <c r="D14" s="32" t="s">
        <v>3471</v>
      </c>
      <c r="E14" s="11" t="str">
        <f>HYPERLINK("https://youtu.be/_47birgidd4?t=4791","channel 2")</f>
        <v>channel 2</v>
      </c>
    </row>
    <row r="15">
      <c r="A15" s="118"/>
      <c r="B15" s="32" t="s">
        <v>3845</v>
      </c>
      <c r="C15" s="37" t="s">
        <v>27</v>
      </c>
      <c r="D15" s="32" t="s">
        <v>3847</v>
      </c>
      <c r="E15" s="135" t="str">
        <f>HYPERLINK("https://youtu.be/59ubV-yidPk?t=5624","channel 1")</f>
        <v>channel 1</v>
      </c>
    </row>
    <row r="16">
      <c r="A16" s="118"/>
      <c r="B16" s="32" t="s">
        <v>3078</v>
      </c>
      <c r="C16" s="33" t="s">
        <v>11</v>
      </c>
      <c r="D16" s="32" t="s">
        <v>3471</v>
      </c>
      <c r="E16" s="11" t="str">
        <f>HYPERLINK("https://youtu.be/_47birgidd4?t=5756","channel 2")</f>
        <v>channel 2</v>
      </c>
    </row>
    <row r="17">
      <c r="A17" s="118"/>
      <c r="B17" s="32" t="s">
        <v>3846</v>
      </c>
      <c r="C17" s="33" t="s">
        <v>534</v>
      </c>
      <c r="D17" s="32" t="s">
        <v>3847</v>
      </c>
      <c r="E17" s="135" t="str">
        <f>HYPERLINK("https://youtu.be/59ubV-yidPk?t=6536","channel 1")</f>
        <v>channel 1</v>
      </c>
    </row>
    <row r="18">
      <c r="A18" s="118"/>
      <c r="B18" s="32" t="s">
        <v>3845</v>
      </c>
      <c r="C18" s="33" t="s">
        <v>297</v>
      </c>
      <c r="D18" s="32" t="s">
        <v>3471</v>
      </c>
      <c r="E18" s="11" t="str">
        <f>HYPERLINK("https://youtu.be/_47birgidd4?t=6566","channel 2")</f>
        <v>channel 2</v>
      </c>
    </row>
    <row r="19">
      <c r="A19" s="118"/>
      <c r="B19" s="32" t="s">
        <v>3078</v>
      </c>
      <c r="C19" s="33" t="s">
        <v>68</v>
      </c>
      <c r="D19" s="32" t="s">
        <v>3847</v>
      </c>
      <c r="E19" s="135" t="str">
        <f>HYPERLINK("https://youtu.be/59ubV-yidPk?t=7504","channel 1")</f>
        <v>channel 1</v>
      </c>
    </row>
    <row r="20">
      <c r="A20" s="118"/>
      <c r="B20" s="32" t="s">
        <v>3845</v>
      </c>
      <c r="C20" s="33" t="s">
        <v>267</v>
      </c>
      <c r="D20" s="32" t="s">
        <v>3846</v>
      </c>
      <c r="E20" s="11" t="str">
        <f>HYPERLINK("https://youtu.be/_47birgidd4?t=7652","channel 2")</f>
        <v>channel 2</v>
      </c>
    </row>
    <row r="21">
      <c r="A21" s="118"/>
      <c r="B21" s="32" t="s">
        <v>3471</v>
      </c>
      <c r="C21" s="33" t="s">
        <v>194</v>
      </c>
      <c r="D21" s="32" t="s">
        <v>3847</v>
      </c>
      <c r="E21" s="135" t="str">
        <f>HYPERLINK("https://youtu.be/59ubV-yidPk?t=8413","channel 1")</f>
        <v>channel 1</v>
      </c>
    </row>
    <row r="22">
      <c r="A22" s="118"/>
      <c r="B22" s="32" t="s">
        <v>3078</v>
      </c>
      <c r="C22" s="33" t="s">
        <v>19</v>
      </c>
      <c r="D22" s="32" t="s">
        <v>3846</v>
      </c>
      <c r="E22" s="11" t="str">
        <f>HYPERLINK("https://youtu.be/_47birgidd4?t=8477","channel 2")</f>
        <v>channel 2</v>
      </c>
    </row>
    <row r="23">
      <c r="A23" s="118"/>
      <c r="B23" s="72" t="s">
        <v>2099</v>
      </c>
      <c r="C23" s="2"/>
      <c r="D23" s="3"/>
      <c r="E23" s="134"/>
    </row>
    <row r="24">
      <c r="A24" s="118"/>
      <c r="B24" s="35" t="s">
        <v>2</v>
      </c>
      <c r="C24" s="35" t="s">
        <v>3</v>
      </c>
      <c r="D24" s="35" t="s">
        <v>4</v>
      </c>
      <c r="E24" s="6" t="s">
        <v>5</v>
      </c>
    </row>
    <row r="25">
      <c r="A25" s="118"/>
      <c r="B25" s="32" t="s">
        <v>2494</v>
      </c>
      <c r="C25" s="33" t="s">
        <v>212</v>
      </c>
      <c r="D25" s="32" t="s">
        <v>2860</v>
      </c>
      <c r="E25" s="135" t="str">
        <f>HYPERLINK("https://youtu.be/Q4-H38BKQiU","channel 1")</f>
        <v>channel 1</v>
      </c>
    </row>
    <row r="26">
      <c r="A26" s="118"/>
      <c r="B26" s="32" t="s">
        <v>3848</v>
      </c>
      <c r="C26" s="33" t="s">
        <v>231</v>
      </c>
      <c r="D26" s="32" t="s">
        <v>3849</v>
      </c>
      <c r="E26" s="11" t="str">
        <f>HYPERLINK("https://youtu.be/v7vA5ODz5dU","channel 2")</f>
        <v>channel 2</v>
      </c>
    </row>
    <row r="27">
      <c r="A27" s="118"/>
      <c r="B27" s="32" t="s">
        <v>3850</v>
      </c>
      <c r="C27" s="33" t="s">
        <v>78</v>
      </c>
      <c r="D27" s="32" t="s">
        <v>2494</v>
      </c>
      <c r="E27" s="135" t="str">
        <f>HYPERLINK("https://youtu.be/Q4-H38BKQiU?t=1065","channel 1")</f>
        <v>channel 1</v>
      </c>
    </row>
    <row r="28">
      <c r="A28" s="118"/>
      <c r="B28" s="32" t="s">
        <v>3848</v>
      </c>
      <c r="C28" s="33" t="s">
        <v>187</v>
      </c>
      <c r="D28" s="32" t="s">
        <v>2860</v>
      </c>
      <c r="E28" s="11" t="str">
        <f>HYPERLINK("https://youtu.be/v7vA5ODz5dU?t=866","channel 2")</f>
        <v>channel 2</v>
      </c>
    </row>
    <row r="29">
      <c r="A29" s="118"/>
      <c r="B29" s="32" t="s">
        <v>3850</v>
      </c>
      <c r="C29" s="33" t="s">
        <v>67</v>
      </c>
      <c r="D29" s="32" t="s">
        <v>3849</v>
      </c>
      <c r="E29" s="135" t="str">
        <f>HYPERLINK("https://youtu.be/Q4-H38BKQiU?t=2025","channel 1")</f>
        <v>channel 1</v>
      </c>
    </row>
    <row r="30">
      <c r="A30" s="118"/>
      <c r="B30" s="32" t="s">
        <v>3848</v>
      </c>
      <c r="C30" s="33" t="s">
        <v>1712</v>
      </c>
      <c r="D30" s="32" t="s">
        <v>2494</v>
      </c>
      <c r="E30" s="11" t="str">
        <f>HYPERLINK("https://youtu.be/v7vA5ODz5dU?t=1907","channel 2")</f>
        <v>channel 2</v>
      </c>
    </row>
    <row r="31">
      <c r="A31" s="118"/>
      <c r="B31" s="32" t="s">
        <v>3850</v>
      </c>
      <c r="C31" s="33" t="s">
        <v>69</v>
      </c>
      <c r="D31" s="32" t="s">
        <v>2860</v>
      </c>
      <c r="E31" s="135" t="str">
        <f>HYPERLINK("https://youtu.be/Q4-H38BKQiU?t=2996","channel 1")</f>
        <v>channel 1</v>
      </c>
    </row>
    <row r="32">
      <c r="A32" s="118"/>
      <c r="B32" s="32" t="s">
        <v>3849</v>
      </c>
      <c r="C32" s="33" t="s">
        <v>354</v>
      </c>
      <c r="D32" s="32" t="s">
        <v>2494</v>
      </c>
      <c r="E32" s="11" t="str">
        <f>HYPERLINK("https://youtu.be/v7vA5ODz5dU?t=2934","channel 2")</f>
        <v>channel 2</v>
      </c>
    </row>
    <row r="33">
      <c r="A33" s="118"/>
      <c r="B33" s="32" t="s">
        <v>3850</v>
      </c>
      <c r="C33" s="33" t="s">
        <v>3851</v>
      </c>
      <c r="D33" s="32" t="s">
        <v>3848</v>
      </c>
      <c r="E33" s="135" t="str">
        <f>HYPERLINK("https://youtu.be/Q4-H38BKQiU?t=3943","channel 1")</f>
        <v>channel 1</v>
      </c>
    </row>
    <row r="34">
      <c r="A34" s="118"/>
      <c r="B34" s="32" t="s">
        <v>3849</v>
      </c>
      <c r="C34" s="33" t="s">
        <v>81</v>
      </c>
      <c r="D34" s="32" t="s">
        <v>2860</v>
      </c>
      <c r="E34" s="11" t="str">
        <f>HYPERLINK("https://youtu.be/v7vA5ODz5dU?t=3840","channel 2")</f>
        <v>channel 2</v>
      </c>
    </row>
    <row r="35">
      <c r="A35" s="118"/>
      <c r="B35" s="32" t="s">
        <v>2860</v>
      </c>
      <c r="C35" s="33" t="s">
        <v>64</v>
      </c>
      <c r="D35" s="32" t="s">
        <v>2494</v>
      </c>
      <c r="E35" s="135" t="str">
        <f>HYPERLINK("https://youtu.be/Q4-H38BKQiU?t=5007","channel 1")</f>
        <v>channel 1</v>
      </c>
    </row>
    <row r="36">
      <c r="A36" s="118"/>
      <c r="B36" s="32" t="s">
        <v>3849</v>
      </c>
      <c r="C36" s="33" t="s">
        <v>321</v>
      </c>
      <c r="D36" s="32" t="s">
        <v>3848</v>
      </c>
      <c r="E36" s="11" t="str">
        <f>HYPERLINK("https://youtu.be/v7vA5ODz5dU?t=4841","channel 2")</f>
        <v>channel 2</v>
      </c>
    </row>
    <row r="37">
      <c r="A37" s="118"/>
      <c r="B37" s="32" t="s">
        <v>2494</v>
      </c>
      <c r="C37" s="33" t="s">
        <v>16</v>
      </c>
      <c r="D37" s="32" t="s">
        <v>3850</v>
      </c>
      <c r="E37" s="135" t="str">
        <f>HYPERLINK("https://youtu.be/Q4-H38BKQiU?t=5937","channel 1")</f>
        <v>channel 1</v>
      </c>
    </row>
    <row r="38">
      <c r="A38" s="118"/>
      <c r="B38" s="32" t="s">
        <v>2860</v>
      </c>
      <c r="C38" s="33" t="s">
        <v>78</v>
      </c>
      <c r="D38" s="32" t="s">
        <v>3848</v>
      </c>
      <c r="E38" s="11" t="str">
        <f>HYPERLINK("https://youtu.be/v7vA5ODz5dU?t=5718","channel 2")</f>
        <v>channel 2</v>
      </c>
    </row>
    <row r="39">
      <c r="A39" s="118"/>
      <c r="B39" s="32" t="s">
        <v>3849</v>
      </c>
      <c r="C39" s="35" t="s">
        <v>1283</v>
      </c>
      <c r="D39" s="32" t="s">
        <v>3850</v>
      </c>
      <c r="E39" s="135" t="str">
        <f>HYPERLINK("https://youtu.be/Q4-H38BKQiU?t=6843","channel 1")</f>
        <v>channel 1</v>
      </c>
    </row>
    <row r="40">
      <c r="A40" s="118"/>
      <c r="B40" s="32" t="s">
        <v>2494</v>
      </c>
      <c r="C40" s="33" t="s">
        <v>285</v>
      </c>
      <c r="D40" s="32" t="s">
        <v>3848</v>
      </c>
      <c r="E40" s="11" t="str">
        <f>HYPERLINK("https://youtu.be/v7vA5ODz5dU?t=6854","channel 2")</f>
        <v>channel 2</v>
      </c>
    </row>
    <row r="41">
      <c r="A41" s="118"/>
      <c r="B41" s="32" t="s">
        <v>2860</v>
      </c>
      <c r="C41" s="33" t="s">
        <v>17</v>
      </c>
      <c r="D41" s="32" t="s">
        <v>3850</v>
      </c>
      <c r="E41" s="135" t="str">
        <f>HYPERLINK("https://youtu.be/Q4-H38BKQiU?t=7784","channel 1")</f>
        <v>channel 1</v>
      </c>
    </row>
    <row r="42">
      <c r="A42" s="118"/>
      <c r="B42" s="32" t="s">
        <v>2494</v>
      </c>
      <c r="C42" s="33" t="s">
        <v>17</v>
      </c>
      <c r="D42" s="32" t="s">
        <v>3849</v>
      </c>
      <c r="E42" s="11" t="str">
        <f>HYPERLINK("https://youtu.be/v7vA5ODz5dU?t=7701","channel 2")</f>
        <v>channel 2</v>
      </c>
    </row>
    <row r="43">
      <c r="A43" s="118"/>
      <c r="B43" s="32" t="s">
        <v>3848</v>
      </c>
      <c r="C43" s="33" t="s">
        <v>41</v>
      </c>
      <c r="D43" s="32" t="s">
        <v>3850</v>
      </c>
      <c r="E43" s="135" t="str">
        <f>HYPERLINK("https://youtu.be/Q4-H38BKQiU?t=8684","channel 1")</f>
        <v>channel 1</v>
      </c>
    </row>
    <row r="44">
      <c r="A44" s="118"/>
      <c r="B44" s="32" t="s">
        <v>2860</v>
      </c>
      <c r="C44" s="33" t="s">
        <v>190</v>
      </c>
      <c r="D44" s="32" t="s">
        <v>3849</v>
      </c>
      <c r="E44" s="11" t="str">
        <f>HYPERLINK("https://youtu.be/v7vA5ODz5dU?t=8552","channel 2")</f>
        <v>channel 2</v>
      </c>
    </row>
    <row r="45">
      <c r="A45" s="118"/>
      <c r="B45" s="72" t="s">
        <v>2316</v>
      </c>
      <c r="C45" s="2"/>
      <c r="D45" s="3"/>
      <c r="E45" s="134"/>
    </row>
    <row r="46">
      <c r="A46" s="118"/>
      <c r="B46" s="35" t="s">
        <v>2</v>
      </c>
      <c r="C46" s="35" t="s">
        <v>3</v>
      </c>
      <c r="D46" s="35" t="s">
        <v>4</v>
      </c>
      <c r="E46" s="6" t="s">
        <v>5</v>
      </c>
    </row>
    <row r="47">
      <c r="A47" s="118"/>
      <c r="B47" s="32" t="s">
        <v>2792</v>
      </c>
      <c r="C47" s="33" t="s">
        <v>72</v>
      </c>
      <c r="D47" s="32" t="s">
        <v>3852</v>
      </c>
      <c r="E47" s="135" t="str">
        <f>HYPERLINK("https://youtu.be/wgAUW9VVME8","channel 1")</f>
        <v>channel 1</v>
      </c>
    </row>
    <row r="48">
      <c r="A48" s="118"/>
      <c r="B48" s="32" t="s">
        <v>3853</v>
      </c>
      <c r="C48" s="33" t="s">
        <v>260</v>
      </c>
      <c r="D48" s="32" t="s">
        <v>3854</v>
      </c>
      <c r="E48" s="11" t="str">
        <f>HYPERLINK("https://youtu.be/JTyjUH-YsSY","channel 2")</f>
        <v>channel 2</v>
      </c>
    </row>
    <row r="49">
      <c r="A49" s="118"/>
      <c r="B49" s="32" t="s">
        <v>3573</v>
      </c>
      <c r="C49" s="33" t="s">
        <v>41</v>
      </c>
      <c r="D49" s="32" t="s">
        <v>2792</v>
      </c>
      <c r="E49" s="135" t="str">
        <f>HYPERLINK("https://youtu.be/wgAUW9VVME8?t=913","channel 1")</f>
        <v>channel 1</v>
      </c>
    </row>
    <row r="50">
      <c r="A50" s="118"/>
      <c r="B50" s="32" t="s">
        <v>3853</v>
      </c>
      <c r="C50" s="33" t="s">
        <v>87</v>
      </c>
      <c r="D50" s="32" t="s">
        <v>3852</v>
      </c>
      <c r="E50" s="11" t="str">
        <f>HYPERLINK("https://youtu.be/JTyjUH-YsSY?t=863","channel 2")</f>
        <v>channel 2</v>
      </c>
    </row>
    <row r="51">
      <c r="A51" s="118"/>
      <c r="B51" s="32" t="s">
        <v>3573</v>
      </c>
      <c r="C51" s="33" t="s">
        <v>25</v>
      </c>
      <c r="D51" s="81" t="s">
        <v>3854</v>
      </c>
      <c r="E51" s="135" t="str">
        <f>HYPERLINK("https://youtu.be/wgAUW9VVME8?t=1827","channel 1")</f>
        <v>channel 1</v>
      </c>
    </row>
    <row r="52">
      <c r="A52" s="118"/>
      <c r="B52" s="32" t="s">
        <v>3853</v>
      </c>
      <c r="C52" s="33" t="s">
        <v>319</v>
      </c>
      <c r="D52" s="32" t="s">
        <v>2792</v>
      </c>
      <c r="E52" s="11" t="str">
        <f>HYPERLINK("https://youtu.be/JTyjUH-YsSY?t=1812","channel 2")</f>
        <v>channel 2</v>
      </c>
    </row>
    <row r="53">
      <c r="A53" s="118"/>
      <c r="B53" s="32" t="s">
        <v>3573</v>
      </c>
      <c r="C53" s="33" t="s">
        <v>906</v>
      </c>
      <c r="D53" s="32" t="s">
        <v>3852</v>
      </c>
      <c r="E53" s="135" t="str">
        <f>HYPERLINK("https://youtu.be/wgAUW9VVME8?t=2753","channel 1")</f>
        <v>channel 1</v>
      </c>
    </row>
    <row r="54">
      <c r="A54" s="118"/>
      <c r="B54" s="32" t="s">
        <v>3854</v>
      </c>
      <c r="C54" s="33" t="s">
        <v>3855</v>
      </c>
      <c r="D54" s="32" t="s">
        <v>2792</v>
      </c>
      <c r="E54" s="11" t="str">
        <f>HYPERLINK("https://youtu.be/JTyjUH-YsSY?t=2775","channel 2")</f>
        <v>channel 2</v>
      </c>
    </row>
    <row r="55">
      <c r="A55" s="118"/>
      <c r="B55" s="32" t="s">
        <v>3573</v>
      </c>
      <c r="C55" s="33" t="s">
        <v>28</v>
      </c>
      <c r="D55" s="32" t="s">
        <v>3853</v>
      </c>
      <c r="E55" s="135" t="str">
        <f>HYPERLINK("https://youtu.be/wgAUW9VVME8?t=3666","channel 1")</f>
        <v>channel 1</v>
      </c>
    </row>
    <row r="56">
      <c r="A56" s="118"/>
      <c r="B56" s="32" t="s">
        <v>3854</v>
      </c>
      <c r="C56" s="33" t="s">
        <v>542</v>
      </c>
      <c r="D56" s="32" t="s">
        <v>3852</v>
      </c>
      <c r="E56" s="11" t="str">
        <f>HYPERLINK("https://youtu.be/JTyjUH-YsSY?t=3707","channel 2")</f>
        <v>channel 2</v>
      </c>
    </row>
    <row r="57">
      <c r="A57" s="118"/>
      <c r="B57" s="32" t="s">
        <v>3852</v>
      </c>
      <c r="C57" s="33" t="s">
        <v>76</v>
      </c>
      <c r="D57" s="32" t="s">
        <v>2792</v>
      </c>
      <c r="E57" s="135" t="str">
        <f>HYPERLINK("https://youtu.be/wgAUW9VVME8?t=4701","channel 1")</f>
        <v>channel 1</v>
      </c>
    </row>
    <row r="58">
      <c r="A58" s="118"/>
      <c r="B58" s="32" t="s">
        <v>3854</v>
      </c>
      <c r="C58" s="33" t="s">
        <v>3856</v>
      </c>
      <c r="D58" s="32" t="s">
        <v>3853</v>
      </c>
      <c r="E58" s="11" t="str">
        <f>HYPERLINK("https://youtu.be/JTyjUH-YsSY?t=4653","channel 2")</f>
        <v>channel 2</v>
      </c>
    </row>
    <row r="59">
      <c r="A59" s="118"/>
      <c r="B59" s="32" t="s">
        <v>2792</v>
      </c>
      <c r="C59" s="33" t="s">
        <v>31</v>
      </c>
      <c r="D59" s="32" t="s">
        <v>3573</v>
      </c>
      <c r="E59" s="135" t="str">
        <f>HYPERLINK("https://youtu.be/wgAUW9VVME8?t=5592","channel 1")</f>
        <v>channel 1</v>
      </c>
    </row>
    <row r="60">
      <c r="A60" s="118"/>
      <c r="B60" s="32" t="s">
        <v>3852</v>
      </c>
      <c r="C60" s="33" t="s">
        <v>31</v>
      </c>
      <c r="D60" s="32" t="s">
        <v>3853</v>
      </c>
      <c r="E60" s="11" t="str">
        <f>HYPERLINK("https://youtu.be/JTyjUH-YsSY?t=5606","channel 2")</f>
        <v>channel 2</v>
      </c>
    </row>
    <row r="61">
      <c r="A61" s="118"/>
      <c r="B61" s="32" t="s">
        <v>3854</v>
      </c>
      <c r="C61" s="33" t="s">
        <v>250</v>
      </c>
      <c r="D61" s="32" t="s">
        <v>3573</v>
      </c>
      <c r="E61" s="135" t="str">
        <f>HYPERLINK("https://youtu.be/wgAUW9VVME8?t=6445","channel 1")</f>
        <v>channel 1</v>
      </c>
    </row>
    <row r="62">
      <c r="A62" s="118"/>
      <c r="B62" s="32" t="s">
        <v>2792</v>
      </c>
      <c r="C62" s="35" t="s">
        <v>24</v>
      </c>
      <c r="D62" s="32" t="s">
        <v>3853</v>
      </c>
      <c r="E62" s="11" t="str">
        <f>HYPERLINK("https://youtu.be/JTyjUH-YsSY?t=6490","channel 2")</f>
        <v>channel 2</v>
      </c>
    </row>
    <row r="63">
      <c r="A63" s="118"/>
      <c r="B63" s="32" t="s">
        <v>3852</v>
      </c>
      <c r="C63" s="33" t="s">
        <v>446</v>
      </c>
      <c r="D63" s="32" t="s">
        <v>3573</v>
      </c>
      <c r="E63" s="135" t="str">
        <f>HYPERLINK("https://youtu.be/wgAUW9VVME8?t=7407","channel 1")</f>
        <v>channel 1</v>
      </c>
    </row>
    <row r="64">
      <c r="A64" s="118"/>
      <c r="B64" s="32" t="s">
        <v>2792</v>
      </c>
      <c r="C64" s="33" t="s">
        <v>351</v>
      </c>
      <c r="D64" s="32" t="s">
        <v>3854</v>
      </c>
      <c r="E64" s="11" t="str">
        <f>HYPERLINK("https://youtu.be/JTyjUH-YsSY?t=7395","channel 2")</f>
        <v>channel 2</v>
      </c>
      <c r="G64" s="36" t="s">
        <v>3857</v>
      </c>
    </row>
    <row r="65">
      <c r="A65" s="118"/>
      <c r="B65" s="32" t="s">
        <v>3853</v>
      </c>
      <c r="C65" s="33" t="s">
        <v>412</v>
      </c>
      <c r="D65" s="32" t="s">
        <v>3573</v>
      </c>
      <c r="E65" s="135" t="str">
        <f>HYPERLINK("https://youtu.be/wgAUW9VVME8?t=8365","channel 1")</f>
        <v>channel 1</v>
      </c>
    </row>
    <row r="66">
      <c r="A66" s="118"/>
      <c r="B66" s="32" t="s">
        <v>3852</v>
      </c>
      <c r="C66" s="33" t="s">
        <v>495</v>
      </c>
      <c r="D66" s="32" t="s">
        <v>3854</v>
      </c>
      <c r="E66" s="11" t="str">
        <f>HYPERLINK("https://youtu.be/JTyjUH-YsSY?t=8320","channel 2")</f>
        <v>channel 2</v>
      </c>
    </row>
    <row r="67">
      <c r="A67" s="118"/>
      <c r="B67" s="137" t="s">
        <v>1435</v>
      </c>
      <c r="C67" s="2"/>
      <c r="D67" s="3"/>
      <c r="E67" s="138"/>
    </row>
    <row r="68">
      <c r="A68" s="118"/>
      <c r="B68" s="35" t="s">
        <v>2</v>
      </c>
      <c r="C68" s="35" t="s">
        <v>3</v>
      </c>
      <c r="D68" s="35" t="s">
        <v>4</v>
      </c>
      <c r="E68" s="16" t="s">
        <v>5</v>
      </c>
    </row>
    <row r="69">
      <c r="A69" s="118"/>
      <c r="B69" s="32" t="s">
        <v>633</v>
      </c>
      <c r="C69" s="33" t="s">
        <v>68</v>
      </c>
      <c r="D69" s="32" t="s">
        <v>3858</v>
      </c>
      <c r="E69" s="11" t="str">
        <f>HYPERLINK("https://youtu.be/Tj9vsMc2h8A","channel 2")</f>
        <v>channel 2</v>
      </c>
    </row>
    <row r="70">
      <c r="A70" s="118"/>
      <c r="B70" s="32" t="s">
        <v>3835</v>
      </c>
      <c r="C70" s="33" t="s">
        <v>770</v>
      </c>
      <c r="D70" s="32" t="s">
        <v>3859</v>
      </c>
      <c r="E70" s="11" t="str">
        <f>HYPERLINK("https://youtu.be/XyaJpZ39Eck","channel 4")</f>
        <v>channel 4</v>
      </c>
    </row>
    <row r="71">
      <c r="A71" s="118"/>
      <c r="B71" s="32" t="s">
        <v>3558</v>
      </c>
      <c r="C71" s="33" t="s">
        <v>716</v>
      </c>
      <c r="D71" s="32" t="s">
        <v>633</v>
      </c>
      <c r="E71" s="11" t="str">
        <f>HYPERLINK("https://youtu.be/Tj9vsMc2h8A?t=1482","channel 2")</f>
        <v>channel 2</v>
      </c>
    </row>
    <row r="72">
      <c r="A72" s="118"/>
      <c r="B72" s="32" t="s">
        <v>3835</v>
      </c>
      <c r="C72" s="33" t="s">
        <v>412</v>
      </c>
      <c r="D72" s="32" t="s">
        <v>3858</v>
      </c>
      <c r="E72" s="11" t="str">
        <f>HYPERLINK("https://youtu.be/XyaJpZ39Eck?t=1490","channel 4")</f>
        <v>channel 4</v>
      </c>
    </row>
    <row r="73">
      <c r="A73" s="118"/>
      <c r="B73" s="32" t="s">
        <v>3558</v>
      </c>
      <c r="C73" s="33" t="s">
        <v>261</v>
      </c>
      <c r="D73" s="32" t="s">
        <v>3859</v>
      </c>
      <c r="E73" s="11" t="str">
        <f>HYPERLINK("https://youtu.be/Tj9vsMc2h8A?t=2517","channel 2")</f>
        <v>channel 2</v>
      </c>
    </row>
    <row r="74">
      <c r="A74" s="118"/>
      <c r="B74" s="32" t="s">
        <v>3835</v>
      </c>
      <c r="C74" s="33" t="s">
        <v>337</v>
      </c>
      <c r="D74" s="32" t="s">
        <v>633</v>
      </c>
      <c r="E74" s="11" t="str">
        <f>HYPERLINK("https://youtu.be/XyaJpZ39Eck?t=2419","channel 4")</f>
        <v>channel 4</v>
      </c>
    </row>
    <row r="75">
      <c r="A75" s="118"/>
      <c r="B75" s="32" t="s">
        <v>3558</v>
      </c>
      <c r="C75" s="33" t="s">
        <v>328</v>
      </c>
      <c r="D75" s="32" t="s">
        <v>3858</v>
      </c>
      <c r="E75" s="11" t="str">
        <f>HYPERLINK("https://youtu.be/Tj9vsMc2h8A?t=3469","channel 2")</f>
        <v>channel 2</v>
      </c>
    </row>
    <row r="76">
      <c r="A76" s="118"/>
      <c r="B76" s="32" t="s">
        <v>3859</v>
      </c>
      <c r="C76" s="33" t="s">
        <v>240</v>
      </c>
      <c r="D76" s="32" t="s">
        <v>633</v>
      </c>
      <c r="E76" s="11" t="str">
        <f>HYPERLINK("https://youtu.be/XyaJpZ39Eck?t=3356","channel 4")</f>
        <v>channel 4</v>
      </c>
    </row>
    <row r="77">
      <c r="A77" s="118"/>
      <c r="B77" s="32" t="s">
        <v>3558</v>
      </c>
      <c r="C77" s="33" t="s">
        <v>294</v>
      </c>
      <c r="D77" s="32" t="s">
        <v>3835</v>
      </c>
      <c r="E77" s="11" t="str">
        <f>HYPERLINK("https://youtu.be/Tj9vsMc2h8A?t=4390","channel 2")</f>
        <v>channel 2</v>
      </c>
    </row>
    <row r="78">
      <c r="A78" s="118"/>
      <c r="B78" s="32" t="s">
        <v>3859</v>
      </c>
      <c r="C78" s="33" t="s">
        <v>45</v>
      </c>
      <c r="D78" s="32" t="s">
        <v>3858</v>
      </c>
      <c r="E78" s="11" t="str">
        <f>HYPERLINK("https://youtu.be/XyaJpZ39Eck?t=4288","channel 4")</f>
        <v>channel 4</v>
      </c>
    </row>
    <row r="79">
      <c r="A79" s="118"/>
      <c r="B79" s="32" t="s">
        <v>3858</v>
      </c>
      <c r="C79" s="33" t="s">
        <v>370</v>
      </c>
      <c r="D79" s="32" t="s">
        <v>633</v>
      </c>
      <c r="E79" s="11" t="str">
        <f>HYPERLINK("https://youtu.be/Tj9vsMc2h8A?t=5342","channel 2")</f>
        <v>channel 2</v>
      </c>
    </row>
    <row r="80">
      <c r="A80" s="118"/>
      <c r="B80" s="32" t="s">
        <v>3859</v>
      </c>
      <c r="C80" s="33" t="s">
        <v>545</v>
      </c>
      <c r="D80" s="32" t="s">
        <v>3835</v>
      </c>
      <c r="E80" s="11" t="str">
        <f>HYPERLINK("https://youtu.be/XyaJpZ39Eck?t=5261","channel 4")</f>
        <v>channel 4</v>
      </c>
    </row>
    <row r="81">
      <c r="A81" s="118"/>
      <c r="B81" s="32" t="s">
        <v>633</v>
      </c>
      <c r="C81" s="33" t="s">
        <v>40</v>
      </c>
      <c r="D81" s="32" t="s">
        <v>3558</v>
      </c>
      <c r="E81" s="11" t="str">
        <f>HYPERLINK("https://youtu.be/Tj9vsMc2h8A?t=6307","channel 2")</f>
        <v>channel 2</v>
      </c>
    </row>
    <row r="82">
      <c r="A82" s="118"/>
      <c r="B82" s="32" t="s">
        <v>3858</v>
      </c>
      <c r="C82" s="60" t="s">
        <v>249</v>
      </c>
      <c r="D82" s="32" t="s">
        <v>3835</v>
      </c>
      <c r="E82" s="11" t="str">
        <f>HYPERLINK("https://youtu.be/XyaJpZ39Eck?t=6229","channel 4")</f>
        <v>channel 4</v>
      </c>
    </row>
    <row r="83">
      <c r="A83" s="118"/>
      <c r="B83" s="32" t="s">
        <v>3859</v>
      </c>
      <c r="C83" s="33" t="s">
        <v>2983</v>
      </c>
      <c r="D83" s="32" t="s">
        <v>3558</v>
      </c>
      <c r="E83" s="11" t="str">
        <f>HYPERLINK("https://youtu.be/Tj9vsMc2h8A?t=7198","channel 2")</f>
        <v>channel 2</v>
      </c>
    </row>
    <row r="84">
      <c r="A84" s="118"/>
      <c r="B84" s="32" t="s">
        <v>633</v>
      </c>
      <c r="C84" s="33" t="s">
        <v>291</v>
      </c>
      <c r="D84" s="32" t="s">
        <v>3835</v>
      </c>
      <c r="E84" s="11" t="str">
        <f>HYPERLINK("https://youtu.be/XyaJpZ39Eck?t=7233","channel 4")</f>
        <v>channel 4</v>
      </c>
    </row>
    <row r="85">
      <c r="A85" s="118"/>
      <c r="B85" s="32" t="s">
        <v>3858</v>
      </c>
      <c r="C85" s="33" t="s">
        <v>197</v>
      </c>
      <c r="D85" s="32" t="s">
        <v>3558</v>
      </c>
      <c r="E85" s="11" t="str">
        <f>HYPERLINK("https://youtu.be/Tj9vsMc2h8A?t=8145","channel 2")</f>
        <v>channel 2</v>
      </c>
    </row>
    <row r="86">
      <c r="A86" s="118"/>
      <c r="B86" s="32" t="s">
        <v>633</v>
      </c>
      <c r="C86" s="33" t="s">
        <v>251</v>
      </c>
      <c r="D86" s="32" t="s">
        <v>3859</v>
      </c>
      <c r="E86" s="11" t="str">
        <f>HYPERLINK("https://youtu.be/XyaJpZ39Eck?t=8102","channel 4")</f>
        <v>channel 4</v>
      </c>
    </row>
    <row r="87">
      <c r="A87" s="118"/>
      <c r="B87" s="32" t="s">
        <v>3835</v>
      </c>
      <c r="C87" s="33" t="s">
        <v>18</v>
      </c>
      <c r="D87" s="32" t="s">
        <v>3558</v>
      </c>
      <c r="E87" s="11" t="str">
        <f>HYPERLINK("https://youtu.be/Tj9vsMc2h8A?t=9019","channel 2")</f>
        <v>channel 2</v>
      </c>
    </row>
    <row r="88">
      <c r="A88" s="118"/>
      <c r="B88" s="32" t="s">
        <v>3858</v>
      </c>
      <c r="C88" s="33" t="s">
        <v>293</v>
      </c>
      <c r="D88" s="32" t="s">
        <v>3859</v>
      </c>
      <c r="E88" s="11" t="str">
        <f>HYPERLINK("https://youtu.be/XyaJpZ39Eck?t=9022","channel 4")</f>
        <v>channel 4</v>
      </c>
    </row>
    <row r="89">
      <c r="A89" s="118"/>
      <c r="B89" s="72" t="s">
        <v>2507</v>
      </c>
      <c r="C89" s="2"/>
      <c r="D89" s="3"/>
      <c r="E89" s="138"/>
    </row>
    <row r="90">
      <c r="A90" s="118"/>
      <c r="B90" s="35" t="s">
        <v>2</v>
      </c>
      <c r="C90" s="35" t="s">
        <v>3</v>
      </c>
      <c r="D90" s="35" t="s">
        <v>4</v>
      </c>
      <c r="E90" s="16" t="s">
        <v>5</v>
      </c>
    </row>
    <row r="91">
      <c r="A91" s="118"/>
      <c r="B91" s="119" t="s">
        <v>3211</v>
      </c>
      <c r="C91" s="33" t="s">
        <v>19</v>
      </c>
      <c r="D91" s="32" t="s">
        <v>1788</v>
      </c>
      <c r="E91" s="11" t="str">
        <f>HYPERLINK("https://youtu.be/PFFNlGmuQtE","channel 2")</f>
        <v>channel 2</v>
      </c>
    </row>
    <row r="92">
      <c r="A92" s="118"/>
      <c r="B92" s="32" t="s">
        <v>1898</v>
      </c>
      <c r="C92" s="33" t="s">
        <v>232</v>
      </c>
      <c r="D92" s="32" t="s">
        <v>2941</v>
      </c>
      <c r="E92" s="11" t="str">
        <f>HYPERLINK("https://youtu.be/Z-8LlX4m0ws","channel 4")</f>
        <v>channel 4</v>
      </c>
    </row>
    <row r="93">
      <c r="A93" s="118"/>
      <c r="B93" s="32" t="s">
        <v>1576</v>
      </c>
      <c r="C93" s="33" t="s">
        <v>190</v>
      </c>
      <c r="D93" s="32" t="s">
        <v>3211</v>
      </c>
      <c r="E93" s="11" t="str">
        <f>HYPERLINK("https://youtu.be/PFFNlGmuQtE?t=1346","channel 2")</f>
        <v>channel 2</v>
      </c>
    </row>
    <row r="94">
      <c r="A94" s="118"/>
      <c r="B94" s="32" t="s">
        <v>1898</v>
      </c>
      <c r="C94" s="33" t="s">
        <v>363</v>
      </c>
      <c r="D94" s="32" t="s">
        <v>1788</v>
      </c>
      <c r="E94" s="11" t="str">
        <f>HYPERLINK("https://youtu.be/Z-8LlX4m0ws?t=1316","channel 4")</f>
        <v>channel 4</v>
      </c>
    </row>
    <row r="95">
      <c r="A95" s="118"/>
      <c r="B95" s="32" t="s">
        <v>1576</v>
      </c>
      <c r="C95" s="37" t="s">
        <v>2121</v>
      </c>
      <c r="D95" s="32" t="s">
        <v>2941</v>
      </c>
      <c r="E95" s="11" t="str">
        <f>HYPERLINK("https://youtu.be/PFFNlGmuQtE?t=2273","channel 2")</f>
        <v>channel 2</v>
      </c>
    </row>
    <row r="96">
      <c r="A96" s="118"/>
      <c r="B96" s="32" t="s">
        <v>1898</v>
      </c>
      <c r="C96" s="33" t="s">
        <v>267</v>
      </c>
      <c r="D96" s="32" t="s">
        <v>3211</v>
      </c>
      <c r="E96" s="11" t="str">
        <f>HYPERLINK("https://youtu.be/Z-8LlX4m0ws?t=2261","channel 4")</f>
        <v>channel 4</v>
      </c>
    </row>
    <row r="97">
      <c r="A97" s="118"/>
      <c r="B97" s="32" t="s">
        <v>1576</v>
      </c>
      <c r="C97" s="33" t="s">
        <v>362</v>
      </c>
      <c r="D97" s="32" t="s">
        <v>1788</v>
      </c>
      <c r="E97" s="11" t="str">
        <f>HYPERLINK("https://youtu.be/PFFNlGmuQtE?t=3181","channel 2")</f>
        <v>channel 2</v>
      </c>
    </row>
    <row r="98">
      <c r="A98" s="118"/>
      <c r="B98" s="32" t="s">
        <v>2941</v>
      </c>
      <c r="C98" s="33" t="s">
        <v>28</v>
      </c>
      <c r="D98" s="32" t="s">
        <v>3211</v>
      </c>
      <c r="E98" s="11" t="str">
        <f>HYPERLINK("https://youtu.be/Z-8LlX4m0ws?t=3145","channel 4")</f>
        <v>channel 4</v>
      </c>
    </row>
    <row r="99">
      <c r="A99" s="118"/>
      <c r="B99" s="32" t="s">
        <v>1576</v>
      </c>
      <c r="C99" s="33" t="s">
        <v>68</v>
      </c>
      <c r="D99" s="32" t="s">
        <v>1898</v>
      </c>
      <c r="E99" s="11" t="str">
        <f>HYPERLINK("https://youtu.be/PFFNlGmuQtE?t=4083","channel 2")</f>
        <v>channel 2</v>
      </c>
    </row>
    <row r="100">
      <c r="A100" s="118"/>
      <c r="B100" s="32" t="s">
        <v>2941</v>
      </c>
      <c r="C100" s="33" t="s">
        <v>412</v>
      </c>
      <c r="D100" s="32" t="s">
        <v>1788</v>
      </c>
      <c r="E100" s="11" t="str">
        <f>HYPERLINK("https://youtu.be/Z-8LlX4m0ws?t=4052","channel 4")</f>
        <v>channel 4</v>
      </c>
    </row>
    <row r="101">
      <c r="A101" s="118"/>
      <c r="B101" s="32" t="s">
        <v>1788</v>
      </c>
      <c r="C101" s="33" t="s">
        <v>64</v>
      </c>
      <c r="D101" s="32" t="s">
        <v>3211</v>
      </c>
      <c r="E101" s="11" t="str">
        <f>HYPERLINK("https://youtu.be/PFFNlGmuQtE?t=5004","channel 2")</f>
        <v>channel 2</v>
      </c>
    </row>
    <row r="102">
      <c r="A102" s="118"/>
      <c r="B102" s="32" t="s">
        <v>2941</v>
      </c>
      <c r="C102" s="33" t="s">
        <v>570</v>
      </c>
      <c r="D102" s="32" t="s">
        <v>1898</v>
      </c>
      <c r="E102" s="11" t="str">
        <f>HYPERLINK("https://youtu.be/Z-8LlX4m0ws?t=4923","channel 4")</f>
        <v>channel 4</v>
      </c>
    </row>
    <row r="103">
      <c r="A103" s="118"/>
      <c r="B103" s="32" t="s">
        <v>3211</v>
      </c>
      <c r="C103" s="33" t="s">
        <v>25</v>
      </c>
      <c r="D103" s="32" t="s">
        <v>1576</v>
      </c>
      <c r="E103" s="11" t="str">
        <f>HYPERLINK("https://youtu.be/PFFNlGmuQtE?t=5885","channel 2")</f>
        <v>channel 2</v>
      </c>
    </row>
    <row r="104">
      <c r="A104" s="118"/>
      <c r="B104" s="32" t="s">
        <v>1788</v>
      </c>
      <c r="C104" s="33" t="s">
        <v>2522</v>
      </c>
      <c r="D104" s="32" t="s">
        <v>1898</v>
      </c>
      <c r="E104" s="11" t="str">
        <f>HYPERLINK("https://youtu.be/Z-8LlX4m0ws?t=5844","channel 4")</f>
        <v>channel 4</v>
      </c>
    </row>
    <row r="105">
      <c r="A105" s="118"/>
      <c r="B105" s="32" t="s">
        <v>2941</v>
      </c>
      <c r="C105" s="33" t="s">
        <v>951</v>
      </c>
      <c r="D105" s="32" t="s">
        <v>1576</v>
      </c>
      <c r="E105" s="11" t="str">
        <f>HYPERLINK("https://youtu.be/PFFNlGmuQtE?t=6755","channel 2")</f>
        <v>channel 2</v>
      </c>
    </row>
    <row r="106">
      <c r="A106" s="118"/>
      <c r="B106" s="32" t="s">
        <v>3211</v>
      </c>
      <c r="C106" s="33" t="s">
        <v>84</v>
      </c>
      <c r="D106" s="32" t="s">
        <v>1898</v>
      </c>
      <c r="E106" s="11" t="str">
        <f>HYPERLINK("https://youtu.be/Z-8LlX4m0ws?t=6765","channel 4")</f>
        <v>channel 4</v>
      </c>
    </row>
    <row r="107">
      <c r="A107" s="118"/>
      <c r="B107" s="32" t="s">
        <v>1788</v>
      </c>
      <c r="C107" s="33" t="s">
        <v>283</v>
      </c>
      <c r="D107" s="32" t="s">
        <v>1576</v>
      </c>
      <c r="E107" s="11" t="str">
        <f>HYPERLINK("https://youtu.be/PFFNlGmuQtE?t=7699","channel 2")</f>
        <v>channel 2</v>
      </c>
    </row>
    <row r="108">
      <c r="A108" s="118"/>
      <c r="B108" s="32" t="s">
        <v>3211</v>
      </c>
      <c r="C108" s="33" t="s">
        <v>23</v>
      </c>
      <c r="D108" s="32" t="s">
        <v>2941</v>
      </c>
      <c r="E108" s="11" t="str">
        <f>HYPERLINK("https://youtu.be/Z-8LlX4m0ws?t=7669","channel 4")</f>
        <v>channel 4</v>
      </c>
    </row>
    <row r="109">
      <c r="A109" s="118"/>
      <c r="B109" s="32" t="s">
        <v>1898</v>
      </c>
      <c r="C109" s="33" t="s">
        <v>18</v>
      </c>
      <c r="D109" s="32" t="s">
        <v>1576</v>
      </c>
      <c r="E109" s="11" t="str">
        <f>HYPERLINK("https://youtu.be/PFFNlGmuQtE?t=8632","channel 2")</f>
        <v>channel 2</v>
      </c>
    </row>
    <row r="110">
      <c r="A110" s="118"/>
      <c r="B110" s="32" t="s">
        <v>1788</v>
      </c>
      <c r="C110" s="33" t="s">
        <v>190</v>
      </c>
      <c r="D110" s="32" t="s">
        <v>2941</v>
      </c>
      <c r="E110" s="11" t="str">
        <f>HYPERLINK("https://youtu.be/Z-8LlX4m0ws?t=8583","channel 4")</f>
        <v>channel 4</v>
      </c>
    </row>
    <row r="111">
      <c r="A111" s="118"/>
      <c r="B111" s="72" t="s">
        <v>2133</v>
      </c>
      <c r="C111" s="2"/>
      <c r="D111" s="3"/>
      <c r="E111" s="138"/>
    </row>
    <row r="112">
      <c r="A112" s="118"/>
      <c r="B112" s="35" t="s">
        <v>2</v>
      </c>
      <c r="C112" s="35" t="s">
        <v>3</v>
      </c>
      <c r="D112" s="35" t="s">
        <v>4</v>
      </c>
      <c r="E112" s="16" t="s">
        <v>5</v>
      </c>
    </row>
    <row r="113">
      <c r="A113" s="118"/>
      <c r="B113" s="119" t="s">
        <v>3860</v>
      </c>
      <c r="C113" s="33" t="s">
        <v>41</v>
      </c>
      <c r="D113" s="32" t="s">
        <v>2437</v>
      </c>
      <c r="E113" s="11" t="str">
        <f>HYPERLINK("https://youtu.be/wIC7VIzeSQc","channel 2")</f>
        <v>channel 2</v>
      </c>
    </row>
    <row r="114">
      <c r="A114" s="118"/>
      <c r="B114" s="32" t="s">
        <v>1838</v>
      </c>
      <c r="C114" s="33" t="s">
        <v>83</v>
      </c>
      <c r="D114" s="32" t="s">
        <v>2745</v>
      </c>
      <c r="E114" s="11" t="str">
        <f>HYPERLINK("https://youtu.be/J_rd8MrEoI4","channel 4")</f>
        <v>channel 4</v>
      </c>
    </row>
    <row r="115">
      <c r="A115" s="118"/>
      <c r="B115" s="32" t="s">
        <v>3425</v>
      </c>
      <c r="C115" s="33" t="s">
        <v>201</v>
      </c>
      <c r="D115" s="32" t="s">
        <v>3860</v>
      </c>
      <c r="E115" s="11" t="str">
        <f>HYPERLINK("https://youtu.be/wIC7VIzeSQc?t=954","channel 2")</f>
        <v>channel 2</v>
      </c>
    </row>
    <row r="116">
      <c r="A116" s="118"/>
      <c r="B116" s="32" t="s">
        <v>1838</v>
      </c>
      <c r="C116" s="33" t="s">
        <v>21</v>
      </c>
      <c r="D116" s="32" t="s">
        <v>2437</v>
      </c>
      <c r="E116" s="11" t="str">
        <f>HYPERLINK("https://youtu.be/J_rd8MrEoI4?t=890","channel 4")</f>
        <v>channel 4</v>
      </c>
    </row>
    <row r="117">
      <c r="A117" s="118"/>
      <c r="B117" s="32" t="s">
        <v>3425</v>
      </c>
      <c r="C117" s="33" t="s">
        <v>875</v>
      </c>
      <c r="D117" s="32" t="s">
        <v>2745</v>
      </c>
      <c r="E117" s="11" t="str">
        <f>HYPERLINK("https://youtu.be/wIC7VIzeSQc?t=1815","channel 2")</f>
        <v>channel 2</v>
      </c>
    </row>
    <row r="118">
      <c r="A118" s="118"/>
      <c r="B118" s="32" t="s">
        <v>1838</v>
      </c>
      <c r="C118" s="33" t="s">
        <v>197</v>
      </c>
      <c r="D118" s="32" t="s">
        <v>3860</v>
      </c>
      <c r="E118" s="11" t="str">
        <f>HYPERLINK("https://youtu.be/J_rd8MrEoI4?t=1822","channel 4")</f>
        <v>channel 4</v>
      </c>
    </row>
    <row r="119">
      <c r="A119" s="118"/>
      <c r="B119" s="32" t="s">
        <v>3425</v>
      </c>
      <c r="C119" s="33" t="s">
        <v>196</v>
      </c>
      <c r="D119" s="32" t="s">
        <v>2437</v>
      </c>
      <c r="E119" s="11" t="str">
        <f>HYPERLINK("https://youtu.be/wIC7VIzeSQc?t=2719","channel 2")</f>
        <v>channel 2</v>
      </c>
    </row>
    <row r="120">
      <c r="A120" s="118"/>
      <c r="B120" s="32" t="s">
        <v>2745</v>
      </c>
      <c r="C120" s="33" t="s">
        <v>404</v>
      </c>
      <c r="D120" s="32" t="s">
        <v>3860</v>
      </c>
      <c r="E120" s="11" t="str">
        <f>HYPERLINK("https://youtu.be/J_rd8MrEoI4?t=2661","channel 4")</f>
        <v>channel 4</v>
      </c>
    </row>
    <row r="121">
      <c r="A121" s="118"/>
      <c r="B121" s="32" t="s">
        <v>3425</v>
      </c>
      <c r="C121" s="33" t="s">
        <v>16</v>
      </c>
      <c r="D121" s="32" t="s">
        <v>1838</v>
      </c>
      <c r="E121" s="11" t="str">
        <f>HYPERLINK("https://youtu.be/wIC7VIzeSQc?t=3619","channel 2")</f>
        <v>channel 2</v>
      </c>
    </row>
    <row r="122">
      <c r="A122" s="118"/>
      <c r="B122" s="32" t="s">
        <v>2745</v>
      </c>
      <c r="C122" s="33" t="s">
        <v>3861</v>
      </c>
      <c r="D122" s="32" t="s">
        <v>2437</v>
      </c>
      <c r="E122" s="11" t="str">
        <f>HYPERLINK("https://youtu.be/J_rd8MrEoI4?t=3518","channel 4")</f>
        <v>channel 4</v>
      </c>
    </row>
    <row r="123">
      <c r="A123" s="118"/>
      <c r="B123" s="32" t="s">
        <v>2437</v>
      </c>
      <c r="C123" s="33" t="s">
        <v>81</v>
      </c>
      <c r="D123" s="32" t="s">
        <v>3860</v>
      </c>
      <c r="E123" s="11" t="str">
        <f>HYPERLINK("https://youtu.be/wIC7VIzeSQc?t=4532","channel 2")</f>
        <v>channel 2</v>
      </c>
    </row>
    <row r="124">
      <c r="A124" s="118"/>
      <c r="B124" s="32" t="s">
        <v>2745</v>
      </c>
      <c r="C124" s="33" t="s">
        <v>1129</v>
      </c>
      <c r="D124" s="32" t="s">
        <v>1838</v>
      </c>
      <c r="E124" s="11" t="str">
        <f>HYPERLINK("https://youtu.be/J_rd8MrEoI4?t=4390","channel 4")</f>
        <v>channel 4</v>
      </c>
    </row>
    <row r="125">
      <c r="A125" s="118"/>
      <c r="B125" s="32" t="s">
        <v>3860</v>
      </c>
      <c r="C125" s="33" t="s">
        <v>261</v>
      </c>
      <c r="D125" s="32" t="s">
        <v>3425</v>
      </c>
      <c r="E125" s="11" t="str">
        <f>HYPERLINK("https://youtu.be/wIC7VIzeSQc?t=5371","channel 2")</f>
        <v>channel 2</v>
      </c>
    </row>
    <row r="126">
      <c r="A126" s="118"/>
      <c r="B126" s="32" t="s">
        <v>2437</v>
      </c>
      <c r="C126" s="33" t="s">
        <v>231</v>
      </c>
      <c r="D126" s="32" t="s">
        <v>1838</v>
      </c>
      <c r="E126" s="11" t="str">
        <f>HYPERLINK("https://youtu.be/J_rd8MrEoI4?t=5336","channel 4")</f>
        <v>channel 4</v>
      </c>
    </row>
    <row r="127">
      <c r="A127" s="118"/>
      <c r="B127" s="32" t="s">
        <v>2745</v>
      </c>
      <c r="C127" s="33" t="s">
        <v>937</v>
      </c>
      <c r="D127" s="32" t="s">
        <v>3425</v>
      </c>
      <c r="E127" s="11" t="str">
        <f>HYPERLINK("https://youtu.be/wIC7VIzeSQc?t=6260","channel 2")</f>
        <v>channel 2</v>
      </c>
    </row>
    <row r="128">
      <c r="A128" s="118"/>
      <c r="B128" s="32" t="s">
        <v>3860</v>
      </c>
      <c r="C128" s="33" t="s">
        <v>20</v>
      </c>
      <c r="D128" s="32" t="s">
        <v>1838</v>
      </c>
      <c r="E128" s="11" t="str">
        <f>HYPERLINK("https://youtu.be/J_rd8MrEoI4?t=6198","channel 4")</f>
        <v>channel 4</v>
      </c>
    </row>
    <row r="129">
      <c r="A129" s="118"/>
      <c r="B129" s="32" t="s">
        <v>2437</v>
      </c>
      <c r="C129" s="33" t="s">
        <v>20</v>
      </c>
      <c r="D129" s="32" t="s">
        <v>3425</v>
      </c>
      <c r="E129" s="11" t="str">
        <f>HYPERLINK("https://youtu.be/wIC7VIzeSQc?t=7151","channel 2")</f>
        <v>channel 2</v>
      </c>
    </row>
    <row r="130">
      <c r="A130" s="118"/>
      <c r="B130" s="32" t="s">
        <v>3860</v>
      </c>
      <c r="C130" s="33" t="s">
        <v>369</v>
      </c>
      <c r="D130" s="32" t="s">
        <v>2745</v>
      </c>
      <c r="E130" s="11" t="str">
        <f>HYPERLINK("https://youtu.be/J_rd8MrEoI4?t=7087","channel 4")</f>
        <v>channel 4</v>
      </c>
    </row>
    <row r="131">
      <c r="A131" s="118"/>
      <c r="B131" s="32" t="s">
        <v>1838</v>
      </c>
      <c r="C131" s="33" t="s">
        <v>196</v>
      </c>
      <c r="D131" s="32" t="s">
        <v>3425</v>
      </c>
      <c r="E131" s="11" t="str">
        <f>HYPERLINK("https://youtu.be/wIC7VIzeSQc?t=8527","channel 2")</f>
        <v>channel 2</v>
      </c>
    </row>
    <row r="132">
      <c r="A132" s="122"/>
      <c r="B132" s="32" t="s">
        <v>2437</v>
      </c>
      <c r="C132" s="33" t="s">
        <v>239</v>
      </c>
      <c r="D132" s="32" t="s">
        <v>2745</v>
      </c>
      <c r="E132" s="11" t="str">
        <f>HYPERLINK("https://youtu.be/J_rd8MrEoI4?t=8414","channel 4")</f>
        <v>channel 4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7"/>
      <c r="B1" s="72" t="s">
        <v>1659</v>
      </c>
      <c r="C1" s="2"/>
      <c r="D1" s="3"/>
      <c r="E1" s="134"/>
    </row>
    <row r="2">
      <c r="A2" s="118"/>
      <c r="B2" s="35" t="s">
        <v>2</v>
      </c>
      <c r="C2" s="35" t="s">
        <v>3</v>
      </c>
      <c r="D2" s="35" t="s">
        <v>4</v>
      </c>
      <c r="E2" s="6" t="s">
        <v>5</v>
      </c>
    </row>
    <row r="3">
      <c r="A3" s="118"/>
      <c r="B3" s="32" t="s">
        <v>838</v>
      </c>
      <c r="C3" s="33" t="s">
        <v>62</v>
      </c>
      <c r="D3" s="32" t="s">
        <v>1847</v>
      </c>
      <c r="E3" s="135" t="str">
        <f>HYPERLINK("https://youtu.be/SOW7xE6bFjA","channel 1")</f>
        <v>channel 1</v>
      </c>
    </row>
    <row r="4">
      <c r="A4" s="118"/>
      <c r="B4" s="32" t="s">
        <v>3862</v>
      </c>
      <c r="C4" s="60" t="s">
        <v>278</v>
      </c>
      <c r="D4" s="32" t="s">
        <v>3863</v>
      </c>
      <c r="E4" s="11" t="str">
        <f>HYPERLINK("https://youtu.be/u1eaXysdSyA","channel 2")</f>
        <v>channel 2</v>
      </c>
    </row>
    <row r="5">
      <c r="A5" s="118"/>
      <c r="B5" s="32" t="s">
        <v>3864</v>
      </c>
      <c r="C5" s="33" t="s">
        <v>65</v>
      </c>
      <c r="D5" s="32" t="s">
        <v>838</v>
      </c>
      <c r="E5" s="135" t="str">
        <f>HYPERLINK("https://youtu.be/SOW7xE6bFjA?t=1044","channel 1")</f>
        <v>channel 1</v>
      </c>
    </row>
    <row r="6">
      <c r="A6" s="118"/>
      <c r="B6" s="32" t="s">
        <v>3862</v>
      </c>
      <c r="C6" s="33" t="s">
        <v>267</v>
      </c>
      <c r="D6" s="32" t="s">
        <v>1847</v>
      </c>
      <c r="E6" s="11" t="str">
        <f>HYPERLINK("https://youtu.be/u1eaXysdSyA?t=887","channel 2")</f>
        <v>channel 2</v>
      </c>
    </row>
    <row r="7">
      <c r="A7" s="118"/>
      <c r="B7" s="32" t="s">
        <v>3864</v>
      </c>
      <c r="C7" s="33" t="s">
        <v>212</v>
      </c>
      <c r="D7" s="32" t="s">
        <v>3863</v>
      </c>
      <c r="E7" s="135" t="str">
        <f>HYPERLINK("https://youtu.be/SOW7xE6bFjA?t=2031","channel 1")</f>
        <v>channel 1</v>
      </c>
    </row>
    <row r="8">
      <c r="A8" s="118"/>
      <c r="B8" s="32" t="s">
        <v>3862</v>
      </c>
      <c r="C8" s="33" t="s">
        <v>285</v>
      </c>
      <c r="D8" s="32" t="s">
        <v>838</v>
      </c>
      <c r="E8" s="11" t="str">
        <f>HYPERLINK("https://youtu.be/u1eaXysdSyA?t=1862","channel 2")</f>
        <v>channel 2</v>
      </c>
    </row>
    <row r="9">
      <c r="A9" s="118"/>
      <c r="B9" s="32" t="s">
        <v>3864</v>
      </c>
      <c r="C9" s="33" t="s">
        <v>286</v>
      </c>
      <c r="D9" s="32" t="s">
        <v>1847</v>
      </c>
      <c r="E9" s="135" t="str">
        <f>HYPERLINK("https://youtu.be/SOW7xE6bFjA?t=3036","channel 1")</f>
        <v>channel 1</v>
      </c>
    </row>
    <row r="10">
      <c r="A10" s="118"/>
      <c r="B10" s="32" t="s">
        <v>3863</v>
      </c>
      <c r="C10" s="33" t="s">
        <v>289</v>
      </c>
      <c r="D10" s="32" t="s">
        <v>838</v>
      </c>
      <c r="E10" s="11" t="str">
        <f>HYPERLINK("https://youtu.be/u1eaXysdSyA?t=2867","channel 2")</f>
        <v>channel 2</v>
      </c>
    </row>
    <row r="11">
      <c r="A11" s="118"/>
      <c r="B11" s="32" t="s">
        <v>3864</v>
      </c>
      <c r="C11" s="33" t="s">
        <v>194</v>
      </c>
      <c r="D11" s="32" t="s">
        <v>3862</v>
      </c>
      <c r="E11" s="135" t="str">
        <f>HYPERLINK("https://youtu.be/SOW7xE6bFjA?t=3998","channel 1")</f>
        <v>channel 1</v>
      </c>
    </row>
    <row r="12">
      <c r="A12" s="118"/>
      <c r="B12" s="32" t="s">
        <v>3863</v>
      </c>
      <c r="C12" s="33" t="s">
        <v>212</v>
      </c>
      <c r="D12" s="32" t="s">
        <v>1847</v>
      </c>
      <c r="E12" s="11" t="str">
        <f>HYPERLINK("https://youtu.be/u1eaXysdSyA?t=3811","channel 2")</f>
        <v>channel 2</v>
      </c>
    </row>
    <row r="13">
      <c r="A13" s="118"/>
      <c r="B13" s="32" t="s">
        <v>1847</v>
      </c>
      <c r="C13" s="33" t="s">
        <v>65</v>
      </c>
      <c r="D13" s="32" t="s">
        <v>838</v>
      </c>
      <c r="E13" s="135" t="str">
        <f>HYPERLINK("https://youtu.be/SOW7xE6bFjA?t=4946","channel 1")</f>
        <v>channel 1</v>
      </c>
    </row>
    <row r="14">
      <c r="A14" s="118"/>
      <c r="B14" s="32" t="s">
        <v>3863</v>
      </c>
      <c r="C14" s="33" t="s">
        <v>239</v>
      </c>
      <c r="D14" s="32" t="s">
        <v>3862</v>
      </c>
      <c r="E14" s="11" t="str">
        <f>HYPERLINK("https://youtu.be/u1eaXysdSyA?t=4776","channel 2")</f>
        <v>channel 2</v>
      </c>
    </row>
    <row r="15">
      <c r="A15" s="118"/>
      <c r="B15" s="32" t="s">
        <v>838</v>
      </c>
      <c r="C15" s="37" t="s">
        <v>193</v>
      </c>
      <c r="D15" s="32" t="s">
        <v>3864</v>
      </c>
      <c r="E15" s="135" t="str">
        <f>HYPERLINK("https://youtu.be/SOW7xE6bFjA?t=5874","channel 1")</f>
        <v>channel 1</v>
      </c>
    </row>
    <row r="16">
      <c r="A16" s="118"/>
      <c r="B16" s="32" t="s">
        <v>1847</v>
      </c>
      <c r="C16" s="33" t="s">
        <v>43</v>
      </c>
      <c r="D16" s="32" t="s">
        <v>3862</v>
      </c>
      <c r="E16" s="11" t="str">
        <f>HYPERLINK("https://youtu.be/u1eaXysdSyA?t=5679","channel 2")</f>
        <v>channel 2</v>
      </c>
    </row>
    <row r="17">
      <c r="A17" s="118"/>
      <c r="B17" s="32" t="s">
        <v>3863</v>
      </c>
      <c r="C17" s="33" t="s">
        <v>950</v>
      </c>
      <c r="D17" s="32" t="s">
        <v>3864</v>
      </c>
      <c r="E17" s="135" t="str">
        <f>HYPERLINK("https://youtu.be/SOW7xE6bFjA?t=6802","channel 1")</f>
        <v>channel 1</v>
      </c>
    </row>
    <row r="18">
      <c r="A18" s="118"/>
      <c r="B18" s="32" t="s">
        <v>838</v>
      </c>
      <c r="C18" s="33" t="s">
        <v>824</v>
      </c>
      <c r="D18" s="32" t="s">
        <v>3862</v>
      </c>
      <c r="E18" s="11" t="str">
        <f>HYPERLINK("https://youtu.be/u1eaXysdSyA?t=6566","channel 2")</f>
        <v>channel 2</v>
      </c>
    </row>
    <row r="19">
      <c r="A19" s="118"/>
      <c r="B19" s="32" t="s">
        <v>1847</v>
      </c>
      <c r="C19" s="33" t="s">
        <v>752</v>
      </c>
      <c r="D19" s="32" t="s">
        <v>3864</v>
      </c>
      <c r="E19" s="135" t="str">
        <f>HYPERLINK("https://youtu.be/SOW7xE6bFjA?t=7763","channel 1")</f>
        <v>channel 1</v>
      </c>
    </row>
    <row r="20">
      <c r="A20" s="118"/>
      <c r="B20" s="32" t="s">
        <v>838</v>
      </c>
      <c r="C20" s="33" t="s">
        <v>286</v>
      </c>
      <c r="D20" s="32" t="s">
        <v>3863</v>
      </c>
      <c r="E20" s="11" t="str">
        <f>HYPERLINK("https://youtu.be/u1eaXysdSyA?t=7520","channel 2")</f>
        <v>channel 2</v>
      </c>
    </row>
    <row r="21">
      <c r="A21" s="118"/>
      <c r="B21" s="32" t="s">
        <v>3862</v>
      </c>
      <c r="C21" s="33" t="s">
        <v>24</v>
      </c>
      <c r="D21" s="32" t="s">
        <v>3864</v>
      </c>
      <c r="E21" s="135" t="str">
        <f>HYPERLINK("https://youtu.be/SOW7xE6bFjA?t=8639","channel 1")</f>
        <v>channel 1</v>
      </c>
    </row>
    <row r="22">
      <c r="A22" s="118"/>
      <c r="B22" s="32" t="s">
        <v>1847</v>
      </c>
      <c r="C22" s="33" t="s">
        <v>16</v>
      </c>
      <c r="D22" s="32" t="s">
        <v>3863</v>
      </c>
      <c r="E22" s="11" t="str">
        <f>HYPERLINK("https://youtu.be/u1eaXysdSyA?t=8423","channel 2")</f>
        <v>channel 2</v>
      </c>
    </row>
    <row r="23">
      <c r="A23" s="118"/>
      <c r="B23" s="72" t="s">
        <v>3441</v>
      </c>
      <c r="C23" s="2"/>
      <c r="D23" s="3"/>
      <c r="E23" s="134"/>
    </row>
    <row r="24">
      <c r="A24" s="118"/>
      <c r="B24" s="35" t="s">
        <v>2</v>
      </c>
      <c r="C24" s="35" t="s">
        <v>3</v>
      </c>
      <c r="D24" s="35" t="s">
        <v>4</v>
      </c>
      <c r="E24" s="6" t="s">
        <v>5</v>
      </c>
    </row>
    <row r="25">
      <c r="A25" s="118"/>
      <c r="B25" s="32" t="s">
        <v>3865</v>
      </c>
      <c r="C25" s="33" t="s">
        <v>78</v>
      </c>
      <c r="D25" s="32" t="s">
        <v>748</v>
      </c>
      <c r="E25" s="135" t="str">
        <f>HYPERLINK("https://youtu.be/SFsc9p4P4wQ","channel 1")</f>
        <v>channel 1</v>
      </c>
    </row>
    <row r="26">
      <c r="A26" s="118"/>
      <c r="B26" s="32" t="s">
        <v>3866</v>
      </c>
      <c r="C26" s="33" t="s">
        <v>20</v>
      </c>
      <c r="D26" s="32" t="s">
        <v>3859</v>
      </c>
      <c r="E26" s="11" t="str">
        <f>HYPERLINK("https://youtu.be/oySeKBA8AcM","channel 2")</f>
        <v>channel 2</v>
      </c>
    </row>
    <row r="27">
      <c r="A27" s="118"/>
      <c r="B27" s="32" t="s">
        <v>3867</v>
      </c>
      <c r="C27" s="33" t="s">
        <v>81</v>
      </c>
      <c r="D27" s="32" t="s">
        <v>3865</v>
      </c>
      <c r="E27" s="135" t="str">
        <f>HYPERLINK("https://youtu.be/SFsc9p4P4wQ?t=979","channel 1")</f>
        <v>channel 1</v>
      </c>
    </row>
    <row r="28">
      <c r="A28" s="118"/>
      <c r="B28" s="32" t="s">
        <v>3866</v>
      </c>
      <c r="C28" s="33" t="s">
        <v>297</v>
      </c>
      <c r="D28" s="32" t="s">
        <v>748</v>
      </c>
      <c r="E28" s="11" t="str">
        <f>HYPERLINK("https://youtu.be/oySeKBA8AcM?t=927","channel 2")</f>
        <v>channel 2</v>
      </c>
    </row>
    <row r="29">
      <c r="A29" s="118"/>
      <c r="B29" s="32" t="s">
        <v>3867</v>
      </c>
      <c r="C29" s="33" t="s">
        <v>17</v>
      </c>
      <c r="D29" s="32" t="s">
        <v>3859</v>
      </c>
      <c r="E29" s="135" t="str">
        <f>HYPERLINK("https://youtu.be/SFsc9p4P4wQ?t=1881","channel 1")</f>
        <v>channel 1</v>
      </c>
    </row>
    <row r="30">
      <c r="A30" s="118"/>
      <c r="B30" s="32" t="s">
        <v>3866</v>
      </c>
      <c r="C30" s="33" t="s">
        <v>18</v>
      </c>
      <c r="D30" s="32" t="s">
        <v>3865</v>
      </c>
      <c r="E30" s="11" t="str">
        <f>HYPERLINK("https://youtu.be/oySeKBA8AcM?t=1808","channel 2")</f>
        <v>channel 2</v>
      </c>
    </row>
    <row r="31">
      <c r="A31" s="118"/>
      <c r="B31" s="32" t="s">
        <v>3867</v>
      </c>
      <c r="C31" s="33" t="s">
        <v>47</v>
      </c>
      <c r="D31" s="32" t="s">
        <v>748</v>
      </c>
      <c r="E31" s="135" t="str">
        <f>HYPERLINK("https://youtu.be/SFsc9p4P4wQ?t=2811","channel 1")</f>
        <v>channel 1</v>
      </c>
    </row>
    <row r="32">
      <c r="A32" s="118"/>
      <c r="B32" s="32" t="s">
        <v>3859</v>
      </c>
      <c r="C32" s="33" t="s">
        <v>25</v>
      </c>
      <c r="D32" s="32" t="s">
        <v>3865</v>
      </c>
      <c r="E32" s="11" t="str">
        <f>HYPERLINK("https://youtu.be/oySeKBA8AcM?t=2819","channel 2")</f>
        <v>channel 2</v>
      </c>
    </row>
    <row r="33">
      <c r="A33" s="118"/>
      <c r="B33" s="32" t="s">
        <v>3867</v>
      </c>
      <c r="C33" s="33" t="s">
        <v>286</v>
      </c>
      <c r="D33" s="32" t="s">
        <v>3866</v>
      </c>
      <c r="E33" s="135" t="str">
        <f>HYPERLINK("https://youtu.be/SFsc9p4P4wQ?t=3799","channel 1")</f>
        <v>channel 1</v>
      </c>
    </row>
    <row r="34">
      <c r="A34" s="118"/>
      <c r="B34" s="32" t="s">
        <v>3859</v>
      </c>
      <c r="C34" s="33" t="s">
        <v>65</v>
      </c>
      <c r="D34" s="32" t="s">
        <v>748</v>
      </c>
      <c r="E34" s="11" t="str">
        <f>HYPERLINK("https://youtu.be/oySeKBA8AcM?t=3736","channel 2")</f>
        <v>channel 2</v>
      </c>
    </row>
    <row r="35">
      <c r="A35" s="118"/>
      <c r="B35" s="32" t="s">
        <v>748</v>
      </c>
      <c r="C35" s="33" t="s">
        <v>203</v>
      </c>
      <c r="D35" s="32" t="s">
        <v>3865</v>
      </c>
      <c r="E35" s="135" t="str">
        <f>HYPERLINK("https://youtu.be/SFsc9p4P4wQ?t=4689","channel 1")</f>
        <v>channel 1</v>
      </c>
    </row>
    <row r="36">
      <c r="A36" s="118"/>
      <c r="B36" s="32" t="s">
        <v>3859</v>
      </c>
      <c r="C36" s="33" t="s">
        <v>55</v>
      </c>
      <c r="D36" s="32" t="s">
        <v>3866</v>
      </c>
      <c r="E36" s="11" t="str">
        <f>HYPERLINK("https://youtu.be/oySeKBA8AcM?t=4689","channel 2")</f>
        <v>channel 2</v>
      </c>
    </row>
    <row r="37">
      <c r="A37" s="118"/>
      <c r="B37" s="32" t="s">
        <v>3865</v>
      </c>
      <c r="C37" s="33" t="s">
        <v>218</v>
      </c>
      <c r="D37" s="32" t="s">
        <v>3867</v>
      </c>
      <c r="E37" s="135" t="str">
        <f>HYPERLINK("https://youtu.be/SFsc9p4P4wQ?t=5633","channel 1")</f>
        <v>channel 1</v>
      </c>
    </row>
    <row r="38">
      <c r="A38" s="118"/>
      <c r="B38" s="32" t="s">
        <v>748</v>
      </c>
      <c r="C38" s="33" t="s">
        <v>58</v>
      </c>
      <c r="D38" s="32" t="s">
        <v>3866</v>
      </c>
      <c r="E38" s="11" t="str">
        <f>HYPERLINK("https://youtu.be/oySeKBA8AcM?t=5658","channel 2")</f>
        <v>channel 2</v>
      </c>
    </row>
    <row r="39">
      <c r="A39" s="118"/>
      <c r="B39" s="32" t="s">
        <v>3859</v>
      </c>
      <c r="C39" s="35" t="s">
        <v>481</v>
      </c>
      <c r="D39" s="32" t="s">
        <v>3867</v>
      </c>
      <c r="E39" s="135" t="str">
        <f>HYPERLINK("https://youtu.be/SFsc9p4P4wQ?t=6556","channel 1")</f>
        <v>channel 1</v>
      </c>
    </row>
    <row r="40">
      <c r="A40" s="118"/>
      <c r="B40" s="32" t="s">
        <v>3865</v>
      </c>
      <c r="C40" s="33" t="s">
        <v>352</v>
      </c>
      <c r="D40" s="32" t="s">
        <v>3866</v>
      </c>
      <c r="E40" s="11" t="str">
        <f>HYPERLINK("https://youtu.be/oySeKBA8AcM?t=6555","channel 2")</f>
        <v>channel 2</v>
      </c>
    </row>
    <row r="41">
      <c r="A41" s="118"/>
      <c r="B41" s="32" t="s">
        <v>748</v>
      </c>
      <c r="C41" s="33" t="s">
        <v>243</v>
      </c>
      <c r="D41" s="32" t="s">
        <v>3867</v>
      </c>
      <c r="E41" s="135" t="str">
        <f>HYPERLINK("https://youtu.be/SFsc9p4P4wQ?t=7587","channel 1")</f>
        <v>channel 1</v>
      </c>
    </row>
    <row r="42">
      <c r="A42" s="118"/>
      <c r="B42" s="32" t="s">
        <v>3865</v>
      </c>
      <c r="C42" s="33" t="s">
        <v>208</v>
      </c>
      <c r="D42" s="32" t="s">
        <v>3859</v>
      </c>
      <c r="E42" s="11" t="str">
        <f>HYPERLINK("https://youtu.be/oySeKBA8AcM?t=7488","channel 2")</f>
        <v>channel 2</v>
      </c>
    </row>
    <row r="43">
      <c r="A43" s="118"/>
      <c r="B43" s="32" t="s">
        <v>3866</v>
      </c>
      <c r="C43" s="33" t="s">
        <v>2983</v>
      </c>
      <c r="D43" s="32" t="s">
        <v>3867</v>
      </c>
      <c r="E43" s="135" t="str">
        <f>HYPERLINK("https://youtu.be/SFsc9p4P4wQ?t=8536","channel 1")</f>
        <v>channel 1</v>
      </c>
    </row>
    <row r="44">
      <c r="A44" s="118"/>
      <c r="B44" s="32" t="s">
        <v>748</v>
      </c>
      <c r="C44" s="33" t="s">
        <v>267</v>
      </c>
      <c r="D44" s="32" t="s">
        <v>3859</v>
      </c>
      <c r="E44" s="11" t="str">
        <f>HYPERLINK("https://youtu.be/oySeKBA8AcM?t=8317","channel 2")</f>
        <v>channel 2</v>
      </c>
    </row>
    <row r="45">
      <c r="A45" s="118"/>
      <c r="B45" s="72" t="s">
        <v>3019</v>
      </c>
      <c r="C45" s="2"/>
      <c r="D45" s="3"/>
      <c r="E45" s="134"/>
    </row>
    <row r="46">
      <c r="A46" s="118"/>
      <c r="B46" s="35" t="s">
        <v>2</v>
      </c>
      <c r="C46" s="35" t="s">
        <v>3</v>
      </c>
      <c r="D46" s="35" t="s">
        <v>4</v>
      </c>
      <c r="E46" s="6" t="s">
        <v>5</v>
      </c>
    </row>
    <row r="47">
      <c r="A47" s="118"/>
      <c r="B47" s="32" t="s">
        <v>3358</v>
      </c>
      <c r="C47" s="33" t="s">
        <v>67</v>
      </c>
      <c r="D47" s="32" t="s">
        <v>3868</v>
      </c>
      <c r="E47" s="135" t="str">
        <f>HYPERLINK("https://youtu.be/SPL3WQHp5CA","channel 1")</f>
        <v>channel 1</v>
      </c>
    </row>
    <row r="48">
      <c r="A48" s="118"/>
      <c r="B48" s="32" t="s">
        <v>3869</v>
      </c>
      <c r="C48" s="33" t="s">
        <v>413</v>
      </c>
      <c r="D48" s="32" t="s">
        <v>3296</v>
      </c>
      <c r="E48" s="11" t="str">
        <f>HYPERLINK("https://youtu.be/bAGGuUlxQKc","channel 2")</f>
        <v>channel 2</v>
      </c>
    </row>
    <row r="49">
      <c r="A49" s="118"/>
      <c r="B49" s="32" t="s">
        <v>3870</v>
      </c>
      <c r="C49" s="33" t="s">
        <v>48</v>
      </c>
      <c r="D49" s="32" t="s">
        <v>3358</v>
      </c>
      <c r="E49" s="135" t="str">
        <f>HYPERLINK("https://youtu.be/SPL3WQHp5CA?t=1033","channel 1")</f>
        <v>channel 1</v>
      </c>
    </row>
    <row r="50">
      <c r="A50" s="118"/>
      <c r="B50" s="32" t="s">
        <v>3869</v>
      </c>
      <c r="C50" s="33" t="s">
        <v>18</v>
      </c>
      <c r="D50" s="32" t="s">
        <v>3868</v>
      </c>
      <c r="E50" s="11" t="str">
        <f>HYPERLINK("https://youtu.be/bAGGuUlxQKc?t=1107","channel 2")</f>
        <v>channel 2</v>
      </c>
    </row>
    <row r="51">
      <c r="A51" s="118"/>
      <c r="B51" s="32" t="s">
        <v>3870</v>
      </c>
      <c r="C51" s="33" t="s">
        <v>19</v>
      </c>
      <c r="D51" s="32" t="s">
        <v>3296</v>
      </c>
      <c r="E51" s="135" t="str">
        <f>HYPERLINK("https://youtu.be/SPL3WQHp5CA?t=1983","channel 1")</f>
        <v>channel 1</v>
      </c>
    </row>
    <row r="52">
      <c r="A52" s="118"/>
      <c r="B52" s="32" t="s">
        <v>3869</v>
      </c>
      <c r="C52" s="33" t="s">
        <v>2367</v>
      </c>
      <c r="D52" s="32" t="s">
        <v>3358</v>
      </c>
      <c r="E52" s="11" t="str">
        <f>HYPERLINK("https://youtu.be/bAGGuUlxQKc?t=2118","channel 2")</f>
        <v>channel 2</v>
      </c>
    </row>
    <row r="53">
      <c r="A53" s="118"/>
      <c r="B53" s="32" t="s">
        <v>3870</v>
      </c>
      <c r="C53" s="33" t="s">
        <v>1696</v>
      </c>
      <c r="D53" s="32" t="s">
        <v>3868</v>
      </c>
      <c r="E53" s="135" t="str">
        <f>HYPERLINK("https://youtu.be/SPL3WQHp5CA?t=2962","channel 1")</f>
        <v>channel 1</v>
      </c>
    </row>
    <row r="54">
      <c r="A54" s="118"/>
      <c r="B54" s="32" t="s">
        <v>3296</v>
      </c>
      <c r="C54" s="33" t="s">
        <v>584</v>
      </c>
      <c r="D54" s="32" t="s">
        <v>3358</v>
      </c>
      <c r="E54" s="11" t="str">
        <f>HYPERLINK("https://youtu.be/bAGGuUlxQKc?t=3054","channel 2")</f>
        <v>channel 2</v>
      </c>
    </row>
    <row r="55">
      <c r="A55" s="118"/>
      <c r="B55" s="32" t="s">
        <v>3870</v>
      </c>
      <c r="C55" s="33" t="s">
        <v>72</v>
      </c>
      <c r="D55" s="32" t="s">
        <v>3869</v>
      </c>
      <c r="E55" s="135" t="str">
        <f>HYPERLINK("https://youtu.be/SPL3WQHp5CA?t=3942","channel 1")</f>
        <v>channel 1</v>
      </c>
    </row>
    <row r="56">
      <c r="A56" s="118"/>
      <c r="B56" s="32" t="s">
        <v>3296</v>
      </c>
      <c r="C56" s="33" t="s">
        <v>16</v>
      </c>
      <c r="D56" s="32" t="s">
        <v>3868</v>
      </c>
      <c r="E56" s="11" t="str">
        <f>HYPERLINK("https://youtu.be/bAGGuUlxQKc?t=4057","channel 2")</f>
        <v>channel 2</v>
      </c>
    </row>
    <row r="57">
      <c r="A57" s="118"/>
      <c r="B57" s="32" t="s">
        <v>3868</v>
      </c>
      <c r="C57" s="33" t="s">
        <v>203</v>
      </c>
      <c r="D57" s="32" t="s">
        <v>3358</v>
      </c>
      <c r="E57" s="135" t="str">
        <f>HYPERLINK("https://youtu.be/SPL3WQHp5CA?t=4877","channel 1")</f>
        <v>channel 1</v>
      </c>
    </row>
    <row r="58">
      <c r="A58" s="118"/>
      <c r="B58" s="32" t="s">
        <v>3296</v>
      </c>
      <c r="C58" s="33" t="s">
        <v>67</v>
      </c>
      <c r="D58" s="32" t="s">
        <v>3869</v>
      </c>
      <c r="E58" s="11" t="str">
        <f>HYPERLINK("https://youtu.be/bAGGuUlxQKc?t=4973","channel 2")</f>
        <v>channel 2</v>
      </c>
    </row>
    <row r="59">
      <c r="A59" s="118"/>
      <c r="B59" s="32" t="s">
        <v>3358</v>
      </c>
      <c r="C59" s="33" t="s">
        <v>64</v>
      </c>
      <c r="D59" s="32" t="s">
        <v>3870</v>
      </c>
      <c r="E59" s="135" t="str">
        <f>HYPERLINK("https://youtu.be/SPL3WQHp5CA?t=5797","channel 1")</f>
        <v>channel 1</v>
      </c>
    </row>
    <row r="60">
      <c r="A60" s="118"/>
      <c r="B60" s="32" t="s">
        <v>3868</v>
      </c>
      <c r="C60" s="33" t="s">
        <v>190</v>
      </c>
      <c r="D60" s="32" t="s">
        <v>3869</v>
      </c>
      <c r="E60" s="11" t="str">
        <f>HYPERLINK("https://youtu.be/bAGGuUlxQKc?t=5910","channel 2")</f>
        <v>channel 2</v>
      </c>
    </row>
    <row r="61">
      <c r="A61" s="118"/>
      <c r="B61" s="32" t="s">
        <v>3296</v>
      </c>
      <c r="C61" s="33" t="s">
        <v>21</v>
      </c>
      <c r="D61" s="32" t="s">
        <v>3870</v>
      </c>
      <c r="E61" s="135" t="str">
        <f>HYPERLINK("https://youtu.be/SPL3WQHp5CA?t=6708","channel 1")</f>
        <v>channel 1</v>
      </c>
    </row>
    <row r="62">
      <c r="A62" s="118"/>
      <c r="B62" s="32" t="s">
        <v>3358</v>
      </c>
      <c r="C62" s="35" t="s">
        <v>426</v>
      </c>
      <c r="D62" s="32" t="s">
        <v>3869</v>
      </c>
      <c r="E62" s="11" t="str">
        <f>HYPERLINK("https://youtu.be/bAGGuUlxQKc?t=6840","channel 2")</f>
        <v>channel 2</v>
      </c>
    </row>
    <row r="63">
      <c r="A63" s="118"/>
      <c r="B63" s="32" t="s">
        <v>3868</v>
      </c>
      <c r="C63" s="33" t="s">
        <v>218</v>
      </c>
      <c r="D63" s="32" t="s">
        <v>3870</v>
      </c>
      <c r="E63" s="135" t="str">
        <f>HYPERLINK("https://youtu.be/SPL3WQHp5CA?t=7667","channel 1")</f>
        <v>channel 1</v>
      </c>
    </row>
    <row r="64">
      <c r="A64" s="118"/>
      <c r="B64" s="32" t="s">
        <v>3358</v>
      </c>
      <c r="C64" s="33" t="s">
        <v>1190</v>
      </c>
      <c r="D64" s="32" t="s">
        <v>3296</v>
      </c>
      <c r="E64" s="11" t="str">
        <f>HYPERLINK("https://youtu.be/bAGGuUlxQKc?t=7792","channel 2")</f>
        <v>channel 2</v>
      </c>
    </row>
    <row r="65">
      <c r="A65" s="118"/>
      <c r="B65" s="32" t="s">
        <v>3869</v>
      </c>
      <c r="C65" s="33" t="s">
        <v>319</v>
      </c>
      <c r="D65" s="32" t="s">
        <v>3870</v>
      </c>
      <c r="E65" s="135" t="str">
        <f>HYPERLINK("https://youtu.be/SPL3WQHp5CA?t=8622","channel 1")</f>
        <v>channel 1</v>
      </c>
    </row>
    <row r="66">
      <c r="A66" s="118"/>
      <c r="B66" s="32" t="s">
        <v>3868</v>
      </c>
      <c r="C66" s="33" t="s">
        <v>536</v>
      </c>
      <c r="D66" s="32" t="s">
        <v>3296</v>
      </c>
      <c r="E66" s="11" t="str">
        <f>HYPERLINK("https://youtu.be/bAGGuUlxQKc?t=8723","channel 2")</f>
        <v>channel 2</v>
      </c>
    </row>
    <row r="67">
      <c r="A67" s="118"/>
      <c r="B67" s="137" t="s">
        <v>1685</v>
      </c>
      <c r="C67" s="2"/>
      <c r="D67" s="3"/>
      <c r="E67" s="138"/>
    </row>
    <row r="68">
      <c r="A68" s="118"/>
      <c r="B68" s="35" t="s">
        <v>2</v>
      </c>
      <c r="C68" s="35" t="s">
        <v>3</v>
      </c>
      <c r="D68" s="35" t="s">
        <v>4</v>
      </c>
      <c r="E68" s="16" t="s">
        <v>5</v>
      </c>
    </row>
    <row r="69">
      <c r="A69" s="118"/>
      <c r="B69" s="32" t="s">
        <v>3871</v>
      </c>
      <c r="C69" s="33" t="s">
        <v>72</v>
      </c>
      <c r="D69" s="32" t="s">
        <v>3872</v>
      </c>
      <c r="E69" s="135" t="str">
        <f>HYPERLINK("https://youtu.be/nmZi5nEl_7E","channel 1")</f>
        <v>channel 1</v>
      </c>
    </row>
    <row r="70">
      <c r="A70" s="118"/>
      <c r="B70" s="32" t="s">
        <v>3873</v>
      </c>
      <c r="C70" s="33" t="s">
        <v>46</v>
      </c>
      <c r="D70" s="32" t="s">
        <v>3183</v>
      </c>
      <c r="E70" s="11" t="str">
        <f>HYPERLINK("https://youtu.be/KRRmDWg71iI","channel 2")</f>
        <v>channel 2</v>
      </c>
    </row>
    <row r="71">
      <c r="A71" s="118"/>
      <c r="B71" s="32" t="s">
        <v>3874</v>
      </c>
      <c r="C71" s="33" t="s">
        <v>25</v>
      </c>
      <c r="D71" s="32" t="s">
        <v>3871</v>
      </c>
      <c r="E71" s="141" t="s">
        <v>9</v>
      </c>
    </row>
    <row r="72">
      <c r="A72" s="118"/>
      <c r="B72" s="32" t="s">
        <v>3873</v>
      </c>
      <c r="C72" s="33" t="s">
        <v>55</v>
      </c>
      <c r="D72" s="32" t="s">
        <v>3872</v>
      </c>
      <c r="E72" s="11" t="str">
        <f>HYPERLINK("https://youtu.be/KRRmDWg71iI?t=1165","channel 2")</f>
        <v>channel 2</v>
      </c>
    </row>
    <row r="73">
      <c r="A73" s="118"/>
      <c r="B73" s="32" t="s">
        <v>3874</v>
      </c>
      <c r="C73" s="33" t="s">
        <v>81</v>
      </c>
      <c r="D73" s="32" t="s">
        <v>3183</v>
      </c>
      <c r="E73" s="141" t="s">
        <v>9</v>
      </c>
    </row>
    <row r="74">
      <c r="A74" s="118"/>
      <c r="B74" s="32" t="s">
        <v>3873</v>
      </c>
      <c r="C74" s="33" t="s">
        <v>3107</v>
      </c>
      <c r="D74" s="32" t="s">
        <v>3871</v>
      </c>
      <c r="E74" s="11" t="str">
        <f>HYPERLINK("https://youtu.be/KRRmDWg71iI?t=2134","channel 2")</f>
        <v>channel 2</v>
      </c>
    </row>
    <row r="75">
      <c r="A75" s="118"/>
      <c r="B75" s="32" t="s">
        <v>3874</v>
      </c>
      <c r="C75" s="33" t="s">
        <v>58</v>
      </c>
      <c r="D75" s="32" t="s">
        <v>3872</v>
      </c>
      <c r="E75" s="141" t="s">
        <v>9</v>
      </c>
    </row>
    <row r="76">
      <c r="A76" s="118"/>
      <c r="B76" s="32" t="s">
        <v>3183</v>
      </c>
      <c r="C76" s="33" t="s">
        <v>196</v>
      </c>
      <c r="D76" s="32" t="s">
        <v>3871</v>
      </c>
      <c r="E76" s="11" t="str">
        <f>HYPERLINK("https://youtu.be/KRRmDWg71iI?t=3152","channel 2")</f>
        <v>channel 2</v>
      </c>
    </row>
    <row r="77">
      <c r="A77" s="118"/>
      <c r="B77" s="32" t="s">
        <v>3874</v>
      </c>
      <c r="C77" s="33" t="s">
        <v>190</v>
      </c>
      <c r="D77" s="32" t="s">
        <v>3873</v>
      </c>
      <c r="E77" s="141" t="s">
        <v>9</v>
      </c>
    </row>
    <row r="78">
      <c r="A78" s="118"/>
      <c r="B78" s="32" t="s">
        <v>3183</v>
      </c>
      <c r="C78" s="33" t="s">
        <v>22</v>
      </c>
      <c r="D78" s="32" t="s">
        <v>3872</v>
      </c>
      <c r="E78" s="11" t="str">
        <f>HYPERLINK("https://youtu.be/KRRmDWg71iI?t=4265","channel 2")</f>
        <v>channel 2</v>
      </c>
    </row>
    <row r="79">
      <c r="A79" s="118"/>
      <c r="B79" s="32" t="s">
        <v>3872</v>
      </c>
      <c r="C79" s="33" t="s">
        <v>64</v>
      </c>
      <c r="D79" s="32" t="s">
        <v>3871</v>
      </c>
      <c r="E79" s="141" t="s">
        <v>9</v>
      </c>
    </row>
    <row r="80">
      <c r="A80" s="118"/>
      <c r="B80" s="32" t="s">
        <v>3183</v>
      </c>
      <c r="C80" s="33" t="s">
        <v>190</v>
      </c>
      <c r="D80" s="32" t="s">
        <v>3873</v>
      </c>
      <c r="E80" s="11" t="str">
        <f>HYPERLINK("https://youtu.be/KRRmDWg71iI?t=5159","channel 2")</f>
        <v>channel 2</v>
      </c>
    </row>
    <row r="81">
      <c r="A81" s="118"/>
      <c r="B81" s="32" t="s">
        <v>3871</v>
      </c>
      <c r="C81" s="33" t="s">
        <v>239</v>
      </c>
      <c r="D81" s="32" t="s">
        <v>3874</v>
      </c>
      <c r="E81" s="141" t="s">
        <v>9</v>
      </c>
    </row>
    <row r="82">
      <c r="A82" s="118"/>
      <c r="B82" s="32" t="s">
        <v>3872</v>
      </c>
      <c r="C82" s="33" t="s">
        <v>58</v>
      </c>
      <c r="D82" s="32" t="s">
        <v>3873</v>
      </c>
      <c r="E82" s="11" t="str">
        <f>HYPERLINK("https://youtu.be/KRRmDWg71iI?t=6074","channel 2")</f>
        <v>channel 2</v>
      </c>
    </row>
    <row r="83">
      <c r="A83" s="118"/>
      <c r="B83" s="32" t="s">
        <v>3183</v>
      </c>
      <c r="C83" s="33" t="s">
        <v>536</v>
      </c>
      <c r="D83" s="32" t="s">
        <v>3874</v>
      </c>
      <c r="E83" s="141" t="s">
        <v>9</v>
      </c>
    </row>
    <row r="84">
      <c r="A84" s="118"/>
      <c r="B84" s="32" t="s">
        <v>3871</v>
      </c>
      <c r="C84" s="33" t="s">
        <v>243</v>
      </c>
      <c r="D84" s="32" t="s">
        <v>3873</v>
      </c>
      <c r="E84" s="11" t="str">
        <f>HYPERLINK("https://youtu.be/KRRmDWg71iI?t=7085","channel 2")</f>
        <v>channel 2</v>
      </c>
    </row>
    <row r="85">
      <c r="A85" s="118"/>
      <c r="B85" s="32" t="s">
        <v>3872</v>
      </c>
      <c r="C85" s="33" t="s">
        <v>1338</v>
      </c>
      <c r="D85" s="32" t="s">
        <v>3874</v>
      </c>
      <c r="E85" s="141" t="s">
        <v>9</v>
      </c>
    </row>
    <row r="86">
      <c r="A86" s="118"/>
      <c r="B86" s="32" t="s">
        <v>3871</v>
      </c>
      <c r="C86" s="33" t="s">
        <v>52</v>
      </c>
      <c r="D86" s="32" t="s">
        <v>3183</v>
      </c>
      <c r="E86" s="11" t="str">
        <f>HYPERLINK("https://youtu.be/KRRmDWg71iI?t=7948","channel 2")</f>
        <v>channel 2</v>
      </c>
    </row>
    <row r="87">
      <c r="A87" s="118"/>
      <c r="B87" s="32" t="s">
        <v>3873</v>
      </c>
      <c r="C87" s="33" t="s">
        <v>614</v>
      </c>
      <c r="D87" s="32" t="s">
        <v>3874</v>
      </c>
      <c r="E87" s="141" t="s">
        <v>9</v>
      </c>
    </row>
    <row r="88">
      <c r="A88" s="118"/>
      <c r="B88" s="32" t="s">
        <v>3872</v>
      </c>
      <c r="C88" s="33" t="s">
        <v>22</v>
      </c>
      <c r="D88" s="32" t="s">
        <v>3183</v>
      </c>
      <c r="E88" s="11" t="str">
        <f>HYPERLINK("https://youtu.be/KRRmDWg71iI?t=8949","channel 2")</f>
        <v>channel 2</v>
      </c>
    </row>
    <row r="89">
      <c r="A89" s="118"/>
      <c r="B89" s="72" t="s">
        <v>2907</v>
      </c>
      <c r="C89" s="2"/>
      <c r="D89" s="3"/>
      <c r="E89" s="138"/>
    </row>
    <row r="90">
      <c r="A90" s="118"/>
      <c r="B90" s="35" t="s">
        <v>2</v>
      </c>
      <c r="C90" s="35" t="s">
        <v>3</v>
      </c>
      <c r="D90" s="35" t="s">
        <v>4</v>
      </c>
      <c r="E90" s="16" t="s">
        <v>5</v>
      </c>
    </row>
    <row r="91">
      <c r="A91" s="118"/>
      <c r="B91" s="119" t="s">
        <v>3875</v>
      </c>
      <c r="C91" s="33" t="s">
        <v>285</v>
      </c>
      <c r="D91" s="32" t="s">
        <v>3876</v>
      </c>
      <c r="E91" s="135" t="str">
        <f>HYPERLINK("https://youtu.be/Lf21egzRqtc","channel 1")</f>
        <v>channel 1</v>
      </c>
    </row>
    <row r="92">
      <c r="A92" s="118"/>
      <c r="B92" s="32" t="s">
        <v>2079</v>
      </c>
      <c r="C92" s="33" t="s">
        <v>68</v>
      </c>
      <c r="D92" s="32" t="s">
        <v>3580</v>
      </c>
      <c r="E92" s="11" t="str">
        <f>HYPERLINK("https://youtu.be/EygD66W9e-E","channel 2")</f>
        <v>channel 2</v>
      </c>
    </row>
    <row r="93">
      <c r="A93" s="118"/>
      <c r="B93" s="32" t="s">
        <v>3547</v>
      </c>
      <c r="C93" s="33" t="s">
        <v>72</v>
      </c>
      <c r="D93" s="32" t="s">
        <v>3875</v>
      </c>
      <c r="E93" s="135" t="str">
        <f>HYPERLINK("https://youtu.be/Lf21egzRqtc?t=1007","channel 1")</f>
        <v>channel 1</v>
      </c>
    </row>
    <row r="94">
      <c r="A94" s="118"/>
      <c r="B94" s="32" t="s">
        <v>2079</v>
      </c>
      <c r="C94" s="33" t="s">
        <v>43</v>
      </c>
      <c r="D94" s="32" t="s">
        <v>3876</v>
      </c>
      <c r="E94" s="11" t="str">
        <f>HYPERLINK("https://youtu.be/EygD66W9e-E?t=1103","channel 2")</f>
        <v>channel 2</v>
      </c>
    </row>
    <row r="95">
      <c r="A95" s="118"/>
      <c r="B95" s="32" t="s">
        <v>3547</v>
      </c>
      <c r="C95" s="37" t="s">
        <v>196</v>
      </c>
      <c r="D95" s="32" t="s">
        <v>3580</v>
      </c>
      <c r="E95" s="135" t="str">
        <f>HYPERLINK("https://youtu.be/Lf21egzRqtc?t=1977","channel 1")</f>
        <v>channel 1</v>
      </c>
    </row>
    <row r="96">
      <c r="A96" s="118"/>
      <c r="B96" s="32" t="s">
        <v>2079</v>
      </c>
      <c r="C96" s="33" t="s">
        <v>426</v>
      </c>
      <c r="D96" s="32" t="s">
        <v>3875</v>
      </c>
      <c r="E96" s="11" t="str">
        <f>HYPERLINK("https://youtu.be/EygD66W9e-E?t=2069","channel 2")</f>
        <v>channel 2</v>
      </c>
    </row>
    <row r="97">
      <c r="A97" s="118"/>
      <c r="B97" s="32" t="s">
        <v>3547</v>
      </c>
      <c r="C97" s="33" t="s">
        <v>251</v>
      </c>
      <c r="D97" s="32" t="s">
        <v>3876</v>
      </c>
      <c r="E97" s="135" t="str">
        <f>HYPERLINK("https://youtu.be/Lf21egzRqtc?t=2953","channel 1")</f>
        <v>channel 1</v>
      </c>
    </row>
    <row r="98">
      <c r="A98" s="118"/>
      <c r="B98" s="32" t="s">
        <v>3580</v>
      </c>
      <c r="C98" s="33" t="s">
        <v>194</v>
      </c>
      <c r="D98" s="32" t="s">
        <v>3875</v>
      </c>
      <c r="E98" s="11" t="str">
        <f>HYPERLINK("https://youtu.be/EygD66W9e-E?t=2966","channel 2")</f>
        <v>channel 2</v>
      </c>
    </row>
    <row r="99">
      <c r="A99" s="118"/>
      <c r="B99" s="32" t="s">
        <v>3547</v>
      </c>
      <c r="C99" s="33" t="s">
        <v>197</v>
      </c>
      <c r="D99" s="32" t="s">
        <v>2079</v>
      </c>
      <c r="E99" s="135" t="str">
        <f>HYPERLINK("https://youtu.be/Lf21egzRqtc?t=3906","channel 1")</f>
        <v>channel 1</v>
      </c>
    </row>
    <row r="100">
      <c r="A100" s="118"/>
      <c r="B100" s="32" t="s">
        <v>3580</v>
      </c>
      <c r="C100" s="33" t="s">
        <v>363</v>
      </c>
      <c r="D100" s="32" t="s">
        <v>3876</v>
      </c>
      <c r="E100" s="11" t="str">
        <f>HYPERLINK("https://youtu.be/EygD66W9e-E?t=4038","channel 2")</f>
        <v>channel 2</v>
      </c>
    </row>
    <row r="101">
      <c r="A101" s="118"/>
      <c r="B101" s="32" t="s">
        <v>3876</v>
      </c>
      <c r="C101" s="33" t="s">
        <v>43</v>
      </c>
      <c r="D101" s="32" t="s">
        <v>3875</v>
      </c>
      <c r="E101" s="135" t="str">
        <f>HYPERLINK("https://youtu.be/Lf21egzRqtc?t=4860","channel 1")</f>
        <v>channel 1</v>
      </c>
    </row>
    <row r="102">
      <c r="A102" s="118"/>
      <c r="B102" s="32" t="s">
        <v>3580</v>
      </c>
      <c r="C102" s="33" t="s">
        <v>1622</v>
      </c>
      <c r="D102" s="32" t="s">
        <v>2079</v>
      </c>
      <c r="E102" s="11" t="str">
        <f>HYPERLINK("https://youtu.be/EygD66W9e-E?t=4038","channel 2")</f>
        <v>channel 2</v>
      </c>
    </row>
    <row r="103">
      <c r="A103" s="118"/>
      <c r="B103" s="32" t="s">
        <v>3875</v>
      </c>
      <c r="C103" s="33" t="s">
        <v>239</v>
      </c>
      <c r="D103" s="32" t="s">
        <v>3547</v>
      </c>
      <c r="E103" s="135" t="str">
        <f>HYPERLINK("https://youtu.be/Lf21egzRqtc?t=5813","channel 1")</f>
        <v>channel 1</v>
      </c>
    </row>
    <row r="104">
      <c r="A104" s="118"/>
      <c r="B104" s="32" t="s">
        <v>3876</v>
      </c>
      <c r="C104" s="33" t="s">
        <v>220</v>
      </c>
      <c r="D104" s="32" t="s">
        <v>2079</v>
      </c>
      <c r="E104" s="11" t="str">
        <f>HYPERLINK("https://youtu.be/EygD66W9e-E?t=5930","channel 2")</f>
        <v>channel 2</v>
      </c>
    </row>
    <row r="105">
      <c r="A105" s="118"/>
      <c r="B105" s="32" t="s">
        <v>3580</v>
      </c>
      <c r="C105" s="33" t="s">
        <v>220</v>
      </c>
      <c r="D105" s="32" t="s">
        <v>3547</v>
      </c>
      <c r="E105" s="135" t="str">
        <f>HYPERLINK("https://youtu.be/Lf21egzRqtc?t=6766","channel 1")</f>
        <v>channel 1</v>
      </c>
    </row>
    <row r="106">
      <c r="A106" s="118"/>
      <c r="B106" s="32" t="s">
        <v>3875</v>
      </c>
      <c r="C106" s="33" t="s">
        <v>195</v>
      </c>
      <c r="D106" s="32" t="s">
        <v>2079</v>
      </c>
      <c r="E106" s="11" t="str">
        <f>HYPERLINK("https://youtu.be/EygD66W9e-E?t=6917","channel 2")</f>
        <v>channel 2</v>
      </c>
    </row>
    <row r="107">
      <c r="A107" s="118"/>
      <c r="B107" s="32" t="s">
        <v>3876</v>
      </c>
      <c r="C107" s="33" t="s">
        <v>216</v>
      </c>
      <c r="D107" s="32" t="s">
        <v>3547</v>
      </c>
      <c r="E107" s="135" t="str">
        <f>HYPERLINK("https://youtu.be/Lf21egzRqtc?t=7719","channel 1")</f>
        <v>channel 1</v>
      </c>
    </row>
    <row r="108">
      <c r="A108" s="118"/>
      <c r="B108" s="32" t="s">
        <v>3875</v>
      </c>
      <c r="C108" s="33" t="s">
        <v>328</v>
      </c>
      <c r="D108" s="32" t="s">
        <v>3580</v>
      </c>
      <c r="E108" s="11" t="str">
        <f>HYPERLINK("https://youtu.be/EygD66W9e-E?t=7841","channel 2")</f>
        <v>channel 2</v>
      </c>
    </row>
    <row r="109">
      <c r="A109" s="118"/>
      <c r="B109" s="32" t="s">
        <v>2079</v>
      </c>
      <c r="C109" s="33" t="s">
        <v>190</v>
      </c>
      <c r="D109" s="32" t="s">
        <v>3547</v>
      </c>
      <c r="E109" s="135" t="str">
        <f>HYPERLINK("https://youtu.be/Lf21egzRqtc?t=8708","channel 1")</f>
        <v>channel 1</v>
      </c>
    </row>
    <row r="110">
      <c r="A110" s="118"/>
      <c r="B110" s="32" t="s">
        <v>3876</v>
      </c>
      <c r="C110" s="33" t="s">
        <v>250</v>
      </c>
      <c r="D110" s="32" t="s">
        <v>3580</v>
      </c>
      <c r="E110" s="11" t="str">
        <f>HYPERLINK("https://youtu.be/EygD66W9e-E?t=8719","channel 2")</f>
        <v>channel 2</v>
      </c>
    </row>
    <row r="111">
      <c r="A111" s="118"/>
      <c r="B111" s="72" t="s">
        <v>2272</v>
      </c>
      <c r="C111" s="2"/>
      <c r="D111" s="3"/>
      <c r="E111" s="138"/>
    </row>
    <row r="112">
      <c r="A112" s="118"/>
      <c r="B112" s="35" t="s">
        <v>2</v>
      </c>
      <c r="C112" s="35" t="s">
        <v>3</v>
      </c>
      <c r="D112" s="35" t="s">
        <v>4</v>
      </c>
      <c r="E112" s="16" t="s">
        <v>5</v>
      </c>
    </row>
    <row r="113">
      <c r="A113" s="118"/>
      <c r="B113" s="119" t="s">
        <v>3118</v>
      </c>
      <c r="C113" s="33" t="s">
        <v>22</v>
      </c>
      <c r="D113" s="32" t="s">
        <v>2400</v>
      </c>
      <c r="E113" s="135" t="str">
        <f>HYPERLINK("https://youtu.be/FMUwsbUIDLc","channel 1")</f>
        <v>channel 1</v>
      </c>
    </row>
    <row r="114">
      <c r="A114" s="118"/>
      <c r="B114" s="32" t="s">
        <v>169</v>
      </c>
      <c r="C114" s="33" t="s">
        <v>68</v>
      </c>
      <c r="D114" s="32" t="s">
        <v>3877</v>
      </c>
      <c r="E114" s="11" t="str">
        <f>HYPERLINK("https://youtu.be/OJwaZ3fkl8Q","channel 2")</f>
        <v>channel 2</v>
      </c>
    </row>
    <row r="115">
      <c r="A115" s="118"/>
      <c r="B115" s="32" t="s">
        <v>3878</v>
      </c>
      <c r="C115" s="33" t="s">
        <v>72</v>
      </c>
      <c r="D115" s="32" t="s">
        <v>3118</v>
      </c>
      <c r="E115" s="135" t="str">
        <f>HYPERLINK("https://youtu.be/FMUwsbUIDLc?t=967","channel 1")</f>
        <v>channel 1</v>
      </c>
    </row>
    <row r="116">
      <c r="A116" s="118"/>
      <c r="B116" s="32" t="s">
        <v>169</v>
      </c>
      <c r="C116" s="33" t="s">
        <v>3879</v>
      </c>
      <c r="D116" s="32" t="s">
        <v>2400</v>
      </c>
      <c r="E116" s="11" t="str">
        <f>HYPERLINK("https://youtu.be/OJwaZ3fkl8Q?t=1062","channel 2")</f>
        <v>channel 2</v>
      </c>
    </row>
    <row r="117">
      <c r="A117" s="118"/>
      <c r="B117" s="32" t="s">
        <v>3878</v>
      </c>
      <c r="C117" s="33" t="s">
        <v>190</v>
      </c>
      <c r="D117" s="32" t="s">
        <v>3877</v>
      </c>
      <c r="E117" s="135" t="str">
        <f>HYPERLINK("https://youtu.be/FMUwsbUIDLc?t=1901","channel 1")</f>
        <v>channel 1</v>
      </c>
    </row>
    <row r="118">
      <c r="A118" s="118"/>
      <c r="B118" s="32" t="s">
        <v>169</v>
      </c>
      <c r="C118" s="33" t="s">
        <v>68</v>
      </c>
      <c r="D118" s="32" t="s">
        <v>3118</v>
      </c>
      <c r="E118" s="11" t="str">
        <f>HYPERLINK("https://youtu.be/OJwaZ3fkl8Q?t=2036","channel 2")</f>
        <v>channel 2</v>
      </c>
    </row>
    <row r="119">
      <c r="A119" s="118"/>
      <c r="B119" s="32" t="s">
        <v>3878</v>
      </c>
      <c r="C119" s="33" t="s">
        <v>62</v>
      </c>
      <c r="D119" s="32" t="s">
        <v>2400</v>
      </c>
      <c r="E119" s="135" t="str">
        <f>HYPERLINK("https://youtu.be/FMUwsbUIDLc?t=2804","channel 1")</f>
        <v>channel 1</v>
      </c>
    </row>
    <row r="120">
      <c r="A120" s="118"/>
      <c r="B120" s="32" t="s">
        <v>3877</v>
      </c>
      <c r="C120" s="33" t="s">
        <v>249</v>
      </c>
      <c r="D120" s="32" t="s">
        <v>3118</v>
      </c>
      <c r="E120" s="11" t="str">
        <f>HYPERLINK("https://youtu.be/OJwaZ3fkl8Q?t=2927","channel 2")</f>
        <v>channel 2</v>
      </c>
    </row>
    <row r="121">
      <c r="A121" s="118"/>
      <c r="B121" s="32" t="s">
        <v>3878</v>
      </c>
      <c r="C121" s="33" t="s">
        <v>87</v>
      </c>
      <c r="D121" s="32" t="s">
        <v>169</v>
      </c>
      <c r="E121" s="135" t="str">
        <f>HYPERLINK("https://youtu.be/FMUwsbUIDLc?t=3725","channel 1")</f>
        <v>channel 1</v>
      </c>
    </row>
    <row r="122">
      <c r="A122" s="118"/>
      <c r="B122" s="32" t="s">
        <v>3877</v>
      </c>
      <c r="C122" s="33" t="s">
        <v>536</v>
      </c>
      <c r="D122" s="32" t="s">
        <v>2400</v>
      </c>
      <c r="E122" s="11" t="str">
        <f>HYPERLINK("https://youtu.be/OJwaZ3fkl8Q?t=3887","channel 2")</f>
        <v>channel 2</v>
      </c>
    </row>
    <row r="123">
      <c r="A123" s="118"/>
      <c r="B123" s="32" t="s">
        <v>2400</v>
      </c>
      <c r="C123" s="33" t="s">
        <v>48</v>
      </c>
      <c r="D123" s="32" t="s">
        <v>3118</v>
      </c>
      <c r="E123" s="135" t="str">
        <f>HYPERLINK("https://youtu.be/FMUwsbUIDLc?t=4643","channel 1")</f>
        <v>channel 1</v>
      </c>
    </row>
    <row r="124">
      <c r="A124" s="118"/>
      <c r="B124" s="32" t="s">
        <v>3877</v>
      </c>
      <c r="C124" s="33" t="s">
        <v>370</v>
      </c>
      <c r="D124" s="32" t="s">
        <v>169</v>
      </c>
      <c r="E124" s="11" t="str">
        <f>HYPERLINK("https://youtu.be/OJwaZ3fkl8Q?t=4770","channel 2")</f>
        <v>channel 2</v>
      </c>
    </row>
    <row r="125">
      <c r="A125" s="118"/>
      <c r="B125" s="32" t="s">
        <v>3118</v>
      </c>
      <c r="C125" s="33" t="s">
        <v>389</v>
      </c>
      <c r="D125" s="32" t="s">
        <v>3878</v>
      </c>
      <c r="E125" s="135" t="str">
        <f>HYPERLINK("https://youtu.be/FMUwsbUIDLc?t=5552","channel 1")</f>
        <v>channel 1</v>
      </c>
    </row>
    <row r="126">
      <c r="A126" s="118"/>
      <c r="B126" s="32" t="s">
        <v>2400</v>
      </c>
      <c r="C126" s="33" t="s">
        <v>232</v>
      </c>
      <c r="D126" s="32" t="s">
        <v>169</v>
      </c>
      <c r="E126" s="11" t="str">
        <f>HYPERLINK("https://youtu.be/OJwaZ3fkl8Q?t=5671","channel 2")</f>
        <v>channel 2</v>
      </c>
    </row>
    <row r="127">
      <c r="A127" s="118"/>
      <c r="B127" s="32" t="s">
        <v>3877</v>
      </c>
      <c r="C127" s="33" t="s">
        <v>69</v>
      </c>
      <c r="D127" s="32" t="s">
        <v>3878</v>
      </c>
      <c r="E127" s="135" t="str">
        <f>HYPERLINK("https://youtu.be/FMUwsbUIDLc?t=6493","channel 1")</f>
        <v>channel 1</v>
      </c>
    </row>
    <row r="128">
      <c r="A128" s="118"/>
      <c r="B128" s="32" t="s">
        <v>3118</v>
      </c>
      <c r="C128" s="33" t="s">
        <v>207</v>
      </c>
      <c r="D128" s="32" t="s">
        <v>169</v>
      </c>
      <c r="E128" s="11" t="str">
        <f>HYPERLINK("https://youtu.be/OJwaZ3fkl8Q?t=6567","channel 2")</f>
        <v>channel 2</v>
      </c>
    </row>
    <row r="129">
      <c r="A129" s="118"/>
      <c r="B129" s="32" t="s">
        <v>2400</v>
      </c>
      <c r="C129" s="33" t="s">
        <v>195</v>
      </c>
      <c r="D129" s="32" t="s">
        <v>3878</v>
      </c>
      <c r="E129" s="135" t="str">
        <f>HYPERLINK("https://youtu.be/FMUwsbUIDLc?t=7461","channel 1")</f>
        <v>channel 1</v>
      </c>
    </row>
    <row r="130">
      <c r="A130" s="118"/>
      <c r="B130" s="32" t="s">
        <v>3118</v>
      </c>
      <c r="C130" s="33" t="s">
        <v>62</v>
      </c>
      <c r="D130" s="32" t="s">
        <v>3877</v>
      </c>
      <c r="E130" s="11" t="str">
        <f>HYPERLINK("https://youtu.be/OJwaZ3fkl8Q?t=7518","channel 2")</f>
        <v>channel 2</v>
      </c>
    </row>
    <row r="131">
      <c r="A131" s="118"/>
      <c r="B131" s="32" t="s">
        <v>169</v>
      </c>
      <c r="C131" s="33" t="s">
        <v>16</v>
      </c>
      <c r="D131" s="32" t="s">
        <v>3878</v>
      </c>
      <c r="E131" s="135" t="str">
        <f>HYPERLINK("https://youtu.be/FMUwsbUIDLc?t=8320","channel 1")</f>
        <v>channel 1</v>
      </c>
    </row>
    <row r="132">
      <c r="A132" s="122"/>
      <c r="B132" s="32" t="s">
        <v>2400</v>
      </c>
      <c r="C132" s="33" t="s">
        <v>21</v>
      </c>
      <c r="D132" s="32" t="s">
        <v>3877</v>
      </c>
      <c r="E132" s="11" t="str">
        <f>HYPERLINK("https://youtu.be/OJwaZ3fkl8Q?t=8476","channel 2")</f>
        <v>channel 2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7"/>
      <c r="B1" s="72" t="s">
        <v>1400</v>
      </c>
      <c r="C1" s="2"/>
      <c r="D1" s="3"/>
      <c r="E1" s="134"/>
    </row>
    <row r="2">
      <c r="A2" s="118"/>
      <c r="B2" s="35" t="s">
        <v>2</v>
      </c>
      <c r="C2" s="35" t="s">
        <v>3</v>
      </c>
      <c r="D2" s="35" t="s">
        <v>4</v>
      </c>
      <c r="E2" s="6" t="s">
        <v>5</v>
      </c>
    </row>
    <row r="3">
      <c r="A3" s="118"/>
      <c r="B3" s="32" t="s">
        <v>1543</v>
      </c>
      <c r="C3" s="33" t="s">
        <v>87</v>
      </c>
      <c r="D3" s="32" t="s">
        <v>3880</v>
      </c>
      <c r="E3" s="135" t="str">
        <f>HYPERLINK("https://youtu.be/fW5dlztlfcY","channel 1")</f>
        <v>channel 1</v>
      </c>
    </row>
    <row r="4">
      <c r="A4" s="118"/>
      <c r="B4" s="32" t="s">
        <v>3881</v>
      </c>
      <c r="C4" s="60" t="s">
        <v>291</v>
      </c>
      <c r="D4" s="32" t="s">
        <v>3882</v>
      </c>
      <c r="E4" s="11" t="str">
        <f>HYPERLINK("https://youtu.be/u7yhYTSoYjg","channel 2")</f>
        <v>channel 2</v>
      </c>
    </row>
    <row r="5">
      <c r="A5" s="118"/>
      <c r="B5" s="32" t="s">
        <v>3701</v>
      </c>
      <c r="C5" s="33" t="s">
        <v>28</v>
      </c>
      <c r="D5" s="32" t="s">
        <v>1543</v>
      </c>
      <c r="E5" s="135" t="str">
        <f>HYPERLINK("https://youtu.be/fW5dlztlfcY?t=816","channel 1")</f>
        <v>channel 1</v>
      </c>
    </row>
    <row r="6">
      <c r="A6" s="118"/>
      <c r="B6" s="32" t="s">
        <v>3881</v>
      </c>
      <c r="C6" s="33" t="s">
        <v>52</v>
      </c>
      <c r="D6" s="32" t="s">
        <v>3880</v>
      </c>
      <c r="E6" s="11" t="str">
        <f>HYPERLINK("https://youtu.be/u7yhYTSoYjg?t=978","channel 2")</f>
        <v>channel 2</v>
      </c>
    </row>
    <row r="7">
      <c r="A7" s="118"/>
      <c r="B7" s="32" t="s">
        <v>3701</v>
      </c>
      <c r="C7" s="33" t="s">
        <v>64</v>
      </c>
      <c r="D7" s="32" t="s">
        <v>3882</v>
      </c>
      <c r="E7" s="135" t="str">
        <f>HYPERLINK("https://youtu.be/fW5dlztlfcY?t=1855","channel 1")</f>
        <v>channel 1</v>
      </c>
    </row>
    <row r="8">
      <c r="A8" s="118"/>
      <c r="B8" s="32" t="s">
        <v>3881</v>
      </c>
      <c r="C8" s="33" t="s">
        <v>47</v>
      </c>
      <c r="D8" s="32" t="s">
        <v>1543</v>
      </c>
      <c r="E8" s="11" t="str">
        <f>HYPERLINK("https://youtu.be/u7yhYTSoYjg?t=1952","channel 2")</f>
        <v>channel 2</v>
      </c>
    </row>
    <row r="9">
      <c r="A9" s="118"/>
      <c r="B9" s="32" t="s">
        <v>3701</v>
      </c>
      <c r="C9" s="33" t="s">
        <v>196</v>
      </c>
      <c r="D9" s="32" t="s">
        <v>3880</v>
      </c>
      <c r="E9" s="135" t="str">
        <f>HYPERLINK("https://youtu.be/fW5dlztlfcY?t=2851","channel 1")</f>
        <v>channel 1</v>
      </c>
    </row>
    <row r="10">
      <c r="A10" s="118"/>
      <c r="B10" s="32" t="s">
        <v>3882</v>
      </c>
      <c r="C10" s="33" t="s">
        <v>71</v>
      </c>
      <c r="D10" s="32" t="s">
        <v>1543</v>
      </c>
      <c r="E10" s="11" t="str">
        <f>HYPERLINK("https://youtu.be/u7yhYTSoYjg?t=2904","channel 2")</f>
        <v>channel 2</v>
      </c>
    </row>
    <row r="11">
      <c r="A11" s="118"/>
      <c r="B11" s="32" t="s">
        <v>3701</v>
      </c>
      <c r="C11" s="33" t="s">
        <v>81</v>
      </c>
      <c r="D11" s="32" t="s">
        <v>3881</v>
      </c>
      <c r="E11" s="135" t="str">
        <f>HYPERLINK("https://youtu.be/fW5dlztlfcY?t=3769","channel 1")</f>
        <v>channel 1</v>
      </c>
    </row>
    <row r="12">
      <c r="A12" s="118"/>
      <c r="B12" s="32" t="s">
        <v>3882</v>
      </c>
      <c r="C12" s="33" t="s">
        <v>69</v>
      </c>
      <c r="D12" s="32" t="s">
        <v>3880</v>
      </c>
      <c r="E12" s="11" t="str">
        <f>HYPERLINK("https://youtu.be/u7yhYTSoYjg?t=3875","channel 2")</f>
        <v>channel 2</v>
      </c>
    </row>
    <row r="13">
      <c r="A13" s="118"/>
      <c r="B13" s="32" t="s">
        <v>3880</v>
      </c>
      <c r="C13" s="33" t="s">
        <v>261</v>
      </c>
      <c r="D13" s="32" t="s">
        <v>1543</v>
      </c>
      <c r="E13" s="135" t="str">
        <f>HYPERLINK("https://youtu.be/fW5dlztlfcY?t=4773","channel 1")</f>
        <v>channel 1</v>
      </c>
    </row>
    <row r="14">
      <c r="A14" s="118"/>
      <c r="B14" s="32" t="s">
        <v>3882</v>
      </c>
      <c r="C14" s="33" t="s">
        <v>443</v>
      </c>
      <c r="D14" s="32" t="s">
        <v>3881</v>
      </c>
      <c r="E14" s="11" t="str">
        <f>HYPERLINK("https://youtu.be/u7yhYTSoYjg?t=4803","channel 2")</f>
        <v>channel 2</v>
      </c>
    </row>
    <row r="15">
      <c r="A15" s="118"/>
      <c r="B15" s="32" t="s">
        <v>1543</v>
      </c>
      <c r="C15" s="33" t="s">
        <v>19</v>
      </c>
      <c r="D15" s="32" t="s">
        <v>3701</v>
      </c>
      <c r="E15" s="135" t="str">
        <f>HYPERLINK("https://youtu.be/fW5dlztlfcY?t=5692","channel 1")</f>
        <v>channel 1</v>
      </c>
    </row>
    <row r="16">
      <c r="A16" s="118"/>
      <c r="B16" s="32" t="s">
        <v>3880</v>
      </c>
      <c r="C16" s="33" t="s">
        <v>11</v>
      </c>
      <c r="D16" s="32" t="s">
        <v>3881</v>
      </c>
      <c r="E16" s="11" t="str">
        <f>HYPERLINK("https://youtu.be/u7yhYTSoYjg?t=5804","channel 2")</f>
        <v>channel 2</v>
      </c>
    </row>
    <row r="17">
      <c r="A17" s="118"/>
      <c r="B17" s="32" t="s">
        <v>3882</v>
      </c>
      <c r="C17" s="33" t="s">
        <v>494</v>
      </c>
      <c r="D17" s="32" t="s">
        <v>3701</v>
      </c>
      <c r="E17" s="135" t="str">
        <f>HYPERLINK("https://youtu.be/fW5dlztlfcY?t=6756","channel 1")</f>
        <v>channel 1</v>
      </c>
    </row>
    <row r="18">
      <c r="A18" s="118"/>
      <c r="B18" s="32" t="s">
        <v>1543</v>
      </c>
      <c r="C18" s="33" t="s">
        <v>64</v>
      </c>
      <c r="D18" s="32" t="s">
        <v>3881</v>
      </c>
      <c r="E18" s="11" t="str">
        <f>HYPERLINK("https://youtu.be/u7yhYTSoYjg?t=6860","channel 2")</f>
        <v>channel 2</v>
      </c>
    </row>
    <row r="19">
      <c r="A19" s="118"/>
      <c r="B19" s="32" t="s">
        <v>3880</v>
      </c>
      <c r="C19" s="33" t="s">
        <v>283</v>
      </c>
      <c r="D19" s="32" t="s">
        <v>3701</v>
      </c>
      <c r="E19" s="135" t="str">
        <f>HYPERLINK("https://youtu.be/fW5dlztlfcY?t=7735","channel 1")</f>
        <v>channel 1</v>
      </c>
    </row>
    <row r="20">
      <c r="A20" s="118"/>
      <c r="B20" s="32" t="s">
        <v>1543</v>
      </c>
      <c r="C20" s="33" t="s">
        <v>579</v>
      </c>
      <c r="D20" s="32" t="s">
        <v>3882</v>
      </c>
      <c r="E20" s="11" t="str">
        <f>HYPERLINK("https://youtu.be/u7yhYTSoYjg?t=7878","channel 2")</f>
        <v>channel 2</v>
      </c>
    </row>
    <row r="21">
      <c r="A21" s="118"/>
      <c r="B21" s="32" t="s">
        <v>3881</v>
      </c>
      <c r="C21" s="33" t="s">
        <v>81</v>
      </c>
      <c r="D21" s="32" t="s">
        <v>3701</v>
      </c>
      <c r="E21" s="135" t="str">
        <f>HYPERLINK("https://youtu.be/fW5dlztlfcY?t=8644","channel 1")</f>
        <v>channel 1</v>
      </c>
    </row>
    <row r="22">
      <c r="A22" s="118"/>
      <c r="B22" s="32" t="s">
        <v>3880</v>
      </c>
      <c r="C22" s="33" t="s">
        <v>35</v>
      </c>
      <c r="D22" s="32" t="s">
        <v>3882</v>
      </c>
      <c r="E22" s="11" t="str">
        <f>HYPERLINK("https://youtu.be/u7yhYTSoYjg?t=8827","channel 2")</f>
        <v>channel 2</v>
      </c>
    </row>
    <row r="23">
      <c r="A23" s="118"/>
      <c r="B23" s="72" t="s">
        <v>2231</v>
      </c>
      <c r="C23" s="2"/>
      <c r="D23" s="3"/>
      <c r="E23" s="134"/>
    </row>
    <row r="24">
      <c r="A24" s="118"/>
      <c r="B24" s="35" t="s">
        <v>2</v>
      </c>
      <c r="C24" s="35" t="s">
        <v>3</v>
      </c>
      <c r="D24" s="35" t="s">
        <v>4</v>
      </c>
      <c r="E24" s="6" t="s">
        <v>5</v>
      </c>
    </row>
    <row r="25">
      <c r="A25" s="118"/>
      <c r="B25" s="32" t="s">
        <v>2155</v>
      </c>
      <c r="C25" s="33" t="s">
        <v>244</v>
      </c>
      <c r="D25" s="32" t="s">
        <v>3883</v>
      </c>
      <c r="E25" s="135" t="str">
        <f>HYPERLINK("https://youtu.be/hzj-K1GVIr0","channel 1")</f>
        <v>channel 1</v>
      </c>
    </row>
    <row r="26">
      <c r="A26" s="118"/>
      <c r="B26" s="32" t="s">
        <v>830</v>
      </c>
      <c r="C26" s="33" t="s">
        <v>218</v>
      </c>
      <c r="D26" s="32" t="s">
        <v>3109</v>
      </c>
      <c r="E26" s="11" t="str">
        <f>HYPERLINK("https://youtu.be/_8yzAWLjI98","channel 2")</f>
        <v>channel 2</v>
      </c>
    </row>
    <row r="27">
      <c r="A27" s="118"/>
      <c r="B27" s="32" t="s">
        <v>3884</v>
      </c>
      <c r="C27" s="33" t="s">
        <v>42</v>
      </c>
      <c r="D27" s="32" t="s">
        <v>2155</v>
      </c>
      <c r="E27" s="135" t="str">
        <f>HYPERLINK("https://youtu.be/hzj-K1GVIr0?t=868","channel 1")</f>
        <v>channel 1</v>
      </c>
    </row>
    <row r="28">
      <c r="A28" s="118"/>
      <c r="B28" s="32" t="s">
        <v>830</v>
      </c>
      <c r="C28" s="33" t="s">
        <v>48</v>
      </c>
      <c r="D28" s="32" t="s">
        <v>3883</v>
      </c>
      <c r="E28" s="11" t="str">
        <f>HYPERLINK("https://youtu.be/_8yzAWLjI98?t=1038","channel 2")</f>
        <v>channel 2</v>
      </c>
    </row>
    <row r="29">
      <c r="A29" s="118"/>
      <c r="B29" s="32" t="s">
        <v>3884</v>
      </c>
      <c r="C29" s="33" t="s">
        <v>239</v>
      </c>
      <c r="D29" s="32" t="s">
        <v>3109</v>
      </c>
      <c r="E29" s="135" t="str">
        <f>HYPERLINK("https://youtu.be/hzj-K1GVIr0?t=2440","channel 1")</f>
        <v>channel 1</v>
      </c>
    </row>
    <row r="30">
      <c r="A30" s="118"/>
      <c r="B30" s="32" t="s">
        <v>830</v>
      </c>
      <c r="C30" s="33" t="s">
        <v>226</v>
      </c>
      <c r="D30" s="32" t="s">
        <v>2155</v>
      </c>
      <c r="E30" s="11" t="str">
        <f>HYPERLINK("https://youtu.be/_8yzAWLjI98?t=2503","channel 2")</f>
        <v>channel 2</v>
      </c>
    </row>
    <row r="31">
      <c r="A31" s="118"/>
      <c r="B31" s="32" t="s">
        <v>3884</v>
      </c>
      <c r="C31" s="33" t="s">
        <v>488</v>
      </c>
      <c r="D31" s="32" t="s">
        <v>3883</v>
      </c>
      <c r="E31" s="135" t="str">
        <f>HYPERLINK("https://youtu.be/hzj-K1GVIr0?t=3299","channel 1")</f>
        <v>channel 1</v>
      </c>
    </row>
    <row r="32">
      <c r="A32" s="118"/>
      <c r="B32" s="32" t="s">
        <v>3109</v>
      </c>
      <c r="C32" s="33" t="s">
        <v>48</v>
      </c>
      <c r="D32" s="32" t="s">
        <v>2155</v>
      </c>
      <c r="E32" s="11" t="str">
        <f>HYPERLINK("https://youtu.be/_8yzAWLjI98?t=3465","channel 2")</f>
        <v>channel 2</v>
      </c>
    </row>
    <row r="33">
      <c r="A33" s="118"/>
      <c r="B33" s="32" t="s">
        <v>3884</v>
      </c>
      <c r="C33" s="33" t="s">
        <v>201</v>
      </c>
      <c r="D33" s="32" t="s">
        <v>830</v>
      </c>
      <c r="E33" s="135" t="str">
        <f>HYPERLINK("https://youtu.be/hzj-K1GVIr0?t=4236","channel 1")</f>
        <v>channel 1</v>
      </c>
    </row>
    <row r="34">
      <c r="A34" s="118"/>
      <c r="B34" s="32" t="s">
        <v>3109</v>
      </c>
      <c r="C34" s="33" t="s">
        <v>87</v>
      </c>
      <c r="D34" s="32" t="s">
        <v>3883</v>
      </c>
      <c r="E34" s="11" t="str">
        <f>HYPERLINK("https://youtu.be/_8yzAWLjI98?t=4383","channel 2")</f>
        <v>channel 2</v>
      </c>
    </row>
    <row r="35">
      <c r="A35" s="118"/>
      <c r="B35" s="32" t="s">
        <v>3883</v>
      </c>
      <c r="C35" s="33" t="s">
        <v>17</v>
      </c>
      <c r="D35" s="32" t="s">
        <v>2155</v>
      </c>
      <c r="E35" s="135" t="str">
        <f>HYPERLINK("https://youtu.be/hzj-K1GVIr0?t=5042","channel 1")</f>
        <v>channel 1</v>
      </c>
    </row>
    <row r="36">
      <c r="A36" s="118"/>
      <c r="B36" s="32" t="s">
        <v>3109</v>
      </c>
      <c r="C36" s="33" t="s">
        <v>26</v>
      </c>
      <c r="D36" s="32" t="s">
        <v>830</v>
      </c>
      <c r="E36" s="11" t="str">
        <f>HYPERLINK("https://youtu.be/_8yzAWLjI98?t=5338","channel 2")</f>
        <v>channel 2</v>
      </c>
    </row>
    <row r="37">
      <c r="A37" s="118"/>
      <c r="B37" s="32" t="s">
        <v>2155</v>
      </c>
      <c r="C37" s="33" t="s">
        <v>19</v>
      </c>
      <c r="D37" s="32" t="s">
        <v>3884</v>
      </c>
      <c r="E37" s="135" t="str">
        <f>HYPERLINK("https://youtu.be/hzj-K1GVIr0?t=6025","channel 1")</f>
        <v>channel 1</v>
      </c>
    </row>
    <row r="38">
      <c r="A38" s="118"/>
      <c r="B38" s="32" t="s">
        <v>3883</v>
      </c>
      <c r="C38" s="33" t="s">
        <v>64</v>
      </c>
      <c r="D38" s="32" t="s">
        <v>830</v>
      </c>
      <c r="E38" s="11" t="str">
        <f>HYPERLINK("https://youtu.be/_8yzAWLjI98?t=6279","channel 2")</f>
        <v>channel 2</v>
      </c>
    </row>
    <row r="39">
      <c r="A39" s="118"/>
      <c r="B39" s="32" t="s">
        <v>3109</v>
      </c>
      <c r="C39" s="35" t="s">
        <v>351</v>
      </c>
      <c r="D39" s="32" t="s">
        <v>3884</v>
      </c>
      <c r="E39" s="135" t="str">
        <f>HYPERLINK("https://youtu.be/hzj-K1GVIr0?t=6954","channel 1")</f>
        <v>channel 1</v>
      </c>
    </row>
    <row r="40">
      <c r="A40" s="118"/>
      <c r="B40" s="32" t="s">
        <v>2155</v>
      </c>
      <c r="C40" s="33" t="s">
        <v>412</v>
      </c>
      <c r="D40" s="32" t="s">
        <v>830</v>
      </c>
      <c r="E40" s="11" t="str">
        <f>HYPERLINK("https://youtu.be/_8yzAWLjI98?t=7182","channel 2")</f>
        <v>channel 2</v>
      </c>
    </row>
    <row r="41">
      <c r="A41" s="118"/>
      <c r="B41" s="32" t="s">
        <v>3883</v>
      </c>
      <c r="C41" s="33" t="s">
        <v>47</v>
      </c>
      <c r="D41" s="32" t="s">
        <v>3884</v>
      </c>
      <c r="E41" s="135" t="str">
        <f>HYPERLINK("https://youtu.be/PRrRWnp5xC8","channel 1")</f>
        <v>channel 1</v>
      </c>
    </row>
    <row r="42">
      <c r="A42" s="118"/>
      <c r="B42" s="32" t="s">
        <v>2155</v>
      </c>
      <c r="C42" s="33" t="s">
        <v>527</v>
      </c>
      <c r="D42" s="32" t="s">
        <v>3109</v>
      </c>
      <c r="E42" s="11" t="str">
        <f>HYPERLINK("https://youtu.be/jHPXs6fbB74","channel 2")</f>
        <v>channel 2</v>
      </c>
    </row>
    <row r="43">
      <c r="A43" s="118"/>
      <c r="B43" s="32" t="s">
        <v>830</v>
      </c>
      <c r="C43" s="142" t="s">
        <v>449</v>
      </c>
      <c r="D43" s="32" t="s">
        <v>3884</v>
      </c>
      <c r="E43" s="141" t="s">
        <v>9</v>
      </c>
    </row>
    <row r="44">
      <c r="A44" s="118"/>
      <c r="B44" s="32" t="s">
        <v>3883</v>
      </c>
      <c r="C44" s="142" t="s">
        <v>449</v>
      </c>
      <c r="D44" s="32" t="s">
        <v>3109</v>
      </c>
      <c r="E44" s="102" t="s">
        <v>13</v>
      </c>
    </row>
    <row r="45">
      <c r="A45" s="118"/>
      <c r="B45" s="72" t="s">
        <v>2685</v>
      </c>
      <c r="C45" s="2"/>
      <c r="D45" s="3"/>
      <c r="E45" s="134"/>
    </row>
    <row r="46">
      <c r="A46" s="118"/>
      <c r="B46" s="35" t="s">
        <v>2</v>
      </c>
      <c r="C46" s="35" t="s">
        <v>3</v>
      </c>
      <c r="D46" s="35" t="s">
        <v>4</v>
      </c>
      <c r="E46" s="6" t="s">
        <v>5</v>
      </c>
    </row>
    <row r="47">
      <c r="A47" s="118"/>
      <c r="B47" s="32" t="s">
        <v>591</v>
      </c>
      <c r="C47" s="33" t="s">
        <v>285</v>
      </c>
      <c r="D47" s="32" t="s">
        <v>1660</v>
      </c>
      <c r="E47" s="135" t="str">
        <f>HYPERLINK("https://youtu.be/YZ1e5foO1pw?t=78","channel 1")</f>
        <v>channel 1</v>
      </c>
    </row>
    <row r="48">
      <c r="A48" s="118"/>
      <c r="B48" s="32" t="s">
        <v>3885</v>
      </c>
      <c r="C48" s="33" t="s">
        <v>319</v>
      </c>
      <c r="D48" s="32" t="s">
        <v>3863</v>
      </c>
      <c r="E48" s="11" t="str">
        <f>HYPERLINK("https://youtu.be/IbQjqigOScI","channel 2")</f>
        <v>channel 2</v>
      </c>
    </row>
    <row r="49">
      <c r="A49" s="118"/>
      <c r="B49" s="32" t="s">
        <v>3886</v>
      </c>
      <c r="C49" s="33" t="s">
        <v>273</v>
      </c>
      <c r="D49" s="32" t="s">
        <v>591</v>
      </c>
      <c r="E49" s="135" t="str">
        <f>HYPERLINK("https://youtu.be/YZ1e5foO1pw?t=1126","channel 1")</f>
        <v>channel 1</v>
      </c>
    </row>
    <row r="50">
      <c r="A50" s="118"/>
      <c r="B50" s="32" t="s">
        <v>3885</v>
      </c>
      <c r="C50" s="33" t="s">
        <v>260</v>
      </c>
      <c r="D50" s="32" t="s">
        <v>1660</v>
      </c>
      <c r="E50" s="11" t="str">
        <f>HYPERLINK("https://youtu.be/IbQjqigOScI?t=1115","channel 2")</f>
        <v>channel 2</v>
      </c>
    </row>
    <row r="51">
      <c r="A51" s="118"/>
      <c r="B51" s="32" t="s">
        <v>3886</v>
      </c>
      <c r="C51" s="33" t="s">
        <v>212</v>
      </c>
      <c r="D51" s="32" t="s">
        <v>3863</v>
      </c>
      <c r="E51" s="135" t="str">
        <f>HYPERLINK("https://youtu.be/YZ1e5foO1pw?t=2122","channel 1")</f>
        <v>channel 1</v>
      </c>
    </row>
    <row r="52">
      <c r="A52" s="118"/>
      <c r="B52" s="32" t="s">
        <v>3885</v>
      </c>
      <c r="C52" s="33" t="s">
        <v>18</v>
      </c>
      <c r="D52" s="32" t="s">
        <v>591</v>
      </c>
      <c r="E52" s="11" t="str">
        <f>HYPERLINK("https://youtu.be/IbQjqigOScI?t=2051","channel 2")</f>
        <v>channel 2</v>
      </c>
    </row>
    <row r="53">
      <c r="A53" s="118"/>
      <c r="B53" s="32" t="s">
        <v>3886</v>
      </c>
      <c r="C53" s="33" t="s">
        <v>286</v>
      </c>
      <c r="D53" s="32" t="s">
        <v>1660</v>
      </c>
      <c r="E53" s="135" t="str">
        <f>HYPERLINK("https://youtu.be/S75uJ4n9Q8o","channel 1")</f>
        <v>channel 1</v>
      </c>
    </row>
    <row r="54">
      <c r="A54" s="118"/>
      <c r="B54" s="32" t="s">
        <v>3863</v>
      </c>
      <c r="C54" s="33" t="s">
        <v>273</v>
      </c>
      <c r="D54" s="32" t="s">
        <v>591</v>
      </c>
      <c r="E54" s="11" t="str">
        <f>HYPERLINK("https://youtu.be/Ex8sf32yYJo","channel 2")</f>
        <v>channel 2</v>
      </c>
    </row>
    <row r="55">
      <c r="A55" s="118"/>
      <c r="B55" s="32" t="s">
        <v>3886</v>
      </c>
      <c r="C55" s="33" t="s">
        <v>42</v>
      </c>
      <c r="D55" s="32" t="s">
        <v>3885</v>
      </c>
      <c r="E55" s="135" t="str">
        <f>HYPERLINK("https://youtu.be/S75uJ4n9Q8o?t=975","channel 1")</f>
        <v>channel 1</v>
      </c>
    </row>
    <row r="56">
      <c r="A56" s="118"/>
      <c r="B56" s="32" t="s">
        <v>3863</v>
      </c>
      <c r="C56" s="33" t="s">
        <v>83</v>
      </c>
      <c r="D56" s="32" t="s">
        <v>1660</v>
      </c>
      <c r="E56" s="11" t="str">
        <f>HYPERLINK("https://youtu.be/Ex8sf32yYJo?t=936","channel 2")</f>
        <v>channel 2</v>
      </c>
    </row>
    <row r="57">
      <c r="A57" s="118"/>
      <c r="B57" s="32" t="s">
        <v>1660</v>
      </c>
      <c r="C57" s="33" t="s">
        <v>286</v>
      </c>
      <c r="D57" s="32" t="s">
        <v>591</v>
      </c>
      <c r="E57" s="135" t="str">
        <f>HYPERLINK("https://youtu.be/S75uJ4n9Q8o?t=1947","channel 1")</f>
        <v>channel 1</v>
      </c>
    </row>
    <row r="58">
      <c r="A58" s="118"/>
      <c r="B58" s="32" t="s">
        <v>3863</v>
      </c>
      <c r="C58" s="33" t="s">
        <v>16</v>
      </c>
      <c r="D58" s="32" t="s">
        <v>3885</v>
      </c>
      <c r="E58" s="11" t="str">
        <f>HYPERLINK("https://youtu.be/Ex8sf32yYJo?t=1848","channel 2")</f>
        <v>channel 2</v>
      </c>
    </row>
    <row r="59">
      <c r="A59" s="118"/>
      <c r="B59" s="32" t="s">
        <v>591</v>
      </c>
      <c r="C59" s="33" t="s">
        <v>64</v>
      </c>
      <c r="D59" s="32" t="s">
        <v>3886</v>
      </c>
      <c r="E59" s="135" t="str">
        <f>HYPERLINK("https://youtu.be/S75uJ4n9Q8o?t=2911","channel 1")</f>
        <v>channel 1</v>
      </c>
    </row>
    <row r="60">
      <c r="A60" s="118"/>
      <c r="B60" s="32" t="s">
        <v>1660</v>
      </c>
      <c r="C60" s="33" t="s">
        <v>64</v>
      </c>
      <c r="D60" s="32" t="s">
        <v>3885</v>
      </c>
      <c r="E60" s="11" t="str">
        <f>HYPERLINK("https://youtu.be/Ex8sf32yYJo?t=2800","channel 2")</f>
        <v>channel 2</v>
      </c>
    </row>
    <row r="61">
      <c r="A61" s="118"/>
      <c r="B61" s="32" t="s">
        <v>3863</v>
      </c>
      <c r="C61" s="33" t="s">
        <v>566</v>
      </c>
      <c r="D61" s="32" t="s">
        <v>3886</v>
      </c>
      <c r="E61" s="135" t="str">
        <f>HYPERLINK("https://youtu.be/S75uJ4n9Q8o?t=3819","channel 1")</f>
        <v>channel 1</v>
      </c>
    </row>
    <row r="62">
      <c r="A62" s="118"/>
      <c r="B62" s="32" t="s">
        <v>591</v>
      </c>
      <c r="C62" s="35" t="s">
        <v>239</v>
      </c>
      <c r="D62" s="32" t="s">
        <v>3885</v>
      </c>
      <c r="E62" s="11" t="str">
        <f>HYPERLINK("https://youtu.be/Ex8sf32yYJo?t=3791","channel 2")</f>
        <v>channel 2</v>
      </c>
    </row>
    <row r="63">
      <c r="A63" s="118"/>
      <c r="B63" s="32" t="s">
        <v>1660</v>
      </c>
      <c r="C63" s="33" t="s">
        <v>81</v>
      </c>
      <c r="D63" s="32" t="s">
        <v>3886</v>
      </c>
      <c r="E63" s="135" t="str">
        <f>HYPERLINK("https://youtu.be/S75uJ4n9Q8o?t=4812","channel 1")</f>
        <v>channel 1</v>
      </c>
    </row>
    <row r="64">
      <c r="A64" s="118"/>
      <c r="B64" s="32" t="s">
        <v>591</v>
      </c>
      <c r="C64" s="33" t="s">
        <v>215</v>
      </c>
      <c r="D64" s="32" t="s">
        <v>3863</v>
      </c>
      <c r="E64" s="11" t="str">
        <f>HYPERLINK("https://youtu.be/Ex8sf32yYJo?t=4846","channel 2")</f>
        <v>channel 2</v>
      </c>
    </row>
    <row r="65">
      <c r="A65" s="118"/>
      <c r="B65" s="32" t="s">
        <v>3885</v>
      </c>
      <c r="C65" s="33" t="s">
        <v>195</v>
      </c>
      <c r="D65" s="32" t="s">
        <v>3886</v>
      </c>
      <c r="E65" s="135" t="str">
        <f>HYPERLINK("https://youtu.be/S75uJ4n9Q8o?t=5766","channel 1")</f>
        <v>channel 1</v>
      </c>
    </row>
    <row r="66">
      <c r="A66" s="118"/>
      <c r="B66" s="32" t="s">
        <v>1660</v>
      </c>
      <c r="C66" s="33" t="s">
        <v>416</v>
      </c>
      <c r="D66" s="32" t="s">
        <v>3863</v>
      </c>
      <c r="E66" s="11" t="str">
        <f>HYPERLINK("https://youtu.be/Ex8sf32yYJo?t=5777","channel 2")</f>
        <v>channel 2</v>
      </c>
    </row>
    <row r="67">
      <c r="A67" s="118"/>
      <c r="B67" s="137" t="s">
        <v>1685</v>
      </c>
      <c r="C67" s="2"/>
      <c r="D67" s="3"/>
      <c r="E67" s="138"/>
    </row>
    <row r="68">
      <c r="A68" s="118"/>
      <c r="B68" s="35" t="s">
        <v>2</v>
      </c>
      <c r="C68" s="35" t="s">
        <v>3</v>
      </c>
      <c r="D68" s="35" t="s">
        <v>4</v>
      </c>
      <c r="E68" s="16" t="s">
        <v>5</v>
      </c>
    </row>
    <row r="69">
      <c r="A69" s="118"/>
      <c r="B69" s="32" t="s">
        <v>1852</v>
      </c>
      <c r="C69" s="33" t="s">
        <v>369</v>
      </c>
      <c r="D69" s="32" t="s">
        <v>700</v>
      </c>
      <c r="E69" s="135" t="str">
        <f>HYPERLINK("https://youtu.be/VSLGHcpcJoU","channel 1")</f>
        <v>channel 1</v>
      </c>
    </row>
    <row r="70">
      <c r="A70" s="118"/>
      <c r="B70" s="32" t="s">
        <v>3887</v>
      </c>
      <c r="C70" s="33" t="s">
        <v>1191</v>
      </c>
      <c r="D70" s="32" t="s">
        <v>3245</v>
      </c>
      <c r="E70" s="11" t="str">
        <f>HYPERLINK("https://youtu.be/eSFQpJNuqTM","channel 2")</f>
        <v>channel 2</v>
      </c>
    </row>
    <row r="71">
      <c r="A71" s="118"/>
      <c r="B71" s="32" t="s">
        <v>3391</v>
      </c>
      <c r="C71" s="33" t="s">
        <v>22</v>
      </c>
      <c r="D71" s="32" t="s">
        <v>1852</v>
      </c>
      <c r="E71" s="135" t="str">
        <f>HYPERLINK("https://youtu.be/nTMgUgbrYv4","channel 1")</f>
        <v>channel 1</v>
      </c>
    </row>
    <row r="72">
      <c r="A72" s="118"/>
      <c r="B72" s="32" t="s">
        <v>3887</v>
      </c>
      <c r="C72" s="33" t="s">
        <v>18</v>
      </c>
      <c r="D72" s="32" t="s">
        <v>700</v>
      </c>
      <c r="E72" s="11" t="str">
        <f>HYPERLINK("https://youtu.be/-fdzBNZA00M","channel 2")</f>
        <v>channel 2</v>
      </c>
    </row>
    <row r="73">
      <c r="A73" s="118"/>
      <c r="B73" s="32" t="s">
        <v>3391</v>
      </c>
      <c r="C73" s="33" t="s">
        <v>684</v>
      </c>
      <c r="D73" s="32" t="s">
        <v>3245</v>
      </c>
      <c r="E73" s="135" t="str">
        <f>HYPERLINK("https://youtu.be/nTMgUgbrYv4?t=1030","channel 1")</f>
        <v>channel 1</v>
      </c>
    </row>
    <row r="74">
      <c r="A74" s="118"/>
      <c r="B74" s="32" t="s">
        <v>3887</v>
      </c>
      <c r="C74" s="33" t="s">
        <v>1168</v>
      </c>
      <c r="D74" s="32" t="s">
        <v>1852</v>
      </c>
      <c r="E74" s="11" t="str">
        <f>HYPERLINK("https://youtu.be/-fdzBNZA00M?t=1043","channel 2")</f>
        <v>channel 2</v>
      </c>
    </row>
    <row r="75">
      <c r="A75" s="118"/>
      <c r="B75" s="32" t="s">
        <v>3391</v>
      </c>
      <c r="C75" s="33" t="s">
        <v>67</v>
      </c>
      <c r="D75" s="32" t="s">
        <v>700</v>
      </c>
      <c r="E75" s="135" t="str">
        <f>HYPERLINK("https://youtu.be/nTMgUgbrYv4?t=1974","channel 1")</f>
        <v>channel 1</v>
      </c>
    </row>
    <row r="76">
      <c r="A76" s="118"/>
      <c r="B76" s="32" t="s">
        <v>3245</v>
      </c>
      <c r="C76" s="33" t="s">
        <v>23</v>
      </c>
      <c r="D76" s="32" t="s">
        <v>1852</v>
      </c>
      <c r="E76" s="11" t="str">
        <f>HYPERLINK("https://youtu.be/-fdzBNZA00M?t=2042","channel 2")</f>
        <v>channel 2</v>
      </c>
    </row>
    <row r="77">
      <c r="A77" s="118"/>
      <c r="B77" s="32" t="s">
        <v>3391</v>
      </c>
      <c r="C77" s="33" t="s">
        <v>542</v>
      </c>
      <c r="D77" s="32" t="s">
        <v>3887</v>
      </c>
      <c r="E77" s="135" t="str">
        <f>HYPERLINK("https://youtu.be/nTMgUgbrYv4?t=2904","channel 1")</f>
        <v>channel 1</v>
      </c>
    </row>
    <row r="78">
      <c r="A78" s="118"/>
      <c r="B78" s="32" t="s">
        <v>3245</v>
      </c>
      <c r="C78" s="33" t="s">
        <v>291</v>
      </c>
      <c r="D78" s="32" t="s">
        <v>700</v>
      </c>
      <c r="E78" s="11" t="str">
        <f>HYPERLINK("https://youtu.be/-fdzBNZA00M?t=3045","channel 2")</f>
        <v>channel 2</v>
      </c>
    </row>
    <row r="79">
      <c r="A79" s="118"/>
      <c r="B79" s="32" t="s">
        <v>700</v>
      </c>
      <c r="C79" s="33" t="s">
        <v>17</v>
      </c>
      <c r="D79" s="32" t="s">
        <v>1852</v>
      </c>
      <c r="E79" s="135" t="str">
        <f>HYPERLINK("https://youtu.be/nTMgUgbrYv4?t=3856","channel 1")</f>
        <v>channel 1</v>
      </c>
    </row>
    <row r="80">
      <c r="A80" s="118"/>
      <c r="B80" s="32" t="s">
        <v>3245</v>
      </c>
      <c r="C80" s="33" t="s">
        <v>320</v>
      </c>
      <c r="D80" s="32" t="s">
        <v>3887</v>
      </c>
      <c r="E80" s="11" t="str">
        <f>HYPERLINK("https://youtu.be/-fdzBNZA00M?t=3899","channel 2")</f>
        <v>channel 2</v>
      </c>
    </row>
    <row r="81">
      <c r="A81" s="118"/>
      <c r="B81" s="32" t="s">
        <v>1852</v>
      </c>
      <c r="C81" s="33" t="s">
        <v>699</v>
      </c>
      <c r="D81" s="32" t="s">
        <v>3391</v>
      </c>
      <c r="E81" s="135" t="str">
        <f>HYPERLINK("https://youtu.be/nTMgUgbrYv4?t=4813","channel 1")</f>
        <v>channel 1</v>
      </c>
    </row>
    <row r="82">
      <c r="A82" s="118"/>
      <c r="B82" s="32" t="s">
        <v>700</v>
      </c>
      <c r="C82" s="33" t="s">
        <v>291</v>
      </c>
      <c r="D82" s="32" t="s">
        <v>3887</v>
      </c>
      <c r="E82" s="11" t="str">
        <f>HYPERLINK("https://youtu.be/-fdzBNZA00M?t=4842","channel 2")</f>
        <v>channel 2</v>
      </c>
    </row>
    <row r="83">
      <c r="A83" s="118"/>
      <c r="B83" s="32" t="s">
        <v>3245</v>
      </c>
      <c r="C83" s="33" t="s">
        <v>949</v>
      </c>
      <c r="D83" s="32" t="s">
        <v>3391</v>
      </c>
      <c r="E83" s="135" t="str">
        <f>HYPERLINK("https://youtu.be/nTMgUgbrYv4?t=5780","channel 1")</f>
        <v>channel 1</v>
      </c>
    </row>
    <row r="84">
      <c r="A84" s="118"/>
      <c r="B84" s="32" t="s">
        <v>1852</v>
      </c>
      <c r="C84" s="33" t="s">
        <v>52</v>
      </c>
      <c r="D84" s="32" t="s">
        <v>3887</v>
      </c>
      <c r="E84" s="11" t="str">
        <f>HYPERLINK("https://youtu.be/-fdzBNZA00M?t=5823","channel 2")</f>
        <v>channel 2</v>
      </c>
    </row>
    <row r="85">
      <c r="A85" s="118"/>
      <c r="B85" s="32" t="s">
        <v>700</v>
      </c>
      <c r="C85" s="33" t="s">
        <v>289</v>
      </c>
      <c r="D85" s="32" t="s">
        <v>3391</v>
      </c>
      <c r="E85" s="135" t="str">
        <f>HYPERLINK("https://youtu.be/nTMgUgbrYv4?t=6753","channel 1")</f>
        <v>channel 1</v>
      </c>
    </row>
    <row r="86">
      <c r="A86" s="118"/>
      <c r="B86" s="32" t="s">
        <v>1852</v>
      </c>
      <c r="C86" s="33" t="s">
        <v>340</v>
      </c>
      <c r="D86" s="32" t="s">
        <v>3245</v>
      </c>
      <c r="E86" s="11" t="str">
        <f>HYPERLINK("https://youtu.be/-fdzBNZA00M?t=6753","channel 2")</f>
        <v>channel 2</v>
      </c>
    </row>
    <row r="87">
      <c r="A87" s="118"/>
      <c r="B87" s="32" t="s">
        <v>3887</v>
      </c>
      <c r="C87" s="33" t="s">
        <v>370</v>
      </c>
      <c r="D87" s="32" t="s">
        <v>3391</v>
      </c>
      <c r="E87" s="135" t="str">
        <f>HYPERLINK("https://youtu.be/nTMgUgbrYv4?t=7768","channel 1")</f>
        <v>channel 1</v>
      </c>
    </row>
    <row r="88">
      <c r="A88" s="118"/>
      <c r="B88" s="32" t="s">
        <v>700</v>
      </c>
      <c r="C88" s="33" t="s">
        <v>3888</v>
      </c>
      <c r="D88" s="32" t="s">
        <v>3245</v>
      </c>
      <c r="E88" s="11" t="str">
        <f>HYPERLINK("https://youtu.be/-fdzBNZA00M?t=7713","channel 2")</f>
        <v>channel 2</v>
      </c>
    </row>
    <row r="89">
      <c r="A89" s="118"/>
      <c r="B89" s="72" t="s">
        <v>2661</v>
      </c>
      <c r="C89" s="2"/>
      <c r="D89" s="3"/>
      <c r="E89" s="138"/>
    </row>
    <row r="90">
      <c r="A90" s="118"/>
      <c r="B90" s="35" t="s">
        <v>2</v>
      </c>
      <c r="C90" s="35" t="s">
        <v>3</v>
      </c>
      <c r="D90" s="35" t="s">
        <v>4</v>
      </c>
      <c r="E90" s="16" t="s">
        <v>5</v>
      </c>
    </row>
    <row r="91">
      <c r="A91" s="118"/>
      <c r="B91" s="119" t="s">
        <v>3185</v>
      </c>
      <c r="C91" s="33" t="s">
        <v>19</v>
      </c>
      <c r="D91" s="32" t="s">
        <v>3889</v>
      </c>
      <c r="E91" s="135" t="str">
        <f>HYPERLINK("https://youtu.be/m4diEzKqcVY","channel 1")</f>
        <v>channel 1</v>
      </c>
    </row>
    <row r="92">
      <c r="A92" s="118"/>
      <c r="B92" s="32" t="s">
        <v>1899</v>
      </c>
      <c r="C92" s="33" t="s">
        <v>71</v>
      </c>
      <c r="D92" s="32" t="s">
        <v>1386</v>
      </c>
      <c r="E92" s="11" t="str">
        <f>HYPERLINK("https://youtu.be/1-emGaLgCdE","channel 2")</f>
        <v>channel 2</v>
      </c>
    </row>
    <row r="93">
      <c r="A93" s="118"/>
      <c r="B93" s="32" t="s">
        <v>940</v>
      </c>
      <c r="C93" s="33" t="s">
        <v>42</v>
      </c>
      <c r="D93" s="32" t="s">
        <v>3185</v>
      </c>
      <c r="E93" s="135" t="str">
        <f>HYPERLINK("https://youtu.be/m4diEzKqcVY?t=713","channel 1")</f>
        <v>channel 1</v>
      </c>
    </row>
    <row r="94">
      <c r="A94" s="118"/>
      <c r="B94" s="32" t="s">
        <v>1899</v>
      </c>
      <c r="C94" s="33" t="s">
        <v>285</v>
      </c>
      <c r="D94" s="32" t="s">
        <v>3889</v>
      </c>
      <c r="E94" s="11" t="str">
        <f>HYPERLINK("https://youtu.be/1-emGaLgCdE?t=1281","channel 2")</f>
        <v>channel 2</v>
      </c>
    </row>
    <row r="95">
      <c r="A95" s="118"/>
      <c r="B95" s="32" t="s">
        <v>940</v>
      </c>
      <c r="C95" s="37" t="s">
        <v>370</v>
      </c>
      <c r="D95" s="32" t="s">
        <v>1386</v>
      </c>
      <c r="E95" s="135" t="str">
        <f>HYPERLINK("https://youtu.be/m4diEzKqcVY?t=1648","channel 1")</f>
        <v>channel 1</v>
      </c>
    </row>
    <row r="96">
      <c r="A96" s="118"/>
      <c r="B96" s="32" t="s">
        <v>1899</v>
      </c>
      <c r="C96" s="33" t="s">
        <v>62</v>
      </c>
      <c r="D96" s="32" t="s">
        <v>3185</v>
      </c>
      <c r="E96" s="11" t="str">
        <f>HYPERLINK("https://youtu.be/1-emGaLgCdE?t=2207","channel 2")</f>
        <v>channel 2</v>
      </c>
    </row>
    <row r="97">
      <c r="A97" s="118"/>
      <c r="B97" s="32" t="s">
        <v>940</v>
      </c>
      <c r="C97" s="33" t="s">
        <v>626</v>
      </c>
      <c r="D97" s="32" t="s">
        <v>3889</v>
      </c>
      <c r="E97" s="135" t="str">
        <f>HYPERLINK("https://youtu.be/m4diEzKqcVY?t=2689","channel 1")</f>
        <v>channel 1</v>
      </c>
    </row>
    <row r="98">
      <c r="A98" s="118"/>
      <c r="B98" s="32" t="s">
        <v>1386</v>
      </c>
      <c r="C98" s="33" t="s">
        <v>72</v>
      </c>
      <c r="D98" s="32" t="s">
        <v>3185</v>
      </c>
      <c r="E98" s="11" t="str">
        <f>HYPERLINK("https://youtu.be/1-emGaLgCdE?t=3138","channel 2")</f>
        <v>channel 2</v>
      </c>
    </row>
    <row r="99">
      <c r="A99" s="118"/>
      <c r="B99" s="32" t="s">
        <v>940</v>
      </c>
      <c r="C99" s="33" t="s">
        <v>43</v>
      </c>
      <c r="D99" s="32" t="s">
        <v>1899</v>
      </c>
      <c r="E99" s="135" t="str">
        <f>HYPERLINK("https://youtu.be/m4diEzKqcVY?t=3599","channel 1")</f>
        <v>channel 1</v>
      </c>
    </row>
    <row r="100">
      <c r="A100" s="118"/>
      <c r="B100" s="32" t="s">
        <v>1386</v>
      </c>
      <c r="C100" s="33" t="s">
        <v>201</v>
      </c>
      <c r="D100" s="32" t="s">
        <v>3889</v>
      </c>
      <c r="E100" s="11" t="str">
        <f>HYPERLINK("https://youtu.be/1-emGaLgCdE?t=4137","channel 2")</f>
        <v>channel 2</v>
      </c>
    </row>
    <row r="101">
      <c r="A101" s="118"/>
      <c r="B101" s="32" t="s">
        <v>3889</v>
      </c>
      <c r="C101" s="33" t="s">
        <v>21</v>
      </c>
      <c r="D101" s="32" t="s">
        <v>3185</v>
      </c>
      <c r="E101" s="135" t="str">
        <f>HYPERLINK("https://youtu.be/m4diEzKqcVY?t=4498","channel 1")</f>
        <v>channel 1</v>
      </c>
    </row>
    <row r="102">
      <c r="A102" s="118"/>
      <c r="B102" s="32" t="s">
        <v>1386</v>
      </c>
      <c r="C102" s="33" t="s">
        <v>68</v>
      </c>
      <c r="D102" s="32" t="s">
        <v>1899</v>
      </c>
      <c r="E102" s="11" t="str">
        <f>HYPERLINK("https://youtu.be/1-emGaLgCdE?t=5073","channel 2")</f>
        <v>channel 2</v>
      </c>
    </row>
    <row r="103">
      <c r="A103" s="118"/>
      <c r="B103" s="32" t="s">
        <v>3185</v>
      </c>
      <c r="C103" s="33" t="s">
        <v>196</v>
      </c>
      <c r="D103" s="32" t="s">
        <v>940</v>
      </c>
      <c r="E103" s="135" t="str">
        <f>HYPERLINK("https://youtu.be/m4diEzKqcVY?t=5427","channel 1")</f>
        <v>channel 1</v>
      </c>
    </row>
    <row r="104">
      <c r="A104" s="118"/>
      <c r="B104" s="32" t="s">
        <v>3889</v>
      </c>
      <c r="C104" s="33" t="s">
        <v>231</v>
      </c>
      <c r="D104" s="32" t="s">
        <v>1899</v>
      </c>
      <c r="E104" s="11" t="str">
        <f>HYPERLINK("https://youtu.be/1-emGaLgCdE?t=5961","channel 2")</f>
        <v>channel 2</v>
      </c>
    </row>
    <row r="105">
      <c r="A105" s="118"/>
      <c r="B105" s="32" t="s">
        <v>1386</v>
      </c>
      <c r="C105" s="33" t="s">
        <v>35</v>
      </c>
      <c r="D105" s="32" t="s">
        <v>940</v>
      </c>
      <c r="E105" s="135" t="str">
        <f>HYPERLINK("https://youtu.be/m4diEzKqcVY?t=6355","channel 1")</f>
        <v>channel 1</v>
      </c>
    </row>
    <row r="106">
      <c r="A106" s="118"/>
      <c r="B106" s="32" t="s">
        <v>3185</v>
      </c>
      <c r="C106" s="33" t="s">
        <v>69</v>
      </c>
      <c r="D106" s="32" t="s">
        <v>1899</v>
      </c>
      <c r="E106" s="11" t="str">
        <f>HYPERLINK("https://youtu.be/1-emGaLgCdE?t=6878","channel 2")</f>
        <v>channel 2</v>
      </c>
    </row>
    <row r="107">
      <c r="A107" s="118"/>
      <c r="B107" s="32" t="s">
        <v>3889</v>
      </c>
      <c r="C107" s="33" t="s">
        <v>1849</v>
      </c>
      <c r="D107" s="32" t="s">
        <v>940</v>
      </c>
      <c r="E107" s="135" t="str">
        <f>HYPERLINK("https://youtu.be/m4diEzKqcVY?t=7367","channel 1")</f>
        <v>channel 1</v>
      </c>
    </row>
    <row r="108">
      <c r="A108" s="118"/>
      <c r="B108" s="32" t="s">
        <v>3185</v>
      </c>
      <c r="C108" s="33" t="s">
        <v>232</v>
      </c>
      <c r="D108" s="32" t="s">
        <v>1386</v>
      </c>
      <c r="E108" s="11" t="str">
        <f>HYPERLINK("https://youtu.be/1-emGaLgCdE?t=7833","channel 2")</f>
        <v>channel 2</v>
      </c>
    </row>
    <row r="109">
      <c r="A109" s="118"/>
      <c r="B109" s="32" t="s">
        <v>1899</v>
      </c>
      <c r="C109" s="33" t="s">
        <v>251</v>
      </c>
      <c r="D109" s="32" t="s">
        <v>940</v>
      </c>
      <c r="E109" s="135" t="str">
        <f>HYPERLINK("https://youtu.be/m4diEzKqcVY?t=8361","channel 1")</f>
        <v>channel 1</v>
      </c>
    </row>
    <row r="110">
      <c r="A110" s="118"/>
      <c r="B110" s="32" t="s">
        <v>3889</v>
      </c>
      <c r="C110" s="33" t="s">
        <v>3890</v>
      </c>
      <c r="D110" s="32" t="s">
        <v>1386</v>
      </c>
      <c r="E110" s="11" t="str">
        <f>HYPERLINK("https://youtu.be/1-emGaLgCdE?t=8858","channel 2")</f>
        <v>channel 2</v>
      </c>
    </row>
    <row r="111">
      <c r="A111" s="118"/>
      <c r="B111" s="72" t="s">
        <v>2520</v>
      </c>
      <c r="C111" s="2"/>
      <c r="D111" s="3"/>
      <c r="E111" s="138"/>
    </row>
    <row r="112">
      <c r="A112" s="118"/>
      <c r="B112" s="35" t="s">
        <v>2</v>
      </c>
      <c r="C112" s="35" t="s">
        <v>3</v>
      </c>
      <c r="D112" s="35" t="s">
        <v>4</v>
      </c>
      <c r="E112" s="16" t="s">
        <v>5</v>
      </c>
    </row>
    <row r="113">
      <c r="A113" s="118"/>
      <c r="B113" s="119" t="s">
        <v>3891</v>
      </c>
      <c r="C113" s="33" t="s">
        <v>7</v>
      </c>
      <c r="D113" s="32" t="s">
        <v>3892</v>
      </c>
      <c r="E113" s="135" t="str">
        <f>HYPERLINK("https://youtu.be/byw9OP5qOmU","channel 1")</f>
        <v>channel 1</v>
      </c>
    </row>
    <row r="114">
      <c r="A114" s="118"/>
      <c r="B114" s="32" t="s">
        <v>3893</v>
      </c>
      <c r="C114" s="33" t="s">
        <v>195</v>
      </c>
      <c r="D114" s="32" t="s">
        <v>3894</v>
      </c>
      <c r="E114" s="11" t="str">
        <f>HYPERLINK("https://youtu.be/ZEhjEMNSQTw","channel 2")</f>
        <v>channel 2</v>
      </c>
    </row>
    <row r="115">
      <c r="A115" s="118"/>
      <c r="B115" s="32" t="s">
        <v>3895</v>
      </c>
      <c r="C115" s="33" t="s">
        <v>289</v>
      </c>
      <c r="D115" s="32" t="s">
        <v>3891</v>
      </c>
      <c r="E115" s="135" t="str">
        <f>HYPERLINK("https://youtu.be/byw9OP5qOmU?t=1028","channel 1")</f>
        <v>channel 1</v>
      </c>
    </row>
    <row r="116">
      <c r="A116" s="118"/>
      <c r="B116" s="32" t="s">
        <v>3893</v>
      </c>
      <c r="C116" s="33" t="s">
        <v>520</v>
      </c>
      <c r="D116" s="32" t="s">
        <v>3892</v>
      </c>
      <c r="E116" s="11" t="str">
        <f>HYPERLINK("https://youtu.be/ZEhjEMNSQTw?t=918","channel 2")</f>
        <v>channel 2</v>
      </c>
    </row>
    <row r="117">
      <c r="A117" s="118"/>
      <c r="B117" s="32" t="s">
        <v>3895</v>
      </c>
      <c r="C117" s="33" t="s">
        <v>282</v>
      </c>
      <c r="D117" s="32" t="s">
        <v>3894</v>
      </c>
      <c r="E117" s="135" t="str">
        <f>HYPERLINK("https://youtu.be/byw9OP5qOmU?t=1957","channel 1")</f>
        <v>channel 1</v>
      </c>
    </row>
    <row r="118">
      <c r="A118" s="118"/>
      <c r="B118" s="32" t="s">
        <v>3893</v>
      </c>
      <c r="C118" s="33" t="s">
        <v>197</v>
      </c>
      <c r="D118" s="32" t="s">
        <v>3891</v>
      </c>
      <c r="E118" s="11" t="str">
        <f>HYPERLINK("https://youtu.be/ZEhjEMNSQTw?t=1871","channel 2")</f>
        <v>channel 2</v>
      </c>
    </row>
    <row r="119">
      <c r="A119" s="118"/>
      <c r="B119" s="32" t="s">
        <v>3895</v>
      </c>
      <c r="C119" s="33" t="s">
        <v>270</v>
      </c>
      <c r="D119" s="32" t="s">
        <v>3892</v>
      </c>
      <c r="E119" s="135" t="str">
        <f>HYPERLINK("https://youtu.be/byw9OP5qOmU?t=2884","channel 1")</f>
        <v>channel 1</v>
      </c>
    </row>
    <row r="120">
      <c r="A120" s="118"/>
      <c r="B120" s="32" t="s">
        <v>3894</v>
      </c>
      <c r="C120" s="33" t="s">
        <v>11</v>
      </c>
      <c r="D120" s="32" t="s">
        <v>3891</v>
      </c>
      <c r="E120" s="11" t="str">
        <f>HYPERLINK("https://youtu.be/ZEhjEMNSQTw?t=2813","channel 2")</f>
        <v>channel 2</v>
      </c>
    </row>
    <row r="121">
      <c r="A121" s="118"/>
      <c r="B121" s="32" t="s">
        <v>3895</v>
      </c>
      <c r="C121" s="33" t="s">
        <v>249</v>
      </c>
      <c r="D121" s="32" t="s">
        <v>3893</v>
      </c>
      <c r="E121" s="135" t="str">
        <f>HYPERLINK("https://youtu.be/byw9OP5qOmU?t=3785","channel 1")</f>
        <v>channel 1</v>
      </c>
    </row>
    <row r="122">
      <c r="A122" s="118"/>
      <c r="B122" s="32" t="s">
        <v>3894</v>
      </c>
      <c r="C122" s="33" t="s">
        <v>64</v>
      </c>
      <c r="D122" s="32" t="s">
        <v>3892</v>
      </c>
      <c r="E122" s="11" t="str">
        <f>HYPERLINK("https://youtu.be/ZEhjEMNSQTw?t=3678","channel 2")</f>
        <v>channel 2</v>
      </c>
    </row>
    <row r="123">
      <c r="A123" s="118"/>
      <c r="B123" s="32" t="s">
        <v>3892</v>
      </c>
      <c r="C123" s="33" t="s">
        <v>25</v>
      </c>
      <c r="D123" s="32" t="s">
        <v>3891</v>
      </c>
      <c r="E123" s="135" t="str">
        <f>HYPERLINK("https://youtu.be/byw9OP5qOmU?t=4677","channel 1")</f>
        <v>channel 1</v>
      </c>
    </row>
    <row r="124">
      <c r="A124" s="118"/>
      <c r="B124" s="32" t="s">
        <v>3894</v>
      </c>
      <c r="C124" s="33" t="s">
        <v>45</v>
      </c>
      <c r="D124" s="32" t="s">
        <v>3893</v>
      </c>
      <c r="E124" s="11" t="str">
        <f>HYPERLINK("https://youtu.be/ZEhjEMNSQTw?t=4569","channel 2")</f>
        <v>channel 2</v>
      </c>
    </row>
    <row r="125">
      <c r="A125" s="118"/>
      <c r="B125" s="32" t="s">
        <v>3891</v>
      </c>
      <c r="C125" s="33" t="s">
        <v>11</v>
      </c>
      <c r="D125" s="32" t="s">
        <v>3895</v>
      </c>
      <c r="E125" s="135" t="str">
        <f>HYPERLINK("https://youtu.be/byw9OP5qOmU?t=5626","channel 1")</f>
        <v>channel 1</v>
      </c>
    </row>
    <row r="126">
      <c r="A126" s="118"/>
      <c r="B126" s="32" t="s">
        <v>3892</v>
      </c>
      <c r="C126" s="33" t="s">
        <v>426</v>
      </c>
      <c r="D126" s="32" t="s">
        <v>3893</v>
      </c>
      <c r="E126" s="11" t="str">
        <f>HYPERLINK("https://youtu.be/ZEhjEMNSQTw?t=5483","channel 2")</f>
        <v>channel 2</v>
      </c>
    </row>
    <row r="127">
      <c r="A127" s="118"/>
      <c r="B127" s="32" t="s">
        <v>3894</v>
      </c>
      <c r="C127" s="33" t="s">
        <v>43</v>
      </c>
      <c r="D127" s="32" t="s">
        <v>3895</v>
      </c>
      <c r="E127" s="135" t="str">
        <f>HYPERLINK("https://youtu.be/byw9OP5qOmU?t=6545","channel 1")</f>
        <v>channel 1</v>
      </c>
    </row>
    <row r="128">
      <c r="A128" s="118"/>
      <c r="B128" s="32" t="s">
        <v>3891</v>
      </c>
      <c r="C128" s="33" t="s">
        <v>16</v>
      </c>
      <c r="D128" s="32" t="s">
        <v>3893</v>
      </c>
      <c r="E128" s="11" t="str">
        <f>HYPERLINK("https://youtu.be/ZEhjEMNSQTw?t=6392","channel 2")</f>
        <v>channel 2</v>
      </c>
    </row>
    <row r="129">
      <c r="A129" s="118"/>
      <c r="B129" s="32" t="s">
        <v>3892</v>
      </c>
      <c r="C129" s="33" t="s">
        <v>370</v>
      </c>
      <c r="D129" s="32" t="s">
        <v>3895</v>
      </c>
      <c r="E129" s="135" t="str">
        <f>HYPERLINK("https://youtu.be/byw9OP5qOmU?t=7447","channel 1")</f>
        <v>channel 1</v>
      </c>
    </row>
    <row r="130">
      <c r="A130" s="118"/>
      <c r="B130" s="32" t="s">
        <v>3891</v>
      </c>
      <c r="C130" s="33" t="s">
        <v>64</v>
      </c>
      <c r="D130" s="32" t="s">
        <v>3894</v>
      </c>
      <c r="E130" s="11" t="str">
        <f>HYPERLINK("https://youtu.be/ZEhjEMNSQTw?t=7326","channel 2")</f>
        <v>channel 2</v>
      </c>
    </row>
    <row r="131">
      <c r="A131" s="118"/>
      <c r="B131" s="32" t="s">
        <v>3893</v>
      </c>
      <c r="C131" s="33" t="s">
        <v>285</v>
      </c>
      <c r="D131" s="32" t="s">
        <v>3895</v>
      </c>
      <c r="E131" s="135" t="str">
        <f>HYPERLINK("https://youtu.be/byw9OP5qOmU?t=8354","channel 1")</f>
        <v>channel 1</v>
      </c>
    </row>
    <row r="132">
      <c r="A132" s="122"/>
      <c r="B132" s="32" t="s">
        <v>3892</v>
      </c>
      <c r="C132" s="33" t="s">
        <v>3896</v>
      </c>
      <c r="D132" s="32" t="s">
        <v>3894</v>
      </c>
      <c r="E132" s="11" t="str">
        <f>HYPERLINK("https://youtu.be/ZEhjEMNSQTw?t=8261","channel 2")</f>
        <v>channel 2</v>
      </c>
    </row>
    <row r="133">
      <c r="B133" s="31"/>
      <c r="C133" s="143" t="s">
        <v>3857</v>
      </c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7"/>
      <c r="B1" s="72" t="s">
        <v>1659</v>
      </c>
      <c r="C1" s="2"/>
      <c r="D1" s="3"/>
      <c r="E1" s="134"/>
    </row>
    <row r="2">
      <c r="A2" s="118"/>
      <c r="B2" s="35" t="s">
        <v>2</v>
      </c>
      <c r="C2" s="35" t="s">
        <v>3</v>
      </c>
      <c r="D2" s="35" t="s">
        <v>4</v>
      </c>
      <c r="E2" s="6" t="s">
        <v>5</v>
      </c>
    </row>
    <row r="3">
      <c r="A3" s="118"/>
      <c r="B3" s="32" t="s">
        <v>3775</v>
      </c>
      <c r="C3" s="33" t="s">
        <v>260</v>
      </c>
      <c r="D3" s="32" t="s">
        <v>3897</v>
      </c>
      <c r="E3" s="135" t="str">
        <f>HYPERLINK("https://youtu.be/Km4sV4ofoQs","channel 1")</f>
        <v>channel 1</v>
      </c>
    </row>
    <row r="4">
      <c r="A4" s="118"/>
      <c r="B4" s="32" t="s">
        <v>335</v>
      </c>
      <c r="C4" s="60" t="s">
        <v>58</v>
      </c>
      <c r="D4" s="32" t="s">
        <v>3898</v>
      </c>
      <c r="E4" s="11" t="str">
        <f>HYPERLINK("https://youtu.be/1mqvf7dER8c","channel 2")</f>
        <v>channel 2</v>
      </c>
    </row>
    <row r="5">
      <c r="A5" s="118"/>
      <c r="B5" s="32" t="s">
        <v>3349</v>
      </c>
      <c r="C5" s="33" t="s">
        <v>17</v>
      </c>
      <c r="D5" s="32" t="s">
        <v>3775</v>
      </c>
      <c r="E5" s="135" t="str">
        <f>HYPERLINK("https://youtu.be/Km4sV4ofoQs?t=1032","channel 1")</f>
        <v>channel 1</v>
      </c>
    </row>
    <row r="6">
      <c r="A6" s="118"/>
      <c r="B6" s="32" t="s">
        <v>335</v>
      </c>
      <c r="C6" s="33" t="s">
        <v>218</v>
      </c>
      <c r="D6" s="32" t="s">
        <v>3897</v>
      </c>
      <c r="E6" s="11" t="str">
        <f>HYPERLINK("https://youtu.be/1mqvf7dER8c?t=921","channel 2")</f>
        <v>channel 2</v>
      </c>
    </row>
    <row r="7">
      <c r="A7" s="118"/>
      <c r="B7" s="32" t="s">
        <v>3349</v>
      </c>
      <c r="C7" s="33" t="s">
        <v>509</v>
      </c>
      <c r="D7" s="32" t="s">
        <v>3898</v>
      </c>
      <c r="E7" s="135" t="str">
        <f>HYPERLINK("https://youtu.be/Km4sV4ofoQs?t=2000","channel 1")</f>
        <v>channel 1</v>
      </c>
    </row>
    <row r="8">
      <c r="A8" s="118"/>
      <c r="B8" s="32" t="s">
        <v>335</v>
      </c>
      <c r="C8" s="33" t="s">
        <v>282</v>
      </c>
      <c r="D8" s="32" t="s">
        <v>3775</v>
      </c>
      <c r="E8" s="11" t="str">
        <f>HYPERLINK("https://youtu.be/1mqvf7dER8c?t=1902","channel 2")</f>
        <v>channel 2</v>
      </c>
    </row>
    <row r="9">
      <c r="A9" s="118"/>
      <c r="B9" s="32" t="s">
        <v>3349</v>
      </c>
      <c r="C9" s="33" t="s">
        <v>239</v>
      </c>
      <c r="D9" s="32" t="s">
        <v>3897</v>
      </c>
      <c r="E9" s="135" t="str">
        <f>HYPERLINK("https://youtu.be/Km4sV4ofoQs?t=2997","channel 1")</f>
        <v>channel 1</v>
      </c>
    </row>
    <row r="10">
      <c r="A10" s="118"/>
      <c r="B10" s="32" t="s">
        <v>3898</v>
      </c>
      <c r="C10" s="33" t="s">
        <v>20</v>
      </c>
      <c r="D10" s="32" t="s">
        <v>3775</v>
      </c>
      <c r="E10" s="11" t="str">
        <f>HYPERLINK("https://youtu.be/1mqvf7dER8c?t=2935","channel 2")</f>
        <v>channel 2</v>
      </c>
    </row>
    <row r="11">
      <c r="A11" s="118"/>
      <c r="B11" s="32" t="s">
        <v>3349</v>
      </c>
      <c r="C11" s="33" t="s">
        <v>82</v>
      </c>
      <c r="D11" s="32" t="s">
        <v>335</v>
      </c>
      <c r="E11" s="135" t="str">
        <f>HYPERLINK("https://youtu.be/Km4sV4ofoQs?t=4209","channel 1")</f>
        <v>channel 1</v>
      </c>
    </row>
    <row r="12">
      <c r="A12" s="118"/>
      <c r="B12" s="32" t="s">
        <v>3898</v>
      </c>
      <c r="C12" s="33" t="s">
        <v>16</v>
      </c>
      <c r="D12" s="32" t="s">
        <v>3897</v>
      </c>
      <c r="E12" s="11" t="str">
        <f>HYPERLINK("https://youtu.be/1mqvf7dER8c?t=4057","channel 2")</f>
        <v>channel 2</v>
      </c>
    </row>
    <row r="13">
      <c r="A13" s="118"/>
      <c r="B13" s="32" t="s">
        <v>3897</v>
      </c>
      <c r="C13" s="33" t="s">
        <v>270</v>
      </c>
      <c r="D13" s="32" t="s">
        <v>3775</v>
      </c>
      <c r="E13" s="135" t="str">
        <f>HYPERLINK("https://youtu.be/Km4sV4ofoQs?t=5180","channel 1")</f>
        <v>channel 1</v>
      </c>
    </row>
    <row r="14">
      <c r="A14" s="118"/>
      <c r="B14" s="32" t="s">
        <v>3898</v>
      </c>
      <c r="C14" s="33" t="s">
        <v>239</v>
      </c>
      <c r="D14" s="32" t="s">
        <v>335</v>
      </c>
      <c r="E14" s="11" t="str">
        <f>HYPERLINK("https://youtu.be/1mqvf7dER8c?t=5008","channel 2")</f>
        <v>channel 2</v>
      </c>
    </row>
    <row r="15">
      <c r="A15" s="118"/>
      <c r="B15" s="32" t="s">
        <v>3775</v>
      </c>
      <c r="C15" s="33" t="s">
        <v>488</v>
      </c>
      <c r="D15" s="32" t="s">
        <v>3349</v>
      </c>
      <c r="E15" s="135" t="str">
        <f>HYPERLINK("https://youtu.be/Km4sV4ofoQs?t=6170","channel 1")</f>
        <v>channel 1</v>
      </c>
    </row>
    <row r="16">
      <c r="A16" s="118"/>
      <c r="B16" s="32" t="s">
        <v>3897</v>
      </c>
      <c r="C16" s="33" t="s">
        <v>274</v>
      </c>
      <c r="D16" s="32" t="s">
        <v>335</v>
      </c>
      <c r="E16" s="11" t="str">
        <f>HYPERLINK("https://youtu.be/1mqvf7dER8c?t=6035","channel 2")</f>
        <v>channel 2</v>
      </c>
    </row>
    <row r="17">
      <c r="A17" s="118"/>
      <c r="B17" s="32" t="s">
        <v>3898</v>
      </c>
      <c r="C17" s="33" t="s">
        <v>7</v>
      </c>
      <c r="D17" s="32" t="s">
        <v>3349</v>
      </c>
      <c r="E17" s="135" t="str">
        <f>HYPERLINK("https://youtu.be/Km4sV4ofoQs?t=7164","channel 1")</f>
        <v>channel 1</v>
      </c>
    </row>
    <row r="18">
      <c r="A18" s="118"/>
      <c r="B18" s="32" t="s">
        <v>3775</v>
      </c>
      <c r="C18" s="33" t="s">
        <v>7</v>
      </c>
      <c r="D18" s="32" t="s">
        <v>335</v>
      </c>
      <c r="E18" s="11" t="str">
        <f>HYPERLINK("https://youtu.be/1mqvf7dER8c?t=7054","channel 2")</f>
        <v>channel 2</v>
      </c>
    </row>
    <row r="19">
      <c r="A19" s="118"/>
      <c r="B19" s="32" t="s">
        <v>3897</v>
      </c>
      <c r="C19" s="33" t="s">
        <v>270</v>
      </c>
      <c r="D19" s="32" t="s">
        <v>3349</v>
      </c>
      <c r="E19" s="135" t="str">
        <f>HYPERLINK("https://youtu.be/Km4sV4ofoQs?t=8099","channel 1")</f>
        <v>channel 1</v>
      </c>
    </row>
    <row r="20">
      <c r="A20" s="118"/>
      <c r="B20" s="32" t="s">
        <v>3775</v>
      </c>
      <c r="C20" s="33" t="s">
        <v>249</v>
      </c>
      <c r="D20" s="32" t="s">
        <v>3898</v>
      </c>
      <c r="E20" s="11" t="str">
        <f>HYPERLINK("https://youtu.be/1mqvf7dER8c?t=8029","channel 2")</f>
        <v>channel 2</v>
      </c>
    </row>
    <row r="21">
      <c r="A21" s="118"/>
      <c r="B21" s="32" t="s">
        <v>335</v>
      </c>
      <c r="C21" s="33" t="s">
        <v>232</v>
      </c>
      <c r="D21" s="32" t="s">
        <v>3349</v>
      </c>
      <c r="E21" s="135" t="str">
        <f>HYPERLINK("https://youtu.be/Km4sV4ofoQs?t=9031","channel 1")</f>
        <v>channel 1</v>
      </c>
    </row>
    <row r="22">
      <c r="A22" s="118"/>
      <c r="B22" s="32" t="s">
        <v>3897</v>
      </c>
      <c r="C22" s="33" t="s">
        <v>20</v>
      </c>
      <c r="D22" s="32" t="s">
        <v>3898</v>
      </c>
      <c r="E22" s="11" t="str">
        <f>HYPERLINK("https://youtu.be/1mqvf7dER8c?t=8961","channel 2")</f>
        <v>channel 2</v>
      </c>
    </row>
    <row r="23">
      <c r="A23" s="118"/>
      <c r="B23" s="72" t="s">
        <v>2308</v>
      </c>
      <c r="C23" s="2"/>
      <c r="D23" s="3"/>
      <c r="E23" s="134"/>
    </row>
    <row r="24">
      <c r="A24" s="118"/>
      <c r="B24" s="35" t="s">
        <v>2</v>
      </c>
      <c r="C24" s="35" t="s">
        <v>3</v>
      </c>
      <c r="D24" s="35" t="s">
        <v>4</v>
      </c>
      <c r="E24" s="6" t="s">
        <v>5</v>
      </c>
    </row>
    <row r="25">
      <c r="A25" s="118"/>
      <c r="B25" s="32" t="s">
        <v>3838</v>
      </c>
      <c r="C25" s="33" t="s">
        <v>24</v>
      </c>
      <c r="D25" s="32" t="s">
        <v>3777</v>
      </c>
      <c r="E25" s="135" t="str">
        <f>HYPERLINK("https://youtu.be/OR-VANc3wFU","channel 1")</f>
        <v>channel 1</v>
      </c>
    </row>
    <row r="26">
      <c r="A26" s="118"/>
      <c r="B26" s="32" t="s">
        <v>2042</v>
      </c>
      <c r="C26" s="33" t="s">
        <v>482</v>
      </c>
      <c r="D26" s="32" t="s">
        <v>3278</v>
      </c>
      <c r="E26" s="11" t="str">
        <f>HYPERLINK("https://youtu.be/_fqKY5aZj-A","channel 2")</f>
        <v>channel 2</v>
      </c>
    </row>
    <row r="27">
      <c r="A27" s="118"/>
      <c r="B27" s="32" t="s">
        <v>3899</v>
      </c>
      <c r="C27" s="33" t="s">
        <v>297</v>
      </c>
      <c r="D27" s="32" t="s">
        <v>3838</v>
      </c>
      <c r="E27" s="135" t="str">
        <f>HYPERLINK("https://youtu.be/OR-VANc3wFU?t=1209","channel 1")</f>
        <v>channel 1</v>
      </c>
    </row>
    <row r="28">
      <c r="A28" s="118"/>
      <c r="B28" s="32" t="s">
        <v>2042</v>
      </c>
      <c r="C28" s="33" t="s">
        <v>17</v>
      </c>
      <c r="D28" s="32" t="s">
        <v>3777</v>
      </c>
      <c r="E28" s="11" t="str">
        <f>HYPERLINK("https://youtu.be/_fqKY5aZj-A?t=1173","channel 2")</f>
        <v>channel 2</v>
      </c>
    </row>
    <row r="29">
      <c r="A29" s="118"/>
      <c r="B29" s="32" t="s">
        <v>3899</v>
      </c>
      <c r="C29" s="33" t="s">
        <v>829</v>
      </c>
      <c r="D29" s="32" t="s">
        <v>3278</v>
      </c>
      <c r="E29" s="135" t="str">
        <f>HYPERLINK("https://youtu.be/OR-VANc3wFU?t=2191","channel 1")</f>
        <v>channel 1</v>
      </c>
    </row>
    <row r="30">
      <c r="A30" s="118"/>
      <c r="B30" s="32" t="s">
        <v>2042</v>
      </c>
      <c r="C30" s="33" t="s">
        <v>208</v>
      </c>
      <c r="D30" s="32" t="s">
        <v>3838</v>
      </c>
      <c r="E30" s="11" t="str">
        <f>HYPERLINK("https://youtu.be/_fqKY5aZj-A?t=2190","channel 2")</f>
        <v>channel 2</v>
      </c>
    </row>
    <row r="31">
      <c r="A31" s="118"/>
      <c r="B31" s="32" t="s">
        <v>3899</v>
      </c>
      <c r="C31" s="33" t="s">
        <v>48</v>
      </c>
      <c r="D31" s="32" t="s">
        <v>3777</v>
      </c>
      <c r="E31" s="135" t="str">
        <f>HYPERLINK("https://youtu.be/OR-VANc3wFU?t=3117","channel 1")</f>
        <v>channel 1</v>
      </c>
    </row>
    <row r="32">
      <c r="A32" s="118"/>
      <c r="B32" s="32" t="s">
        <v>3278</v>
      </c>
      <c r="C32" s="33" t="s">
        <v>1088</v>
      </c>
      <c r="D32" s="32" t="s">
        <v>3838</v>
      </c>
      <c r="E32" s="11" t="str">
        <f>HYPERLINK("https://youtu.be/_fqKY5aZj-A?t=3187","channel 2")</f>
        <v>channel 2</v>
      </c>
    </row>
    <row r="33">
      <c r="A33" s="118"/>
      <c r="B33" s="32" t="s">
        <v>3899</v>
      </c>
      <c r="C33" s="33" t="s">
        <v>19</v>
      </c>
      <c r="D33" s="32" t="s">
        <v>2042</v>
      </c>
      <c r="E33" s="135" t="str">
        <f>HYPERLINK("https://youtu.be/OR-VANc3wFU?t=4075","channel 1")</f>
        <v>channel 1</v>
      </c>
    </row>
    <row r="34">
      <c r="A34" s="118"/>
      <c r="B34" s="32" t="s">
        <v>3278</v>
      </c>
      <c r="C34" s="33" t="s">
        <v>80</v>
      </c>
      <c r="D34" s="32" t="s">
        <v>3777</v>
      </c>
      <c r="E34" s="11" t="str">
        <f>HYPERLINK("https://youtu.be/_fqKY5aZj-A?t=4139","channel 2")</f>
        <v>channel 2</v>
      </c>
    </row>
    <row r="35">
      <c r="A35" s="118"/>
      <c r="B35" s="32" t="s">
        <v>3777</v>
      </c>
      <c r="C35" s="33" t="s">
        <v>578</v>
      </c>
      <c r="D35" s="32" t="s">
        <v>3838</v>
      </c>
      <c r="E35" s="135" t="str">
        <f>HYPERLINK("https://youtu.be/OR-VANc3wFU?t=5032","channel 1")</f>
        <v>channel 1</v>
      </c>
    </row>
    <row r="36">
      <c r="A36" s="118"/>
      <c r="B36" s="32" t="s">
        <v>3278</v>
      </c>
      <c r="C36" s="33" t="s">
        <v>718</v>
      </c>
      <c r="D36" s="32" t="s">
        <v>2042</v>
      </c>
      <c r="E36" s="11" t="str">
        <f>HYPERLINK("https://youtu.be/_fqKY5aZj-A?t=5035","channel 2")</f>
        <v>channel 2</v>
      </c>
    </row>
    <row r="37">
      <c r="A37" s="118"/>
      <c r="B37" s="32" t="s">
        <v>3838</v>
      </c>
      <c r="C37" s="33" t="s">
        <v>3900</v>
      </c>
      <c r="D37" s="32" t="s">
        <v>3899</v>
      </c>
      <c r="E37" s="135" t="str">
        <f>HYPERLINK("https://youtu.be/OR-VANc3wFU?t=6100","channel 1")</f>
        <v>channel 1</v>
      </c>
    </row>
    <row r="38">
      <c r="A38" s="118"/>
      <c r="B38" s="32" t="s">
        <v>3777</v>
      </c>
      <c r="C38" s="33" t="s">
        <v>240</v>
      </c>
      <c r="D38" s="32" t="s">
        <v>2042</v>
      </c>
      <c r="E38" s="11" t="str">
        <f>HYPERLINK("https://youtu.be/_fqKY5aZj-A?t=6083","channel 2")</f>
        <v>channel 2</v>
      </c>
    </row>
    <row r="39">
      <c r="A39" s="118"/>
      <c r="B39" s="32" t="s">
        <v>3278</v>
      </c>
      <c r="C39" s="35" t="s">
        <v>3901</v>
      </c>
      <c r="D39" s="32" t="s">
        <v>3899</v>
      </c>
      <c r="E39" s="135" t="str">
        <f>HYPERLINK("https://youtu.be/OR-VANc3wFU?t=7098","channel 1")</f>
        <v>channel 1</v>
      </c>
    </row>
    <row r="40">
      <c r="A40" s="118"/>
      <c r="B40" s="32" t="s">
        <v>3838</v>
      </c>
      <c r="C40" s="33" t="s">
        <v>21</v>
      </c>
      <c r="D40" s="32" t="s">
        <v>2042</v>
      </c>
      <c r="E40" s="11" t="str">
        <f>HYPERLINK("https://youtu.be/_fqKY5aZj-A?t=7087","channel 2")</f>
        <v>channel 2</v>
      </c>
    </row>
    <row r="41">
      <c r="A41" s="118"/>
      <c r="B41" s="32" t="s">
        <v>3777</v>
      </c>
      <c r="C41" s="33" t="s">
        <v>283</v>
      </c>
      <c r="D41" s="32" t="s">
        <v>3899</v>
      </c>
      <c r="E41" s="135" t="str">
        <f>HYPERLINK("https://youtu.be/OR-VANc3wFU?t=8091","channel 1")</f>
        <v>channel 1</v>
      </c>
    </row>
    <row r="42">
      <c r="A42" s="118"/>
      <c r="B42" s="32" t="s">
        <v>3838</v>
      </c>
      <c r="C42" s="33" t="s">
        <v>88</v>
      </c>
      <c r="D42" s="32" t="s">
        <v>3278</v>
      </c>
      <c r="E42" s="11" t="str">
        <f>HYPERLINK("https://youtu.be/_fqKY5aZj-A?t=8041","channel 2")</f>
        <v>channel 2</v>
      </c>
    </row>
    <row r="43">
      <c r="A43" s="118"/>
      <c r="B43" s="32" t="s">
        <v>2042</v>
      </c>
      <c r="C43" s="33" t="s">
        <v>190</v>
      </c>
      <c r="D43" s="32" t="s">
        <v>3899</v>
      </c>
      <c r="E43" s="135" t="str">
        <f>HYPERLINK("https://youtu.be/OR-VANc3wFU?t=8959","channel 1")</f>
        <v>channel 1</v>
      </c>
    </row>
    <row r="44">
      <c r="A44" s="118"/>
      <c r="B44" s="32" t="s">
        <v>3777</v>
      </c>
      <c r="C44" s="33" t="s">
        <v>274</v>
      </c>
      <c r="D44" s="32" t="s">
        <v>3278</v>
      </c>
      <c r="E44" s="11" t="str">
        <f>HYPERLINK("https://youtu.be/_fqKY5aZj-A?t=8993","channel 2")</f>
        <v>channel 2</v>
      </c>
    </row>
    <row r="45">
      <c r="A45" s="118"/>
      <c r="B45" s="72" t="s">
        <v>2554</v>
      </c>
      <c r="C45" s="2"/>
      <c r="D45" s="3"/>
      <c r="E45" s="134"/>
    </row>
    <row r="46">
      <c r="A46" s="118"/>
      <c r="B46" s="35" t="s">
        <v>2</v>
      </c>
      <c r="C46" s="35" t="s">
        <v>3</v>
      </c>
      <c r="D46" s="35" t="s">
        <v>4</v>
      </c>
      <c r="E46" s="6" t="s">
        <v>5</v>
      </c>
    </row>
    <row r="47">
      <c r="A47" s="118"/>
      <c r="B47" s="32" t="s">
        <v>3902</v>
      </c>
      <c r="C47" s="33" t="s">
        <v>267</v>
      </c>
      <c r="D47" s="32" t="s">
        <v>2899</v>
      </c>
      <c r="E47" s="135" t="str">
        <f>HYPERLINK("https://youtu.be/Ji13Wz9Uk8I","channel 1")</f>
        <v>channel 1</v>
      </c>
    </row>
    <row r="48">
      <c r="A48" s="118"/>
      <c r="B48" s="32" t="s">
        <v>3557</v>
      </c>
      <c r="C48" s="33" t="s">
        <v>52</v>
      </c>
      <c r="D48" s="32" t="s">
        <v>3760</v>
      </c>
      <c r="E48" s="11" t="str">
        <f>HYPERLINK("https://youtu.be/05rrnnKgmak","channel 2")</f>
        <v>channel 2</v>
      </c>
    </row>
    <row r="49">
      <c r="A49" s="118"/>
      <c r="B49" s="32" t="s">
        <v>3884</v>
      </c>
      <c r="C49" s="33" t="s">
        <v>403</v>
      </c>
      <c r="D49" s="32" t="s">
        <v>3902</v>
      </c>
      <c r="E49" s="135" t="str">
        <f>HYPERLINK("https://youtu.be/Ji13Wz9Uk8I?t=1003","channel 1")</f>
        <v>channel 1</v>
      </c>
    </row>
    <row r="50">
      <c r="A50" s="118"/>
      <c r="B50" s="32" t="s">
        <v>3557</v>
      </c>
      <c r="C50" s="33" t="s">
        <v>466</v>
      </c>
      <c r="D50" s="32" t="s">
        <v>2899</v>
      </c>
      <c r="E50" s="11" t="str">
        <f>HYPERLINK("https://youtu.be/05rrnnKgmak?t=900","channel 2")</f>
        <v>channel 2</v>
      </c>
    </row>
    <row r="51">
      <c r="A51" s="118"/>
      <c r="B51" s="32" t="s">
        <v>3884</v>
      </c>
      <c r="C51" s="33" t="s">
        <v>3903</v>
      </c>
      <c r="D51" s="32" t="s">
        <v>3760</v>
      </c>
      <c r="E51" s="135" t="str">
        <f>HYPERLINK("https://youtu.be/Ji13Wz9Uk8I?t=1950","channel 1")</f>
        <v>channel 1</v>
      </c>
    </row>
    <row r="52">
      <c r="A52" s="118"/>
      <c r="B52" s="32" t="s">
        <v>3557</v>
      </c>
      <c r="C52" s="33" t="s">
        <v>62</v>
      </c>
      <c r="D52" s="32" t="s">
        <v>3902</v>
      </c>
      <c r="E52" s="11" t="str">
        <f>HYPERLINK("https://youtu.be/05rrnnKgmak?t=1849","channel 2")</f>
        <v>channel 2</v>
      </c>
    </row>
    <row r="53">
      <c r="A53" s="118"/>
      <c r="B53" s="32" t="s">
        <v>3884</v>
      </c>
      <c r="C53" s="33" t="s">
        <v>233</v>
      </c>
      <c r="D53" s="32" t="s">
        <v>2899</v>
      </c>
      <c r="E53" s="135" t="str">
        <f>HYPERLINK("https://youtu.be/Ji13Wz9Uk8I?t=2955","channel 1")</f>
        <v>channel 1</v>
      </c>
    </row>
    <row r="54">
      <c r="A54" s="118"/>
      <c r="B54" s="32" t="s">
        <v>3760</v>
      </c>
      <c r="C54" s="33" t="s">
        <v>26</v>
      </c>
      <c r="D54" s="32" t="s">
        <v>3902</v>
      </c>
      <c r="E54" s="11" t="str">
        <f>HYPERLINK("https://youtu.be/05rrnnKgmak?t=2897","channel 2")</f>
        <v>channel 2</v>
      </c>
    </row>
    <row r="55">
      <c r="A55" s="118"/>
      <c r="B55" s="32" t="s">
        <v>3884</v>
      </c>
      <c r="C55" s="33" t="s">
        <v>215</v>
      </c>
      <c r="D55" s="32" t="s">
        <v>3557</v>
      </c>
      <c r="E55" s="135" t="str">
        <f>HYPERLINK("https://youtu.be/Ji13Wz9Uk8I?t=3862","channel 1")</f>
        <v>channel 1</v>
      </c>
    </row>
    <row r="56">
      <c r="A56" s="118"/>
      <c r="B56" s="32" t="s">
        <v>3760</v>
      </c>
      <c r="C56" s="33" t="s">
        <v>28</v>
      </c>
      <c r="D56" s="32" t="s">
        <v>2899</v>
      </c>
      <c r="E56" s="11" t="str">
        <f>HYPERLINK("https://youtu.be/05rrnnKgmak?t=3802","channel 2")</f>
        <v>channel 2</v>
      </c>
    </row>
    <row r="57">
      <c r="A57" s="118"/>
      <c r="B57" s="32" t="s">
        <v>2899</v>
      </c>
      <c r="C57" s="33" t="s">
        <v>460</v>
      </c>
      <c r="D57" s="32" t="s">
        <v>3902</v>
      </c>
      <c r="E57" s="135" t="str">
        <f>HYPERLINK("https://youtu.be/Ji13Wz9Uk8I?t=4704","channel 1")</f>
        <v>channel 1</v>
      </c>
    </row>
    <row r="58">
      <c r="A58" s="118"/>
      <c r="B58" s="32" t="s">
        <v>3760</v>
      </c>
      <c r="C58" s="33" t="s">
        <v>14</v>
      </c>
      <c r="D58" s="32" t="s">
        <v>3557</v>
      </c>
      <c r="E58" s="11" t="str">
        <f>HYPERLINK("https://youtu.be/05rrnnKgmak?t=4628","channel 2")</f>
        <v>channel 2</v>
      </c>
    </row>
    <row r="59">
      <c r="A59" s="118"/>
      <c r="B59" s="32" t="s">
        <v>3902</v>
      </c>
      <c r="C59" s="33" t="s">
        <v>11</v>
      </c>
      <c r="D59" s="32" t="s">
        <v>3884</v>
      </c>
      <c r="E59" s="135" t="str">
        <f>HYPERLINK("https://youtu.be/Ji13Wz9Uk8I?t=5244","channel 1")</f>
        <v>channel 1</v>
      </c>
    </row>
    <row r="60">
      <c r="A60" s="118"/>
      <c r="B60" s="32" t="s">
        <v>2899</v>
      </c>
      <c r="C60" s="33" t="s">
        <v>55</v>
      </c>
      <c r="D60" s="32" t="s">
        <v>3557</v>
      </c>
      <c r="E60" s="11" t="str">
        <f>HYPERLINK("https://youtu.be/05rrnnKgmak?t=5247","channel 2")</f>
        <v>channel 2</v>
      </c>
    </row>
    <row r="61">
      <c r="A61" s="118"/>
      <c r="B61" s="32" t="s">
        <v>3760</v>
      </c>
      <c r="C61" s="33" t="s">
        <v>302</v>
      </c>
      <c r="D61" s="32" t="s">
        <v>3884</v>
      </c>
      <c r="E61" s="135" t="str">
        <f>HYPERLINK("https://youtu.be/Ji13Wz9Uk8I?t=5956","channel 1")</f>
        <v>channel 1</v>
      </c>
    </row>
    <row r="62">
      <c r="A62" s="118"/>
      <c r="B62" s="32" t="s">
        <v>3902</v>
      </c>
      <c r="C62" s="35" t="s">
        <v>87</v>
      </c>
      <c r="D62" s="32" t="s">
        <v>3557</v>
      </c>
      <c r="E62" s="11" t="str">
        <f>HYPERLINK("https://youtu.be/05rrnnKgmak?t=5993","channel 2")</f>
        <v>channel 2</v>
      </c>
    </row>
    <row r="63">
      <c r="A63" s="118"/>
      <c r="B63" s="32" t="s">
        <v>2899</v>
      </c>
      <c r="C63" s="33" t="s">
        <v>83</v>
      </c>
      <c r="D63" s="32" t="s">
        <v>3884</v>
      </c>
      <c r="E63" s="135" t="str">
        <f>HYPERLINK("https://youtu.be/Ji13Wz9Uk8I?t=6665","channel 1")</f>
        <v>channel 1</v>
      </c>
    </row>
    <row r="64">
      <c r="A64" s="118"/>
      <c r="B64" s="32" t="s">
        <v>3902</v>
      </c>
      <c r="C64" s="33" t="s">
        <v>1728</v>
      </c>
      <c r="D64" s="32" t="s">
        <v>3760</v>
      </c>
      <c r="E64" s="11" t="str">
        <f>HYPERLINK("https://youtu.be/05rrnnKgmak?t=6711","channel 2")</f>
        <v>channel 2</v>
      </c>
    </row>
    <row r="65">
      <c r="A65" s="118"/>
      <c r="B65" s="32" t="s">
        <v>3557</v>
      </c>
      <c r="C65" s="33" t="s">
        <v>244</v>
      </c>
      <c r="D65" s="32" t="s">
        <v>3884</v>
      </c>
      <c r="E65" s="135" t="str">
        <f>HYPERLINK("https://youtu.be/Ji13Wz9Uk8I?t=7396","channel 1")</f>
        <v>channel 1</v>
      </c>
    </row>
    <row r="66">
      <c r="A66" s="118"/>
      <c r="B66" s="32" t="s">
        <v>2899</v>
      </c>
      <c r="C66" s="33" t="s">
        <v>1102</v>
      </c>
      <c r="D66" s="32" t="s">
        <v>3760</v>
      </c>
      <c r="E66" s="11" t="str">
        <f>HYPERLINK("https://youtu.be/05rrnnKgmak?t=7590","channel 2")</f>
        <v>channel 2</v>
      </c>
    </row>
    <row r="67">
      <c r="A67" s="118"/>
      <c r="B67" s="137" t="s">
        <v>1435</v>
      </c>
      <c r="C67" s="2"/>
      <c r="D67" s="3"/>
      <c r="E67" s="138"/>
    </row>
    <row r="68">
      <c r="A68" s="118"/>
      <c r="B68" s="35" t="s">
        <v>2</v>
      </c>
      <c r="C68" s="35" t="s">
        <v>3</v>
      </c>
      <c r="D68" s="35" t="s">
        <v>4</v>
      </c>
      <c r="E68" s="16" t="s">
        <v>5</v>
      </c>
    </row>
    <row r="69">
      <c r="A69" s="118"/>
      <c r="B69" s="32" t="s">
        <v>3904</v>
      </c>
      <c r="C69" s="33" t="s">
        <v>190</v>
      </c>
      <c r="D69" s="32" t="s">
        <v>3838</v>
      </c>
      <c r="E69" s="135" t="str">
        <f>HYPERLINK("https://youtu.be/SpK81sd9W_Q","channel 1")</f>
        <v>channel 1</v>
      </c>
    </row>
    <row r="70">
      <c r="A70" s="118"/>
      <c r="B70" s="32" t="s">
        <v>3905</v>
      </c>
      <c r="C70" s="33" t="s">
        <v>45</v>
      </c>
      <c r="D70" s="32" t="s">
        <v>3859</v>
      </c>
      <c r="E70" s="11" t="str">
        <f>HYPERLINK("https://youtu.be/nPrBZf-Qrfg","channel 2")</f>
        <v>channel 2</v>
      </c>
    </row>
    <row r="71">
      <c r="A71" s="118"/>
      <c r="B71" s="32" t="s">
        <v>3906</v>
      </c>
      <c r="C71" s="33" t="s">
        <v>328</v>
      </c>
      <c r="D71" s="32" t="s">
        <v>3904</v>
      </c>
      <c r="E71" s="135" t="str">
        <f>HYPERLINK("https://youtu.be/SpK81sd9W_Q?t=913","channel 1")</f>
        <v>channel 1</v>
      </c>
    </row>
    <row r="72">
      <c r="A72" s="118"/>
      <c r="B72" s="32" t="s">
        <v>3905</v>
      </c>
      <c r="C72" s="33" t="s">
        <v>45</v>
      </c>
      <c r="D72" s="32" t="s">
        <v>3838</v>
      </c>
      <c r="E72" s="11" t="str">
        <f>HYPERLINK("https://youtu.be/nPrBZf-Qrfg?t=1009","channel 2")</f>
        <v>channel 2</v>
      </c>
    </row>
    <row r="73">
      <c r="A73" s="118"/>
      <c r="B73" s="32" t="s">
        <v>3906</v>
      </c>
      <c r="C73" s="33" t="s">
        <v>251</v>
      </c>
      <c r="D73" s="32" t="s">
        <v>3859</v>
      </c>
      <c r="E73" s="135" t="str">
        <f>HYPERLINK("https://youtu.be/SpK81sd9W_Q?t=1775","channel 1")</f>
        <v>channel 1</v>
      </c>
    </row>
    <row r="74">
      <c r="A74" s="118"/>
      <c r="B74" s="32" t="s">
        <v>3905</v>
      </c>
      <c r="C74" s="33" t="s">
        <v>534</v>
      </c>
      <c r="D74" s="32" t="s">
        <v>3904</v>
      </c>
      <c r="E74" s="11" t="str">
        <f>HYPERLINK("https://youtu.be/nPrBZf-Qrfg?t=1968","channel 2")</f>
        <v>channel 2</v>
      </c>
    </row>
    <row r="75">
      <c r="A75" s="118"/>
      <c r="B75" s="32" t="s">
        <v>3906</v>
      </c>
      <c r="C75" s="33" t="s">
        <v>48</v>
      </c>
      <c r="D75" s="32" t="s">
        <v>3838</v>
      </c>
      <c r="E75" s="135" t="str">
        <f>HYPERLINK("https://youtu.be/SpK81sd9W_Q?t=2740","channel 1")</f>
        <v>channel 1</v>
      </c>
    </row>
    <row r="76">
      <c r="A76" s="118"/>
      <c r="B76" s="32" t="s">
        <v>3859</v>
      </c>
      <c r="C76" s="33" t="s">
        <v>250</v>
      </c>
      <c r="D76" s="32" t="s">
        <v>3904</v>
      </c>
      <c r="E76" s="11" t="str">
        <f>HYPERLINK("https://youtu.be/nPrBZf-Qrfg?t=2895","channel 2")</f>
        <v>channel 2</v>
      </c>
    </row>
    <row r="77">
      <c r="A77" s="118"/>
      <c r="B77" s="32" t="s">
        <v>3906</v>
      </c>
      <c r="C77" s="33" t="s">
        <v>20</v>
      </c>
      <c r="D77" s="32" t="s">
        <v>3905</v>
      </c>
      <c r="E77" s="135" t="str">
        <f>HYPERLINK("https://youtu.be/SpK81sd9W_Q?t=3660","channel 1")</f>
        <v>channel 1</v>
      </c>
    </row>
    <row r="78">
      <c r="A78" s="118"/>
      <c r="B78" s="32" t="s">
        <v>3859</v>
      </c>
      <c r="C78" s="33" t="s">
        <v>220</v>
      </c>
      <c r="D78" s="32" t="s">
        <v>3838</v>
      </c>
      <c r="E78" s="11" t="str">
        <f>HYPERLINK("https://youtu.be/nPrBZf-Qrfg?t=3833","channel 2")</f>
        <v>channel 2</v>
      </c>
    </row>
    <row r="79">
      <c r="A79" s="118"/>
      <c r="B79" s="32" t="s">
        <v>3838</v>
      </c>
      <c r="C79" s="33" t="s">
        <v>3901</v>
      </c>
      <c r="D79" s="32" t="s">
        <v>3904</v>
      </c>
      <c r="E79" s="135" t="str">
        <f>HYPERLINK("https://youtu.be/SpK81sd9W_Q?t=4549","channel 1")</f>
        <v>channel 1</v>
      </c>
    </row>
    <row r="80">
      <c r="A80" s="118"/>
      <c r="B80" s="32" t="s">
        <v>3859</v>
      </c>
      <c r="C80" s="33" t="s">
        <v>203</v>
      </c>
      <c r="D80" s="32" t="s">
        <v>3905</v>
      </c>
      <c r="E80" s="11" t="str">
        <f>HYPERLINK("https://youtu.be/nPrBZf-Qrfg?t=4793","channel 2")</f>
        <v>channel 2</v>
      </c>
    </row>
    <row r="81">
      <c r="A81" s="118"/>
      <c r="B81" s="32" t="s">
        <v>3904</v>
      </c>
      <c r="C81" s="33" t="s">
        <v>950</v>
      </c>
      <c r="D81" s="32" t="s">
        <v>3906</v>
      </c>
      <c r="E81" s="135" t="str">
        <f>HYPERLINK("https://youtu.be/SpK81sd9W_Q?t=5575","channel 1")</f>
        <v>channel 1</v>
      </c>
    </row>
    <row r="82">
      <c r="A82" s="118"/>
      <c r="B82" s="32" t="s">
        <v>3838</v>
      </c>
      <c r="C82" s="33" t="s">
        <v>953</v>
      </c>
      <c r="D82" s="32" t="s">
        <v>3905</v>
      </c>
      <c r="E82" s="11" t="str">
        <f>HYPERLINK("https://youtu.be/nPrBZf-Qrfg?t=5697","channel 2")</f>
        <v>channel 2</v>
      </c>
    </row>
    <row r="83">
      <c r="A83" s="118"/>
      <c r="B83" s="32" t="s">
        <v>3859</v>
      </c>
      <c r="C83" s="33" t="s">
        <v>2906</v>
      </c>
      <c r="D83" s="32" t="s">
        <v>3906</v>
      </c>
      <c r="E83" s="135" t="str">
        <f>HYPERLINK("https://youtu.be/SpK81sd9W_Q?t=6436","channel 1")</f>
        <v>channel 1</v>
      </c>
    </row>
    <row r="84">
      <c r="A84" s="118"/>
      <c r="B84" s="32" t="s">
        <v>3904</v>
      </c>
      <c r="C84" s="33" t="s">
        <v>482</v>
      </c>
      <c r="D84" s="32" t="s">
        <v>3905</v>
      </c>
      <c r="E84" s="11" t="str">
        <f>HYPERLINK("https://youtu.be/nPrBZf-Qrfg?t=6646","channel 2")</f>
        <v>channel 2</v>
      </c>
    </row>
    <row r="85">
      <c r="A85" s="118"/>
      <c r="B85" s="32" t="s">
        <v>3838</v>
      </c>
      <c r="C85" s="33" t="s">
        <v>494</v>
      </c>
      <c r="D85" s="32" t="s">
        <v>3906</v>
      </c>
      <c r="E85" s="135" t="str">
        <f>HYPERLINK("https://youtu.be/SpK81sd9W_Q?t=7391","channel 1")</f>
        <v>channel 1</v>
      </c>
    </row>
    <row r="86">
      <c r="A86" s="118"/>
      <c r="B86" s="32" t="s">
        <v>3904</v>
      </c>
      <c r="C86" s="33" t="s">
        <v>536</v>
      </c>
      <c r="D86" s="32" t="s">
        <v>3859</v>
      </c>
      <c r="E86" s="11" t="str">
        <f>HYPERLINK("https://youtu.be/nPrBZf-Qrfg?t=7554","channel 2")</f>
        <v>channel 2</v>
      </c>
    </row>
    <row r="87">
      <c r="A87" s="118"/>
      <c r="B87" s="32" t="s">
        <v>3905</v>
      </c>
      <c r="C87" s="33" t="s">
        <v>196</v>
      </c>
      <c r="D87" s="32" t="s">
        <v>3906</v>
      </c>
      <c r="E87" s="135" t="str">
        <f>HYPERLINK("https://youtu.be/SpK81sd9W_Q?t=8355","channel 1")</f>
        <v>channel 1</v>
      </c>
    </row>
    <row r="88">
      <c r="A88" s="118"/>
      <c r="B88" s="32" t="s">
        <v>3838</v>
      </c>
      <c r="C88" s="33" t="s">
        <v>267</v>
      </c>
      <c r="D88" s="32" t="s">
        <v>3859</v>
      </c>
      <c r="E88" s="11" t="str">
        <f>HYPERLINK("https://youtu.be/nPrBZf-Qrfg?t=8476","channel 2")</f>
        <v>channel 2</v>
      </c>
    </row>
    <row r="89">
      <c r="A89" s="118"/>
      <c r="B89" s="72" t="s">
        <v>1441</v>
      </c>
      <c r="C89" s="2"/>
      <c r="D89" s="3"/>
      <c r="E89" s="138"/>
    </row>
    <row r="90">
      <c r="A90" s="118"/>
      <c r="B90" s="35" t="s">
        <v>2</v>
      </c>
      <c r="C90" s="35" t="s">
        <v>3</v>
      </c>
      <c r="D90" s="35" t="s">
        <v>4</v>
      </c>
      <c r="E90" s="16" t="s">
        <v>5</v>
      </c>
    </row>
    <row r="91">
      <c r="A91" s="118"/>
      <c r="B91" s="119" t="s">
        <v>2778</v>
      </c>
      <c r="C91" s="33" t="s">
        <v>83</v>
      </c>
      <c r="D91" s="32" t="s">
        <v>3299</v>
      </c>
      <c r="E91" s="135" t="str">
        <f>HYPERLINK("https://youtu.be/sgeG1glm_qQ","channel 1")</f>
        <v>channel 1</v>
      </c>
    </row>
    <row r="92">
      <c r="A92" s="118"/>
      <c r="B92" s="32" t="s">
        <v>3907</v>
      </c>
      <c r="C92" s="33" t="s">
        <v>201</v>
      </c>
      <c r="D92" s="32" t="s">
        <v>3908</v>
      </c>
      <c r="E92" s="11" t="str">
        <f>HYPERLINK("https://youtu.be/uTSUE0Or40A","channel 2")</f>
        <v>channel 2</v>
      </c>
    </row>
    <row r="93">
      <c r="A93" s="118"/>
      <c r="B93" s="32" t="s">
        <v>3909</v>
      </c>
      <c r="C93" s="33" t="s">
        <v>638</v>
      </c>
      <c r="D93" s="32" t="s">
        <v>2778</v>
      </c>
      <c r="E93" s="135" t="str">
        <f>HYPERLINK("https://youtu.be/sgeG1glm_qQ?t=549","channel 1")</f>
        <v>channel 1</v>
      </c>
    </row>
    <row r="94">
      <c r="A94" s="118"/>
      <c r="B94" s="32" t="s">
        <v>3907</v>
      </c>
      <c r="C94" s="33" t="s">
        <v>270</v>
      </c>
      <c r="D94" s="32" t="s">
        <v>3299</v>
      </c>
      <c r="E94" s="11" t="str">
        <f>HYPERLINK("https://youtu.be/uTSUE0Or40A?t=1123","channel 2")</f>
        <v>channel 2</v>
      </c>
    </row>
    <row r="95">
      <c r="A95" s="118"/>
      <c r="B95" s="32" t="s">
        <v>3909</v>
      </c>
      <c r="C95" s="37" t="s">
        <v>239</v>
      </c>
      <c r="D95" s="32" t="s">
        <v>3908</v>
      </c>
      <c r="E95" s="135" t="str">
        <f>HYPERLINK("https://youtu.be/sgeG1glm_qQ?t=1483","channel 1")</f>
        <v>channel 1</v>
      </c>
    </row>
    <row r="96">
      <c r="A96" s="118"/>
      <c r="B96" s="32" t="s">
        <v>3907</v>
      </c>
      <c r="C96" s="33" t="s">
        <v>83</v>
      </c>
      <c r="D96" s="32" t="s">
        <v>2778</v>
      </c>
      <c r="E96" s="11" t="str">
        <f>HYPERLINK("https://youtu.be/uTSUE0Or40A?t=1970","channel 2")</f>
        <v>channel 2</v>
      </c>
    </row>
    <row r="97">
      <c r="A97" s="118"/>
      <c r="B97" s="32" t="s">
        <v>3909</v>
      </c>
      <c r="C97" s="33" t="s">
        <v>64</v>
      </c>
      <c r="D97" s="32" t="s">
        <v>3299</v>
      </c>
      <c r="E97" s="135" t="str">
        <f>HYPERLINK("https://youtu.be/sgeG1glm_qQ?t=2407","channel 1")</f>
        <v>channel 1</v>
      </c>
    </row>
    <row r="98">
      <c r="A98" s="118"/>
      <c r="B98" s="32" t="s">
        <v>3908</v>
      </c>
      <c r="C98" s="33" t="s">
        <v>243</v>
      </c>
      <c r="D98" s="32" t="s">
        <v>2778</v>
      </c>
      <c r="E98" s="11" t="str">
        <f>HYPERLINK("https://youtu.be/uTSUE0Or40A?t=2960","channel 2")</f>
        <v>channel 2</v>
      </c>
    </row>
    <row r="99">
      <c r="A99" s="118"/>
      <c r="B99" s="32" t="s">
        <v>3909</v>
      </c>
      <c r="C99" s="33" t="s">
        <v>201</v>
      </c>
      <c r="D99" s="32" t="s">
        <v>3907</v>
      </c>
      <c r="E99" s="135" t="str">
        <f>HYPERLINK("https://youtu.be/sgeG1glm_qQ?t=3287","channel 1")</f>
        <v>channel 1</v>
      </c>
    </row>
    <row r="100">
      <c r="A100" s="118"/>
      <c r="B100" s="32" t="s">
        <v>3908</v>
      </c>
      <c r="C100" s="33" t="s">
        <v>261</v>
      </c>
      <c r="D100" s="32" t="s">
        <v>3299</v>
      </c>
      <c r="E100" s="11" t="str">
        <f>HYPERLINK("https://youtu.be/uTSUE0Or40A?t=3866","channel 2")</f>
        <v>channel 2</v>
      </c>
    </row>
    <row r="101">
      <c r="A101" s="118"/>
      <c r="B101" s="32" t="s">
        <v>3299</v>
      </c>
      <c r="C101" s="33" t="s">
        <v>65</v>
      </c>
      <c r="D101" s="32" t="s">
        <v>2778</v>
      </c>
      <c r="E101" s="135" t="str">
        <f>HYPERLINK("https://youtu.be/sgeG1glm_qQ?t=4254","channel 1")</f>
        <v>channel 1</v>
      </c>
    </row>
    <row r="102">
      <c r="A102" s="118"/>
      <c r="B102" s="32" t="s">
        <v>3908</v>
      </c>
      <c r="C102" s="33" t="s">
        <v>43</v>
      </c>
      <c r="D102" s="32" t="s">
        <v>3907</v>
      </c>
      <c r="E102" s="11" t="str">
        <f>HYPERLINK("https://youtu.be/uTSUE0Or40A?t=4786","channel 2")</f>
        <v>channel 2</v>
      </c>
    </row>
    <row r="103">
      <c r="A103" s="118"/>
      <c r="B103" s="32" t="s">
        <v>2778</v>
      </c>
      <c r="C103" s="33" t="s">
        <v>31</v>
      </c>
      <c r="D103" s="32" t="s">
        <v>3909</v>
      </c>
      <c r="E103" s="135" t="str">
        <f>HYPERLINK("https://youtu.be/sgeG1glm_qQ?t=5126","channel 1")</f>
        <v>channel 1</v>
      </c>
    </row>
    <row r="104">
      <c r="A104" s="118"/>
      <c r="B104" s="32" t="s">
        <v>3299</v>
      </c>
      <c r="C104" s="33" t="s">
        <v>18</v>
      </c>
      <c r="D104" s="32" t="s">
        <v>3907</v>
      </c>
      <c r="E104" s="11" t="str">
        <f>HYPERLINK("https://youtu.be/uTSUE0Or40A?t=5666","channel 2")</f>
        <v>channel 2</v>
      </c>
    </row>
    <row r="105">
      <c r="A105" s="118"/>
      <c r="B105" s="32" t="s">
        <v>3908</v>
      </c>
      <c r="C105" s="33" t="s">
        <v>41</v>
      </c>
      <c r="D105" s="32" t="s">
        <v>3909</v>
      </c>
      <c r="E105" s="135" t="str">
        <f>HYPERLINK("https://youtu.be/sgeG1glm_qQ?t=6028","channel 1")</f>
        <v>channel 1</v>
      </c>
    </row>
    <row r="106">
      <c r="A106" s="118"/>
      <c r="B106" s="32" t="s">
        <v>2778</v>
      </c>
      <c r="C106" s="33" t="s">
        <v>14</v>
      </c>
      <c r="D106" s="32" t="s">
        <v>3907</v>
      </c>
      <c r="E106" s="11" t="str">
        <f>HYPERLINK("https://youtu.be/uTSUE0Or40A?t=6570","channel 2")</f>
        <v>channel 2</v>
      </c>
    </row>
    <row r="107">
      <c r="A107" s="118"/>
      <c r="B107" s="32" t="s">
        <v>3299</v>
      </c>
      <c r="C107" s="33" t="s">
        <v>20</v>
      </c>
      <c r="D107" s="32" t="s">
        <v>3909</v>
      </c>
      <c r="E107" s="135" t="str">
        <f>HYPERLINK("https://youtu.be/sgeG1glm_qQ?t=6969","channel 1")</f>
        <v>channel 1</v>
      </c>
    </row>
    <row r="108">
      <c r="A108" s="118"/>
      <c r="B108" s="32" t="s">
        <v>2778</v>
      </c>
      <c r="C108" s="33" t="s">
        <v>217</v>
      </c>
      <c r="D108" s="32" t="s">
        <v>3908</v>
      </c>
      <c r="E108" s="11" t="str">
        <f>HYPERLINK("https://youtu.be/uTSUE0Or40A?t=7514","channel 2")</f>
        <v>channel 2</v>
      </c>
    </row>
    <row r="109">
      <c r="A109" s="118"/>
      <c r="B109" s="32" t="s">
        <v>3907</v>
      </c>
      <c r="C109" s="33" t="s">
        <v>87</v>
      </c>
      <c r="D109" s="32" t="s">
        <v>3909</v>
      </c>
      <c r="E109" s="135" t="str">
        <f>HYPERLINK("https://youtu.be/sgeG1glm_qQ?t=7815","channel 1")</f>
        <v>channel 1</v>
      </c>
    </row>
    <row r="110">
      <c r="A110" s="118"/>
      <c r="B110" s="32" t="s">
        <v>3299</v>
      </c>
      <c r="C110" s="33" t="s">
        <v>14</v>
      </c>
      <c r="D110" s="32" t="s">
        <v>3908</v>
      </c>
      <c r="E110" s="11" t="str">
        <f>HYPERLINK("https://youtu.be/uTSUE0Or40A?t=8414","channel 2")</f>
        <v>channel 2</v>
      </c>
    </row>
    <row r="111">
      <c r="A111" s="118"/>
      <c r="B111" s="72" t="s">
        <v>2200</v>
      </c>
      <c r="C111" s="2"/>
      <c r="D111" s="3"/>
      <c r="E111" s="138"/>
    </row>
    <row r="112">
      <c r="A112" s="118"/>
      <c r="B112" s="35" t="s">
        <v>2</v>
      </c>
      <c r="C112" s="35" t="s">
        <v>3</v>
      </c>
      <c r="D112" s="35" t="s">
        <v>4</v>
      </c>
      <c r="E112" s="16" t="s">
        <v>5</v>
      </c>
    </row>
    <row r="113">
      <c r="A113" s="118"/>
      <c r="B113" s="119" t="s">
        <v>3654</v>
      </c>
      <c r="C113" s="33" t="s">
        <v>260</v>
      </c>
      <c r="D113" s="32" t="s">
        <v>3910</v>
      </c>
      <c r="E113" s="135" t="str">
        <f>HYPERLINK("https://youtu.be/YEpw6H35vRo","channel 1")</f>
        <v>channel 1</v>
      </c>
    </row>
    <row r="114">
      <c r="A114" s="118"/>
      <c r="B114" s="32" t="s">
        <v>3911</v>
      </c>
      <c r="C114" s="33" t="s">
        <v>218</v>
      </c>
      <c r="D114" s="32" t="s">
        <v>930</v>
      </c>
      <c r="E114" s="11" t="str">
        <f>HYPERLINK("https://youtu.be/Z55lRaAuYrM","channel 2")</f>
        <v>channel 2</v>
      </c>
    </row>
    <row r="115">
      <c r="A115" s="118"/>
      <c r="B115" s="32" t="s">
        <v>3621</v>
      </c>
      <c r="C115" s="33" t="s">
        <v>7</v>
      </c>
      <c r="D115" s="32" t="s">
        <v>3654</v>
      </c>
      <c r="E115" s="135" t="str">
        <f>HYPERLINK("https://youtu.be/YEpw6H35vRo?t=841","channel 1")</f>
        <v>channel 1</v>
      </c>
    </row>
    <row r="116">
      <c r="A116" s="118"/>
      <c r="B116" s="32" t="s">
        <v>3911</v>
      </c>
      <c r="C116" s="33" t="s">
        <v>45</v>
      </c>
      <c r="D116" s="32" t="s">
        <v>3910</v>
      </c>
      <c r="E116" s="11" t="str">
        <f>HYPERLINK("https://youtu.be/Z55lRaAuYrM?t=1058","channel 2")</f>
        <v>channel 2</v>
      </c>
    </row>
    <row r="117">
      <c r="A117" s="118"/>
      <c r="B117" s="32" t="s">
        <v>3621</v>
      </c>
      <c r="C117" s="33" t="s">
        <v>43</v>
      </c>
      <c r="D117" s="32" t="s">
        <v>930</v>
      </c>
      <c r="E117" s="135" t="str">
        <f>HYPERLINK("https://youtu.be/YEpw6H35vRo?t=1814","channel 1")</f>
        <v>channel 1</v>
      </c>
    </row>
    <row r="118">
      <c r="A118" s="118"/>
      <c r="B118" s="32" t="s">
        <v>3911</v>
      </c>
      <c r="C118" s="33" t="s">
        <v>62</v>
      </c>
      <c r="D118" s="32" t="s">
        <v>3654</v>
      </c>
      <c r="E118" s="11" t="str">
        <f>HYPERLINK("https://youtu.be/Z55lRaAuYrM?t=1973","channel 2")</f>
        <v>channel 2</v>
      </c>
    </row>
    <row r="119">
      <c r="A119" s="118"/>
      <c r="B119" s="32" t="s">
        <v>3621</v>
      </c>
      <c r="C119" s="33" t="s">
        <v>66</v>
      </c>
      <c r="D119" s="32" t="s">
        <v>3910</v>
      </c>
      <c r="E119" s="135" t="str">
        <f>HYPERLINK("https://youtu.be/YEpw6H35vRo?t=2669","channel 1")</f>
        <v>channel 1</v>
      </c>
    </row>
    <row r="120">
      <c r="A120" s="118"/>
      <c r="B120" s="32" t="s">
        <v>930</v>
      </c>
      <c r="C120" s="33" t="s">
        <v>291</v>
      </c>
      <c r="D120" s="32" t="s">
        <v>3654</v>
      </c>
      <c r="E120" s="11" t="str">
        <f>HYPERLINK("https://youtu.be/Z55lRaAuYrM?t=2870","channel 2")</f>
        <v>channel 2</v>
      </c>
    </row>
    <row r="121">
      <c r="A121" s="118"/>
      <c r="B121" s="32" t="s">
        <v>3621</v>
      </c>
      <c r="C121" s="33" t="s">
        <v>55</v>
      </c>
      <c r="D121" s="32" t="s">
        <v>3911</v>
      </c>
      <c r="E121" s="135" t="str">
        <f>HYPERLINK("https://youtu.be/YEpw6H35vRo?t=3602","channel 1")</f>
        <v>channel 1</v>
      </c>
    </row>
    <row r="122">
      <c r="A122" s="118"/>
      <c r="B122" s="32" t="s">
        <v>930</v>
      </c>
      <c r="C122" s="33" t="s">
        <v>62</v>
      </c>
      <c r="D122" s="32" t="s">
        <v>3910</v>
      </c>
      <c r="E122" s="11" t="str">
        <f>HYPERLINK("https://youtu.be/Z55lRaAuYrM?t=3812","channel 2")</f>
        <v>channel 2</v>
      </c>
    </row>
    <row r="123">
      <c r="A123" s="118"/>
      <c r="B123" s="32" t="s">
        <v>3910</v>
      </c>
      <c r="C123" s="33" t="s">
        <v>3912</v>
      </c>
      <c r="D123" s="32" t="s">
        <v>3654</v>
      </c>
      <c r="E123" s="135" t="str">
        <f>HYPERLINK("https://youtu.be/YEpw6H35vRo?t=4522","channel 1")</f>
        <v>channel 1</v>
      </c>
    </row>
    <row r="124">
      <c r="A124" s="118"/>
      <c r="B124" s="32" t="s">
        <v>930</v>
      </c>
      <c r="C124" s="33" t="s">
        <v>404</v>
      </c>
      <c r="D124" s="32" t="s">
        <v>3911</v>
      </c>
      <c r="E124" s="11" t="str">
        <f>HYPERLINK("https://youtu.be/Z55lRaAuYrM?t=4703","channel 2")</f>
        <v>channel 2</v>
      </c>
    </row>
    <row r="125">
      <c r="A125" s="118"/>
      <c r="B125" s="32" t="s">
        <v>3654</v>
      </c>
      <c r="C125" s="33" t="s">
        <v>218</v>
      </c>
      <c r="D125" s="32" t="s">
        <v>3621</v>
      </c>
      <c r="E125" s="135" t="str">
        <f>HYPERLINK("https://youtu.be/YEpw6H35vRo?t=5429","channel 1")</f>
        <v>channel 1</v>
      </c>
    </row>
    <row r="126">
      <c r="A126" s="118"/>
      <c r="B126" s="32" t="s">
        <v>3910</v>
      </c>
      <c r="C126" s="33" t="s">
        <v>197</v>
      </c>
      <c r="D126" s="32" t="s">
        <v>3911</v>
      </c>
      <c r="E126" s="11" t="str">
        <f>HYPERLINK("https://youtu.be/Z55lRaAuYrM?t=5633","channel 2")</f>
        <v>channel 2</v>
      </c>
    </row>
    <row r="127">
      <c r="A127" s="118"/>
      <c r="B127" s="32" t="s">
        <v>930</v>
      </c>
      <c r="C127" s="33" t="s">
        <v>190</v>
      </c>
      <c r="D127" s="32" t="s">
        <v>3621</v>
      </c>
      <c r="E127" s="135" t="str">
        <f>HYPERLINK("https://youtu.be/YEpw6H35vRo?t=6468","channel 1")</f>
        <v>channel 1</v>
      </c>
    </row>
    <row r="128">
      <c r="A128" s="118"/>
      <c r="B128" s="32" t="s">
        <v>3654</v>
      </c>
      <c r="C128" s="33" t="s">
        <v>912</v>
      </c>
      <c r="D128" s="32" t="s">
        <v>3911</v>
      </c>
      <c r="E128" s="11" t="str">
        <f>HYPERLINK("https://youtu.be/Z55lRaAuYrM?t=6644","channel 2")</f>
        <v>channel 2</v>
      </c>
    </row>
    <row r="129">
      <c r="A129" s="118"/>
      <c r="B129" s="32" t="s">
        <v>3910</v>
      </c>
      <c r="C129" s="33" t="s">
        <v>62</v>
      </c>
      <c r="D129" s="32" t="s">
        <v>3621</v>
      </c>
      <c r="E129" s="135" t="str">
        <f>HYPERLINK("https://youtu.be/YEpw6H35vRo?t=7572","channel 1")</f>
        <v>channel 1</v>
      </c>
    </row>
    <row r="130">
      <c r="A130" s="118"/>
      <c r="B130" s="32" t="s">
        <v>3654</v>
      </c>
      <c r="C130" s="33" t="s">
        <v>197</v>
      </c>
      <c r="D130" s="32" t="s">
        <v>930</v>
      </c>
      <c r="E130" s="11" t="str">
        <f>HYPERLINK("https://youtu.be/Z55lRaAuYrM?t=7743","channel 2")</f>
        <v>channel 2</v>
      </c>
    </row>
    <row r="131">
      <c r="A131" s="118"/>
      <c r="B131" s="32" t="s">
        <v>3911</v>
      </c>
      <c r="C131" s="33" t="s">
        <v>45</v>
      </c>
      <c r="D131" s="32" t="s">
        <v>3621</v>
      </c>
      <c r="E131" s="135" t="str">
        <f>HYPERLINK("https://youtu.be/YEpw6H35vRo?t=8400","channel 1")</f>
        <v>channel 1</v>
      </c>
    </row>
    <row r="132">
      <c r="A132" s="122"/>
      <c r="B132" s="32" t="s">
        <v>3910</v>
      </c>
      <c r="C132" s="33" t="s">
        <v>196</v>
      </c>
      <c r="D132" s="32" t="s">
        <v>930</v>
      </c>
      <c r="E132" s="11" t="str">
        <f>HYPERLINK("https://youtu.be/Z55lRaAuYrM?t=8647","channel 2")</f>
        <v>channel 2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7"/>
      <c r="B1" s="72" t="s">
        <v>2370</v>
      </c>
      <c r="C1" s="2"/>
      <c r="D1" s="3"/>
      <c r="E1" s="134"/>
    </row>
    <row r="2">
      <c r="A2" s="118"/>
      <c r="B2" s="35" t="s">
        <v>2</v>
      </c>
      <c r="C2" s="35" t="s">
        <v>3</v>
      </c>
      <c r="D2" s="35" t="s">
        <v>4</v>
      </c>
      <c r="E2" s="6" t="s">
        <v>5</v>
      </c>
    </row>
    <row r="3">
      <c r="A3" s="118"/>
      <c r="B3" s="32" t="s">
        <v>3797</v>
      </c>
      <c r="C3" s="33" t="s">
        <v>270</v>
      </c>
      <c r="D3" s="32" t="s">
        <v>3358</v>
      </c>
      <c r="E3" s="135" t="str">
        <f>HYPERLINK("https://youtu.be/fFkBb5PGA24","channel 1")</f>
        <v>channel 1</v>
      </c>
    </row>
    <row r="4">
      <c r="A4" s="118"/>
      <c r="B4" s="32" t="s">
        <v>3913</v>
      </c>
      <c r="C4" s="60" t="s">
        <v>389</v>
      </c>
      <c r="D4" s="32" t="s">
        <v>3644</v>
      </c>
      <c r="E4" s="11" t="str">
        <f>HYPERLINK("https://youtu.be/HAEpYA5n8MQ","channel 2")</f>
        <v>channel 2</v>
      </c>
    </row>
    <row r="5">
      <c r="A5" s="118"/>
      <c r="B5" s="32" t="s">
        <v>3359</v>
      </c>
      <c r="C5" s="33" t="s">
        <v>58</v>
      </c>
      <c r="D5" s="32" t="s">
        <v>3797</v>
      </c>
      <c r="E5" s="135" t="str">
        <f>HYPERLINK("https://youtu.be/fFkBb5PGA24?t=836","channel 1")</f>
        <v>channel 1</v>
      </c>
    </row>
    <row r="6">
      <c r="A6" s="118"/>
      <c r="B6" s="32" t="s">
        <v>3913</v>
      </c>
      <c r="C6" s="33" t="s">
        <v>35</v>
      </c>
      <c r="D6" s="32" t="s">
        <v>3358</v>
      </c>
      <c r="E6" s="11" t="str">
        <f>HYPERLINK("https://youtu.be/VSvUpU6F7As","channel 2")</f>
        <v>channel 2</v>
      </c>
    </row>
    <row r="7">
      <c r="A7" s="118"/>
      <c r="B7" s="32" t="s">
        <v>3359</v>
      </c>
      <c r="C7" s="33" t="s">
        <v>212</v>
      </c>
      <c r="D7" s="32" t="s">
        <v>3644</v>
      </c>
      <c r="E7" s="135" t="str">
        <f>HYPERLINK("https://youtu.be/fFkBb5PGA24?t=1838","channel 1")</f>
        <v>channel 1</v>
      </c>
    </row>
    <row r="8">
      <c r="A8" s="118"/>
      <c r="B8" s="32" t="s">
        <v>3913</v>
      </c>
      <c r="C8" s="33" t="s">
        <v>19</v>
      </c>
      <c r="D8" s="32" t="s">
        <v>3797</v>
      </c>
      <c r="E8" s="11" t="str">
        <f>HYPERLINK("https://youtu.be/HAEpYA5n8MQ?t=1844","channel 2")</f>
        <v>channel 2</v>
      </c>
    </row>
    <row r="9">
      <c r="A9" s="118"/>
      <c r="B9" s="32" t="s">
        <v>3359</v>
      </c>
      <c r="C9" s="33" t="s">
        <v>251</v>
      </c>
      <c r="D9" s="32" t="s">
        <v>3358</v>
      </c>
      <c r="E9" s="135" t="str">
        <f>HYPERLINK("https://youtu.be/fFkBb5PGA24?t=2799","channel 1")</f>
        <v>channel 1</v>
      </c>
    </row>
    <row r="10">
      <c r="A10" s="118"/>
      <c r="B10" s="32" t="s">
        <v>3644</v>
      </c>
      <c r="C10" s="33" t="s">
        <v>472</v>
      </c>
      <c r="D10" s="32" t="s">
        <v>3797</v>
      </c>
      <c r="E10" s="11" t="str">
        <f>HYPERLINK("https://youtu.be/HAEpYA5n8MQ?t=2766","channel 2")</f>
        <v>channel 2</v>
      </c>
    </row>
    <row r="11">
      <c r="A11" s="118"/>
      <c r="B11" s="32" t="s">
        <v>3359</v>
      </c>
      <c r="C11" s="33" t="s">
        <v>47</v>
      </c>
      <c r="D11" s="32" t="s">
        <v>3913</v>
      </c>
      <c r="E11" s="135" t="str">
        <f>HYPERLINK("https://youtu.be/fFkBb5PGA24?t=3656","channel 1")</f>
        <v>channel 1</v>
      </c>
    </row>
    <row r="12">
      <c r="A12" s="118"/>
      <c r="B12" s="32" t="s">
        <v>3644</v>
      </c>
      <c r="C12" s="33" t="s">
        <v>17</v>
      </c>
      <c r="D12" s="32" t="s">
        <v>3358</v>
      </c>
      <c r="E12" s="11" t="str">
        <f>HYPERLINK("https://youtu.be/HAEpYA5n8MQ?t=3729","channel 2")</f>
        <v>channel 2</v>
      </c>
    </row>
    <row r="13">
      <c r="A13" s="118"/>
      <c r="B13" s="32" t="s">
        <v>3358</v>
      </c>
      <c r="C13" s="33" t="s">
        <v>194</v>
      </c>
      <c r="D13" s="32" t="s">
        <v>3797</v>
      </c>
      <c r="E13" s="135" t="str">
        <f>HYPERLINK("https://youtu.be/fFkBb5PGA24?t=4548","channel 1")</f>
        <v>channel 1</v>
      </c>
    </row>
    <row r="14">
      <c r="A14" s="118"/>
      <c r="B14" s="32" t="s">
        <v>3644</v>
      </c>
      <c r="C14" s="33" t="s">
        <v>267</v>
      </c>
      <c r="D14" s="32" t="s">
        <v>3913</v>
      </c>
      <c r="E14" s="11" t="str">
        <f>HYPERLINK("https://youtu.be/HAEpYA5n8MQ?t=4648","channel 2")</f>
        <v>channel 2</v>
      </c>
    </row>
    <row r="15">
      <c r="A15" s="118"/>
      <c r="B15" s="32" t="s">
        <v>3797</v>
      </c>
      <c r="C15" s="33" t="s">
        <v>17</v>
      </c>
      <c r="D15" s="32" t="s">
        <v>3359</v>
      </c>
      <c r="E15" s="135" t="str">
        <f>HYPERLINK("https://youtu.be/fFkBb5PGA24?t=5562","channel 1")</f>
        <v>channel 1</v>
      </c>
    </row>
    <row r="16">
      <c r="A16" s="118"/>
      <c r="B16" s="32" t="s">
        <v>3358</v>
      </c>
      <c r="C16" s="33" t="s">
        <v>295</v>
      </c>
      <c r="D16" s="32" t="s">
        <v>3913</v>
      </c>
      <c r="E16" s="11" t="str">
        <f>HYPERLINK("https://youtu.be/HAEpYA5n8MQ?t=5576","channel 2")</f>
        <v>channel 2</v>
      </c>
    </row>
    <row r="17">
      <c r="A17" s="118"/>
      <c r="B17" s="32" t="s">
        <v>3644</v>
      </c>
      <c r="C17" s="33" t="s">
        <v>14</v>
      </c>
      <c r="D17" s="32" t="s">
        <v>3359</v>
      </c>
      <c r="E17" s="135" t="str">
        <f>HYPERLINK("https://youtu.be/fFkBb5PGA24?t=6471","channel 1")</f>
        <v>channel 1</v>
      </c>
    </row>
    <row r="18">
      <c r="A18" s="118"/>
      <c r="B18" s="32" t="s">
        <v>3797</v>
      </c>
      <c r="C18" s="33" t="s">
        <v>282</v>
      </c>
      <c r="D18" s="32" t="s">
        <v>3913</v>
      </c>
      <c r="E18" s="11" t="str">
        <f>HYPERLINK("https://youtu.be/HAEpYA5n8MQ?t=6475","channel 2")</f>
        <v>channel 2</v>
      </c>
    </row>
    <row r="19">
      <c r="A19" s="118"/>
      <c r="B19" s="32" t="s">
        <v>3358</v>
      </c>
      <c r="C19" s="33" t="s">
        <v>2761</v>
      </c>
      <c r="D19" s="32" t="s">
        <v>3359</v>
      </c>
      <c r="E19" s="135" t="str">
        <f>HYPERLINK("https://youtu.be/fFkBb5PGA24?t=7506","channel 1")</f>
        <v>channel 1</v>
      </c>
    </row>
    <row r="20">
      <c r="A20" s="118"/>
      <c r="B20" s="32" t="s">
        <v>3797</v>
      </c>
      <c r="C20" s="33" t="s">
        <v>212</v>
      </c>
      <c r="D20" s="32" t="s">
        <v>3644</v>
      </c>
      <c r="E20" s="11" t="str">
        <f>HYPERLINK("https://youtu.be/HAEpYA5n8MQ?t=7445","channel 2")</f>
        <v>channel 2</v>
      </c>
    </row>
    <row r="21">
      <c r="A21" s="118"/>
      <c r="B21" s="32" t="s">
        <v>3913</v>
      </c>
      <c r="C21" s="33" t="s">
        <v>19</v>
      </c>
      <c r="D21" s="32" t="s">
        <v>3359</v>
      </c>
      <c r="E21" s="135" t="str">
        <f>HYPERLINK("https://youtu.be/fFkBb5PGA24?t=8394","channel 1")</f>
        <v>channel 1</v>
      </c>
    </row>
    <row r="22">
      <c r="A22" s="118"/>
      <c r="B22" s="32" t="s">
        <v>3358</v>
      </c>
      <c r="C22" s="33" t="s">
        <v>404</v>
      </c>
      <c r="D22" s="32" t="s">
        <v>3644</v>
      </c>
      <c r="E22" s="11" t="str">
        <f>HYPERLINK("https://youtu.be/HAEpYA5n8MQ?t=8441","channel 2")</f>
        <v>channel 2</v>
      </c>
    </row>
    <row r="23">
      <c r="A23" s="118"/>
      <c r="B23" s="72" t="s">
        <v>2231</v>
      </c>
      <c r="C23" s="2"/>
      <c r="D23" s="3"/>
      <c r="E23" s="134"/>
    </row>
    <row r="24">
      <c r="A24" s="118"/>
      <c r="B24" s="35" t="s">
        <v>2</v>
      </c>
      <c r="C24" s="35" t="s">
        <v>3</v>
      </c>
      <c r="D24" s="35" t="s">
        <v>4</v>
      </c>
      <c r="E24" s="6" t="s">
        <v>5</v>
      </c>
    </row>
    <row r="25">
      <c r="A25" s="118"/>
      <c r="B25" s="32" t="s">
        <v>3914</v>
      </c>
      <c r="C25" s="33" t="s">
        <v>19</v>
      </c>
      <c r="D25" s="32" t="s">
        <v>3915</v>
      </c>
      <c r="E25" s="135" t="str">
        <f>HYPERLINK("https://youtu.be/KKjUPw-VnU8","channel 1")</f>
        <v>channel 1</v>
      </c>
    </row>
    <row r="26">
      <c r="A26" s="118"/>
      <c r="B26" s="32" t="s">
        <v>2236</v>
      </c>
      <c r="C26" s="33" t="s">
        <v>45</v>
      </c>
      <c r="D26" s="32" t="s">
        <v>3916</v>
      </c>
      <c r="E26" s="11" t="str">
        <f>HYPERLINK("https://youtu.be/VSvUpU6F7As","channel 2")</f>
        <v>channel 2</v>
      </c>
    </row>
    <row r="27">
      <c r="A27" s="118"/>
      <c r="B27" s="32" t="s">
        <v>3917</v>
      </c>
      <c r="C27" s="33" t="s">
        <v>7</v>
      </c>
      <c r="D27" s="32" t="s">
        <v>3914</v>
      </c>
      <c r="E27" s="135" t="str">
        <f>HYPERLINK("https://youtu.be/KKjUPw-VnU8?t=934","channel 1")</f>
        <v>channel 1</v>
      </c>
    </row>
    <row r="28">
      <c r="A28" s="118"/>
      <c r="B28" s="32" t="s">
        <v>2236</v>
      </c>
      <c r="C28" s="33" t="s">
        <v>693</v>
      </c>
      <c r="D28" s="32" t="s">
        <v>3915</v>
      </c>
      <c r="E28" s="11" t="str">
        <f>HYPERLINK("https://youtu.be/VSvUpU6F7As?t=937","channel 2")</f>
        <v>channel 2</v>
      </c>
    </row>
    <row r="29">
      <c r="A29" s="118"/>
      <c r="B29" s="32" t="s">
        <v>3917</v>
      </c>
      <c r="C29" s="33" t="s">
        <v>3918</v>
      </c>
      <c r="D29" s="32" t="s">
        <v>3916</v>
      </c>
      <c r="E29" s="135" t="str">
        <f>HYPERLINK("https://youtu.be/KKjUPw-VnU8?t=1952","channel 1")</f>
        <v>channel 1</v>
      </c>
    </row>
    <row r="30">
      <c r="A30" s="118"/>
      <c r="B30" s="32" t="s">
        <v>2236</v>
      </c>
      <c r="C30" s="33" t="s">
        <v>67</v>
      </c>
      <c r="D30" s="32" t="s">
        <v>3914</v>
      </c>
      <c r="E30" s="11" t="str">
        <f>HYPERLINK("https://youtu.be/VSvUpU6F7As?t=1925","channel 2")</f>
        <v>channel 2</v>
      </c>
    </row>
    <row r="31">
      <c r="A31" s="118"/>
      <c r="B31" s="32" t="s">
        <v>3917</v>
      </c>
      <c r="C31" s="33" t="s">
        <v>48</v>
      </c>
      <c r="D31" s="32" t="s">
        <v>3915</v>
      </c>
      <c r="E31" s="135" t="str">
        <f>HYPERLINK("https://youtu.be/KKjUPw-VnU8?t=2841","channel 1")</f>
        <v>channel 1</v>
      </c>
    </row>
    <row r="32">
      <c r="A32" s="118"/>
      <c r="B32" s="32" t="s">
        <v>3916</v>
      </c>
      <c r="C32" s="33" t="s">
        <v>21</v>
      </c>
      <c r="D32" s="32" t="s">
        <v>3914</v>
      </c>
      <c r="E32" s="11" t="str">
        <f>HYPERLINK("https://youtu.be/VSvUpU6F7As?t=2883","channel 2")</f>
        <v>channel 2</v>
      </c>
    </row>
    <row r="33">
      <c r="A33" s="118"/>
      <c r="B33" s="32" t="s">
        <v>3917</v>
      </c>
      <c r="C33" s="33" t="s">
        <v>250</v>
      </c>
      <c r="D33" s="32" t="s">
        <v>2236</v>
      </c>
      <c r="E33" s="135" t="str">
        <f>HYPERLINK("https://youtu.be/KKjUPw-VnU8?t=3895","channel 1")</f>
        <v>channel 1</v>
      </c>
    </row>
    <row r="34">
      <c r="A34" s="118"/>
      <c r="B34" s="32" t="s">
        <v>3916</v>
      </c>
      <c r="C34" s="33" t="s">
        <v>50</v>
      </c>
      <c r="D34" s="32" t="s">
        <v>3915</v>
      </c>
      <c r="E34" s="11" t="str">
        <f>HYPERLINK("https://youtu.be/VSvUpU6F7As?t=3932","channel 2")</f>
        <v>channel 2</v>
      </c>
    </row>
    <row r="35">
      <c r="A35" s="118"/>
      <c r="B35" s="32" t="s">
        <v>3915</v>
      </c>
      <c r="C35" s="33" t="s">
        <v>270</v>
      </c>
      <c r="D35" s="32" t="s">
        <v>3914</v>
      </c>
      <c r="E35" s="135" t="str">
        <f>HYPERLINK("https://youtu.be/KKjUPw-VnU8?t=4861","channel 1")</f>
        <v>channel 1</v>
      </c>
    </row>
    <row r="36">
      <c r="A36" s="118"/>
      <c r="B36" s="32" t="s">
        <v>3916</v>
      </c>
      <c r="C36" s="33" t="s">
        <v>49</v>
      </c>
      <c r="D36" s="32" t="s">
        <v>2236</v>
      </c>
      <c r="E36" s="11" t="str">
        <f>HYPERLINK("https://youtu.be/VSvUpU6F7As?t=4779","channel 2")</f>
        <v>channel 2</v>
      </c>
    </row>
    <row r="37">
      <c r="A37" s="118"/>
      <c r="B37" s="32" t="s">
        <v>3914</v>
      </c>
      <c r="C37" s="33" t="s">
        <v>17</v>
      </c>
      <c r="D37" s="32" t="s">
        <v>3917</v>
      </c>
      <c r="E37" s="135" t="str">
        <f>HYPERLINK("https://youtu.be/KKjUPw-VnU8?t=5930","channel 1")</f>
        <v>channel 1</v>
      </c>
    </row>
    <row r="38">
      <c r="A38" s="118"/>
      <c r="B38" s="32" t="s">
        <v>3915</v>
      </c>
      <c r="C38" s="33" t="s">
        <v>3919</v>
      </c>
      <c r="D38" s="32" t="s">
        <v>2236</v>
      </c>
      <c r="E38" s="11" t="str">
        <f>HYPERLINK("https://youtu.be/VSvUpU6F7As?t=5793","channel 2")</f>
        <v>channel 2</v>
      </c>
    </row>
    <row r="39">
      <c r="A39" s="118"/>
      <c r="B39" s="32" t="s">
        <v>3916</v>
      </c>
      <c r="C39" s="35" t="s">
        <v>68</v>
      </c>
      <c r="D39" s="32" t="s">
        <v>3917</v>
      </c>
      <c r="E39" s="135" t="str">
        <f>HYPERLINK("https://youtu.be/KKjUPw-VnU8?t=6969","channel 1")</f>
        <v>channel 1</v>
      </c>
    </row>
    <row r="40">
      <c r="A40" s="118"/>
      <c r="B40" s="32" t="s">
        <v>3914</v>
      </c>
      <c r="C40" s="33" t="s">
        <v>500</v>
      </c>
      <c r="D40" s="32" t="s">
        <v>2236</v>
      </c>
      <c r="E40" s="11" t="str">
        <f>HYPERLINK("https://youtu.be/VSvUpU6F7As?t=6754","channel 2")</f>
        <v>channel 2</v>
      </c>
    </row>
    <row r="41">
      <c r="A41" s="118"/>
      <c r="B41" s="32" t="s">
        <v>3915</v>
      </c>
      <c r="C41" s="33" t="s">
        <v>64</v>
      </c>
      <c r="D41" s="32" t="s">
        <v>3917</v>
      </c>
      <c r="E41" s="135" t="str">
        <f>HYPERLINK("https://youtu.be/KKjUPw-VnU8?t=7912","channel 1")</f>
        <v>channel 1</v>
      </c>
    </row>
    <row r="42">
      <c r="A42" s="118"/>
      <c r="B42" s="32" t="s">
        <v>3914</v>
      </c>
      <c r="C42" s="33" t="s">
        <v>217</v>
      </c>
      <c r="D42" s="32" t="s">
        <v>3916</v>
      </c>
      <c r="E42" s="11" t="str">
        <f>HYPERLINK("https://youtu.be/VSvUpU6F7As?t=7824","channel 2")</f>
        <v>channel 2</v>
      </c>
    </row>
    <row r="43">
      <c r="A43" s="118"/>
      <c r="B43" s="32" t="s">
        <v>2236</v>
      </c>
      <c r="C43" s="33" t="s">
        <v>352</v>
      </c>
      <c r="D43" s="32" t="s">
        <v>3917</v>
      </c>
      <c r="E43" s="135" t="str">
        <f>HYPERLINK("https://youtu.be/KKjUPw-VnU8?t=8795","channel 1")</f>
        <v>channel 1</v>
      </c>
    </row>
    <row r="44">
      <c r="A44" s="118"/>
      <c r="B44" s="32" t="s">
        <v>3915</v>
      </c>
      <c r="C44" s="33" t="s">
        <v>802</v>
      </c>
      <c r="D44" s="32" t="s">
        <v>3916</v>
      </c>
      <c r="E44" s="11" t="str">
        <f>HYPERLINK("https://youtu.be/VSvUpU6F7As?t=8754","channel 2")</f>
        <v>channel 2</v>
      </c>
    </row>
    <row r="45">
      <c r="A45" s="118"/>
      <c r="B45" s="72" t="s">
        <v>2041</v>
      </c>
      <c r="C45" s="2"/>
      <c r="D45" s="3"/>
      <c r="E45" s="134"/>
    </row>
    <row r="46">
      <c r="A46" s="118"/>
      <c r="B46" s="35" t="s">
        <v>2</v>
      </c>
      <c r="C46" s="35" t="s">
        <v>3</v>
      </c>
      <c r="D46" s="35" t="s">
        <v>4</v>
      </c>
      <c r="E46" s="6" t="s">
        <v>5</v>
      </c>
    </row>
    <row r="47">
      <c r="A47" s="118"/>
      <c r="B47" s="32" t="s">
        <v>3899</v>
      </c>
      <c r="C47" s="33" t="s">
        <v>578</v>
      </c>
      <c r="D47" s="32" t="s">
        <v>3278</v>
      </c>
      <c r="E47" s="135" t="str">
        <f>HYPERLINK("https://youtu.be/oUsU1IJo3qU","channel 1")</f>
        <v>channel 1</v>
      </c>
    </row>
    <row r="48">
      <c r="A48" s="118"/>
      <c r="B48" s="32" t="s">
        <v>3153</v>
      </c>
      <c r="C48" s="33" t="s">
        <v>201</v>
      </c>
      <c r="D48" s="32" t="s">
        <v>3878</v>
      </c>
      <c r="E48" s="11" t="str">
        <f>HYPERLINK("https://youtu.be/1QNJ1hhDDLA","channel 2")</f>
        <v>channel 2</v>
      </c>
    </row>
    <row r="49">
      <c r="A49" s="118"/>
      <c r="B49" s="32" t="s">
        <v>3920</v>
      </c>
      <c r="C49" s="33" t="s">
        <v>196</v>
      </c>
      <c r="D49" s="32" t="s">
        <v>3899</v>
      </c>
      <c r="E49" s="135" t="str">
        <f>HYPERLINK("https://youtu.be/oUsU1IJo3qU?t=974","channel 1")</f>
        <v>channel 1</v>
      </c>
    </row>
    <row r="50">
      <c r="A50" s="118"/>
      <c r="B50" s="32" t="s">
        <v>3153</v>
      </c>
      <c r="C50" s="33" t="s">
        <v>7</v>
      </c>
      <c r="D50" s="32" t="s">
        <v>3278</v>
      </c>
      <c r="E50" s="11" t="str">
        <f>HYPERLINK("https://youtu.be/1QNJ1hhDDLA?t=963","channel 2")</f>
        <v>channel 2</v>
      </c>
    </row>
    <row r="51">
      <c r="A51" s="118"/>
      <c r="B51" s="32" t="s">
        <v>3920</v>
      </c>
      <c r="C51" s="33" t="s">
        <v>83</v>
      </c>
      <c r="D51" s="32" t="s">
        <v>3878</v>
      </c>
      <c r="E51" s="135" t="str">
        <f>HYPERLINK("https://youtu.be/oUsU1IJo3qU?t=2000","channel 1")</f>
        <v>channel 1</v>
      </c>
    </row>
    <row r="52">
      <c r="A52" s="118"/>
      <c r="B52" s="32" t="s">
        <v>3153</v>
      </c>
      <c r="C52" s="33" t="s">
        <v>11</v>
      </c>
      <c r="D52" s="32" t="s">
        <v>3899</v>
      </c>
      <c r="E52" s="11" t="str">
        <f>HYPERLINK("https://youtu.be/1QNJ1hhDDLA?t=1902","channel 2")</f>
        <v>channel 2</v>
      </c>
    </row>
    <row r="53">
      <c r="A53" s="118"/>
      <c r="B53" s="32" t="s">
        <v>3920</v>
      </c>
      <c r="C53" s="33" t="s">
        <v>699</v>
      </c>
      <c r="D53" s="32" t="s">
        <v>3278</v>
      </c>
      <c r="E53" s="135" t="str">
        <f>HYPERLINK("https://youtu.be/oUsU1IJo3qU?t=3000","channel 1")</f>
        <v>channel 1</v>
      </c>
    </row>
    <row r="54">
      <c r="A54" s="118"/>
      <c r="B54" s="32" t="s">
        <v>3878</v>
      </c>
      <c r="C54" s="33" t="s">
        <v>19</v>
      </c>
      <c r="D54" s="32" t="s">
        <v>3899</v>
      </c>
      <c r="E54" s="11" t="str">
        <f>HYPERLINK("https://youtu.be/1QNJ1hhDDLA?t=2997","channel 2")</f>
        <v>channel 2</v>
      </c>
    </row>
    <row r="55">
      <c r="A55" s="118"/>
      <c r="B55" s="32" t="s">
        <v>3920</v>
      </c>
      <c r="C55" s="33" t="s">
        <v>81</v>
      </c>
      <c r="D55" s="32" t="s">
        <v>3153</v>
      </c>
      <c r="E55" s="135" t="str">
        <f>HYPERLINK("https://youtu.be/oUsU1IJo3qU?t=3982","channel 1")</f>
        <v>channel 1</v>
      </c>
    </row>
    <row r="56">
      <c r="A56" s="118"/>
      <c r="B56" s="32" t="s">
        <v>3878</v>
      </c>
      <c r="C56" s="33" t="s">
        <v>71</v>
      </c>
      <c r="D56" s="32" t="s">
        <v>3278</v>
      </c>
      <c r="E56" s="11" t="str">
        <f>HYPERLINK("https://youtu.be/1QNJ1hhDDLA?t=3991","channel 2")</f>
        <v>channel 2</v>
      </c>
    </row>
    <row r="57">
      <c r="A57" s="118"/>
      <c r="B57" s="32" t="s">
        <v>3278</v>
      </c>
      <c r="C57" s="33" t="s">
        <v>62</v>
      </c>
      <c r="D57" s="32" t="s">
        <v>3899</v>
      </c>
      <c r="E57" s="135" t="str">
        <f>HYPERLINK("https://youtu.be/oUsU1IJo3qU?t=5012","channel 1")</f>
        <v>channel 1</v>
      </c>
    </row>
    <row r="58">
      <c r="A58" s="118"/>
      <c r="B58" s="32" t="s">
        <v>3878</v>
      </c>
      <c r="C58" s="33" t="s">
        <v>22</v>
      </c>
      <c r="D58" s="32" t="s">
        <v>3153</v>
      </c>
      <c r="E58" s="11" t="str">
        <f>HYPERLINK("https://youtu.be/1QNJ1hhDDLA?t=4958","channel 2")</f>
        <v>channel 2</v>
      </c>
    </row>
    <row r="59">
      <c r="A59" s="118"/>
      <c r="B59" s="32" t="s">
        <v>3899</v>
      </c>
      <c r="C59" s="33" t="s">
        <v>218</v>
      </c>
      <c r="D59" s="32" t="s">
        <v>3920</v>
      </c>
      <c r="E59" s="135" t="str">
        <f>HYPERLINK("https://youtu.be/oUsU1IJo3qU?t=5936","channel 1")</f>
        <v>channel 1</v>
      </c>
    </row>
    <row r="60">
      <c r="A60" s="118"/>
      <c r="B60" s="32" t="s">
        <v>3278</v>
      </c>
      <c r="C60" s="33" t="s">
        <v>240</v>
      </c>
      <c r="D60" s="32" t="s">
        <v>3153</v>
      </c>
      <c r="E60" s="11" t="str">
        <f>HYPERLINK("https://youtu.be/1QNJ1hhDDLA?t=5924","channel 2")</f>
        <v>channel 2</v>
      </c>
    </row>
    <row r="61">
      <c r="A61" s="118"/>
      <c r="B61" s="32" t="s">
        <v>3878</v>
      </c>
      <c r="C61" s="33" t="s">
        <v>218</v>
      </c>
      <c r="D61" s="32" t="s">
        <v>3920</v>
      </c>
      <c r="E61" s="135" t="str">
        <f>HYPERLINK("https://youtu.be/oUsU1IJo3qU?t=6923","channel 1")</f>
        <v>channel 1</v>
      </c>
    </row>
    <row r="62">
      <c r="A62" s="118"/>
      <c r="B62" s="32" t="s">
        <v>3899</v>
      </c>
      <c r="C62" s="35" t="s">
        <v>18</v>
      </c>
      <c r="D62" s="32" t="s">
        <v>3153</v>
      </c>
      <c r="E62" s="11" t="str">
        <f>HYPERLINK("https://youtu.be/1QNJ1hhDDLA?t=6924","channel 2")</f>
        <v>channel 2</v>
      </c>
    </row>
    <row r="63">
      <c r="A63" s="118"/>
      <c r="B63" s="32" t="s">
        <v>3278</v>
      </c>
      <c r="C63" s="33" t="s">
        <v>31</v>
      </c>
      <c r="D63" s="32" t="s">
        <v>3920</v>
      </c>
      <c r="E63" s="135" t="str">
        <f>HYPERLINK("https://youtu.be/oUsU1IJo3qU?t=7888","channel 1")</f>
        <v>channel 1</v>
      </c>
    </row>
    <row r="64">
      <c r="A64" s="118"/>
      <c r="B64" s="32" t="s">
        <v>3899</v>
      </c>
      <c r="C64" s="33" t="s">
        <v>48</v>
      </c>
      <c r="D64" s="32" t="s">
        <v>3878</v>
      </c>
      <c r="E64" s="11" t="str">
        <f>HYPERLINK("https://youtu.be/1QNJ1hhDDLA?t=7916","channel 2")</f>
        <v>channel 2</v>
      </c>
    </row>
    <row r="65">
      <c r="A65" s="118"/>
      <c r="B65" s="32" t="s">
        <v>3153</v>
      </c>
      <c r="C65" s="33" t="s">
        <v>49</v>
      </c>
      <c r="D65" s="32" t="s">
        <v>3920</v>
      </c>
      <c r="E65" s="135" t="str">
        <f>HYPERLINK("https://youtu.be/oUsU1IJo3qU?t=8835","channel 1")</f>
        <v>channel 1</v>
      </c>
    </row>
    <row r="66">
      <c r="A66" s="118"/>
      <c r="B66" s="32" t="s">
        <v>3278</v>
      </c>
      <c r="C66" s="33" t="s">
        <v>1266</v>
      </c>
      <c r="D66" s="32" t="s">
        <v>3878</v>
      </c>
      <c r="E66" s="11" t="str">
        <f>HYPERLINK("https://youtu.be/1QNJ1hhDDLA?t=8862","channel 2")</f>
        <v>channel 2</v>
      </c>
    </row>
    <row r="67">
      <c r="A67" s="118"/>
      <c r="B67" s="137" t="s">
        <v>1685</v>
      </c>
      <c r="C67" s="2"/>
      <c r="D67" s="3"/>
      <c r="E67" s="138"/>
    </row>
    <row r="68">
      <c r="A68" s="118"/>
      <c r="B68" s="35" t="s">
        <v>2</v>
      </c>
      <c r="C68" s="35" t="s">
        <v>3</v>
      </c>
      <c r="D68" s="35" t="s">
        <v>4</v>
      </c>
      <c r="E68" s="16" t="s">
        <v>5</v>
      </c>
    </row>
    <row r="69">
      <c r="A69" s="118"/>
      <c r="B69" s="32" t="s">
        <v>3921</v>
      </c>
      <c r="C69" s="33" t="s">
        <v>212</v>
      </c>
      <c r="D69" s="32" t="s">
        <v>3922</v>
      </c>
      <c r="E69" s="135" t="str">
        <f>HYPERLINK("https://youtu.be/c-S81ZWXprE","channel 1")</f>
        <v>channel 1</v>
      </c>
    </row>
    <row r="70">
      <c r="A70" s="118"/>
      <c r="B70" s="32" t="s">
        <v>1352</v>
      </c>
      <c r="C70" s="33" t="s">
        <v>81</v>
      </c>
      <c r="D70" s="32" t="s">
        <v>3872</v>
      </c>
      <c r="E70" s="11" t="str">
        <f>HYPERLINK("https://youtu.be/vRgRUQpWdmM","channel 2")</f>
        <v>channel 2</v>
      </c>
    </row>
    <row r="71">
      <c r="A71" s="118"/>
      <c r="B71" s="32" t="s">
        <v>3923</v>
      </c>
      <c r="C71" s="33" t="s">
        <v>2367</v>
      </c>
      <c r="D71" s="32" t="s">
        <v>3921</v>
      </c>
      <c r="E71" s="135" t="str">
        <f>HYPERLINK("https://youtu.be/c-S81ZWXprE?t=1024","channel 1")</f>
        <v>channel 1</v>
      </c>
    </row>
    <row r="72">
      <c r="A72" s="118"/>
      <c r="B72" s="32" t="s">
        <v>1352</v>
      </c>
      <c r="C72" s="33" t="s">
        <v>82</v>
      </c>
      <c r="D72" s="32" t="s">
        <v>3922</v>
      </c>
      <c r="E72" s="11" t="str">
        <f>HYPERLINK("https://youtu.be/vRgRUQpWdmM?t=920","channel 2")</f>
        <v>channel 2</v>
      </c>
    </row>
    <row r="73">
      <c r="A73" s="118"/>
      <c r="B73" s="32" t="s">
        <v>3923</v>
      </c>
      <c r="C73" s="33" t="s">
        <v>273</v>
      </c>
      <c r="D73" s="32" t="s">
        <v>3872</v>
      </c>
      <c r="E73" s="135" t="str">
        <f>HYPERLINK("https://youtu.be/c-S81ZWXprE?t=1979","channel 1")</f>
        <v>channel 1</v>
      </c>
    </row>
    <row r="74">
      <c r="A74" s="118"/>
      <c r="B74" s="32" t="s">
        <v>1352</v>
      </c>
      <c r="C74" s="33" t="s">
        <v>47</v>
      </c>
      <c r="D74" s="32" t="s">
        <v>3921</v>
      </c>
      <c r="E74" s="11" t="str">
        <f>HYPERLINK("https://youtu.be/vRgRUQpWdmM?t=1840","channel 2")</f>
        <v>channel 2</v>
      </c>
    </row>
    <row r="75">
      <c r="A75" s="118"/>
      <c r="B75" s="32" t="s">
        <v>3923</v>
      </c>
      <c r="C75" s="33" t="s">
        <v>2726</v>
      </c>
      <c r="D75" s="32" t="s">
        <v>3922</v>
      </c>
      <c r="E75" s="135" t="str">
        <f>HYPERLINK("https://youtu.be/c-S81ZWXprE?t=2931","channel 1")</f>
        <v>channel 1</v>
      </c>
    </row>
    <row r="76">
      <c r="A76" s="118"/>
      <c r="B76" s="32" t="s">
        <v>3872</v>
      </c>
      <c r="C76" s="33" t="s">
        <v>231</v>
      </c>
      <c r="D76" s="32" t="s">
        <v>3921</v>
      </c>
      <c r="E76" s="11" t="str">
        <f>HYPERLINK("https://youtu.be/vRgRUQpWdmM?t=2807","channel 2")</f>
        <v>channel 2</v>
      </c>
    </row>
    <row r="77">
      <c r="A77" s="118"/>
      <c r="B77" s="32" t="s">
        <v>3923</v>
      </c>
      <c r="C77" s="33" t="s">
        <v>1311</v>
      </c>
      <c r="D77" s="32" t="s">
        <v>1352</v>
      </c>
      <c r="E77" s="135" t="str">
        <f>HYPERLINK("https://youtu.be/c-S81ZWXprE?t=3903","channel 1")</f>
        <v>channel 1</v>
      </c>
    </row>
    <row r="78">
      <c r="A78" s="118"/>
      <c r="B78" s="32" t="s">
        <v>3872</v>
      </c>
      <c r="C78" s="33" t="s">
        <v>215</v>
      </c>
      <c r="D78" s="32" t="s">
        <v>3922</v>
      </c>
      <c r="E78" s="11" t="str">
        <f>HYPERLINK("https://youtu.be/vRgRUQpWdmM?t=3740","channel 2")</f>
        <v>channel 2</v>
      </c>
    </row>
    <row r="79">
      <c r="A79" s="118"/>
      <c r="B79" s="32" t="s">
        <v>3922</v>
      </c>
      <c r="C79" s="33" t="s">
        <v>267</v>
      </c>
      <c r="D79" s="32" t="s">
        <v>3921</v>
      </c>
      <c r="E79" s="135" t="str">
        <f>HYPERLINK("https://youtu.be/c-S81ZWXprE?t=4933","channel 1")</f>
        <v>channel 1</v>
      </c>
    </row>
    <row r="80">
      <c r="A80" s="118"/>
      <c r="B80" s="32" t="s">
        <v>3872</v>
      </c>
      <c r="C80" s="33" t="s">
        <v>48</v>
      </c>
      <c r="D80" s="32" t="s">
        <v>1352</v>
      </c>
      <c r="E80" s="11" t="str">
        <f>HYPERLINK("https://youtu.be/vRgRUQpWdmM?t=4631","channel 2")</f>
        <v>channel 2</v>
      </c>
    </row>
    <row r="81">
      <c r="A81" s="118"/>
      <c r="B81" s="32" t="s">
        <v>3921</v>
      </c>
      <c r="C81" s="33" t="s">
        <v>206</v>
      </c>
      <c r="D81" s="32" t="s">
        <v>3923</v>
      </c>
      <c r="E81" s="135" t="str">
        <f>HYPERLINK("https://youtu.be/c-S81ZWXprE?t=5900","channel 1")</f>
        <v>channel 1</v>
      </c>
    </row>
    <row r="82">
      <c r="A82" s="118"/>
      <c r="B82" s="32" t="s">
        <v>3922</v>
      </c>
      <c r="C82" s="33" t="s">
        <v>953</v>
      </c>
      <c r="D82" s="32" t="s">
        <v>1352</v>
      </c>
      <c r="E82" s="11" t="str">
        <f>HYPERLINK("https://youtu.be/vRgRUQpWdmM?t=5637","channel 2")</f>
        <v>channel 2</v>
      </c>
    </row>
    <row r="83">
      <c r="A83" s="118"/>
      <c r="B83" s="32" t="s">
        <v>3872</v>
      </c>
      <c r="C83" s="33" t="s">
        <v>686</v>
      </c>
      <c r="D83" s="32" t="s">
        <v>3923</v>
      </c>
      <c r="E83" s="135" t="str">
        <f>HYPERLINK("https://youtu.be/c-S81ZWXprE?t=6826","channel 1")</f>
        <v>channel 1</v>
      </c>
    </row>
    <row r="84">
      <c r="A84" s="118"/>
      <c r="B84" s="32" t="s">
        <v>3921</v>
      </c>
      <c r="C84" s="33" t="s">
        <v>45</v>
      </c>
      <c r="D84" s="32" t="s">
        <v>1352</v>
      </c>
      <c r="E84" s="11" t="str">
        <f>HYPERLINK("https://youtu.be/vRgRUQpWdmM?t=6629","channel 2")</f>
        <v>channel 2</v>
      </c>
    </row>
    <row r="85">
      <c r="A85" s="118"/>
      <c r="B85" s="32" t="s">
        <v>3922</v>
      </c>
      <c r="C85" s="33" t="s">
        <v>378</v>
      </c>
      <c r="D85" s="32" t="s">
        <v>3923</v>
      </c>
      <c r="E85" s="135" t="str">
        <f>HYPERLINK("https://youtu.be/c-S81ZWXprE?t=7751","channel 1")</f>
        <v>channel 1</v>
      </c>
    </row>
    <row r="86">
      <c r="A86" s="118"/>
      <c r="B86" s="32" t="s">
        <v>3921</v>
      </c>
      <c r="C86" s="33" t="s">
        <v>24</v>
      </c>
      <c r="D86" s="32" t="s">
        <v>3872</v>
      </c>
      <c r="E86" s="11" t="str">
        <f>HYPERLINK("https://youtu.be/vRgRUQpWdmM?t=7569","channel 2")</f>
        <v>channel 2</v>
      </c>
    </row>
    <row r="87">
      <c r="A87" s="118"/>
      <c r="B87" s="32" t="s">
        <v>1352</v>
      </c>
      <c r="C87" s="33" t="s">
        <v>295</v>
      </c>
      <c r="D87" s="32" t="s">
        <v>3923</v>
      </c>
      <c r="E87" s="135" t="str">
        <f>HYPERLINK("https://youtu.be/c-S81ZWXprE?t=8646","channel 1")</f>
        <v>channel 1</v>
      </c>
    </row>
    <row r="88">
      <c r="A88" s="118"/>
      <c r="B88" s="32" t="s">
        <v>3922</v>
      </c>
      <c r="C88" s="33" t="s">
        <v>218</v>
      </c>
      <c r="D88" s="32" t="s">
        <v>3872</v>
      </c>
      <c r="E88" s="11" t="str">
        <f>HYPERLINK("https://youtu.be/vRgRUQpWdmM?t=8469","channel 2")</f>
        <v>channel 2</v>
      </c>
    </row>
    <row r="89">
      <c r="A89" s="118"/>
      <c r="B89" s="72" t="s">
        <v>2661</v>
      </c>
      <c r="C89" s="2"/>
      <c r="D89" s="3"/>
      <c r="E89" s="138"/>
    </row>
    <row r="90">
      <c r="A90" s="118"/>
      <c r="B90" s="35" t="s">
        <v>2</v>
      </c>
      <c r="C90" s="35" t="s">
        <v>3</v>
      </c>
      <c r="D90" s="35" t="s">
        <v>4</v>
      </c>
      <c r="E90" s="16" t="s">
        <v>5</v>
      </c>
    </row>
    <row r="91">
      <c r="A91" s="118"/>
      <c r="B91" s="119" t="s">
        <v>3179</v>
      </c>
      <c r="C91" s="33" t="s">
        <v>273</v>
      </c>
      <c r="D91" s="32" t="s">
        <v>3396</v>
      </c>
      <c r="E91" s="135" t="str">
        <f>HYPERLINK("https://youtu.be/ryMNX30L9X0","channel 1")</f>
        <v>channel 1</v>
      </c>
    </row>
    <row r="92">
      <c r="A92" s="118"/>
      <c r="B92" s="32" t="s">
        <v>1853</v>
      </c>
      <c r="C92" s="33" t="s">
        <v>16</v>
      </c>
      <c r="D92" s="32" t="s">
        <v>2400</v>
      </c>
      <c r="E92" s="11" t="str">
        <f>HYPERLINK("https://youtu.be/jXXOf1e-4Cs","channel 2")</f>
        <v>channel 2</v>
      </c>
    </row>
    <row r="93">
      <c r="A93" s="118"/>
      <c r="B93" s="32" t="s">
        <v>1522</v>
      </c>
      <c r="C93" s="33" t="s">
        <v>27</v>
      </c>
      <c r="D93" s="32" t="s">
        <v>3179</v>
      </c>
      <c r="E93" s="135" t="str">
        <f>HYPERLINK("https://youtu.be/ryMNX30L9X0?t=917","channel 1")</f>
        <v>channel 1</v>
      </c>
    </row>
    <row r="94">
      <c r="A94" s="118"/>
      <c r="B94" s="32" t="s">
        <v>1853</v>
      </c>
      <c r="C94" s="33" t="s">
        <v>68</v>
      </c>
      <c r="D94" s="32" t="s">
        <v>3396</v>
      </c>
      <c r="E94" s="11" t="str">
        <f>HYPERLINK("https://youtu.be/jXXOf1e-4Cs?t=1176","channel 2")</f>
        <v>channel 2</v>
      </c>
    </row>
    <row r="95">
      <c r="A95" s="118"/>
      <c r="B95" s="32" t="s">
        <v>1522</v>
      </c>
      <c r="C95" s="37" t="s">
        <v>21</v>
      </c>
      <c r="D95" s="32" t="s">
        <v>2400</v>
      </c>
      <c r="E95" s="135" t="str">
        <f>HYPERLINK("https://youtu.be/ryMNX30L9X0?t=1823","channel 1")</f>
        <v>channel 1</v>
      </c>
    </row>
    <row r="96">
      <c r="A96" s="118"/>
      <c r="B96" s="32" t="s">
        <v>1853</v>
      </c>
      <c r="C96" s="33" t="s">
        <v>190</v>
      </c>
      <c r="D96" s="32" t="s">
        <v>3179</v>
      </c>
      <c r="E96" s="11" t="str">
        <f>HYPERLINK("https://youtu.be/jXXOf1e-4Cs?t=2127","channel 2")</f>
        <v>channel 2</v>
      </c>
    </row>
    <row r="97">
      <c r="A97" s="118"/>
      <c r="B97" s="32" t="s">
        <v>1522</v>
      </c>
      <c r="C97" s="33" t="s">
        <v>328</v>
      </c>
      <c r="D97" s="32" t="s">
        <v>3396</v>
      </c>
      <c r="E97" s="135" t="str">
        <f>HYPERLINK("https://youtu.be/ryMNX30L9X0?t=2748","channel 1")</f>
        <v>channel 1</v>
      </c>
    </row>
    <row r="98">
      <c r="A98" s="118"/>
      <c r="B98" s="32" t="s">
        <v>2400</v>
      </c>
      <c r="C98" s="33" t="s">
        <v>19</v>
      </c>
      <c r="D98" s="32" t="s">
        <v>3179</v>
      </c>
      <c r="E98" s="11" t="str">
        <f>HYPERLINK("https://youtu.be/jXXOf1e-4Cs?t=3105","channel 2")</f>
        <v>channel 2</v>
      </c>
    </row>
    <row r="99">
      <c r="A99" s="118"/>
      <c r="B99" s="32" t="s">
        <v>1522</v>
      </c>
      <c r="C99" s="33" t="s">
        <v>82</v>
      </c>
      <c r="D99" s="32" t="s">
        <v>1853</v>
      </c>
      <c r="E99" s="135" t="str">
        <f>HYPERLINK("https://youtu.be/ryMNX30L9X0?t=3657","channel 1")</f>
        <v>channel 1</v>
      </c>
    </row>
    <row r="100">
      <c r="A100" s="118"/>
      <c r="B100" s="32" t="s">
        <v>2400</v>
      </c>
      <c r="C100" s="33" t="s">
        <v>83</v>
      </c>
      <c r="D100" s="32" t="s">
        <v>3396</v>
      </c>
      <c r="E100" s="11" t="str">
        <f>HYPERLINK("https://youtu.be/jXXOf1e-4Cs?t=4007","channel 2")</f>
        <v>channel 2</v>
      </c>
    </row>
    <row r="101">
      <c r="A101" s="118"/>
      <c r="B101" s="32" t="s">
        <v>3396</v>
      </c>
      <c r="C101" s="33" t="s">
        <v>293</v>
      </c>
      <c r="D101" s="32" t="s">
        <v>3179</v>
      </c>
      <c r="E101" s="135" t="str">
        <f>HYPERLINK("https://youtu.be/ryMNX30L9X0?t=4497","channel 1")</f>
        <v>channel 1</v>
      </c>
    </row>
    <row r="102">
      <c r="A102" s="118"/>
      <c r="B102" s="32" t="s">
        <v>2400</v>
      </c>
      <c r="C102" s="33" t="s">
        <v>218</v>
      </c>
      <c r="D102" s="32" t="s">
        <v>1853</v>
      </c>
      <c r="E102" s="11" t="str">
        <f>HYPERLINK("https://youtu.be/jXXOf1e-4Cs?t=4920","channel 2")</f>
        <v>channel 2</v>
      </c>
    </row>
    <row r="103">
      <c r="A103" s="118"/>
      <c r="B103" s="32" t="s">
        <v>3179</v>
      </c>
      <c r="C103" s="33" t="s">
        <v>25</v>
      </c>
      <c r="D103" s="32" t="s">
        <v>1522</v>
      </c>
      <c r="E103" s="135" t="str">
        <f>HYPERLINK("https://youtu.be/ryMNX30L9X0?t=5378","channel 1")</f>
        <v>channel 1</v>
      </c>
    </row>
    <row r="104">
      <c r="A104" s="118"/>
      <c r="B104" s="32" t="s">
        <v>3396</v>
      </c>
      <c r="C104" s="33" t="s">
        <v>22</v>
      </c>
      <c r="D104" s="32" t="s">
        <v>1853</v>
      </c>
      <c r="E104" s="11" t="str">
        <f>HYPERLINK("https://youtu.be/jXXOf1e-4Cs?t=5737","channel 2")</f>
        <v>channel 2</v>
      </c>
    </row>
    <row r="105">
      <c r="A105" s="118"/>
      <c r="B105" s="32" t="s">
        <v>2400</v>
      </c>
      <c r="C105" s="33" t="s">
        <v>87</v>
      </c>
      <c r="D105" s="32" t="s">
        <v>1522</v>
      </c>
      <c r="E105" s="135" t="str">
        <f>HYPERLINK("https://youtu.be/ryMNX30L9X0?t=6289","channel 1")</f>
        <v>channel 1</v>
      </c>
    </row>
    <row r="106">
      <c r="A106" s="118"/>
      <c r="B106" s="32" t="s">
        <v>3179</v>
      </c>
      <c r="C106" s="33" t="s">
        <v>69</v>
      </c>
      <c r="D106" s="32" t="s">
        <v>1853</v>
      </c>
      <c r="E106" s="11" t="str">
        <f>HYPERLINK("https://youtu.be/jXXOf1e-4Cs?t=6579","channel 2")</f>
        <v>channel 2</v>
      </c>
    </row>
    <row r="107">
      <c r="A107" s="118"/>
      <c r="B107" s="32" t="s">
        <v>3396</v>
      </c>
      <c r="C107" s="33" t="s">
        <v>3924</v>
      </c>
      <c r="D107" s="32" t="s">
        <v>1522</v>
      </c>
      <c r="E107" s="135" t="str">
        <f>HYPERLINK("https://youtu.be/ryMNX30L9X0?t=7112","channel 1")</f>
        <v>channel 1</v>
      </c>
    </row>
    <row r="108">
      <c r="A108" s="118"/>
      <c r="B108" s="32" t="s">
        <v>3179</v>
      </c>
      <c r="C108" s="33" t="s">
        <v>270</v>
      </c>
      <c r="D108" s="32" t="s">
        <v>2400</v>
      </c>
      <c r="E108" s="11" t="str">
        <f>HYPERLINK("https://youtu.be/jXXOf1e-4Cs?t=7434","channel 2")</f>
        <v>channel 2</v>
      </c>
    </row>
    <row r="109">
      <c r="A109" s="118"/>
      <c r="B109" s="32" t="s">
        <v>1853</v>
      </c>
      <c r="C109" s="33" t="s">
        <v>286</v>
      </c>
      <c r="D109" s="32" t="s">
        <v>1522</v>
      </c>
      <c r="E109" s="135" t="str">
        <f>HYPERLINK("https://youtu.be/ryMNX30L9X0?t=7876","channel 1")</f>
        <v>channel 1</v>
      </c>
    </row>
    <row r="110">
      <c r="A110" s="118"/>
      <c r="B110" s="32" t="s">
        <v>3396</v>
      </c>
      <c r="C110" s="33" t="s">
        <v>197</v>
      </c>
      <c r="D110" s="32" t="s">
        <v>2400</v>
      </c>
      <c r="E110" s="11" t="str">
        <f>HYPERLINK("https://youtu.be/jXXOf1e-4Cs?t=8197","channel 2")</f>
        <v>channel 2</v>
      </c>
    </row>
    <row r="111">
      <c r="A111" s="118"/>
      <c r="B111" s="72" t="s">
        <v>2200</v>
      </c>
      <c r="C111" s="2"/>
      <c r="D111" s="3"/>
      <c r="E111" s="138"/>
    </row>
    <row r="112">
      <c r="A112" s="118"/>
      <c r="B112" s="35" t="s">
        <v>2</v>
      </c>
      <c r="C112" s="35" t="s">
        <v>3</v>
      </c>
      <c r="D112" s="35" t="s">
        <v>4</v>
      </c>
      <c r="E112" s="16" t="s">
        <v>5</v>
      </c>
    </row>
    <row r="113">
      <c r="A113" s="118"/>
      <c r="B113" s="32" t="s">
        <v>3925</v>
      </c>
      <c r="C113" s="144" t="s">
        <v>87</v>
      </c>
      <c r="D113" s="32" t="s">
        <v>3926</v>
      </c>
      <c r="E113" s="135" t="str">
        <f>HYPERLINK("https://youtu.be/d599jD8Q5rc","channel 1")</f>
        <v>channel 1</v>
      </c>
    </row>
    <row r="114">
      <c r="A114" s="118"/>
      <c r="B114" s="32" t="s">
        <v>929</v>
      </c>
      <c r="C114" s="33" t="s">
        <v>320</v>
      </c>
      <c r="D114" s="32" t="s">
        <v>934</v>
      </c>
      <c r="E114" s="11" t="str">
        <f>HYPERLINK("https://youtu.be/msoAov2zlsc","channel 2")</f>
        <v>channel 2</v>
      </c>
      <c r="I114" s="145"/>
    </row>
    <row r="115">
      <c r="A115" s="118"/>
      <c r="B115" s="32" t="s">
        <v>3927</v>
      </c>
      <c r="C115" s="33" t="s">
        <v>578</v>
      </c>
      <c r="D115" s="32" t="s">
        <v>3925</v>
      </c>
      <c r="E115" s="135" t="str">
        <f>HYPERLINK("https://youtu.be/d599jD8Q5rc?t=920","channel 1")</f>
        <v>channel 1</v>
      </c>
    </row>
    <row r="116">
      <c r="A116" s="118"/>
      <c r="B116" s="32" t="s">
        <v>929</v>
      </c>
      <c r="C116" s="33" t="s">
        <v>906</v>
      </c>
      <c r="D116" s="32" t="s">
        <v>3926</v>
      </c>
      <c r="E116" s="11" t="str">
        <f>HYPERLINK("https://youtu.be/msoAov2zlsc?t=1061","channel 2")</f>
        <v>channel 2</v>
      </c>
    </row>
    <row r="117">
      <c r="A117" s="118"/>
      <c r="B117" s="32" t="s">
        <v>3927</v>
      </c>
      <c r="C117" s="33" t="s">
        <v>2784</v>
      </c>
      <c r="D117" s="32" t="s">
        <v>934</v>
      </c>
      <c r="E117" s="135" t="str">
        <f>HYPERLINK("https://youtu.be/d599jD8Q5rc?t=1851","channel 1")</f>
        <v>channel 1</v>
      </c>
    </row>
    <row r="118">
      <c r="A118" s="118"/>
      <c r="B118" s="32" t="s">
        <v>929</v>
      </c>
      <c r="C118" s="33" t="s">
        <v>190</v>
      </c>
      <c r="D118" s="32" t="s">
        <v>3925</v>
      </c>
      <c r="E118" s="11" t="str">
        <f>HYPERLINK("https://youtu.be/msoAov2zlsc?t=2026","channel 2")</f>
        <v>channel 2</v>
      </c>
    </row>
    <row r="119">
      <c r="A119" s="118"/>
      <c r="B119" s="32" t="s">
        <v>3927</v>
      </c>
      <c r="C119" s="33" t="s">
        <v>19</v>
      </c>
      <c r="D119" s="32" t="s">
        <v>3926</v>
      </c>
      <c r="E119" s="135" t="str">
        <f>HYPERLINK("https://youtu.be/d599jD8Q5rc?t=2803","channel 1")</f>
        <v>channel 1</v>
      </c>
    </row>
    <row r="120">
      <c r="A120" s="118"/>
      <c r="B120" s="32" t="s">
        <v>934</v>
      </c>
      <c r="C120" s="33" t="s">
        <v>87</v>
      </c>
      <c r="D120" s="32" t="s">
        <v>3925</v>
      </c>
      <c r="E120" s="11" t="str">
        <f>HYPERLINK("https://youtu.be/msoAov2zlsc?t=2944","channel 2")</f>
        <v>channel 2</v>
      </c>
    </row>
    <row r="121">
      <c r="A121" s="118"/>
      <c r="B121" s="32" t="s">
        <v>3927</v>
      </c>
      <c r="C121" s="33" t="s">
        <v>68</v>
      </c>
      <c r="D121" s="32" t="s">
        <v>929</v>
      </c>
      <c r="E121" s="135" t="str">
        <f>HYPERLINK("https://youtu.be/d599jD8Q5rc?t=3731","channel 1")</f>
        <v>channel 1</v>
      </c>
    </row>
    <row r="122">
      <c r="A122" s="118"/>
      <c r="B122" s="32" t="s">
        <v>934</v>
      </c>
      <c r="C122" s="33" t="s">
        <v>68</v>
      </c>
      <c r="D122" s="32" t="s">
        <v>3926</v>
      </c>
      <c r="E122" s="11" t="str">
        <f>HYPERLINK("https://youtu.be/msoAov2zlsc?t=3912","channel 2")</f>
        <v>channel 2</v>
      </c>
    </row>
    <row r="123">
      <c r="A123" s="118"/>
      <c r="B123" s="32" t="s">
        <v>3926</v>
      </c>
      <c r="C123" s="33" t="s">
        <v>66</v>
      </c>
      <c r="D123" s="32" t="s">
        <v>3925</v>
      </c>
      <c r="E123" s="135" t="str">
        <f>HYPERLINK("https://youtu.be/d599jD8Q5rc?t=4673","channel 1")</f>
        <v>channel 1</v>
      </c>
    </row>
    <row r="124">
      <c r="A124" s="118"/>
      <c r="B124" s="32" t="s">
        <v>934</v>
      </c>
      <c r="C124" s="33" t="s">
        <v>187</v>
      </c>
      <c r="D124" s="32" t="s">
        <v>929</v>
      </c>
      <c r="E124" s="11" t="str">
        <f>HYPERLINK("https://youtu.be/msoAov2zlsc?t=4867","channel 2")</f>
        <v>channel 2</v>
      </c>
    </row>
    <row r="125">
      <c r="A125" s="118"/>
      <c r="B125" s="32" t="s">
        <v>3925</v>
      </c>
      <c r="C125" s="33" t="s">
        <v>282</v>
      </c>
      <c r="D125" s="32" t="s">
        <v>3927</v>
      </c>
      <c r="E125" s="135" t="str">
        <f>HYPERLINK("https://youtu.be/d599jD8Q5rc?t=5597","channel 1")</f>
        <v>channel 1</v>
      </c>
    </row>
    <row r="126">
      <c r="A126" s="118"/>
      <c r="B126" s="32" t="s">
        <v>3926</v>
      </c>
      <c r="C126" s="33" t="s">
        <v>76</v>
      </c>
      <c r="D126" s="32" t="s">
        <v>929</v>
      </c>
      <c r="E126" s="11" t="str">
        <f>HYPERLINK("https://youtu.be/msoAov2zlsc?t=5750","channel 2")</f>
        <v>channel 2</v>
      </c>
    </row>
    <row r="127">
      <c r="A127" s="118"/>
      <c r="B127" s="32" t="s">
        <v>934</v>
      </c>
      <c r="C127" s="33" t="s">
        <v>207</v>
      </c>
      <c r="D127" s="32" t="s">
        <v>3927</v>
      </c>
      <c r="E127" s="135" t="str">
        <f>HYPERLINK("https://youtu.be/d599jD8Q5rc?t=6506","channel 1")</f>
        <v>channel 1</v>
      </c>
    </row>
    <row r="128">
      <c r="A128" s="118"/>
      <c r="B128" s="32" t="s">
        <v>3925</v>
      </c>
      <c r="C128" s="33" t="s">
        <v>22</v>
      </c>
      <c r="D128" s="32" t="s">
        <v>929</v>
      </c>
      <c r="E128" s="11" t="str">
        <f>HYPERLINK("https://youtu.be/msoAov2zlsc?t=6639","channel 2")</f>
        <v>channel 2</v>
      </c>
    </row>
    <row r="129">
      <c r="A129" s="118"/>
      <c r="B129" s="32" t="s">
        <v>3926</v>
      </c>
      <c r="C129" s="33" t="s">
        <v>88</v>
      </c>
      <c r="D129" s="32" t="s">
        <v>3927</v>
      </c>
      <c r="E129" s="135" t="str">
        <f>HYPERLINK("https://youtu.be/d599jD8Q5rc?t=7373","channel 1")</f>
        <v>channel 1</v>
      </c>
    </row>
    <row r="130">
      <c r="A130" s="118"/>
      <c r="B130" s="32" t="s">
        <v>3925</v>
      </c>
      <c r="C130" s="33" t="s">
        <v>87</v>
      </c>
      <c r="D130" s="32" t="s">
        <v>934</v>
      </c>
      <c r="E130" s="11" t="str">
        <f>HYPERLINK("https://youtu.be/msoAov2zlsc?t=7589","channel 2")</f>
        <v>channel 2</v>
      </c>
    </row>
    <row r="131">
      <c r="A131" s="118"/>
      <c r="B131" s="32" t="s">
        <v>929</v>
      </c>
      <c r="C131" s="33" t="s">
        <v>64</v>
      </c>
      <c r="D131" s="32" t="s">
        <v>3927</v>
      </c>
      <c r="E131" s="135" t="str">
        <f>HYPERLINK("https://youtu.be/d599jD8Q5rc?t=8256","channel 1")</f>
        <v>channel 1</v>
      </c>
    </row>
    <row r="132">
      <c r="A132" s="122"/>
      <c r="B132" s="32" t="s">
        <v>3926</v>
      </c>
      <c r="C132" s="33" t="s">
        <v>197</v>
      </c>
      <c r="D132" s="32" t="s">
        <v>934</v>
      </c>
      <c r="E132" s="11" t="str">
        <f>HYPERLINK("https://youtu.be/msoAov2zlsc?t=8463","channel 2")</f>
        <v>channel 2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7"/>
      <c r="B1" s="72" t="s">
        <v>2790</v>
      </c>
      <c r="C1" s="2"/>
      <c r="D1" s="3"/>
      <c r="E1" s="134"/>
    </row>
    <row r="2">
      <c r="A2" s="118"/>
      <c r="B2" s="35" t="s">
        <v>2</v>
      </c>
      <c r="C2" s="35" t="s">
        <v>3</v>
      </c>
      <c r="D2" s="35" t="s">
        <v>4</v>
      </c>
      <c r="E2" s="6" t="s">
        <v>5</v>
      </c>
    </row>
    <row r="3">
      <c r="A3" s="118"/>
      <c r="B3" s="32" t="s">
        <v>3928</v>
      </c>
      <c r="C3" s="33" t="s">
        <v>19</v>
      </c>
      <c r="D3" s="32" t="s">
        <v>3929</v>
      </c>
      <c r="E3" s="135" t="str">
        <f>HYPERLINK("https://youtu.be/PjsUxXlruJw","channel 1")</f>
        <v>channel 1</v>
      </c>
    </row>
    <row r="4">
      <c r="A4" s="118"/>
      <c r="B4" s="32" t="s">
        <v>3930</v>
      </c>
      <c r="C4" s="60" t="s">
        <v>195</v>
      </c>
      <c r="D4" s="32" t="s">
        <v>2185</v>
      </c>
      <c r="E4" s="11" t="str">
        <f>HYPERLINK("https://youtu.be/MupdDO2_p8c","channel 2")</f>
        <v>channel 2</v>
      </c>
    </row>
    <row r="5">
      <c r="A5" s="118"/>
      <c r="B5" s="32" t="s">
        <v>292</v>
      </c>
      <c r="C5" s="33" t="s">
        <v>58</v>
      </c>
      <c r="D5" s="32" t="s">
        <v>3928</v>
      </c>
      <c r="E5" s="135" t="str">
        <f>HYPERLINK("https://youtu.be/PjsUxXlruJw?t=966","channel 1")</f>
        <v>channel 1</v>
      </c>
    </row>
    <row r="6">
      <c r="A6" s="118"/>
      <c r="B6" s="32" t="s">
        <v>3930</v>
      </c>
      <c r="C6" s="33" t="s">
        <v>293</v>
      </c>
      <c r="D6" s="32" t="s">
        <v>3929</v>
      </c>
      <c r="E6" s="11" t="str">
        <f>HYPERLINK("https://youtu.be/MupdDO2_p8c?t=836","channel 2")</f>
        <v>channel 2</v>
      </c>
    </row>
    <row r="7">
      <c r="A7" s="118"/>
      <c r="B7" s="32" t="s">
        <v>292</v>
      </c>
      <c r="C7" s="33" t="s">
        <v>285</v>
      </c>
      <c r="D7" s="32" t="s">
        <v>2185</v>
      </c>
      <c r="E7" s="135" t="str">
        <f>HYPERLINK("https://youtu.be/PjsUxXlruJw?t=1895","channel 1")</f>
        <v>channel 1</v>
      </c>
    </row>
    <row r="8">
      <c r="A8" s="118"/>
      <c r="B8" s="32" t="s">
        <v>3930</v>
      </c>
      <c r="C8" s="33" t="s">
        <v>3931</v>
      </c>
      <c r="D8" s="32" t="s">
        <v>3928</v>
      </c>
      <c r="E8" s="11" t="str">
        <f>HYPERLINK("https://youtu.be/MupdDO2_p8c?t=1835","channel 2")</f>
        <v>channel 2</v>
      </c>
    </row>
    <row r="9">
      <c r="A9" s="118"/>
      <c r="B9" s="32" t="s">
        <v>292</v>
      </c>
      <c r="C9" s="33" t="s">
        <v>17</v>
      </c>
      <c r="D9" s="32" t="s">
        <v>3929</v>
      </c>
      <c r="E9" s="135" t="str">
        <f>HYPERLINK("https://youtu.be/PjsUxXlruJw?t=2774","channel 1")</f>
        <v>channel 1</v>
      </c>
    </row>
    <row r="10">
      <c r="A10" s="118"/>
      <c r="B10" s="32" t="s">
        <v>2185</v>
      </c>
      <c r="C10" s="33" t="s">
        <v>25</v>
      </c>
      <c r="D10" s="32" t="s">
        <v>3928</v>
      </c>
      <c r="E10" s="11" t="str">
        <f>HYPERLINK("https://youtu.be/MupdDO2_p8c?t=2851","channel 2")</f>
        <v>channel 2</v>
      </c>
    </row>
    <row r="11">
      <c r="A11" s="118"/>
      <c r="B11" s="32" t="s">
        <v>292</v>
      </c>
      <c r="C11" s="33" t="s">
        <v>270</v>
      </c>
      <c r="D11" s="32" t="s">
        <v>3930</v>
      </c>
      <c r="E11" s="135" t="str">
        <f>HYPERLINK("https://youtu.be/PjsUxXlruJw?t=3697","channel 1")</f>
        <v>channel 1</v>
      </c>
    </row>
    <row r="12">
      <c r="A12" s="118"/>
      <c r="B12" s="32" t="s">
        <v>2185</v>
      </c>
      <c r="C12" s="33" t="s">
        <v>20</v>
      </c>
      <c r="D12" s="32" t="s">
        <v>3929</v>
      </c>
      <c r="E12" s="11" t="str">
        <f>HYPERLINK("https://youtu.be/MupdDO2_p8c?t=3687","channel 2")</f>
        <v>channel 2</v>
      </c>
    </row>
    <row r="13">
      <c r="A13" s="118"/>
      <c r="B13" s="32" t="s">
        <v>3929</v>
      </c>
      <c r="C13" s="33" t="s">
        <v>35</v>
      </c>
      <c r="D13" s="32" t="s">
        <v>3928</v>
      </c>
      <c r="E13" s="135" t="str">
        <f>HYPERLINK("https://youtu.be/PjsUxXlruJw?t=4684","channel 1")</f>
        <v>channel 1</v>
      </c>
    </row>
    <row r="14">
      <c r="A14" s="118"/>
      <c r="B14" s="32" t="s">
        <v>2185</v>
      </c>
      <c r="C14" s="33" t="s">
        <v>58</v>
      </c>
      <c r="D14" s="32" t="s">
        <v>3930</v>
      </c>
      <c r="E14" s="11" t="str">
        <f>HYPERLINK("https://youtu.be/MupdDO2_p8c?t=4596","channel 2")</f>
        <v>channel 2</v>
      </c>
    </row>
    <row r="15">
      <c r="A15" s="118"/>
      <c r="B15" s="32" t="s">
        <v>3928</v>
      </c>
      <c r="C15" s="33" t="s">
        <v>23</v>
      </c>
      <c r="D15" s="32" t="s">
        <v>292</v>
      </c>
      <c r="E15" s="135" t="str">
        <f>HYPERLINK("https://youtu.be/PjsUxXlruJw?t=5597","channel 1")</f>
        <v>channel 1</v>
      </c>
    </row>
    <row r="16">
      <c r="A16" s="118"/>
      <c r="B16" s="32" t="s">
        <v>3929</v>
      </c>
      <c r="C16" s="33" t="s">
        <v>352</v>
      </c>
      <c r="D16" s="32" t="s">
        <v>3930</v>
      </c>
      <c r="E16" s="11" t="str">
        <f>HYPERLINK("https://youtu.be/MupdDO2_p8c?t=5505","channel 2")</f>
        <v>channel 2</v>
      </c>
    </row>
    <row r="17">
      <c r="A17" s="118"/>
      <c r="B17" s="32" t="s">
        <v>2185</v>
      </c>
      <c r="C17" s="33" t="s">
        <v>22</v>
      </c>
      <c r="D17" s="32" t="s">
        <v>292</v>
      </c>
      <c r="E17" s="135" t="str">
        <f>HYPERLINK("https://youtu.be/PjsUxXlruJw?t=6480","channel 1")</f>
        <v>channel 1</v>
      </c>
    </row>
    <row r="18">
      <c r="A18" s="118"/>
      <c r="B18" s="32" t="s">
        <v>3928</v>
      </c>
      <c r="C18" s="33" t="s">
        <v>693</v>
      </c>
      <c r="D18" s="32" t="s">
        <v>3930</v>
      </c>
      <c r="E18" s="11" t="str">
        <f>HYPERLINK("https://youtu.be/MupdDO2_p8c?t=6539","channel 2")</f>
        <v>channel 2</v>
      </c>
    </row>
    <row r="19">
      <c r="A19" s="118"/>
      <c r="B19" s="32" t="s">
        <v>3929</v>
      </c>
      <c r="C19" s="33" t="s">
        <v>87</v>
      </c>
      <c r="D19" s="32" t="s">
        <v>292</v>
      </c>
      <c r="E19" s="135" t="str">
        <f>HYPERLINK("https://youtu.be/PjsUxXlruJw?t=7305","channel 1")</f>
        <v>channel 1</v>
      </c>
    </row>
    <row r="20">
      <c r="A20" s="118"/>
      <c r="B20" s="32" t="s">
        <v>3928</v>
      </c>
      <c r="C20" s="33" t="s">
        <v>21</v>
      </c>
      <c r="D20" s="32" t="s">
        <v>2185</v>
      </c>
      <c r="E20" s="11" t="str">
        <f>HYPERLINK("https://youtu.be/MupdDO2_p8c?t=7402","channel 2")</f>
        <v>channel 2</v>
      </c>
    </row>
    <row r="21">
      <c r="A21" s="118"/>
      <c r="B21" s="32" t="s">
        <v>3930</v>
      </c>
      <c r="C21" s="33" t="s">
        <v>378</v>
      </c>
      <c r="D21" s="32" t="s">
        <v>292</v>
      </c>
      <c r="E21" s="135" t="str">
        <f>HYPERLINK("https://youtu.be/PjsUxXlruJw?t=8540","channel 1")</f>
        <v>channel 1</v>
      </c>
    </row>
    <row r="22">
      <c r="A22" s="118"/>
      <c r="B22" s="32" t="s">
        <v>3929</v>
      </c>
      <c r="C22" s="33" t="s">
        <v>286</v>
      </c>
      <c r="D22" s="32" t="s">
        <v>2185</v>
      </c>
      <c r="E22" s="11" t="str">
        <f>HYPERLINK("https://youtu.be/MupdDO2_p8c?t=8347","channel 2")</f>
        <v>channel 2</v>
      </c>
    </row>
    <row r="23">
      <c r="A23" s="118"/>
      <c r="B23" s="72" t="s">
        <v>2160</v>
      </c>
      <c r="C23" s="2"/>
      <c r="D23" s="3"/>
      <c r="E23" s="134"/>
    </row>
    <row r="24">
      <c r="A24" s="118"/>
      <c r="B24" s="35" t="s">
        <v>2</v>
      </c>
      <c r="C24" s="35" t="s">
        <v>3</v>
      </c>
      <c r="D24" s="35" t="s">
        <v>4</v>
      </c>
      <c r="E24" s="6" t="s">
        <v>5</v>
      </c>
    </row>
    <row r="25">
      <c r="A25" s="118"/>
      <c r="B25" s="32" t="s">
        <v>3755</v>
      </c>
      <c r="C25" s="33" t="s">
        <v>72</v>
      </c>
      <c r="D25" s="32" t="s">
        <v>3775</v>
      </c>
      <c r="E25" s="135" t="str">
        <f>HYPERLINK("https://youtu.be/HSUlPsfjqeU","channel 1")</f>
        <v>channel 1</v>
      </c>
    </row>
    <row r="26">
      <c r="A26" s="118"/>
      <c r="B26" s="32" t="s">
        <v>3932</v>
      </c>
      <c r="C26" s="33" t="s">
        <v>82</v>
      </c>
      <c r="D26" s="32" t="s">
        <v>3933</v>
      </c>
      <c r="E26" s="11" t="str">
        <f>HYPERLINK("https://youtu.be/LRNsMyGQyVg","channel 2")</f>
        <v>channel 2</v>
      </c>
    </row>
    <row r="27">
      <c r="A27" s="118"/>
      <c r="B27" s="32" t="s">
        <v>1174</v>
      </c>
      <c r="C27" s="33" t="s">
        <v>22</v>
      </c>
      <c r="D27" s="32" t="s">
        <v>3755</v>
      </c>
      <c r="E27" s="135" t="str">
        <f>HYPERLINK("https://youtu.be/HSUlPsfjqeU?t=963","channel 1")</f>
        <v>channel 1</v>
      </c>
    </row>
    <row r="28">
      <c r="A28" s="118"/>
      <c r="B28" s="32" t="s">
        <v>3932</v>
      </c>
      <c r="C28" s="33" t="s">
        <v>293</v>
      </c>
      <c r="D28" s="32" t="s">
        <v>3775</v>
      </c>
      <c r="E28" s="11" t="str">
        <f>HYPERLINK("https://youtu.be/LRNsMyGQyVg?t=963","channel 2")</f>
        <v>channel 2</v>
      </c>
    </row>
    <row r="29">
      <c r="A29" s="118"/>
      <c r="B29" s="32" t="s">
        <v>1174</v>
      </c>
      <c r="C29" s="33" t="s">
        <v>62</v>
      </c>
      <c r="D29" s="32" t="s">
        <v>3933</v>
      </c>
      <c r="E29" s="135" t="str">
        <f>HYPERLINK("https://youtu.be/HSUlPsfjqeU?t=1893","channel 1")</f>
        <v>channel 1</v>
      </c>
    </row>
    <row r="30">
      <c r="A30" s="118"/>
      <c r="B30" s="32" t="s">
        <v>3932</v>
      </c>
      <c r="C30" s="33" t="s">
        <v>232</v>
      </c>
      <c r="D30" s="32" t="s">
        <v>3755</v>
      </c>
      <c r="E30" s="11" t="str">
        <f>HYPERLINK("https://youtu.be/LRNsMyGQyVg?t=1855","channel 2")</f>
        <v>channel 2</v>
      </c>
    </row>
    <row r="31">
      <c r="A31" s="118"/>
      <c r="B31" s="32" t="s">
        <v>1174</v>
      </c>
      <c r="C31" s="33" t="s">
        <v>195</v>
      </c>
      <c r="D31" s="32" t="s">
        <v>3775</v>
      </c>
      <c r="E31" s="135" t="str">
        <f>HYPERLINK("https://youtu.be/HSUlPsfjqeU?t=2762","channel 1")</f>
        <v>channel 1</v>
      </c>
    </row>
    <row r="32">
      <c r="A32" s="118"/>
      <c r="B32" s="32" t="s">
        <v>3933</v>
      </c>
      <c r="C32" s="33" t="s">
        <v>232</v>
      </c>
      <c r="D32" s="32" t="s">
        <v>3755</v>
      </c>
      <c r="E32" s="11" t="str">
        <f>HYPERLINK("https://youtu.be/LRNsMyGQyVg?t=2748","channel 2")</f>
        <v>channel 2</v>
      </c>
    </row>
    <row r="33">
      <c r="A33" s="118"/>
      <c r="B33" s="32" t="s">
        <v>1174</v>
      </c>
      <c r="C33" s="33" t="s">
        <v>68</v>
      </c>
      <c r="D33" s="32" t="s">
        <v>3932</v>
      </c>
      <c r="E33" s="135" t="str">
        <f>HYPERLINK("https://youtu.be/HSUlPsfjqeU?t=3486","channel 1")</f>
        <v>channel 1</v>
      </c>
    </row>
    <row r="34">
      <c r="A34" s="118"/>
      <c r="B34" s="32" t="s">
        <v>3933</v>
      </c>
      <c r="C34" s="33" t="s">
        <v>488</v>
      </c>
      <c r="D34" s="32" t="s">
        <v>3775</v>
      </c>
      <c r="E34" s="11" t="str">
        <f>HYPERLINK("https://youtu.be/LRNsMyGQyVg?t=3428","channel 2")</f>
        <v>channel 2</v>
      </c>
    </row>
    <row r="35">
      <c r="A35" s="118"/>
      <c r="B35" s="32" t="s">
        <v>3775</v>
      </c>
      <c r="C35" s="33" t="s">
        <v>950</v>
      </c>
      <c r="D35" s="32" t="s">
        <v>3755</v>
      </c>
      <c r="E35" s="135" t="str">
        <f>HYPERLINK("https://youtu.be/HSUlPsfjqeU?t=4416","channel 1")</f>
        <v>channel 1</v>
      </c>
    </row>
    <row r="36">
      <c r="A36" s="118"/>
      <c r="B36" s="32" t="s">
        <v>3933</v>
      </c>
      <c r="C36" s="33" t="s">
        <v>22</v>
      </c>
      <c r="D36" s="32" t="s">
        <v>3932</v>
      </c>
      <c r="E36" s="11" t="str">
        <f>HYPERLINK("https://youtu.be/LRNsMyGQyVg?t=4293","channel 2")</f>
        <v>channel 2</v>
      </c>
    </row>
    <row r="37">
      <c r="A37" s="118"/>
      <c r="B37" s="32" t="s">
        <v>3755</v>
      </c>
      <c r="C37" s="33" t="s">
        <v>88</v>
      </c>
      <c r="D37" s="32" t="s">
        <v>1174</v>
      </c>
      <c r="E37" s="135" t="str">
        <f>HYPERLINK("https://youtu.be/HSUlPsfjqeU?t=5282","channel 1")</f>
        <v>channel 1</v>
      </c>
    </row>
    <row r="38">
      <c r="A38" s="118"/>
      <c r="B38" s="32" t="s">
        <v>3775</v>
      </c>
      <c r="C38" s="33" t="s">
        <v>320</v>
      </c>
      <c r="D38" s="32" t="s">
        <v>3932</v>
      </c>
      <c r="E38" s="11" t="str">
        <f>HYPERLINK("https://youtu.be/LRNsMyGQyVg?t=5140","channel 2")</f>
        <v>channel 2</v>
      </c>
    </row>
    <row r="39">
      <c r="A39" s="118"/>
      <c r="B39" s="32" t="s">
        <v>3933</v>
      </c>
      <c r="C39" s="35" t="s">
        <v>260</v>
      </c>
      <c r="D39" s="32" t="s">
        <v>1174</v>
      </c>
      <c r="E39" s="135" t="str">
        <f>HYPERLINK("https://youtu.be/HSUlPsfjqeU?t=6145","channel 1")</f>
        <v>channel 1</v>
      </c>
    </row>
    <row r="40">
      <c r="A40" s="118"/>
      <c r="B40" s="32" t="s">
        <v>3755</v>
      </c>
      <c r="C40" s="33" t="s">
        <v>239</v>
      </c>
      <c r="D40" s="32" t="s">
        <v>3932</v>
      </c>
      <c r="E40" s="11" t="str">
        <f>HYPERLINK("https://youtu.be/LRNsMyGQyVg?t=6097","channel 2")</f>
        <v>channel 2</v>
      </c>
    </row>
    <row r="41">
      <c r="A41" s="118"/>
      <c r="B41" s="32" t="s">
        <v>3775</v>
      </c>
      <c r="C41" s="33" t="s">
        <v>190</v>
      </c>
      <c r="D41" s="32" t="s">
        <v>1174</v>
      </c>
      <c r="E41" s="135" t="str">
        <f>HYPERLINK("https://youtu.be/HSUlPsfjqeU?t=7002","channel 1")</f>
        <v>channel 1</v>
      </c>
    </row>
    <row r="42">
      <c r="A42" s="118"/>
      <c r="B42" s="32" t="s">
        <v>3755</v>
      </c>
      <c r="C42" s="33" t="s">
        <v>62</v>
      </c>
      <c r="D42" s="32" t="s">
        <v>3933</v>
      </c>
      <c r="E42" s="11" t="str">
        <f>HYPERLINK("https://youtu.be/LRNsMyGQyVg?t=7055","channel 2")</f>
        <v>channel 2</v>
      </c>
    </row>
    <row r="43">
      <c r="A43" s="118"/>
      <c r="B43" s="32" t="s">
        <v>3932</v>
      </c>
      <c r="C43" s="33" t="s">
        <v>71</v>
      </c>
      <c r="D43" s="32" t="s">
        <v>1174</v>
      </c>
      <c r="E43" s="135" t="str">
        <f>HYPERLINK("https://youtu.be/HSUlPsfjqeU?t=7870","channel 1")</f>
        <v>channel 1</v>
      </c>
    </row>
    <row r="44">
      <c r="A44" s="118"/>
      <c r="B44" s="32" t="s">
        <v>3775</v>
      </c>
      <c r="C44" s="33" t="s">
        <v>72</v>
      </c>
      <c r="D44" s="32" t="s">
        <v>3933</v>
      </c>
      <c r="E44" s="11" t="str">
        <f>HYPERLINK("https://youtu.be/LRNsMyGQyVg?t=7906","channel 2")</f>
        <v>channel 2</v>
      </c>
    </row>
    <row r="45">
      <c r="A45" s="118"/>
      <c r="B45" s="72" t="s">
        <v>2382</v>
      </c>
      <c r="C45" s="2"/>
      <c r="D45" s="3"/>
      <c r="E45" s="134"/>
    </row>
    <row r="46">
      <c r="A46" s="118"/>
      <c r="B46" s="35" t="s">
        <v>2</v>
      </c>
      <c r="C46" s="35" t="s">
        <v>3</v>
      </c>
      <c r="D46" s="35" t="s">
        <v>4</v>
      </c>
      <c r="E46" s="6" t="s">
        <v>5</v>
      </c>
    </row>
    <row r="47">
      <c r="A47" s="118"/>
      <c r="B47" s="32" t="s">
        <v>3934</v>
      </c>
      <c r="C47" s="33" t="s">
        <v>520</v>
      </c>
      <c r="D47" s="32" t="s">
        <v>2865</v>
      </c>
      <c r="E47" s="135" t="str">
        <f>HYPERLINK("https://youtu.be/kg998J6wICA","channel 1")</f>
        <v>channel 1</v>
      </c>
    </row>
    <row r="48">
      <c r="A48" s="118"/>
      <c r="B48" s="32" t="s">
        <v>3935</v>
      </c>
      <c r="C48" s="33" t="s">
        <v>285</v>
      </c>
      <c r="D48" s="32" t="s">
        <v>1437</v>
      </c>
      <c r="E48" s="11" t="str">
        <f>HYPERLINK("https://youtu.be/kATZ_IpLLTI","channel 2")</f>
        <v>channel 2</v>
      </c>
    </row>
    <row r="49">
      <c r="A49" s="118"/>
      <c r="B49" s="32" t="s">
        <v>2042</v>
      </c>
      <c r="C49" s="33" t="s">
        <v>18</v>
      </c>
      <c r="D49" s="32" t="s">
        <v>3934</v>
      </c>
      <c r="E49" s="135" t="str">
        <f>HYPERLINK("https://youtu.be/kg998J6wICA?t=978","channel 1")</f>
        <v>channel 1</v>
      </c>
    </row>
    <row r="50">
      <c r="A50" s="118"/>
      <c r="B50" s="32" t="s">
        <v>3935</v>
      </c>
      <c r="C50" s="33" t="s">
        <v>614</v>
      </c>
      <c r="D50" s="32" t="s">
        <v>2865</v>
      </c>
      <c r="E50" s="11" t="str">
        <f>HYPERLINK("https://youtu.be/kATZ_IpLLTI?t=984","channel 2")</f>
        <v>channel 2</v>
      </c>
    </row>
    <row r="51">
      <c r="A51" s="118"/>
      <c r="B51" s="32" t="s">
        <v>2042</v>
      </c>
      <c r="C51" s="33" t="s">
        <v>22</v>
      </c>
      <c r="D51" s="32" t="s">
        <v>1437</v>
      </c>
      <c r="E51" s="135" t="str">
        <f>HYPERLINK("https://youtu.be/kg998J6wICA?t=1895","channel 1")</f>
        <v>channel 1</v>
      </c>
    </row>
    <row r="52">
      <c r="A52" s="118"/>
      <c r="B52" s="32" t="s">
        <v>3935</v>
      </c>
      <c r="C52" s="33" t="s">
        <v>35</v>
      </c>
      <c r="D52" s="32" t="s">
        <v>3934</v>
      </c>
      <c r="E52" s="11" t="str">
        <f>HYPERLINK("https://youtu.be/kATZ_IpLLTI?t=1885","channel 2")</f>
        <v>channel 2</v>
      </c>
    </row>
    <row r="53">
      <c r="A53" s="118"/>
      <c r="B53" s="32" t="s">
        <v>2042</v>
      </c>
      <c r="C53" s="33" t="s">
        <v>69</v>
      </c>
      <c r="D53" s="32" t="s">
        <v>2865</v>
      </c>
      <c r="E53" s="135" t="str">
        <f>HYPERLINK("https://youtu.be/kg998J6wICA?t=2765","channel 1")</f>
        <v>channel 1</v>
      </c>
    </row>
    <row r="54">
      <c r="A54" s="118"/>
      <c r="B54" s="32" t="s">
        <v>1437</v>
      </c>
      <c r="C54" s="33" t="s">
        <v>278</v>
      </c>
      <c r="D54" s="32" t="s">
        <v>3934</v>
      </c>
      <c r="E54" s="11" t="str">
        <f>HYPERLINK("https://youtu.be/kATZ_IpLLTI?t=2832","channel 2")</f>
        <v>channel 2</v>
      </c>
    </row>
    <row r="55">
      <c r="A55" s="118"/>
      <c r="B55" s="32" t="s">
        <v>2042</v>
      </c>
      <c r="C55" s="33" t="s">
        <v>22</v>
      </c>
      <c r="D55" s="32" t="s">
        <v>3935</v>
      </c>
      <c r="E55" s="135" t="str">
        <f>HYPERLINK("https://youtu.be/kg998J6wICA?t=3723","channel 1")</f>
        <v>channel 1</v>
      </c>
    </row>
    <row r="56">
      <c r="A56" s="118"/>
      <c r="B56" s="32" t="s">
        <v>1437</v>
      </c>
      <c r="C56" s="33" t="s">
        <v>20</v>
      </c>
      <c r="D56" s="32" t="s">
        <v>2865</v>
      </c>
      <c r="E56" s="11" t="str">
        <f>HYPERLINK("https://youtu.be/kATZ_IpLLTI?t=3706","channel 2")</f>
        <v>channel 2</v>
      </c>
    </row>
    <row r="57">
      <c r="A57" s="118"/>
      <c r="B57" s="32" t="s">
        <v>2865</v>
      </c>
      <c r="C57" s="33" t="s">
        <v>212</v>
      </c>
      <c r="D57" s="32" t="s">
        <v>3934</v>
      </c>
      <c r="E57" s="135" t="str">
        <f>HYPERLINK("https://youtu.be/kg998J6wICA?t=4627","channel 1")</f>
        <v>channel 1</v>
      </c>
    </row>
    <row r="58">
      <c r="A58" s="118"/>
      <c r="B58" s="32" t="s">
        <v>1437</v>
      </c>
      <c r="C58" s="33" t="s">
        <v>193</v>
      </c>
      <c r="D58" s="32" t="s">
        <v>3935</v>
      </c>
      <c r="E58" s="11" t="str">
        <f>HYPERLINK("https://youtu.be/kATZ_IpLLTI?t=4603","channel 2")</f>
        <v>channel 2</v>
      </c>
    </row>
    <row r="59">
      <c r="A59" s="118"/>
      <c r="B59" s="32" t="s">
        <v>3934</v>
      </c>
      <c r="C59" s="33" t="s">
        <v>426</v>
      </c>
      <c r="D59" s="32" t="s">
        <v>2042</v>
      </c>
      <c r="E59" s="135" t="str">
        <f>HYPERLINK("https://youtu.be/kg998J6wICA?t=5607","channel 1")</f>
        <v>channel 1</v>
      </c>
    </row>
    <row r="60">
      <c r="A60" s="118"/>
      <c r="B60" s="32" t="s">
        <v>2865</v>
      </c>
      <c r="C60" s="33" t="s">
        <v>17</v>
      </c>
      <c r="D60" s="32" t="s">
        <v>3935</v>
      </c>
      <c r="E60" s="11" t="str">
        <f>HYPERLINK("https://youtu.be/kATZ_IpLLTI?t=5521","channel 2")</f>
        <v>channel 2</v>
      </c>
    </row>
    <row r="61">
      <c r="A61" s="118"/>
      <c r="B61" s="32" t="s">
        <v>1437</v>
      </c>
      <c r="C61" s="33" t="s">
        <v>726</v>
      </c>
      <c r="D61" s="32" t="s">
        <v>2042</v>
      </c>
      <c r="E61" s="135" t="str">
        <f>HYPERLINK("https://youtu.be/kg998J6wICA?t=6504","channel 1")</f>
        <v>channel 1</v>
      </c>
    </row>
    <row r="62">
      <c r="A62" s="118"/>
      <c r="B62" s="32" t="s">
        <v>3934</v>
      </c>
      <c r="C62" s="35" t="s">
        <v>270</v>
      </c>
      <c r="D62" s="32" t="s">
        <v>3935</v>
      </c>
      <c r="E62" s="11" t="str">
        <f>HYPERLINK("https://youtu.be/kATZ_IpLLTI?t=6519","channel 2")</f>
        <v>channel 2</v>
      </c>
    </row>
    <row r="63">
      <c r="A63" s="118"/>
      <c r="B63" s="32" t="s">
        <v>2865</v>
      </c>
      <c r="C63" s="33" t="s">
        <v>82</v>
      </c>
      <c r="D63" s="32" t="s">
        <v>2042</v>
      </c>
      <c r="E63" s="135" t="str">
        <f>HYPERLINK("https://youtu.be/kg998J6wICA?t=7461","channel 1")</f>
        <v>channel 1</v>
      </c>
    </row>
    <row r="64">
      <c r="A64" s="118"/>
      <c r="B64" s="32" t="s">
        <v>3934</v>
      </c>
      <c r="C64" s="33" t="s">
        <v>66</v>
      </c>
      <c r="D64" s="32" t="s">
        <v>1437</v>
      </c>
      <c r="E64" s="11" t="str">
        <f>HYPERLINK("https://youtu.be/kATZ_IpLLTI?t=7519","channel 2")</f>
        <v>channel 2</v>
      </c>
    </row>
    <row r="65">
      <c r="A65" s="118"/>
      <c r="B65" s="32" t="s">
        <v>3935</v>
      </c>
      <c r="C65" s="33" t="s">
        <v>196</v>
      </c>
      <c r="D65" s="32" t="s">
        <v>2042</v>
      </c>
      <c r="E65" s="135" t="str">
        <f>HYPERLINK("https://youtu.be/kg998J6wICA?t=8494","channel 1")</f>
        <v>channel 1</v>
      </c>
    </row>
    <row r="66">
      <c r="A66" s="118"/>
      <c r="B66" s="32" t="s">
        <v>2865</v>
      </c>
      <c r="C66" s="33" t="s">
        <v>78</v>
      </c>
      <c r="D66" s="32" t="s">
        <v>1437</v>
      </c>
      <c r="E66" s="11" t="str">
        <f>HYPERLINK("https://youtu.be/kATZ_IpLLTI?t=8487","channel 2")</f>
        <v>channel 2</v>
      </c>
    </row>
    <row r="67">
      <c r="A67" s="118"/>
      <c r="B67" s="137" t="s">
        <v>2923</v>
      </c>
      <c r="C67" s="2"/>
      <c r="D67" s="3"/>
      <c r="E67" s="138"/>
    </row>
    <row r="68">
      <c r="A68" s="118"/>
      <c r="B68" s="35" t="s">
        <v>2</v>
      </c>
      <c r="C68" s="35" t="s">
        <v>3</v>
      </c>
      <c r="D68" s="35" t="s">
        <v>4</v>
      </c>
      <c r="E68" s="16" t="s">
        <v>5</v>
      </c>
    </row>
    <row r="69">
      <c r="A69" s="118"/>
      <c r="B69" s="32" t="s">
        <v>3936</v>
      </c>
      <c r="C69" s="33" t="s">
        <v>190</v>
      </c>
      <c r="D69" s="32" t="s">
        <v>3937</v>
      </c>
      <c r="E69" s="135" t="str">
        <f>HYPERLINK("https://youtu.be/9dTOsQGBkIw","channel 1")</f>
        <v>channel 1</v>
      </c>
    </row>
    <row r="70">
      <c r="A70" s="118"/>
      <c r="B70" s="32" t="s">
        <v>3938</v>
      </c>
      <c r="C70" s="33" t="s">
        <v>217</v>
      </c>
      <c r="D70" s="32" t="s">
        <v>1556</v>
      </c>
      <c r="E70" s="11" t="str">
        <f>HYPERLINK("https://youtu.be/SMoGPju2XT8","channel 2")</f>
        <v>channel 2</v>
      </c>
    </row>
    <row r="71">
      <c r="A71" s="118"/>
      <c r="B71" s="32" t="s">
        <v>1423</v>
      </c>
      <c r="C71" s="33" t="s">
        <v>195</v>
      </c>
      <c r="D71" s="32" t="s">
        <v>3936</v>
      </c>
      <c r="E71" s="135" t="str">
        <f>HYPERLINK("https://youtu.be/9dTOsQGBkIw?t=954","channel 1")</f>
        <v>channel 1</v>
      </c>
    </row>
    <row r="72">
      <c r="A72" s="118"/>
      <c r="B72" s="32" t="s">
        <v>3938</v>
      </c>
      <c r="C72" s="33" t="s">
        <v>66</v>
      </c>
      <c r="D72" s="32" t="s">
        <v>3937</v>
      </c>
      <c r="E72" s="11" t="str">
        <f>HYPERLINK("https://youtu.be/SMoGPju2XT8?t=1121","channel 2")</f>
        <v>channel 2</v>
      </c>
    </row>
    <row r="73">
      <c r="A73" s="118"/>
      <c r="B73" s="32" t="s">
        <v>1423</v>
      </c>
      <c r="C73" s="33" t="s">
        <v>194</v>
      </c>
      <c r="D73" s="32" t="s">
        <v>1556</v>
      </c>
      <c r="E73" s="135" t="str">
        <f>HYPERLINK("https://youtu.be/9dTOsQGBkIw?t=1895","channel 1")</f>
        <v>channel 1</v>
      </c>
    </row>
    <row r="74">
      <c r="A74" s="118"/>
      <c r="B74" s="32" t="s">
        <v>3938</v>
      </c>
      <c r="C74" s="33" t="s">
        <v>45</v>
      </c>
      <c r="D74" s="32" t="s">
        <v>3936</v>
      </c>
      <c r="E74" s="11" t="str">
        <f>HYPERLINK("https://youtu.be/SMoGPju2XT8?t=2165","channel 2")</f>
        <v>channel 2</v>
      </c>
    </row>
    <row r="75">
      <c r="A75" s="118"/>
      <c r="B75" s="32" t="s">
        <v>1423</v>
      </c>
      <c r="C75" s="33" t="s">
        <v>283</v>
      </c>
      <c r="D75" s="32" t="s">
        <v>3937</v>
      </c>
      <c r="E75" s="135" t="str">
        <f>HYPERLINK("https://youtu.be/9dTOsQGBkIw?t=2922","channel 1")</f>
        <v>channel 1</v>
      </c>
    </row>
    <row r="76">
      <c r="A76" s="118"/>
      <c r="B76" s="32" t="s">
        <v>1556</v>
      </c>
      <c r="C76" s="33" t="s">
        <v>11</v>
      </c>
      <c r="D76" s="32" t="s">
        <v>3936</v>
      </c>
      <c r="E76" s="11" t="str">
        <f>HYPERLINK("https://youtu.be/SMoGPju2XT8?t=3105","channel 2")</f>
        <v>channel 2</v>
      </c>
    </row>
    <row r="77">
      <c r="A77" s="118"/>
      <c r="B77" s="32" t="s">
        <v>1423</v>
      </c>
      <c r="C77" s="33" t="s">
        <v>18</v>
      </c>
      <c r="D77" s="32" t="s">
        <v>3938</v>
      </c>
      <c r="E77" s="135" t="str">
        <f>HYPERLINK("https://youtu.be/9dTOsQGBkIw?t=3906","channel 1")</f>
        <v>channel 1</v>
      </c>
    </row>
    <row r="78">
      <c r="A78" s="118"/>
      <c r="B78" s="32" t="s">
        <v>1556</v>
      </c>
      <c r="C78" s="33" t="s">
        <v>3939</v>
      </c>
      <c r="D78" s="32" t="s">
        <v>3937</v>
      </c>
      <c r="E78" s="11" t="str">
        <f>HYPERLINK("https://youtu.be/SMoGPju2XT8?t=4158","channel 2")</f>
        <v>channel 2</v>
      </c>
    </row>
    <row r="79">
      <c r="A79" s="118"/>
      <c r="B79" s="32" t="s">
        <v>3937</v>
      </c>
      <c r="C79" s="33" t="s">
        <v>258</v>
      </c>
      <c r="D79" s="32" t="s">
        <v>3936</v>
      </c>
      <c r="E79" s="135" t="str">
        <f>HYPERLINK("https://youtu.be/9dTOsQGBkIw?t=5041","channel 1")</f>
        <v>channel 1</v>
      </c>
    </row>
    <row r="80">
      <c r="A80" s="118"/>
      <c r="B80" s="32" t="s">
        <v>1556</v>
      </c>
      <c r="C80" s="33" t="s">
        <v>291</v>
      </c>
      <c r="D80" s="32" t="s">
        <v>3938</v>
      </c>
      <c r="E80" s="11" t="str">
        <f>HYPERLINK("https://youtu.be/SMoGPju2XT8?t=5229","channel 2")</f>
        <v>channel 2</v>
      </c>
    </row>
    <row r="81">
      <c r="A81" s="118"/>
      <c r="B81" s="32" t="s">
        <v>3936</v>
      </c>
      <c r="C81" s="33" t="s">
        <v>21</v>
      </c>
      <c r="D81" s="32" t="s">
        <v>1423</v>
      </c>
      <c r="E81" s="135" t="str">
        <f>HYPERLINK("https://youtu.be/9dTOsQGBkIw?t=5957","channel 1")</f>
        <v>channel 1</v>
      </c>
    </row>
    <row r="82">
      <c r="A82" s="118"/>
      <c r="B82" s="32" t="s">
        <v>3937</v>
      </c>
      <c r="C82" s="33" t="s">
        <v>363</v>
      </c>
      <c r="D82" s="32" t="s">
        <v>3938</v>
      </c>
      <c r="E82" s="11" t="str">
        <f>HYPERLINK("https://youtu.be/SMoGPju2XT8?t=6215","channel 2")</f>
        <v>channel 2</v>
      </c>
    </row>
    <row r="83">
      <c r="A83" s="118"/>
      <c r="B83" s="32" t="s">
        <v>1556</v>
      </c>
      <c r="C83" s="33" t="s">
        <v>286</v>
      </c>
      <c r="D83" s="32" t="s">
        <v>1423</v>
      </c>
      <c r="E83" s="135" t="str">
        <f>HYPERLINK("https://youtu.be/9dTOsQGBkIw?t=7002","channel 1")</f>
        <v>channel 1</v>
      </c>
    </row>
    <row r="84">
      <c r="A84" s="118"/>
      <c r="B84" s="32" t="s">
        <v>3936</v>
      </c>
      <c r="C84" s="33" t="s">
        <v>16</v>
      </c>
      <c r="D84" s="32" t="s">
        <v>3938</v>
      </c>
      <c r="E84" s="11" t="str">
        <f>HYPERLINK("https://youtu.be/SMoGPju2XT8?t=7143","channel 2")</f>
        <v>channel 2</v>
      </c>
    </row>
    <row r="85">
      <c r="A85" s="118"/>
      <c r="B85" s="32" t="s">
        <v>3937</v>
      </c>
      <c r="C85" s="33" t="s">
        <v>267</v>
      </c>
      <c r="D85" s="32" t="s">
        <v>1423</v>
      </c>
      <c r="E85" s="135" t="str">
        <f>HYPERLINK("https://youtu.be/9dTOsQGBkIw?t=7993","channel 1")</f>
        <v>channel 1</v>
      </c>
    </row>
    <row r="86">
      <c r="A86" s="118"/>
      <c r="B86" s="32" t="s">
        <v>3936</v>
      </c>
      <c r="C86" s="33" t="s">
        <v>82</v>
      </c>
      <c r="D86" s="32" t="s">
        <v>1556</v>
      </c>
      <c r="E86" s="11" t="str">
        <f>HYPERLINK("https://youtu.be/SMoGPju2XT8?t=8085","channel 2")</f>
        <v>channel 2</v>
      </c>
    </row>
    <row r="87">
      <c r="A87" s="118"/>
      <c r="B87" s="32" t="s">
        <v>3938</v>
      </c>
      <c r="C87" s="33" t="s">
        <v>86</v>
      </c>
      <c r="D87" s="32" t="s">
        <v>1423</v>
      </c>
      <c r="E87" s="135" t="str">
        <f>HYPERLINK("https://youtu.be/9dTOsQGBkIw?t=8856","channel 1")</f>
        <v>channel 1</v>
      </c>
    </row>
    <row r="88">
      <c r="A88" s="118"/>
      <c r="B88" s="32" t="s">
        <v>3937</v>
      </c>
      <c r="C88" s="33" t="s">
        <v>35</v>
      </c>
      <c r="D88" s="32" t="s">
        <v>1556</v>
      </c>
      <c r="E88" s="11" t="str">
        <f>HYPERLINK("https://youtu.be/SMoGPju2XT8?t=8986","channel 2")</f>
        <v>channel 2</v>
      </c>
    </row>
    <row r="89">
      <c r="A89" s="118"/>
      <c r="B89" s="72" t="s">
        <v>2735</v>
      </c>
      <c r="C89" s="2"/>
      <c r="D89" s="3"/>
      <c r="E89" s="138"/>
    </row>
    <row r="90">
      <c r="A90" s="118"/>
      <c r="B90" s="35" t="s">
        <v>2</v>
      </c>
      <c r="C90" s="35" t="s">
        <v>3</v>
      </c>
      <c r="D90" s="35" t="s">
        <v>4</v>
      </c>
      <c r="E90" s="16" t="s">
        <v>5</v>
      </c>
    </row>
    <row r="91">
      <c r="A91" s="118"/>
      <c r="B91" s="119" t="s">
        <v>1386</v>
      </c>
      <c r="C91" s="33" t="s">
        <v>270</v>
      </c>
      <c r="D91" s="8" t="s">
        <v>3940</v>
      </c>
      <c r="E91" s="135" t="str">
        <f>HYPERLINK("https://youtu.be/GRzxxlkXPT4","channel 1")</f>
        <v>channel 1</v>
      </c>
    </row>
    <row r="92">
      <c r="A92" s="118"/>
      <c r="B92" s="32" t="s">
        <v>3941</v>
      </c>
      <c r="C92" s="33" t="s">
        <v>526</v>
      </c>
      <c r="D92" s="32" t="s">
        <v>3877</v>
      </c>
      <c r="E92" s="11" t="str">
        <f>HYPERLINK("https://youtu.be/jTPCBu4QD7s","channel 2")</f>
        <v>channel 2</v>
      </c>
    </row>
    <row r="93">
      <c r="A93" s="118"/>
      <c r="B93" s="32" t="s">
        <v>635</v>
      </c>
      <c r="C93" s="33" t="s">
        <v>482</v>
      </c>
      <c r="D93" s="32" t="s">
        <v>1386</v>
      </c>
      <c r="E93" s="135" t="str">
        <f>HYPERLINK("https://youtu.be/GRzxxlkXPT4?t=936","channel 1")</f>
        <v>channel 1</v>
      </c>
    </row>
    <row r="94">
      <c r="A94" s="118"/>
      <c r="B94" s="32" t="s">
        <v>3941</v>
      </c>
      <c r="C94" s="33" t="s">
        <v>67</v>
      </c>
      <c r="D94" s="8" t="s">
        <v>3940</v>
      </c>
      <c r="E94" s="11" t="str">
        <f>HYPERLINK("https://youtu.be/jTPCBu4QD7s?t=996","channel 2")</f>
        <v>channel 2</v>
      </c>
    </row>
    <row r="95">
      <c r="A95" s="118"/>
      <c r="B95" s="32" t="s">
        <v>635</v>
      </c>
      <c r="C95" s="37" t="s">
        <v>49</v>
      </c>
      <c r="D95" s="32" t="s">
        <v>3877</v>
      </c>
      <c r="E95" s="135" t="str">
        <f>HYPERLINK("https://youtu.be/GRzxxlkXPT4?t=1639","channel 1")</f>
        <v>channel 1</v>
      </c>
    </row>
    <row r="96">
      <c r="A96" s="118"/>
      <c r="B96" s="32" t="s">
        <v>3941</v>
      </c>
      <c r="C96" s="33" t="s">
        <v>270</v>
      </c>
      <c r="D96" s="32" t="s">
        <v>1386</v>
      </c>
      <c r="E96" s="11" t="str">
        <f>HYPERLINK("https://youtu.be/jTPCBu4QD7s?t=1682","channel 2")</f>
        <v>channel 2</v>
      </c>
    </row>
    <row r="97">
      <c r="A97" s="118"/>
      <c r="B97" s="32" t="s">
        <v>635</v>
      </c>
      <c r="C97" s="33" t="s">
        <v>35</v>
      </c>
      <c r="D97" s="8" t="s">
        <v>3940</v>
      </c>
      <c r="E97" s="135" t="str">
        <f>HYPERLINK("https://youtu.be/GRzxxlkXPT4?t=2622","channel 1")</f>
        <v>channel 1</v>
      </c>
    </row>
    <row r="98">
      <c r="A98" s="118"/>
      <c r="B98" s="32" t="s">
        <v>3877</v>
      </c>
      <c r="C98" s="33" t="s">
        <v>81</v>
      </c>
      <c r="D98" s="32" t="s">
        <v>1386</v>
      </c>
      <c r="E98" s="11" t="str">
        <f>HYPERLINK("https://youtu.be/jTPCBu4QD7s?t=2668","channel 2")</f>
        <v>channel 2</v>
      </c>
    </row>
    <row r="99">
      <c r="A99" s="118"/>
      <c r="B99" s="32" t="s">
        <v>635</v>
      </c>
      <c r="C99" s="33" t="s">
        <v>220</v>
      </c>
      <c r="D99" s="32" t="s">
        <v>3941</v>
      </c>
      <c r="E99" s="135" t="str">
        <f>HYPERLINK("https://youtu.be/GRzxxlkXPT4?t=3535","channel 1")</f>
        <v>channel 1</v>
      </c>
    </row>
    <row r="100">
      <c r="A100" s="118"/>
      <c r="B100" s="32" t="s">
        <v>3877</v>
      </c>
      <c r="C100" s="33" t="s">
        <v>71</v>
      </c>
      <c r="D100" s="8" t="s">
        <v>3940</v>
      </c>
      <c r="E100" s="11" t="str">
        <f>HYPERLINK("https://youtu.be/jTPCBu4QD7s?t=3569","channel 2")</f>
        <v>channel 2</v>
      </c>
    </row>
    <row r="101">
      <c r="A101" s="118"/>
      <c r="B101" s="8" t="s">
        <v>3940</v>
      </c>
      <c r="C101" s="33" t="s">
        <v>260</v>
      </c>
      <c r="D101" s="32" t="s">
        <v>1386</v>
      </c>
      <c r="E101" s="135" t="str">
        <f>HYPERLINK("https://youtu.be/GRzxxlkXPT4?t=4431","channel 1")</f>
        <v>channel 1</v>
      </c>
    </row>
    <row r="102">
      <c r="A102" s="118"/>
      <c r="B102" s="32" t="s">
        <v>3877</v>
      </c>
      <c r="C102" s="33" t="s">
        <v>46</v>
      </c>
      <c r="D102" s="32" t="s">
        <v>3941</v>
      </c>
      <c r="E102" s="11" t="str">
        <f>HYPERLINK("https://youtu.be/jTPCBu4QD7s?t=4459","channel 2")</f>
        <v>channel 2</v>
      </c>
    </row>
    <row r="103">
      <c r="A103" s="118"/>
      <c r="B103" s="32" t="s">
        <v>1386</v>
      </c>
      <c r="C103" s="33" t="s">
        <v>190</v>
      </c>
      <c r="D103" s="32" t="s">
        <v>635</v>
      </c>
      <c r="E103" s="135" t="str">
        <f>HYPERLINK("https://youtu.be/GRzxxlkXPT4?t=5363","channel 1")</f>
        <v>channel 1</v>
      </c>
    </row>
    <row r="104">
      <c r="A104" s="118"/>
      <c r="B104" s="8" t="s">
        <v>3940</v>
      </c>
      <c r="C104" s="33" t="s">
        <v>66</v>
      </c>
      <c r="D104" s="32" t="s">
        <v>3941</v>
      </c>
      <c r="E104" s="11" t="str">
        <f>HYPERLINK("https://youtu.be/jTPCBu4QD7s?t=5382","channel 2")</f>
        <v>channel 2</v>
      </c>
    </row>
    <row r="105">
      <c r="A105" s="118"/>
      <c r="B105" s="32" t="s">
        <v>3877</v>
      </c>
      <c r="C105" s="33" t="s">
        <v>67</v>
      </c>
      <c r="D105" s="32" t="s">
        <v>635</v>
      </c>
      <c r="E105" s="135" t="str">
        <f>HYPERLINK("https://youtu.be/GRzxxlkXPT4?t=6298","channel 1")</f>
        <v>channel 1</v>
      </c>
    </row>
    <row r="106">
      <c r="A106" s="118"/>
      <c r="B106" s="32" t="s">
        <v>1386</v>
      </c>
      <c r="C106" s="33" t="s">
        <v>69</v>
      </c>
      <c r="D106" s="32" t="s">
        <v>3941</v>
      </c>
      <c r="E106" s="11" t="str">
        <f>HYPERLINK("https://youtu.be/jTPCBu4QD7s?t=6289","channel 2")</f>
        <v>channel 2</v>
      </c>
    </row>
    <row r="107">
      <c r="A107" s="118"/>
      <c r="B107" s="8" t="s">
        <v>3940</v>
      </c>
      <c r="C107" s="33" t="s">
        <v>195</v>
      </c>
      <c r="D107" s="32" t="s">
        <v>635</v>
      </c>
      <c r="E107" s="135" t="str">
        <f>HYPERLINK("https://youtu.be/GRzxxlkXPT4?t=7224","channel 1")</f>
        <v>channel 1</v>
      </c>
    </row>
    <row r="108">
      <c r="A108" s="118"/>
      <c r="B108" s="32" t="s">
        <v>1386</v>
      </c>
      <c r="C108" s="33" t="s">
        <v>68</v>
      </c>
      <c r="D108" s="32" t="s">
        <v>3877</v>
      </c>
      <c r="E108" s="11" t="str">
        <f>HYPERLINK("https://youtu.be/jTPCBu4QD7s?t=7242","channel 2")</f>
        <v>channel 2</v>
      </c>
    </row>
    <row r="109">
      <c r="A109" s="118"/>
      <c r="B109" s="32" t="s">
        <v>3941</v>
      </c>
      <c r="C109" s="33" t="s">
        <v>43</v>
      </c>
      <c r="D109" s="32" t="s">
        <v>635</v>
      </c>
      <c r="E109" s="135" t="str">
        <f>HYPERLINK("https://youtu.be/GRzxxlkXPT4?t=8112","channel 1")</f>
        <v>channel 1</v>
      </c>
    </row>
    <row r="110">
      <c r="A110" s="118"/>
      <c r="B110" s="8" t="s">
        <v>3940</v>
      </c>
      <c r="C110" s="33" t="s">
        <v>81</v>
      </c>
      <c r="D110" s="32" t="s">
        <v>3877</v>
      </c>
      <c r="E110" s="11" t="str">
        <f>HYPERLINK("https://youtu.be/jTPCBu4QD7s?t=8111","channel 2")</f>
        <v>channel 2</v>
      </c>
    </row>
    <row r="111">
      <c r="A111" s="118"/>
      <c r="B111" s="72" t="s">
        <v>2464</v>
      </c>
      <c r="C111" s="2"/>
      <c r="D111" s="3"/>
      <c r="E111" s="138"/>
    </row>
    <row r="112">
      <c r="A112" s="118"/>
      <c r="B112" s="35" t="s">
        <v>2</v>
      </c>
      <c r="C112" s="35" t="s">
        <v>3</v>
      </c>
      <c r="D112" s="35" t="s">
        <v>4</v>
      </c>
      <c r="E112" s="16" t="s">
        <v>5</v>
      </c>
    </row>
    <row r="113">
      <c r="A113" s="118"/>
      <c r="B113" s="32" t="s">
        <v>1314</v>
      </c>
      <c r="C113" s="33" t="s">
        <v>190</v>
      </c>
      <c r="D113" s="8" t="s">
        <v>3130</v>
      </c>
      <c r="E113" s="135" t="str">
        <f>HYPERLINK("https://youtu.be/oY3Fn96f0Gg","channel 1")</f>
        <v>channel 1</v>
      </c>
    </row>
    <row r="114">
      <c r="A114" s="118"/>
      <c r="B114" s="32" t="s">
        <v>3785</v>
      </c>
      <c r="C114" s="33" t="s">
        <v>442</v>
      </c>
      <c r="D114" s="32" t="s">
        <v>3942</v>
      </c>
      <c r="E114" s="11" t="str">
        <f>HYPERLINK("https://youtu.be/iKS9KZlD-c4","channel 2")</f>
        <v>channel 2</v>
      </c>
    </row>
    <row r="115">
      <c r="A115" s="118"/>
      <c r="B115" s="32" t="s">
        <v>2430</v>
      </c>
      <c r="C115" s="33" t="s">
        <v>66</v>
      </c>
      <c r="D115" s="32" t="s">
        <v>1314</v>
      </c>
      <c r="E115" s="135" t="str">
        <f>HYPERLINK("https://youtu.be/oY3Fn96f0Gg?t=941","channel 1")</f>
        <v>channel 1</v>
      </c>
    </row>
    <row r="116">
      <c r="A116" s="118"/>
      <c r="B116" s="32" t="s">
        <v>3785</v>
      </c>
      <c r="C116" s="33" t="s">
        <v>726</v>
      </c>
      <c r="D116" s="8" t="s">
        <v>3130</v>
      </c>
      <c r="E116" s="11" t="str">
        <f>HYPERLINK("https://youtu.be/iKS9KZlD-c4?t=1051","channel 2")</f>
        <v>channel 2</v>
      </c>
    </row>
    <row r="117">
      <c r="A117" s="118"/>
      <c r="B117" s="32" t="s">
        <v>2430</v>
      </c>
      <c r="C117" s="33" t="s">
        <v>80</v>
      </c>
      <c r="D117" s="32" t="s">
        <v>3942</v>
      </c>
      <c r="E117" s="135" t="str">
        <f>HYPERLINK("https://youtu.be/oY3Fn96f0Gg?t=1893","channel 1")</f>
        <v>channel 1</v>
      </c>
    </row>
    <row r="118">
      <c r="A118" s="118"/>
      <c r="B118" s="32" t="s">
        <v>3785</v>
      </c>
      <c r="C118" s="33" t="s">
        <v>64</v>
      </c>
      <c r="D118" s="32" t="s">
        <v>1314</v>
      </c>
      <c r="E118" s="11" t="str">
        <f>HYPERLINK("https://youtu.be/iKS9KZlD-c4?t=1937","channel 2")</f>
        <v>channel 2</v>
      </c>
    </row>
    <row r="119">
      <c r="A119" s="118"/>
      <c r="B119" s="32" t="s">
        <v>2430</v>
      </c>
      <c r="C119" s="33" t="s">
        <v>444</v>
      </c>
      <c r="D119" s="8" t="s">
        <v>3130</v>
      </c>
      <c r="E119" s="135" t="str">
        <f>HYPERLINK("https://youtu.be/oY3Fn96f0Gg?t=2818","channel 1")</f>
        <v>channel 1</v>
      </c>
    </row>
    <row r="120">
      <c r="A120" s="118"/>
      <c r="B120" s="32" t="s">
        <v>3942</v>
      </c>
      <c r="C120" s="33" t="s">
        <v>445</v>
      </c>
      <c r="D120" s="32" t="s">
        <v>1314</v>
      </c>
      <c r="E120" s="11" t="str">
        <f>HYPERLINK("https://youtu.be/iKS9KZlD-c4?t=2919","channel 2")</f>
        <v>channel 2</v>
      </c>
    </row>
    <row r="121">
      <c r="A121" s="118"/>
      <c r="B121" s="32" t="s">
        <v>2430</v>
      </c>
      <c r="C121" s="33" t="s">
        <v>3943</v>
      </c>
      <c r="D121" s="32" t="s">
        <v>3785</v>
      </c>
      <c r="E121" s="135" t="str">
        <f>HYPERLINK("https://youtu.be/oY3Fn96f0Gg?t=3734","channel 1")</f>
        <v>channel 1</v>
      </c>
    </row>
    <row r="122">
      <c r="A122" s="118"/>
      <c r="B122" s="32" t="s">
        <v>3942</v>
      </c>
      <c r="C122" s="33" t="s">
        <v>1428</v>
      </c>
      <c r="D122" s="8" t="s">
        <v>3130</v>
      </c>
      <c r="E122" s="11" t="str">
        <f>HYPERLINK("https://youtu.be/iKS9KZlD-c4?t=3850","channel 2")</f>
        <v>channel 2</v>
      </c>
    </row>
    <row r="123">
      <c r="A123" s="118"/>
      <c r="B123" s="8" t="s">
        <v>3130</v>
      </c>
      <c r="C123" s="33" t="s">
        <v>82</v>
      </c>
      <c r="D123" s="32" t="s">
        <v>1314</v>
      </c>
      <c r="E123" s="135" t="str">
        <f>HYPERLINK("https://youtu.be/oY3Fn96f0Gg?t=4648","channel 1")</f>
        <v>channel 1</v>
      </c>
    </row>
    <row r="124">
      <c r="A124" s="118"/>
      <c r="B124" s="32" t="s">
        <v>3942</v>
      </c>
      <c r="C124" s="33" t="s">
        <v>1025</v>
      </c>
      <c r="D124" s="32" t="s">
        <v>3785</v>
      </c>
      <c r="E124" s="11" t="str">
        <f>HYPERLINK("https://youtu.be/iKS9KZlD-c4?t=4772","channel 2")</f>
        <v>channel 2</v>
      </c>
    </row>
    <row r="125">
      <c r="A125" s="118"/>
      <c r="B125" s="32" t="s">
        <v>1314</v>
      </c>
      <c r="C125" s="33" t="s">
        <v>67</v>
      </c>
      <c r="D125" s="32" t="s">
        <v>2430</v>
      </c>
      <c r="E125" s="135" t="str">
        <f>HYPERLINK("https://youtu.be/oY3Fn96f0Gg?t=5585","channel 1")</f>
        <v>channel 1</v>
      </c>
    </row>
    <row r="126">
      <c r="A126" s="118"/>
      <c r="B126" s="8" t="s">
        <v>3130</v>
      </c>
      <c r="C126" s="33" t="s">
        <v>289</v>
      </c>
      <c r="D126" s="32" t="s">
        <v>3785</v>
      </c>
      <c r="E126" s="11" t="str">
        <f>HYPERLINK("https://youtu.be/iKS9KZlD-c4?t=5661","channel 2")</f>
        <v>channel 2</v>
      </c>
    </row>
    <row r="127">
      <c r="A127" s="118"/>
      <c r="B127" s="32" t="s">
        <v>3942</v>
      </c>
      <c r="C127" s="33" t="s">
        <v>1496</v>
      </c>
      <c r="D127" s="32" t="s">
        <v>2430</v>
      </c>
      <c r="E127" s="135" t="str">
        <f>HYPERLINK("https://youtu.be/oY3Fn96f0Gg?t=6440","channel 1")</f>
        <v>channel 1</v>
      </c>
    </row>
    <row r="128">
      <c r="A128" s="118"/>
      <c r="B128" s="32" t="s">
        <v>1314</v>
      </c>
      <c r="C128" s="33" t="s">
        <v>270</v>
      </c>
      <c r="D128" s="32" t="s">
        <v>3785</v>
      </c>
      <c r="E128" s="11" t="str">
        <f>HYPERLINK("https://youtu.be/iKS9KZlD-c4?t=6569","channel 2")</f>
        <v>channel 2</v>
      </c>
    </row>
    <row r="129">
      <c r="A129" s="118"/>
      <c r="B129" s="8" t="s">
        <v>3130</v>
      </c>
      <c r="C129" s="33" t="s">
        <v>400</v>
      </c>
      <c r="D129" s="32" t="s">
        <v>2430</v>
      </c>
      <c r="E129" s="135" t="str">
        <f>HYPERLINK("https://youtu.be/oY3Fn96f0Gg?t=7341","channel 1")</f>
        <v>channel 1</v>
      </c>
    </row>
    <row r="130">
      <c r="A130" s="118"/>
      <c r="B130" s="32" t="s">
        <v>1314</v>
      </c>
      <c r="C130" s="33" t="s">
        <v>67</v>
      </c>
      <c r="D130" s="32" t="s">
        <v>3942</v>
      </c>
      <c r="E130" s="11" t="str">
        <f>HYPERLINK("https://youtu.be/iKS9KZlD-c4?t=7494","channel 2")</f>
        <v>channel 2</v>
      </c>
    </row>
    <row r="131">
      <c r="A131" s="118"/>
      <c r="B131" s="32" t="s">
        <v>3785</v>
      </c>
      <c r="C131" s="33" t="s">
        <v>527</v>
      </c>
      <c r="D131" s="32" t="s">
        <v>2430</v>
      </c>
      <c r="E131" s="135" t="str">
        <f>HYPERLINK("https://youtu.be/oY3Fn96f0Gg?t=8227","channel 1")</f>
        <v>channel 1</v>
      </c>
    </row>
    <row r="132">
      <c r="A132" s="122"/>
      <c r="B132" s="8" t="s">
        <v>3130</v>
      </c>
      <c r="C132" s="33" t="s">
        <v>7</v>
      </c>
      <c r="D132" s="32" t="s">
        <v>3942</v>
      </c>
      <c r="E132" s="11" t="str">
        <f>HYPERLINK("https://youtu.be/iKS9KZlD-c4?t=8403","channel 2")</f>
        <v>channel 2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7"/>
      <c r="B1" s="1" t="s">
        <v>2154</v>
      </c>
      <c r="C1" s="2"/>
      <c r="D1" s="3"/>
      <c r="E1" s="134"/>
    </row>
    <row r="2">
      <c r="A2" s="118"/>
      <c r="B2" s="16" t="s">
        <v>2</v>
      </c>
      <c r="C2" s="16" t="s">
        <v>3</v>
      </c>
      <c r="D2" s="16" t="s">
        <v>4</v>
      </c>
      <c r="E2" s="6" t="s">
        <v>5</v>
      </c>
    </row>
    <row r="3">
      <c r="A3" s="118"/>
      <c r="B3" s="32" t="s">
        <v>3830</v>
      </c>
      <c r="C3" s="33" t="s">
        <v>47</v>
      </c>
      <c r="D3" s="32" t="s">
        <v>1785</v>
      </c>
      <c r="E3" s="135" t="str">
        <f>HYPERLINK("https://youtu.be/Y80h138eHIk","channel 1")</f>
        <v>channel 1</v>
      </c>
    </row>
    <row r="4">
      <c r="A4" s="118"/>
      <c r="B4" s="32" t="s">
        <v>3944</v>
      </c>
      <c r="C4" s="33" t="s">
        <v>22</v>
      </c>
      <c r="D4" s="32" t="s">
        <v>2156</v>
      </c>
      <c r="E4" s="11" t="str">
        <f>HYPERLINK("https://youtu.be/2ziGm-Yu1nE","channel 2")</f>
        <v>channel 2</v>
      </c>
    </row>
    <row r="5">
      <c r="A5" s="118"/>
      <c r="B5" s="32" t="s">
        <v>3945</v>
      </c>
      <c r="C5" s="33" t="s">
        <v>19</v>
      </c>
      <c r="D5" s="32" t="s">
        <v>3830</v>
      </c>
      <c r="E5" s="135" t="str">
        <f>HYPERLINK("https://youtu.be/Y80h138eHIk?t=1051","channel 1")</f>
        <v>channel 1</v>
      </c>
    </row>
    <row r="6">
      <c r="A6" s="118"/>
      <c r="B6" s="32" t="s">
        <v>3944</v>
      </c>
      <c r="C6" s="33" t="s">
        <v>87</v>
      </c>
      <c r="D6" s="32" t="s">
        <v>1785</v>
      </c>
      <c r="E6" s="11" t="str">
        <f>HYPERLINK("https://youtu.be/2ziGm-Yu1nE?t=842","channel 2")</f>
        <v>channel 2</v>
      </c>
    </row>
    <row r="7">
      <c r="A7" s="118"/>
      <c r="B7" s="32" t="s">
        <v>3945</v>
      </c>
      <c r="C7" s="33" t="s">
        <v>62</v>
      </c>
      <c r="D7" s="32" t="s">
        <v>2156</v>
      </c>
      <c r="E7" s="135" t="str">
        <f>HYPERLINK("https://youtu.be/Y80h138eHIk?t=2086","channel 1")</f>
        <v>channel 1</v>
      </c>
    </row>
    <row r="8">
      <c r="A8" s="118"/>
      <c r="B8" s="32" t="s">
        <v>3944</v>
      </c>
      <c r="C8" s="33" t="s">
        <v>260</v>
      </c>
      <c r="D8" s="32" t="s">
        <v>3830</v>
      </c>
      <c r="E8" s="11" t="str">
        <f>HYPERLINK("https://youtu.be/2ziGm-Yu1nE?t=1897","channel 2")</f>
        <v>channel 2</v>
      </c>
    </row>
    <row r="9">
      <c r="A9" s="118"/>
      <c r="B9" s="32" t="s">
        <v>3945</v>
      </c>
      <c r="C9" s="33" t="s">
        <v>544</v>
      </c>
      <c r="D9" s="32" t="s">
        <v>1785</v>
      </c>
      <c r="E9" s="135" t="str">
        <f>HYPERLINK("https://youtu.be/Y80h138eHIk?t=3184","channel 1")</f>
        <v>channel 1</v>
      </c>
    </row>
    <row r="10">
      <c r="A10" s="118"/>
      <c r="B10" s="32" t="s">
        <v>2156</v>
      </c>
      <c r="C10" s="33" t="s">
        <v>276</v>
      </c>
      <c r="D10" s="32" t="s">
        <v>3830</v>
      </c>
      <c r="E10" s="11" t="str">
        <f>HYPERLINK("https://youtu.be/2ziGm-Yu1nE?t=3050","channel 2")</f>
        <v>channel 2</v>
      </c>
    </row>
    <row r="11">
      <c r="A11" s="118"/>
      <c r="B11" s="32" t="s">
        <v>3945</v>
      </c>
      <c r="C11" s="33" t="s">
        <v>72</v>
      </c>
      <c r="D11" s="32" t="s">
        <v>3944</v>
      </c>
      <c r="E11" s="135" t="str">
        <f>HYPERLINK("https://youtu.be/Y80h138eHIk?t=4141","chanel 1")</f>
        <v>chanel 1</v>
      </c>
    </row>
    <row r="12">
      <c r="A12" s="118"/>
      <c r="B12" s="32" t="s">
        <v>2156</v>
      </c>
      <c r="C12" s="33" t="s">
        <v>80</v>
      </c>
      <c r="D12" s="32" t="s">
        <v>1785</v>
      </c>
      <c r="E12" s="11" t="str">
        <f>HYPERLINK("https://youtu.be/2ziGm-Yu1nE?t=4165","channel 2")</f>
        <v>channel 2</v>
      </c>
    </row>
    <row r="13">
      <c r="A13" s="118"/>
      <c r="B13" s="32" t="s">
        <v>1785</v>
      </c>
      <c r="C13" s="33" t="s">
        <v>217</v>
      </c>
      <c r="D13" s="32" t="s">
        <v>3830</v>
      </c>
      <c r="E13" s="146" t="str">
        <f>HYPERLINK("https://youtu.be/Y80h138eHIk?t=5811","channel 1")</f>
        <v>channel 1</v>
      </c>
    </row>
    <row r="14">
      <c r="A14" s="118"/>
      <c r="B14" s="32" t="s">
        <v>2156</v>
      </c>
      <c r="C14" s="33" t="s">
        <v>62</v>
      </c>
      <c r="D14" s="32" t="s">
        <v>3944</v>
      </c>
      <c r="E14" s="11" t="str">
        <f>HYPERLINK("https://youtu.be/2ziGm-Yu1nE?t=5163","channel 2")</f>
        <v>channel 2</v>
      </c>
    </row>
    <row r="15">
      <c r="A15" s="118"/>
      <c r="B15" s="32" t="s">
        <v>3830</v>
      </c>
      <c r="C15" s="33" t="s">
        <v>534</v>
      </c>
      <c r="D15" s="32" t="s">
        <v>3945</v>
      </c>
      <c r="E15" s="135" t="str">
        <f>HYPERLINK("https://youtu.be/Y80h138eHIk?t=6489","channel 1")</f>
        <v>channel 1</v>
      </c>
    </row>
    <row r="16">
      <c r="A16" s="118"/>
      <c r="B16" s="32" t="s">
        <v>1785</v>
      </c>
      <c r="C16" s="33" t="s">
        <v>43</v>
      </c>
      <c r="D16" s="32" t="s">
        <v>3944</v>
      </c>
      <c r="E16" s="11" t="str">
        <f>HYPERLINK("https://youtu.be/2ziGm-Yu1nE?t=6268","channel 2")</f>
        <v>channel 2</v>
      </c>
    </row>
    <row r="17">
      <c r="A17" s="118"/>
      <c r="B17" s="32" t="s">
        <v>2156</v>
      </c>
      <c r="C17" s="33" t="s">
        <v>87</v>
      </c>
      <c r="D17" s="32" t="s">
        <v>3945</v>
      </c>
      <c r="E17" s="135" t="str">
        <f>HYPERLINK("https://youtu.be/Y80h138eHIk?t=7455","channel 1")</f>
        <v>channel 1</v>
      </c>
    </row>
    <row r="18">
      <c r="A18" s="118"/>
      <c r="B18" s="32" t="s">
        <v>3830</v>
      </c>
      <c r="C18" s="33" t="s">
        <v>190</v>
      </c>
      <c r="D18" s="32" t="s">
        <v>3944</v>
      </c>
      <c r="E18" s="11" t="str">
        <f>HYPERLINK("https://youtu.be/2ziGm-Yu1nE?t=7402","channel 2")</f>
        <v>channel 2</v>
      </c>
    </row>
    <row r="19">
      <c r="A19" s="118"/>
      <c r="B19" s="32" t="s">
        <v>1785</v>
      </c>
      <c r="C19" s="33" t="s">
        <v>18</v>
      </c>
      <c r="D19" s="32" t="s">
        <v>3945</v>
      </c>
      <c r="E19" s="135" t="str">
        <f>HYPERLINK("https://youtu.be/Y80h138eHIk?t=8307","channel 1")</f>
        <v>channel 1</v>
      </c>
    </row>
    <row r="20">
      <c r="A20" s="118"/>
      <c r="B20" s="32" t="s">
        <v>3830</v>
      </c>
      <c r="C20" s="33" t="s">
        <v>544</v>
      </c>
      <c r="D20" s="32" t="s">
        <v>2156</v>
      </c>
      <c r="E20" s="11" t="str">
        <f>HYPERLINK("https://youtu.be/2ziGm-Yu1nE?t=8350","channel 2")</f>
        <v>channel 2</v>
      </c>
    </row>
    <row r="21">
      <c r="A21" s="118"/>
      <c r="B21" s="32" t="s">
        <v>3944</v>
      </c>
      <c r="C21" s="33" t="s">
        <v>18</v>
      </c>
      <c r="D21" s="32" t="s">
        <v>3945</v>
      </c>
      <c r="E21" s="135" t="str">
        <f>HYPERLINK("https://youtu.be/Y80h138eHIk?t=9217","channel 1")</f>
        <v>channel 1</v>
      </c>
    </row>
    <row r="22">
      <c r="A22" s="118"/>
      <c r="B22" s="32" t="s">
        <v>1785</v>
      </c>
      <c r="C22" s="33" t="s">
        <v>201</v>
      </c>
      <c r="D22" s="32" t="s">
        <v>2156</v>
      </c>
      <c r="E22" s="11" t="str">
        <f>HYPERLINK("https://youtu.be/2ziGm-Yu1nE?t=9328","channel 2")</f>
        <v>channel 2</v>
      </c>
    </row>
    <row r="23">
      <c r="A23" s="118"/>
      <c r="B23" s="1" t="s">
        <v>3946</v>
      </c>
      <c r="C23" s="2"/>
      <c r="D23" s="3"/>
      <c r="E23" s="134"/>
    </row>
    <row r="24">
      <c r="A24" s="118"/>
      <c r="B24" s="16" t="s">
        <v>2</v>
      </c>
      <c r="C24" s="16" t="s">
        <v>3</v>
      </c>
      <c r="D24" s="16" t="s">
        <v>4</v>
      </c>
      <c r="E24" s="6" t="s">
        <v>5</v>
      </c>
    </row>
    <row r="25">
      <c r="A25" s="118"/>
      <c r="B25" s="8" t="s">
        <v>3947</v>
      </c>
      <c r="C25" s="33" t="s">
        <v>291</v>
      </c>
      <c r="D25" s="32" t="s">
        <v>3948</v>
      </c>
      <c r="E25" s="135" t="str">
        <f>HYPERLINK("https://youtu.be/UTJzmwF6S2I","channel 1")</f>
        <v>channel 1</v>
      </c>
    </row>
    <row r="26">
      <c r="A26" s="118"/>
      <c r="B26" s="32" t="s">
        <v>3949</v>
      </c>
      <c r="C26" s="33" t="s">
        <v>232</v>
      </c>
      <c r="D26" s="32" t="s">
        <v>2901</v>
      </c>
      <c r="E26" s="11" t="str">
        <f>HYPERLINK("https://youtu.be/qoj-HCnTPDc","channel 2")</f>
        <v>channel 2</v>
      </c>
    </row>
    <row r="27">
      <c r="A27" s="118"/>
      <c r="B27" s="32" t="s">
        <v>1990</v>
      </c>
      <c r="C27" s="33" t="s">
        <v>65</v>
      </c>
      <c r="D27" s="8" t="s">
        <v>3947</v>
      </c>
      <c r="E27" s="135" t="str">
        <f>HYPERLINK("https://youtu.be/UTJzmwF6S2I?t=974","channel 1")</f>
        <v>channel 1</v>
      </c>
    </row>
    <row r="28">
      <c r="A28" s="118"/>
      <c r="B28" s="32" t="s">
        <v>3949</v>
      </c>
      <c r="C28" s="33" t="s">
        <v>22</v>
      </c>
      <c r="D28" s="32" t="s">
        <v>3948</v>
      </c>
      <c r="E28" s="11" t="str">
        <f>HYPERLINK("https://youtu.be/qoj-HCnTPDc?t=927","channel 2")</f>
        <v>channel 2</v>
      </c>
    </row>
    <row r="29">
      <c r="A29" s="118"/>
      <c r="B29" s="32" t="s">
        <v>1990</v>
      </c>
      <c r="C29" s="33" t="s">
        <v>81</v>
      </c>
      <c r="D29" s="32" t="s">
        <v>2901</v>
      </c>
      <c r="E29" s="135" t="str">
        <f>HYPERLINK("https://youtu.be/UTJzmwF6S2I?t=1903","channel 1")</f>
        <v>channel 1</v>
      </c>
    </row>
    <row r="30">
      <c r="A30" s="118"/>
      <c r="B30" s="32" t="s">
        <v>3949</v>
      </c>
      <c r="C30" s="33" t="s">
        <v>482</v>
      </c>
      <c r="D30" s="8" t="s">
        <v>3947</v>
      </c>
      <c r="E30" s="11" t="str">
        <f>HYPERLINK("https://youtu.be/qoj-HCnTPDc?t=1758","channel 2")</f>
        <v>channel 2</v>
      </c>
    </row>
    <row r="31">
      <c r="A31" s="118"/>
      <c r="B31" s="32" t="s">
        <v>1990</v>
      </c>
      <c r="C31" s="33" t="s">
        <v>190</v>
      </c>
      <c r="D31" s="32" t="s">
        <v>3948</v>
      </c>
      <c r="E31" s="135" t="str">
        <f>HYPERLINK("https://youtu.be/UTJzmwF6S2I?t=2794","channel 1")</f>
        <v>channel 1</v>
      </c>
    </row>
    <row r="32">
      <c r="A32" s="118"/>
      <c r="B32" s="32" t="s">
        <v>2901</v>
      </c>
      <c r="C32" s="33" t="s">
        <v>330</v>
      </c>
      <c r="D32" s="8" t="s">
        <v>3947</v>
      </c>
      <c r="E32" s="11" t="str">
        <f>HYPERLINK("https://youtu.be/qoj-HCnTPDc?t=2827","channel 2")</f>
        <v>channel 2</v>
      </c>
    </row>
    <row r="33">
      <c r="A33" s="118"/>
      <c r="B33" s="32" t="s">
        <v>1990</v>
      </c>
      <c r="C33" s="33" t="s">
        <v>365</v>
      </c>
      <c r="D33" s="32" t="s">
        <v>3949</v>
      </c>
      <c r="E33" s="135" t="str">
        <f>HYPERLINK("https://youtu.be/UTJzmwF6S2I?t=3652","channel 1")</f>
        <v>channel 1</v>
      </c>
    </row>
    <row r="34">
      <c r="A34" s="118"/>
      <c r="B34" s="32" t="s">
        <v>2901</v>
      </c>
      <c r="C34" s="33" t="s">
        <v>62</v>
      </c>
      <c r="D34" s="32" t="s">
        <v>3948</v>
      </c>
      <c r="E34" s="11" t="str">
        <f>HYPERLINK("https://youtu.be/qoj-HCnTPDc?t=3693","channel 2")</f>
        <v>channel 2</v>
      </c>
    </row>
    <row r="35">
      <c r="A35" s="118"/>
      <c r="B35" s="32" t="s">
        <v>3948</v>
      </c>
      <c r="C35" s="33" t="s">
        <v>20</v>
      </c>
      <c r="D35" s="8" t="s">
        <v>3947</v>
      </c>
      <c r="E35" s="135" t="str">
        <f>HYPERLINK("https://youtu.be/UTJzmwF6S2I?t=4647","channel 1")</f>
        <v>channel 1</v>
      </c>
    </row>
    <row r="36">
      <c r="A36" s="118"/>
      <c r="B36" s="32" t="s">
        <v>2901</v>
      </c>
      <c r="C36" s="33" t="s">
        <v>68</v>
      </c>
      <c r="D36" s="32" t="s">
        <v>3949</v>
      </c>
      <c r="E36" s="11" t="str">
        <f>HYPERLINK("https://youtu.be/qoj-HCnTPDc?t=4514","channel 2")</f>
        <v>channel 2</v>
      </c>
    </row>
    <row r="37">
      <c r="A37" s="118"/>
      <c r="B37" s="8" t="s">
        <v>3947</v>
      </c>
      <c r="C37" s="33" t="s">
        <v>66</v>
      </c>
      <c r="D37" s="32" t="s">
        <v>1990</v>
      </c>
      <c r="E37" s="135" t="str">
        <f>HYPERLINK("https://youtu.be/UTJzmwF6S2I?t=5571","channel 1")</f>
        <v>channel 1</v>
      </c>
    </row>
    <row r="38">
      <c r="A38" s="118"/>
      <c r="B38" s="32" t="s">
        <v>3948</v>
      </c>
      <c r="C38" s="33" t="s">
        <v>201</v>
      </c>
      <c r="D38" s="32" t="s">
        <v>3949</v>
      </c>
      <c r="E38" s="11" t="str">
        <f>HYPERLINK("https://youtu.be/qoj-HCnTPDc?t=5389","channel 2")</f>
        <v>channel 2</v>
      </c>
    </row>
    <row r="39">
      <c r="A39" s="118"/>
      <c r="B39" s="32" t="s">
        <v>2901</v>
      </c>
      <c r="C39" s="35" t="s">
        <v>400</v>
      </c>
      <c r="D39" s="32" t="s">
        <v>1990</v>
      </c>
      <c r="E39" s="135" t="str">
        <f>HYPERLINK("https://youtu.be/UTJzmwF6S2I?t=6469","channel 1")</f>
        <v>channel 1</v>
      </c>
    </row>
    <row r="40">
      <c r="A40" s="118"/>
      <c r="B40" s="8" t="s">
        <v>3947</v>
      </c>
      <c r="C40" s="33" t="s">
        <v>308</v>
      </c>
      <c r="D40" s="32" t="s">
        <v>3949</v>
      </c>
      <c r="E40" s="11" t="str">
        <f>HYPERLINK("https://youtu.be/qoj-HCnTPDc?t=6361","channel 2")</f>
        <v>channel 2</v>
      </c>
    </row>
    <row r="41">
      <c r="A41" s="118"/>
      <c r="B41" s="32" t="s">
        <v>3948</v>
      </c>
      <c r="C41" s="33" t="s">
        <v>215</v>
      </c>
      <c r="D41" s="32" t="s">
        <v>1990</v>
      </c>
      <c r="E41" s="135" t="str">
        <f>HYPERLINK("https://youtu.be/UTJzmwF6S2I?t=7630","channel 1")</f>
        <v>channel 1</v>
      </c>
    </row>
    <row r="42">
      <c r="A42" s="118"/>
      <c r="B42" s="8" t="s">
        <v>3947</v>
      </c>
      <c r="C42" s="33" t="s">
        <v>69</v>
      </c>
      <c r="D42" s="32" t="s">
        <v>2901</v>
      </c>
      <c r="E42" s="11" t="str">
        <f>HYPERLINK("https://youtu.be/qoj-HCnTPDc?t=7324","channel 2")</f>
        <v>channel 2</v>
      </c>
    </row>
    <row r="43">
      <c r="A43" s="118"/>
      <c r="B43" s="32" t="s">
        <v>3949</v>
      </c>
      <c r="C43" s="33" t="s">
        <v>412</v>
      </c>
      <c r="D43" s="32" t="s">
        <v>1990</v>
      </c>
      <c r="E43" s="135" t="str">
        <f>HYPERLINK("https://youtu.be/UTJzmwF6S2I?t=8526","channel 1")</f>
        <v>channel 1</v>
      </c>
    </row>
    <row r="44">
      <c r="A44" s="118"/>
      <c r="B44" s="32" t="s">
        <v>3948</v>
      </c>
      <c r="C44" s="33" t="s">
        <v>66</v>
      </c>
      <c r="D44" s="32" t="s">
        <v>2901</v>
      </c>
      <c r="E44" s="11" t="str">
        <f>HYPERLINK("https://youtu.be/qoj-HCnTPDc?t=8375","channel 2")</f>
        <v>channel 2</v>
      </c>
    </row>
    <row r="45">
      <c r="A45" s="118"/>
      <c r="B45" s="1" t="s">
        <v>2041</v>
      </c>
      <c r="C45" s="2"/>
      <c r="D45" s="3"/>
      <c r="E45" s="134"/>
    </row>
    <row r="46">
      <c r="A46" s="118"/>
      <c r="B46" s="16" t="s">
        <v>2</v>
      </c>
      <c r="C46" s="16" t="s">
        <v>3</v>
      </c>
      <c r="D46" s="16" t="s">
        <v>4</v>
      </c>
      <c r="E46" s="6" t="s">
        <v>5</v>
      </c>
    </row>
    <row r="47">
      <c r="A47" s="118"/>
      <c r="B47" s="32" t="s">
        <v>3950</v>
      </c>
      <c r="C47" s="33" t="s">
        <v>240</v>
      </c>
      <c r="D47" s="32" t="s">
        <v>612</v>
      </c>
      <c r="E47" s="135" t="str">
        <f>HYPERLINK("https://youtu.be/xX9T7pBxWFc","channel 1")</f>
        <v>channel 1</v>
      </c>
    </row>
    <row r="48">
      <c r="A48" s="118"/>
      <c r="B48" s="32" t="s">
        <v>2108</v>
      </c>
      <c r="C48" s="33" t="s">
        <v>71</v>
      </c>
      <c r="D48" s="32" t="s">
        <v>816</v>
      </c>
      <c r="E48" s="11" t="str">
        <f>HYPERLINK("https://youtu.be/mG0CYVeNaUU","channel 2")</f>
        <v>channel 2</v>
      </c>
    </row>
    <row r="49">
      <c r="A49" s="118"/>
      <c r="B49" s="32" t="s">
        <v>3951</v>
      </c>
      <c r="C49" s="33" t="s">
        <v>81</v>
      </c>
      <c r="D49" s="32" t="s">
        <v>3950</v>
      </c>
      <c r="E49" s="135" t="str">
        <f>HYPERLINK("https://youtu.be/xX9T7pBxWFc?t=909","channel 1")</f>
        <v>channel 1</v>
      </c>
    </row>
    <row r="50">
      <c r="A50" s="118"/>
      <c r="B50" s="32" t="s">
        <v>2108</v>
      </c>
      <c r="C50" s="33" t="s">
        <v>87</v>
      </c>
      <c r="D50" s="32" t="s">
        <v>612</v>
      </c>
      <c r="E50" s="11" t="str">
        <f>HYPERLINK("https://youtu.be/mG0CYVeNaUU?t=891","channel 2")</f>
        <v>channel 2</v>
      </c>
    </row>
    <row r="51">
      <c r="A51" s="118"/>
      <c r="B51" s="32" t="s">
        <v>3951</v>
      </c>
      <c r="C51" s="33" t="s">
        <v>20</v>
      </c>
      <c r="D51" s="32" t="s">
        <v>816</v>
      </c>
      <c r="E51" s="135" t="str">
        <f>HYPERLINK("https://youtu.be/xX9T7pBxWFc?t=1844","channel 1")</f>
        <v>channel 1</v>
      </c>
    </row>
    <row r="52">
      <c r="A52" s="118"/>
      <c r="B52" s="32" t="s">
        <v>2108</v>
      </c>
      <c r="C52" s="33" t="s">
        <v>196</v>
      </c>
      <c r="D52" s="32" t="s">
        <v>3950</v>
      </c>
      <c r="E52" s="11" t="str">
        <f>HYPERLINK("https://youtu.be/mG0CYVeNaUU?t=1887","channel 2")</f>
        <v>channel 2</v>
      </c>
    </row>
    <row r="53">
      <c r="A53" s="118"/>
      <c r="B53" s="32" t="s">
        <v>3951</v>
      </c>
      <c r="C53" s="33" t="s">
        <v>239</v>
      </c>
      <c r="D53" s="32" t="s">
        <v>612</v>
      </c>
      <c r="E53" s="135" t="str">
        <f>HYPERLINK("https://youtu.be/xX9T7pBxWFc?t=2772","channel 1")</f>
        <v>channel 1</v>
      </c>
    </row>
    <row r="54">
      <c r="A54" s="118"/>
      <c r="B54" s="32" t="s">
        <v>816</v>
      </c>
      <c r="C54" s="33" t="s">
        <v>426</v>
      </c>
      <c r="D54" s="32" t="s">
        <v>3950</v>
      </c>
      <c r="E54" s="11" t="str">
        <f>HYPERLINK("https://youtu.be/mG0CYVeNaUU?t=2936","channel 2")</f>
        <v>channel 2</v>
      </c>
    </row>
    <row r="55">
      <c r="A55" s="118"/>
      <c r="B55" s="32" t="s">
        <v>3951</v>
      </c>
      <c r="C55" s="33" t="s">
        <v>21</v>
      </c>
      <c r="D55" s="32" t="s">
        <v>2108</v>
      </c>
      <c r="E55" s="135" t="str">
        <f>HYPERLINK("https://youtu.be/xX9T7pBxWFc?t=3779","channel 1")</f>
        <v>channel 1</v>
      </c>
    </row>
    <row r="56">
      <c r="A56" s="118"/>
      <c r="B56" s="32" t="s">
        <v>816</v>
      </c>
      <c r="C56" s="33" t="s">
        <v>11</v>
      </c>
      <c r="D56" s="32" t="s">
        <v>612</v>
      </c>
      <c r="E56" s="11" t="str">
        <f>HYPERLINK("https://youtu.be/mG0CYVeNaUU?t=3991","channel 2")</f>
        <v>channel 2</v>
      </c>
    </row>
    <row r="57">
      <c r="A57" s="118"/>
      <c r="B57" s="32" t="s">
        <v>612</v>
      </c>
      <c r="C57" s="33" t="s">
        <v>43</v>
      </c>
      <c r="D57" s="32" t="s">
        <v>3950</v>
      </c>
      <c r="E57" s="135" t="str">
        <f>HYPERLINK("https://youtu.be/xX9T7pBxWFc?t=4752","channel 1")</f>
        <v>channel 1</v>
      </c>
    </row>
    <row r="58">
      <c r="A58" s="118"/>
      <c r="B58" s="32" t="s">
        <v>816</v>
      </c>
      <c r="C58" s="33" t="s">
        <v>43</v>
      </c>
      <c r="D58" s="32" t="s">
        <v>2108</v>
      </c>
      <c r="E58" s="11" t="str">
        <f>HYPERLINK("https://youtu.be/mG0CYVeNaUU?t=4871","channel 2")</f>
        <v>channel 2</v>
      </c>
    </row>
    <row r="59">
      <c r="A59" s="118"/>
      <c r="B59" s="32" t="s">
        <v>3950</v>
      </c>
      <c r="C59" s="33" t="s">
        <v>7</v>
      </c>
      <c r="D59" s="32" t="s">
        <v>3951</v>
      </c>
      <c r="E59" s="135" t="str">
        <f>HYPERLINK("https://youtu.be/xX9T7pBxWFc?t=5792","channel 1")</f>
        <v>channel 1</v>
      </c>
    </row>
    <row r="60">
      <c r="A60" s="118"/>
      <c r="B60" s="32" t="s">
        <v>612</v>
      </c>
      <c r="C60" s="33" t="s">
        <v>43</v>
      </c>
      <c r="D60" s="32" t="s">
        <v>2108</v>
      </c>
      <c r="E60" s="11" t="str">
        <f>HYPERLINK("https://youtu.be/mG0CYVeNaUU?t=5962","channel 2")</f>
        <v>channel 2</v>
      </c>
    </row>
    <row r="61">
      <c r="A61" s="118"/>
      <c r="B61" s="32" t="s">
        <v>816</v>
      </c>
      <c r="C61" s="33" t="s">
        <v>52</v>
      </c>
      <c r="D61" s="32" t="s">
        <v>3951</v>
      </c>
      <c r="E61" s="135" t="str">
        <f>HYPERLINK("https://youtu.be/xX9T7pBxWFc?t=6932","channel 1")</f>
        <v>channel 1</v>
      </c>
    </row>
    <row r="62">
      <c r="A62" s="118"/>
      <c r="B62" s="32" t="s">
        <v>3950</v>
      </c>
      <c r="C62" s="33" t="s">
        <v>64</v>
      </c>
      <c r="D62" s="32" t="s">
        <v>2108</v>
      </c>
      <c r="E62" s="11" t="str">
        <f>HYPERLINK("https://youtu.be/mG0CYVeNaUU?t=6933","channel 2")</f>
        <v>channel 2</v>
      </c>
    </row>
    <row r="63">
      <c r="A63" s="118"/>
      <c r="B63" s="32" t="s">
        <v>612</v>
      </c>
      <c r="C63" s="33" t="s">
        <v>43</v>
      </c>
      <c r="D63" s="32" t="s">
        <v>3951</v>
      </c>
      <c r="E63" s="135" t="str">
        <f>HYPERLINK("https://youtu.be/xX9T7pBxWFc?t=7877","channel 1")</f>
        <v>channel 1</v>
      </c>
    </row>
    <row r="64">
      <c r="A64" s="118"/>
      <c r="B64" s="32" t="s">
        <v>3950</v>
      </c>
      <c r="C64" s="33" t="s">
        <v>984</v>
      </c>
      <c r="D64" s="32" t="s">
        <v>816</v>
      </c>
      <c r="E64" s="11" t="str">
        <f>HYPERLINK("https://youtu.be/mG0CYVeNaUU?t=8124","channel 2")</f>
        <v>channel 2</v>
      </c>
    </row>
    <row r="65">
      <c r="A65" s="118"/>
      <c r="B65" s="32" t="s">
        <v>2108</v>
      </c>
      <c r="C65" s="33" t="s">
        <v>20</v>
      </c>
      <c r="D65" s="32" t="s">
        <v>3951</v>
      </c>
      <c r="E65" s="135" t="str">
        <f>HYPERLINK("https://youtu.be/xX9T7pBxWFc?t=8876","channel 1")</f>
        <v>channel 1</v>
      </c>
    </row>
    <row r="66">
      <c r="A66" s="118"/>
      <c r="B66" s="32" t="s">
        <v>612</v>
      </c>
      <c r="C66" s="33" t="s">
        <v>19</v>
      </c>
      <c r="D66" s="32" t="s">
        <v>816</v>
      </c>
      <c r="E66" s="11" t="str">
        <f>HYPERLINK("https://youtu.be/mG0CYVeNaUU?t=9010","channel 2")</f>
        <v>channel 2</v>
      </c>
    </row>
    <row r="67">
      <c r="A67" s="118"/>
      <c r="B67" s="1" t="s">
        <v>1435</v>
      </c>
      <c r="C67" s="2"/>
      <c r="D67" s="3"/>
      <c r="E67" s="138"/>
    </row>
    <row r="68">
      <c r="A68" s="118"/>
      <c r="B68" s="16" t="s">
        <v>2</v>
      </c>
      <c r="C68" s="16" t="s">
        <v>3</v>
      </c>
      <c r="D68" s="16" t="s">
        <v>4</v>
      </c>
      <c r="E68" s="16" t="s">
        <v>5</v>
      </c>
    </row>
    <row r="69">
      <c r="A69" s="118"/>
      <c r="B69" s="32" t="s">
        <v>3952</v>
      </c>
      <c r="C69" s="33" t="s">
        <v>70</v>
      </c>
      <c r="D69" s="32" t="s">
        <v>1320</v>
      </c>
      <c r="E69" s="135" t="str">
        <f>HYPERLINK("https://youtu.be/fCXjGGCSmD8","channel 1")</f>
        <v>channel 1</v>
      </c>
    </row>
    <row r="70">
      <c r="A70" s="118"/>
      <c r="B70" s="32" t="s">
        <v>1790</v>
      </c>
      <c r="C70" s="33" t="s">
        <v>3919</v>
      </c>
      <c r="D70" s="32" t="s">
        <v>1729</v>
      </c>
      <c r="E70" s="11" t="str">
        <f>HYPERLINK("https://youtu.be/uUr-jDvd8hQ","channel 2")</f>
        <v>channel 2</v>
      </c>
    </row>
    <row r="71">
      <c r="A71" s="118"/>
      <c r="B71" s="32" t="s">
        <v>3953</v>
      </c>
      <c r="C71" s="33" t="s">
        <v>218</v>
      </c>
      <c r="D71" s="32" t="s">
        <v>3952</v>
      </c>
      <c r="E71" s="135" t="str">
        <f>HYPERLINK("https://youtu.be/fCXjGGCSmD8?t=1041","channel 1")</f>
        <v>channel 1</v>
      </c>
    </row>
    <row r="72">
      <c r="A72" s="118"/>
      <c r="B72" s="32" t="s">
        <v>1790</v>
      </c>
      <c r="C72" s="33" t="s">
        <v>249</v>
      </c>
      <c r="D72" s="32" t="s">
        <v>1320</v>
      </c>
      <c r="E72" s="11" t="str">
        <f>HYPERLINK("https://youtu.be/uUr-jDvd8hQ?t=873","channel 2")</f>
        <v>channel 2</v>
      </c>
    </row>
    <row r="73">
      <c r="A73" s="118"/>
      <c r="B73" s="32" t="s">
        <v>3953</v>
      </c>
      <c r="C73" s="33" t="s">
        <v>18</v>
      </c>
      <c r="D73" s="32" t="s">
        <v>1729</v>
      </c>
      <c r="E73" s="135" t="str">
        <f>HYPERLINK("https://youtu.be/fCXjGGCSmD8?t=2030","channel 1")</f>
        <v>channel 1</v>
      </c>
    </row>
    <row r="74">
      <c r="A74" s="118"/>
      <c r="B74" s="32" t="s">
        <v>1790</v>
      </c>
      <c r="C74" s="33" t="s">
        <v>11</v>
      </c>
      <c r="D74" s="32" t="s">
        <v>3952</v>
      </c>
      <c r="E74" s="11" t="str">
        <f>HYPERLINK("https://youtu.be/uUr-jDvd8hQ?t=1791","channel 2")</f>
        <v>channel 2</v>
      </c>
    </row>
    <row r="75">
      <c r="A75" s="118"/>
      <c r="B75" s="32" t="s">
        <v>3953</v>
      </c>
      <c r="C75" s="33" t="s">
        <v>218</v>
      </c>
      <c r="D75" s="32" t="s">
        <v>1320</v>
      </c>
      <c r="E75" s="135" t="str">
        <f>HYPERLINK("https://youtu.be/fCXjGGCSmD8?t=3000","channel 1")</f>
        <v>channel 1</v>
      </c>
    </row>
    <row r="76">
      <c r="A76" s="118"/>
      <c r="B76" s="32" t="s">
        <v>1729</v>
      </c>
      <c r="C76" s="33" t="s">
        <v>26</v>
      </c>
      <c r="D76" s="32" t="s">
        <v>3952</v>
      </c>
      <c r="E76" s="11" t="str">
        <f>HYPERLINK("https://youtu.be/uUr-jDvd8hQ?t=2704","channel 2")</f>
        <v>channel 2</v>
      </c>
    </row>
    <row r="77">
      <c r="A77" s="118"/>
      <c r="B77" s="32" t="s">
        <v>3953</v>
      </c>
      <c r="C77" s="33" t="s">
        <v>42</v>
      </c>
      <c r="D77" s="32" t="s">
        <v>1790</v>
      </c>
      <c r="E77" s="135" t="str">
        <f>HYPERLINK("https://youtu.be/fCXjGGCSmD8?t=3929","channel 1")</f>
        <v>channel 1</v>
      </c>
    </row>
    <row r="78">
      <c r="A78" s="118"/>
      <c r="B78" s="32" t="s">
        <v>1729</v>
      </c>
      <c r="C78" s="33" t="s">
        <v>22</v>
      </c>
      <c r="D78" s="32" t="s">
        <v>1320</v>
      </c>
      <c r="E78" s="11" t="str">
        <f>HYPERLINK("https://youtu.be/uUr-jDvd8hQ?t=3722","channel 2")</f>
        <v>channel 2</v>
      </c>
    </row>
    <row r="79">
      <c r="A79" s="118"/>
      <c r="B79" s="32" t="s">
        <v>1320</v>
      </c>
      <c r="C79" s="33" t="s">
        <v>52</v>
      </c>
      <c r="D79" s="32" t="s">
        <v>3952</v>
      </c>
      <c r="E79" s="135" t="str">
        <f>HYPERLINK("https://youtu.be/fCXjGGCSmD8?t=4909","channel 1")</f>
        <v>channel 1</v>
      </c>
    </row>
    <row r="80">
      <c r="A80" s="118"/>
      <c r="B80" s="32" t="s">
        <v>1729</v>
      </c>
      <c r="C80" s="33" t="s">
        <v>21</v>
      </c>
      <c r="D80" s="32" t="s">
        <v>1790</v>
      </c>
      <c r="E80" s="11" t="str">
        <f>HYPERLINK("https://youtu.be/uUr-jDvd8hQ?t=4774","channel 2")</f>
        <v>channel 2</v>
      </c>
    </row>
    <row r="81">
      <c r="A81" s="118"/>
      <c r="B81" s="32" t="s">
        <v>3952</v>
      </c>
      <c r="C81" s="33" t="s">
        <v>195</v>
      </c>
      <c r="D81" s="32" t="s">
        <v>3953</v>
      </c>
      <c r="E81" s="135" t="str">
        <f>HYPERLINK("https://youtu.be/fCXjGGCSmD8?t=5924","channel 1")</f>
        <v>channel 1</v>
      </c>
    </row>
    <row r="82">
      <c r="A82" s="118"/>
      <c r="B82" s="32" t="s">
        <v>1320</v>
      </c>
      <c r="C82" s="33" t="s">
        <v>251</v>
      </c>
      <c r="D82" s="32" t="s">
        <v>1790</v>
      </c>
      <c r="E82" s="11" t="str">
        <f>HYPERLINK("https://youtu.be/uUr-jDvd8hQ?t=5642","channel 2")</f>
        <v>channel 2</v>
      </c>
    </row>
    <row r="83">
      <c r="A83" s="118"/>
      <c r="B83" s="32" t="s">
        <v>1729</v>
      </c>
      <c r="C83" s="33" t="s">
        <v>218</v>
      </c>
      <c r="D83" s="32" t="s">
        <v>3953</v>
      </c>
      <c r="E83" s="135" t="str">
        <f>HYPERLINK("https://youtu.be/fCXjGGCSmD8?t=6847","channel 1")</f>
        <v>channel 1</v>
      </c>
    </row>
    <row r="84">
      <c r="A84" s="118"/>
      <c r="B84" s="32" t="s">
        <v>3952</v>
      </c>
      <c r="C84" s="33" t="s">
        <v>87</v>
      </c>
      <c r="D84" s="32" t="s">
        <v>1790</v>
      </c>
      <c r="E84" s="11" t="str">
        <f>HYPERLINK("https://youtu.be/uUr-jDvd8hQ?t=6719","channel 2")</f>
        <v>channel 2</v>
      </c>
    </row>
    <row r="85">
      <c r="A85" s="118"/>
      <c r="B85" s="32" t="s">
        <v>1320</v>
      </c>
      <c r="C85" s="33" t="s">
        <v>19</v>
      </c>
      <c r="D85" s="32" t="s">
        <v>3953</v>
      </c>
      <c r="E85" s="135" t="str">
        <f>HYPERLINK("https://youtu.be/fCXjGGCSmD8?t=7749","channel 1")</f>
        <v>channel 1</v>
      </c>
    </row>
    <row r="86">
      <c r="A86" s="118"/>
      <c r="B86" s="32" t="s">
        <v>3952</v>
      </c>
      <c r="C86" s="33" t="s">
        <v>64</v>
      </c>
      <c r="D86" s="32" t="s">
        <v>1729</v>
      </c>
      <c r="E86" s="11" t="str">
        <f>HYPERLINK("https://youtu.be/uUr-jDvd8hQ?t=7712","channel 2")</f>
        <v>channel 2</v>
      </c>
    </row>
    <row r="87">
      <c r="A87" s="118"/>
      <c r="B87" s="32" t="s">
        <v>1790</v>
      </c>
      <c r="C87" s="33" t="s">
        <v>1425</v>
      </c>
      <c r="D87" s="32" t="s">
        <v>3953</v>
      </c>
      <c r="E87" s="135" t="str">
        <f>HYPERLINK("https://youtu.be/fCXjGGCSmD8?t=8625","channel 1")</f>
        <v>channel 1</v>
      </c>
    </row>
    <row r="88">
      <c r="A88" s="118"/>
      <c r="B88" s="32" t="s">
        <v>1320</v>
      </c>
      <c r="C88" s="33" t="s">
        <v>201</v>
      </c>
      <c r="D88" s="32" t="s">
        <v>1729</v>
      </c>
      <c r="E88" s="11" t="str">
        <f>HYPERLINK("https://youtu.be/uUr-jDvd8hQ?t=8570","channel 2")</f>
        <v>channel 2</v>
      </c>
    </row>
    <row r="89">
      <c r="A89" s="118"/>
      <c r="B89" s="72" t="s">
        <v>3491</v>
      </c>
      <c r="C89" s="2"/>
      <c r="D89" s="3"/>
      <c r="E89" s="138"/>
    </row>
    <row r="90">
      <c r="A90" s="118"/>
      <c r="B90" s="16" t="s">
        <v>2</v>
      </c>
      <c r="C90" s="16" t="s">
        <v>3</v>
      </c>
      <c r="D90" s="16" t="s">
        <v>4</v>
      </c>
      <c r="E90" s="16" t="s">
        <v>5</v>
      </c>
    </row>
    <row r="91">
      <c r="A91" s="118"/>
      <c r="B91" s="32" t="s">
        <v>3224</v>
      </c>
      <c r="C91" s="33" t="s">
        <v>14</v>
      </c>
      <c r="D91" s="32" t="s">
        <v>3705</v>
      </c>
      <c r="E91" s="135" t="str">
        <f>HYPERLINK("https://youtu.be/dkF3qG1_U7w","channel 1")</f>
        <v>channel 1</v>
      </c>
    </row>
    <row r="92">
      <c r="A92" s="118"/>
      <c r="B92" s="32" t="s">
        <v>2706</v>
      </c>
      <c r="C92" s="33" t="s">
        <v>389</v>
      </c>
      <c r="D92" s="32" t="s">
        <v>1453</v>
      </c>
      <c r="E92" s="11" t="str">
        <f>HYPERLINK("https://youtu.be/vizBeLpHSwQ","channel 2")</f>
        <v>channel 2</v>
      </c>
    </row>
    <row r="93">
      <c r="A93" s="118"/>
      <c r="B93" s="32" t="s">
        <v>1500</v>
      </c>
      <c r="C93" s="33" t="s">
        <v>556</v>
      </c>
      <c r="D93" s="32" t="s">
        <v>3224</v>
      </c>
      <c r="E93" s="135" t="str">
        <f>HYPERLINK("https://youtu.be/dkF3qG1_U7w?t=1056","channel 1")</f>
        <v>channel 1</v>
      </c>
    </row>
    <row r="94">
      <c r="A94" s="118"/>
      <c r="B94" s="32" t="s">
        <v>2706</v>
      </c>
      <c r="C94" s="33" t="s">
        <v>197</v>
      </c>
      <c r="D94" s="32" t="s">
        <v>3705</v>
      </c>
      <c r="E94" s="11" t="str">
        <f>HYPERLINK("https://youtu.be/vizBeLpHSwQ?t=955","channel 2")</f>
        <v>channel 2</v>
      </c>
    </row>
    <row r="95">
      <c r="A95" s="118"/>
      <c r="B95" s="32" t="s">
        <v>1500</v>
      </c>
      <c r="C95" s="33" t="s">
        <v>195</v>
      </c>
      <c r="D95" s="32" t="s">
        <v>1453</v>
      </c>
      <c r="E95" s="135" t="str">
        <f>HYPERLINK("https://youtu.be/dkF3qG1_U7w?t=1941","channel 1")</f>
        <v>channel 1</v>
      </c>
    </row>
    <row r="96">
      <c r="A96" s="118"/>
      <c r="B96" s="32" t="s">
        <v>2706</v>
      </c>
      <c r="C96" s="33" t="s">
        <v>41</v>
      </c>
      <c r="D96" s="32" t="s">
        <v>3224</v>
      </c>
      <c r="E96" s="11" t="str">
        <f>HYPERLINK("https://youtu.be/vizBeLpHSwQ?t=1893","channel 2")</f>
        <v>channel 2</v>
      </c>
    </row>
    <row r="97">
      <c r="A97" s="118"/>
      <c r="B97" s="32" t="s">
        <v>1500</v>
      </c>
      <c r="C97" s="33" t="s">
        <v>260</v>
      </c>
      <c r="D97" s="32" t="s">
        <v>3705</v>
      </c>
      <c r="E97" s="135" t="str">
        <f>HYPERLINK("https://youtu.be/dkF3qG1_U7w?t=2845","channel 1")</f>
        <v>channel 1</v>
      </c>
    </row>
    <row r="98">
      <c r="A98" s="118"/>
      <c r="B98" s="32" t="s">
        <v>1453</v>
      </c>
      <c r="C98" s="33" t="s">
        <v>18</v>
      </c>
      <c r="D98" s="32" t="s">
        <v>3224</v>
      </c>
      <c r="E98" s="11" t="str">
        <f>HYPERLINK("https://youtu.be/vizBeLpHSwQ?t=2763","channel 2")</f>
        <v>channel 2</v>
      </c>
    </row>
    <row r="99">
      <c r="A99" s="118"/>
      <c r="B99" s="32" t="s">
        <v>1500</v>
      </c>
      <c r="C99" s="33" t="s">
        <v>218</v>
      </c>
      <c r="D99" s="32" t="s">
        <v>2706</v>
      </c>
      <c r="E99" s="135" t="str">
        <f>HYPERLINK("https://youtu.be/dkF3qG1_U7w?t=3737","channel 1")</f>
        <v>channel 1</v>
      </c>
    </row>
    <row r="100">
      <c r="A100" s="118"/>
      <c r="B100" s="32" t="s">
        <v>1453</v>
      </c>
      <c r="C100" s="33" t="s">
        <v>218</v>
      </c>
      <c r="D100" s="32" t="s">
        <v>3705</v>
      </c>
      <c r="E100" s="11" t="str">
        <f>HYPERLINK("https://youtu.be/vizBeLpHSwQ?t=3635","channel 2")</f>
        <v>channel 2</v>
      </c>
    </row>
    <row r="101">
      <c r="A101" s="118"/>
      <c r="B101" s="32" t="s">
        <v>3705</v>
      </c>
      <c r="C101" s="33" t="s">
        <v>201</v>
      </c>
      <c r="D101" s="32" t="s">
        <v>3224</v>
      </c>
      <c r="E101" s="135" t="str">
        <f>HYPERLINK("https://youtu.be/dkF3qG1_U7w?t=4666","channel 1")</f>
        <v>channel 1</v>
      </c>
    </row>
    <row r="102">
      <c r="A102" s="118"/>
      <c r="B102" s="32" t="s">
        <v>1453</v>
      </c>
      <c r="C102" s="33" t="s">
        <v>842</v>
      </c>
      <c r="D102" s="32" t="s">
        <v>2706</v>
      </c>
      <c r="E102" s="11" t="str">
        <f>HYPERLINK("https://youtu.be/vizBeLpHSwQ?t=4594","channel 2")</f>
        <v>channel 2</v>
      </c>
    </row>
    <row r="103">
      <c r="A103" s="118"/>
      <c r="B103" s="32" t="s">
        <v>3224</v>
      </c>
      <c r="C103" s="33" t="s">
        <v>7</v>
      </c>
      <c r="D103" s="32" t="s">
        <v>1500</v>
      </c>
      <c r="E103" s="135" t="str">
        <f>HYPERLINK("https://youtu.be/dkF3qG1_U7w?t=5533","channel 1")</f>
        <v>channel 1</v>
      </c>
    </row>
    <row r="104">
      <c r="A104" s="118"/>
      <c r="B104" s="32" t="s">
        <v>3705</v>
      </c>
      <c r="C104" s="33" t="s">
        <v>267</v>
      </c>
      <c r="D104" s="32" t="s">
        <v>2706</v>
      </c>
      <c r="E104" s="11" t="str">
        <f>HYPERLINK("https://youtu.be/vizBeLpHSwQ?t=5504","channel 2")</f>
        <v>channel 2</v>
      </c>
    </row>
    <row r="105">
      <c r="A105" s="118"/>
      <c r="B105" s="32" t="s">
        <v>1453</v>
      </c>
      <c r="C105" s="33" t="s">
        <v>285</v>
      </c>
      <c r="D105" s="32" t="s">
        <v>1500</v>
      </c>
      <c r="E105" s="135" t="str">
        <f>HYPERLINK("https://youtu.be/dkF3qG1_U7w?t=6377","channel 1")</f>
        <v>channel 1</v>
      </c>
    </row>
    <row r="106">
      <c r="A106" s="118"/>
      <c r="B106" s="32" t="s">
        <v>3224</v>
      </c>
      <c r="C106" s="33" t="s">
        <v>291</v>
      </c>
      <c r="D106" s="32" t="s">
        <v>2706</v>
      </c>
      <c r="E106" s="11" t="str">
        <f>HYPERLINK("https://youtu.be/vizBeLpHSwQ?t=6363","channel 2")</f>
        <v>channel 2</v>
      </c>
    </row>
    <row r="107">
      <c r="A107" s="118"/>
      <c r="B107" s="32" t="s">
        <v>3705</v>
      </c>
      <c r="C107" s="33" t="s">
        <v>196</v>
      </c>
      <c r="D107" s="32" t="s">
        <v>1500</v>
      </c>
      <c r="E107" s="135" t="str">
        <f>HYPERLINK("https://youtu.be/dkF3qG1_U7w?t=7353","channel 1")</f>
        <v>channel 1</v>
      </c>
    </row>
    <row r="108">
      <c r="A108" s="118"/>
      <c r="B108" s="32" t="s">
        <v>3224</v>
      </c>
      <c r="C108" s="33" t="s">
        <v>2158</v>
      </c>
      <c r="D108" s="32" t="s">
        <v>1453</v>
      </c>
      <c r="E108" s="11" t="str">
        <f>HYPERLINK("https://youtu.be/vizBeLpHSwQ?t=7314","channel 2")</f>
        <v>channel 2</v>
      </c>
    </row>
    <row r="109">
      <c r="A109" s="118"/>
      <c r="B109" s="32" t="s">
        <v>2706</v>
      </c>
      <c r="C109" s="33" t="s">
        <v>665</v>
      </c>
      <c r="D109" s="32" t="s">
        <v>1500</v>
      </c>
      <c r="E109" s="135" t="str">
        <f>HYPERLINK("https://youtu.be/dkF3qG1_U7w?t=8281","channel 1")</f>
        <v>channel 1</v>
      </c>
    </row>
    <row r="110">
      <c r="A110" s="118"/>
      <c r="B110" s="32" t="s">
        <v>3705</v>
      </c>
      <c r="C110" s="33" t="s">
        <v>43</v>
      </c>
      <c r="D110" s="32" t="s">
        <v>1453</v>
      </c>
      <c r="E110" s="11" t="str">
        <f>HYPERLINK("https://youtu.be/vizBeLpHSwQ?t=8208","channel 2")</f>
        <v>channel 2</v>
      </c>
    </row>
    <row r="111">
      <c r="A111" s="118"/>
      <c r="B111" s="1" t="s">
        <v>2200</v>
      </c>
      <c r="C111" s="2"/>
      <c r="D111" s="3"/>
      <c r="E111" s="138"/>
    </row>
    <row r="112">
      <c r="A112" s="118"/>
      <c r="B112" s="16" t="s">
        <v>2</v>
      </c>
      <c r="C112" s="16" t="s">
        <v>3</v>
      </c>
      <c r="D112" s="16" t="s">
        <v>4</v>
      </c>
      <c r="E112" s="16" t="s">
        <v>5</v>
      </c>
    </row>
    <row r="113">
      <c r="A113" s="118"/>
      <c r="B113" s="32" t="s">
        <v>3285</v>
      </c>
      <c r="C113" s="33" t="s">
        <v>11</v>
      </c>
      <c r="D113" s="32" t="s">
        <v>3954</v>
      </c>
      <c r="E113" s="135" t="str">
        <f>HYPERLINK("https://youtu.be/ejaAyX4k5oQ","channel 1")</f>
        <v>channel 1</v>
      </c>
    </row>
    <row r="114">
      <c r="A114" s="118"/>
      <c r="B114" s="32" t="s">
        <v>3459</v>
      </c>
      <c r="C114" s="33" t="s">
        <v>82</v>
      </c>
      <c r="D114" s="32" t="s">
        <v>3955</v>
      </c>
      <c r="E114" s="11" t="str">
        <f>HYPERLINK("https://youtu.be/RjIVK1mbSxc","channel 2")</f>
        <v>channel 2</v>
      </c>
    </row>
    <row r="115">
      <c r="A115" s="118"/>
      <c r="B115" s="32" t="s">
        <v>862</v>
      </c>
      <c r="C115" s="33" t="s">
        <v>239</v>
      </c>
      <c r="D115" s="32" t="s">
        <v>3285</v>
      </c>
      <c r="E115" s="135" t="str">
        <f>HYPERLINK("https://youtu.be/ejaAyX4k5oQ?t=953","channel 1")</f>
        <v>channel 1</v>
      </c>
    </row>
    <row r="116">
      <c r="A116" s="118"/>
      <c r="B116" s="32" t="s">
        <v>3459</v>
      </c>
      <c r="C116" s="33" t="s">
        <v>412</v>
      </c>
      <c r="D116" s="32" t="s">
        <v>3954</v>
      </c>
      <c r="E116" s="11" t="str">
        <f>HYPERLINK("https://youtu.be/RjIVK1mbSxc?t=944","channel 2")</f>
        <v>channel 2</v>
      </c>
    </row>
    <row r="117">
      <c r="A117" s="118"/>
      <c r="B117" s="32" t="s">
        <v>862</v>
      </c>
      <c r="C117" s="33" t="s">
        <v>82</v>
      </c>
      <c r="D117" s="32" t="s">
        <v>3955</v>
      </c>
      <c r="E117" s="135" t="str">
        <f>HYPERLINK("https://youtu.be/ejaAyX4k5oQ?t=1850","channel 1")</f>
        <v>channel 1</v>
      </c>
    </row>
    <row r="118">
      <c r="A118" s="118"/>
      <c r="B118" s="32" t="s">
        <v>3459</v>
      </c>
      <c r="C118" s="33" t="s">
        <v>351</v>
      </c>
      <c r="D118" s="32" t="s">
        <v>3285</v>
      </c>
      <c r="E118" s="11" t="str">
        <f>HYPERLINK("https://youtu.be/RjIVK1mbSxc?t=1813","channel 2")</f>
        <v>channel 2</v>
      </c>
    </row>
    <row r="119">
      <c r="A119" s="118"/>
      <c r="B119" s="32" t="s">
        <v>862</v>
      </c>
      <c r="C119" s="33" t="s">
        <v>195</v>
      </c>
      <c r="D119" s="32" t="s">
        <v>3954</v>
      </c>
      <c r="E119" s="135" t="str">
        <f>HYPERLINK("https://youtu.be/ejaAyX4k5oQ?t=2816","channel 1")</f>
        <v>channel 1</v>
      </c>
    </row>
    <row r="120">
      <c r="A120" s="118"/>
      <c r="B120" s="32" t="s">
        <v>3955</v>
      </c>
      <c r="C120" s="33" t="s">
        <v>3956</v>
      </c>
      <c r="D120" s="32" t="s">
        <v>3285</v>
      </c>
      <c r="E120" s="11" t="str">
        <f>HYPERLINK("https://youtu.be/RjIVK1mbSxc?t=2725","channel 2")</f>
        <v>channel 2</v>
      </c>
    </row>
    <row r="121">
      <c r="A121" s="118"/>
      <c r="B121" s="32" t="s">
        <v>862</v>
      </c>
      <c r="C121" s="33" t="s">
        <v>509</v>
      </c>
      <c r="D121" s="32" t="s">
        <v>3459</v>
      </c>
      <c r="E121" s="135" t="str">
        <f>HYPERLINK("https://youtu.be/ejaAyX4k5oQ?t=3747","channel 1")</f>
        <v>channel 1</v>
      </c>
    </row>
    <row r="122">
      <c r="A122" s="118"/>
      <c r="B122" s="32" t="s">
        <v>3955</v>
      </c>
      <c r="C122" s="33" t="s">
        <v>695</v>
      </c>
      <c r="D122" s="32" t="s">
        <v>3954</v>
      </c>
      <c r="E122" s="11" t="str">
        <f>HYPERLINK("https://youtu.be/RjIVK1mbSxc?t=3727","channel 2")</f>
        <v>channel 2</v>
      </c>
    </row>
    <row r="123">
      <c r="A123" s="118"/>
      <c r="B123" s="32" t="s">
        <v>3954</v>
      </c>
      <c r="C123" s="33" t="s">
        <v>201</v>
      </c>
      <c r="D123" s="32" t="s">
        <v>3285</v>
      </c>
      <c r="E123" s="135" t="str">
        <f>HYPERLINK("https://youtu.be/ejaAyX4k5oQ?t=4654","channel 1")</f>
        <v>channel 1</v>
      </c>
    </row>
    <row r="124">
      <c r="A124" s="118"/>
      <c r="B124" s="32" t="s">
        <v>3955</v>
      </c>
      <c r="C124" s="33" t="s">
        <v>87</v>
      </c>
      <c r="D124" s="32" t="s">
        <v>3459</v>
      </c>
      <c r="E124" s="11" t="str">
        <f>HYPERLINK("https://youtu.be/RjIVK1mbSxc?t=4649","channel 2")</f>
        <v>channel 2</v>
      </c>
    </row>
    <row r="125">
      <c r="A125" s="118"/>
      <c r="B125" s="32" t="s">
        <v>3285</v>
      </c>
      <c r="C125" s="33" t="s">
        <v>11</v>
      </c>
      <c r="D125" s="32" t="s">
        <v>862</v>
      </c>
      <c r="E125" s="135" t="str">
        <f>HYPERLINK("https://youtu.be/ejaAyX4k5oQ?t=5573","channel 1")</f>
        <v>channel 1</v>
      </c>
    </row>
    <row r="126">
      <c r="A126" s="118"/>
      <c r="B126" s="32" t="s">
        <v>3954</v>
      </c>
      <c r="C126" s="33" t="s">
        <v>64</v>
      </c>
      <c r="D126" s="32" t="s">
        <v>3459</v>
      </c>
      <c r="E126" s="11" t="str">
        <f>HYPERLINK("https://youtu.be/RjIVK1mbSxc?t=5587","channel 2")</f>
        <v>channel 2</v>
      </c>
    </row>
    <row r="127">
      <c r="A127" s="118"/>
      <c r="B127" s="32" t="s">
        <v>3955</v>
      </c>
      <c r="C127" s="33" t="s">
        <v>47</v>
      </c>
      <c r="D127" s="32" t="s">
        <v>862</v>
      </c>
      <c r="E127" s="135" t="str">
        <f>HYPERLINK("https://youtu.be/ejaAyX4k5oQ?t=6481","channel 1")</f>
        <v>channel 1</v>
      </c>
    </row>
    <row r="128">
      <c r="A128" s="118"/>
      <c r="B128" s="32" t="s">
        <v>3285</v>
      </c>
      <c r="C128" s="33" t="s">
        <v>82</v>
      </c>
      <c r="D128" s="32" t="s">
        <v>3459</v>
      </c>
      <c r="E128" s="11" t="str">
        <f>HYPERLINK("https://youtu.be/RjIVK1mbSxc?t=6486","channel 2")</f>
        <v>channel 2</v>
      </c>
    </row>
    <row r="129">
      <c r="A129" s="118"/>
      <c r="B129" s="32" t="s">
        <v>3954</v>
      </c>
      <c r="C129" s="33" t="s">
        <v>270</v>
      </c>
      <c r="D129" s="32" t="s">
        <v>862</v>
      </c>
      <c r="E129" s="135" t="str">
        <f>HYPERLINK("https://youtu.be/ejaAyX4k5oQ?t=7464","channel 1")</f>
        <v>channel 1</v>
      </c>
    </row>
    <row r="130">
      <c r="A130" s="118"/>
      <c r="B130" s="32" t="s">
        <v>3285</v>
      </c>
      <c r="C130" s="33" t="s">
        <v>196</v>
      </c>
      <c r="D130" s="32" t="s">
        <v>3955</v>
      </c>
      <c r="E130" s="11" t="str">
        <f>HYPERLINK("https://youtu.be/RjIVK1mbSxc?t=7413","channel 2")</f>
        <v>channel 2</v>
      </c>
    </row>
    <row r="131">
      <c r="A131" s="118"/>
      <c r="B131" s="32" t="s">
        <v>3459</v>
      </c>
      <c r="C131" s="33" t="s">
        <v>362</v>
      </c>
      <c r="D131" s="32" t="s">
        <v>862</v>
      </c>
      <c r="E131" s="135" t="str">
        <f>HYPERLINK("https://youtu.be/ejaAyX4k5oQ?t=8374","channel 1")</f>
        <v>channel 1</v>
      </c>
    </row>
    <row r="132">
      <c r="A132" s="122"/>
      <c r="B132" s="32" t="s">
        <v>3954</v>
      </c>
      <c r="C132" s="33" t="s">
        <v>11</v>
      </c>
      <c r="D132" s="32" t="s">
        <v>3955</v>
      </c>
      <c r="E132" s="11" t="str">
        <f>HYPERLINK("https://youtu.be/RjIVK1mbSxc?t=8310","channel 2")</f>
        <v>channel 2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7"/>
      <c r="B1" s="72" t="s">
        <v>2154</v>
      </c>
      <c r="C1" s="2"/>
      <c r="D1" s="3"/>
      <c r="E1" s="134"/>
    </row>
    <row r="2">
      <c r="A2" s="118"/>
      <c r="B2" s="35" t="s">
        <v>2</v>
      </c>
      <c r="C2" s="35" t="s">
        <v>3</v>
      </c>
      <c r="D2" s="35" t="s">
        <v>4</v>
      </c>
      <c r="E2" s="6" t="s">
        <v>5</v>
      </c>
    </row>
    <row r="3">
      <c r="A3" s="118"/>
      <c r="B3" s="32" t="s">
        <v>3172</v>
      </c>
      <c r="C3" s="33" t="s">
        <v>218</v>
      </c>
      <c r="D3" s="32" t="s">
        <v>3507</v>
      </c>
      <c r="E3" s="135" t="str">
        <f>HYPERLINK("https://youtu.be/7vUSOgDEvAw","channel 1")</f>
        <v>channel 1</v>
      </c>
    </row>
    <row r="4">
      <c r="A4" s="118"/>
      <c r="B4" s="32" t="s">
        <v>3957</v>
      </c>
      <c r="C4" s="60" t="s">
        <v>27</v>
      </c>
      <c r="D4" s="32" t="s">
        <v>3958</v>
      </c>
      <c r="E4" s="11" t="str">
        <f>HYPERLINK("https://youtu.be/-aSXapAZAr8","channel 2")</f>
        <v>channel 2</v>
      </c>
    </row>
    <row r="5">
      <c r="A5" s="118"/>
      <c r="B5" s="32" t="s">
        <v>3559</v>
      </c>
      <c r="C5" s="33" t="s">
        <v>71</v>
      </c>
      <c r="D5" s="32" t="s">
        <v>3172</v>
      </c>
      <c r="E5" s="135" t="str">
        <f>HYPERLINK("https://youtu.be/7vUSOgDEvAw?t=989","channel 1")</f>
        <v>channel 1</v>
      </c>
    </row>
    <row r="6">
      <c r="A6" s="118"/>
      <c r="B6" s="32" t="s">
        <v>3957</v>
      </c>
      <c r="C6" s="33" t="s">
        <v>251</v>
      </c>
      <c r="D6" s="32" t="s">
        <v>3507</v>
      </c>
      <c r="E6" s="11" t="str">
        <f>HYPERLINK("https://youtu.be/-aSXapAZAr8?t=1000","channel 2")</f>
        <v>channel 2</v>
      </c>
    </row>
    <row r="7">
      <c r="A7" s="118"/>
      <c r="B7" s="32" t="s">
        <v>3559</v>
      </c>
      <c r="C7" s="33" t="s">
        <v>21</v>
      </c>
      <c r="D7" s="32" t="s">
        <v>3958</v>
      </c>
      <c r="E7" s="135" t="str">
        <f>HYPERLINK("https://youtu.be/7vUSOgDEvAw?t=1884","channel 1")</f>
        <v>channel 1</v>
      </c>
    </row>
    <row r="8">
      <c r="A8" s="118"/>
      <c r="B8" s="32" t="s">
        <v>3957</v>
      </c>
      <c r="C8" s="33" t="s">
        <v>81</v>
      </c>
      <c r="D8" s="32" t="s">
        <v>3172</v>
      </c>
      <c r="E8" s="11" t="str">
        <f>HYPERLINK("https://youtu.be/-aSXapAZAr8?t=1927","channel 2")</f>
        <v>channel 2</v>
      </c>
    </row>
    <row r="9">
      <c r="A9" s="118"/>
      <c r="B9" s="32" t="s">
        <v>3559</v>
      </c>
      <c r="C9" s="33" t="s">
        <v>65</v>
      </c>
      <c r="D9" s="32" t="s">
        <v>3507</v>
      </c>
      <c r="E9" s="135" t="str">
        <f>HYPERLINK("https://youtu.be/7vUSOgDEvAw?t=2812","channel 1")</f>
        <v>channel 1</v>
      </c>
    </row>
    <row r="10">
      <c r="A10" s="118"/>
      <c r="B10" s="32" t="s">
        <v>3958</v>
      </c>
      <c r="C10" s="33" t="s">
        <v>370</v>
      </c>
      <c r="D10" s="32" t="s">
        <v>3172</v>
      </c>
      <c r="E10" s="11" t="str">
        <f>HYPERLINK("https://youtu.be/-aSXapAZAr8?t=2732","channel 2")</f>
        <v>channel 2</v>
      </c>
    </row>
    <row r="11">
      <c r="A11" s="118"/>
      <c r="B11" s="32" t="s">
        <v>3559</v>
      </c>
      <c r="C11" s="33" t="s">
        <v>196</v>
      </c>
      <c r="D11" s="32" t="s">
        <v>3957</v>
      </c>
      <c r="E11" s="135" t="str">
        <f>HYPERLINK("https://youtu.be/7vUSOgDEvAw?t=3764","channel 1")</f>
        <v>channel 1</v>
      </c>
    </row>
    <row r="12">
      <c r="A12" s="118"/>
      <c r="B12" s="32" t="s">
        <v>3958</v>
      </c>
      <c r="C12" s="33" t="s">
        <v>3959</v>
      </c>
      <c r="D12" s="32" t="s">
        <v>3507</v>
      </c>
      <c r="E12" s="11" t="str">
        <f>HYPERLINK("https://youtu.be/-aSXapAZAr8?t=3667","channel 2")</f>
        <v>channel 2</v>
      </c>
    </row>
    <row r="13">
      <c r="A13" s="118"/>
      <c r="B13" s="32" t="s">
        <v>3507</v>
      </c>
      <c r="C13" s="33" t="s">
        <v>55</v>
      </c>
      <c r="D13" s="32" t="s">
        <v>3172</v>
      </c>
      <c r="E13" s="135" t="str">
        <f>HYPERLINK("https://youtu.be/7vUSOgDEvAw?t=4702","channel 1")</f>
        <v>channel 1</v>
      </c>
    </row>
    <row r="14">
      <c r="A14" s="118"/>
      <c r="B14" s="32" t="s">
        <v>3958</v>
      </c>
      <c r="C14" s="33" t="s">
        <v>20</v>
      </c>
      <c r="D14" s="32" t="s">
        <v>3957</v>
      </c>
      <c r="E14" s="11" t="str">
        <f>HYPERLINK("https://youtu.be/-aSXapAZAr8?t=4631","channel 2")</f>
        <v>channel 2</v>
      </c>
    </row>
    <row r="15">
      <c r="A15" s="118"/>
      <c r="B15" s="32" t="s">
        <v>3172</v>
      </c>
      <c r="C15" s="33" t="s">
        <v>196</v>
      </c>
      <c r="D15" s="32" t="s">
        <v>3559</v>
      </c>
      <c r="E15" s="135" t="str">
        <f>HYPERLINK("https://youtu.be/7vUSOgDEvAw?t=5613","channel 1")</f>
        <v>channel 1</v>
      </c>
    </row>
    <row r="16">
      <c r="A16" s="118"/>
      <c r="B16" s="32" t="s">
        <v>3507</v>
      </c>
      <c r="C16" s="33" t="s">
        <v>69</v>
      </c>
      <c r="D16" s="32" t="s">
        <v>3957</v>
      </c>
      <c r="E16" s="11" t="str">
        <f>HYPERLINK("https://youtu.be/-aSXapAZAr8?t=5798","channel 2")</f>
        <v>channel 2</v>
      </c>
    </row>
    <row r="17">
      <c r="A17" s="118"/>
      <c r="B17" s="32" t="s">
        <v>3958</v>
      </c>
      <c r="C17" s="33" t="s">
        <v>18</v>
      </c>
      <c r="D17" s="32" t="s">
        <v>3559</v>
      </c>
      <c r="E17" s="135" t="str">
        <f>HYPERLINK("https://youtu.be/7vUSOgDEvAw?t=6852","channel 1")</f>
        <v>channel 1</v>
      </c>
    </row>
    <row r="18">
      <c r="A18" s="118"/>
      <c r="B18" s="32" t="s">
        <v>3172</v>
      </c>
      <c r="C18" s="33" t="s">
        <v>193</v>
      </c>
      <c r="D18" s="32" t="s">
        <v>3957</v>
      </c>
      <c r="E18" s="11" t="str">
        <f>HYPERLINK("https://youtu.be/-aSXapAZAr8?t=6816","channel 2")</f>
        <v>channel 2</v>
      </c>
    </row>
    <row r="19">
      <c r="A19" s="118"/>
      <c r="B19" s="32" t="s">
        <v>3507</v>
      </c>
      <c r="C19" s="33" t="s">
        <v>362</v>
      </c>
      <c r="D19" s="32" t="s">
        <v>3559</v>
      </c>
      <c r="E19" s="135" t="str">
        <f>HYPERLINK("https://youtu.be/7vUSOgDEvAw?t=7763","channel 1")</f>
        <v>channel 1</v>
      </c>
    </row>
    <row r="20">
      <c r="A20" s="118"/>
      <c r="B20" s="32" t="s">
        <v>3172</v>
      </c>
      <c r="C20" s="33" t="s">
        <v>544</v>
      </c>
      <c r="D20" s="32" t="s">
        <v>3958</v>
      </c>
      <c r="E20" s="11" t="str">
        <f>HYPERLINK("https://youtu.be/-aSXapAZAr8?t=7724","channel 2")</f>
        <v>channel 2</v>
      </c>
    </row>
    <row r="21">
      <c r="A21" s="118"/>
      <c r="B21" s="32" t="s">
        <v>3957</v>
      </c>
      <c r="C21" s="33" t="s">
        <v>190</v>
      </c>
      <c r="D21" s="32" t="s">
        <v>3559</v>
      </c>
      <c r="E21" s="135" t="str">
        <f>HYPERLINK("https://youtu.be/7vUSOgDEvAw?t=8733","channel 1")</f>
        <v>channel 1</v>
      </c>
    </row>
    <row r="22">
      <c r="A22" s="118"/>
      <c r="B22" s="32" t="s">
        <v>3507</v>
      </c>
      <c r="C22" s="33" t="s">
        <v>3960</v>
      </c>
      <c r="D22" s="32" t="s">
        <v>3958</v>
      </c>
      <c r="E22" s="11" t="str">
        <f>HYPERLINK("https://youtu.be/-aSXapAZAr8?t=8623","channel 2")</f>
        <v>channel 2</v>
      </c>
    </row>
    <row r="23">
      <c r="A23" s="118"/>
      <c r="B23" s="72" t="s">
        <v>3143</v>
      </c>
      <c r="C23" s="2"/>
      <c r="D23" s="3"/>
      <c r="E23" s="134"/>
    </row>
    <row r="24">
      <c r="A24" s="118"/>
      <c r="B24" s="35" t="s">
        <v>2</v>
      </c>
      <c r="C24" s="35" t="s">
        <v>3</v>
      </c>
      <c r="D24" s="35" t="s">
        <v>4</v>
      </c>
      <c r="E24" s="6" t="s">
        <v>5</v>
      </c>
    </row>
    <row r="25">
      <c r="A25" s="118"/>
      <c r="B25" s="32" t="s">
        <v>2854</v>
      </c>
      <c r="C25" s="33" t="s">
        <v>31</v>
      </c>
      <c r="D25" s="32" t="s">
        <v>3146</v>
      </c>
      <c r="E25" s="135" t="str">
        <f>HYPERLINK("https://youtu.be/vqdbdpVe2EQ","channel 1")</f>
        <v>channel 1</v>
      </c>
    </row>
    <row r="26">
      <c r="A26" s="118"/>
      <c r="B26" s="32" t="s">
        <v>3961</v>
      </c>
      <c r="C26" s="33" t="s">
        <v>544</v>
      </c>
      <c r="D26" s="32" t="s">
        <v>3962</v>
      </c>
      <c r="E26" s="11" t="str">
        <f>HYPERLINK("https://youtu.be/8qEh9V-ZpfA","channel 2")</f>
        <v>channel 2</v>
      </c>
    </row>
    <row r="27">
      <c r="A27" s="118"/>
      <c r="B27" s="32" t="s">
        <v>3963</v>
      </c>
      <c r="C27" s="33" t="s">
        <v>87</v>
      </c>
      <c r="D27" s="32" t="s">
        <v>2854</v>
      </c>
      <c r="E27" s="135" t="str">
        <f>HYPERLINK("https://youtu.be/vqdbdpVe2EQ?t=895","channel 1")</f>
        <v>channel 1</v>
      </c>
    </row>
    <row r="28">
      <c r="A28" s="118"/>
      <c r="B28" s="32" t="s">
        <v>3961</v>
      </c>
      <c r="C28" s="33" t="s">
        <v>270</v>
      </c>
      <c r="D28" s="32" t="s">
        <v>3146</v>
      </c>
      <c r="E28" s="11" t="str">
        <f>HYPERLINK("https://youtu.be/8qEh9V-ZpfA?t=925","channel 2")</f>
        <v>channel 2</v>
      </c>
    </row>
    <row r="29">
      <c r="A29" s="118"/>
      <c r="B29" s="32" t="s">
        <v>3963</v>
      </c>
      <c r="C29" s="33" t="s">
        <v>72</v>
      </c>
      <c r="D29" s="32" t="s">
        <v>3962</v>
      </c>
      <c r="E29" s="135" t="str">
        <f>HYPERLINK("https://youtu.be/vqdbdpVe2EQ?t=1813","channel 1")</f>
        <v>channel 1</v>
      </c>
    </row>
    <row r="30">
      <c r="A30" s="118"/>
      <c r="B30" s="32" t="s">
        <v>3961</v>
      </c>
      <c r="C30" s="33" t="s">
        <v>45</v>
      </c>
      <c r="D30" s="32" t="s">
        <v>2854</v>
      </c>
      <c r="E30" s="11" t="str">
        <f>HYPERLINK("https://youtu.be/8qEh9V-ZpfA?t=1971","channel 2")</f>
        <v>channel 2</v>
      </c>
    </row>
    <row r="31">
      <c r="A31" s="118"/>
      <c r="B31" s="32" t="s">
        <v>3963</v>
      </c>
      <c r="C31" s="33" t="s">
        <v>35</v>
      </c>
      <c r="D31" s="32" t="s">
        <v>3146</v>
      </c>
      <c r="E31" s="135" t="str">
        <f>HYPERLINK("https://youtu.be/vqdbdpVe2EQ?t=2800","channel 1")</f>
        <v>channel 1</v>
      </c>
    </row>
    <row r="32">
      <c r="A32" s="118"/>
      <c r="B32" s="32" t="s">
        <v>3962</v>
      </c>
      <c r="C32" s="33" t="s">
        <v>217</v>
      </c>
      <c r="D32" s="32" t="s">
        <v>2854</v>
      </c>
      <c r="E32" s="11" t="str">
        <f>HYPERLINK("https://youtu.be/8qEh9V-ZpfA?t=2878","channel 2")</f>
        <v>channel 2</v>
      </c>
    </row>
    <row r="33">
      <c r="A33" s="118"/>
      <c r="B33" s="32" t="s">
        <v>3963</v>
      </c>
      <c r="C33" s="33" t="s">
        <v>260</v>
      </c>
      <c r="D33" s="32" t="s">
        <v>3961</v>
      </c>
      <c r="E33" s="135" t="str">
        <f>HYPERLINK("https://youtu.be/vqdbdpVe2EQ?t=3733","channel 1")</f>
        <v>channel 1</v>
      </c>
    </row>
    <row r="34">
      <c r="A34" s="118"/>
      <c r="B34" s="32" t="s">
        <v>3962</v>
      </c>
      <c r="C34" s="33" t="s">
        <v>1412</v>
      </c>
      <c r="D34" s="32" t="s">
        <v>3146</v>
      </c>
      <c r="E34" s="11" t="str">
        <f>HYPERLINK("https://youtu.be/8qEh9V-ZpfA?t=3850","channel 2")</f>
        <v>channel 2</v>
      </c>
    </row>
    <row r="35">
      <c r="A35" s="118"/>
      <c r="B35" s="32" t="s">
        <v>3146</v>
      </c>
      <c r="C35" s="33" t="s">
        <v>215</v>
      </c>
      <c r="D35" s="32" t="s">
        <v>2854</v>
      </c>
      <c r="E35" s="135" t="str">
        <f>HYPERLINK("https://youtu.be/vqdbdpVe2EQ?t=4694","channel 1")</f>
        <v>channel 1</v>
      </c>
    </row>
    <row r="36">
      <c r="A36" s="118"/>
      <c r="B36" s="32" t="s">
        <v>3962</v>
      </c>
      <c r="C36" s="33" t="s">
        <v>259</v>
      </c>
      <c r="D36" s="32" t="s">
        <v>3961</v>
      </c>
      <c r="E36" s="11" t="str">
        <f>HYPERLINK("https://youtu.be/8qEh9V-ZpfA?t=4812","channel 2")</f>
        <v>channel 2</v>
      </c>
    </row>
    <row r="37">
      <c r="A37" s="118"/>
      <c r="B37" s="32" t="s">
        <v>2854</v>
      </c>
      <c r="C37" s="33" t="s">
        <v>282</v>
      </c>
      <c r="D37" s="32" t="s">
        <v>3963</v>
      </c>
      <c r="E37" s="135" t="str">
        <f>HYPERLINK("https://youtu.be/vqdbdpVe2EQ?t=5656","channel 1")</f>
        <v>channel 1</v>
      </c>
    </row>
    <row r="38">
      <c r="A38" s="118"/>
      <c r="B38" s="32" t="s">
        <v>3146</v>
      </c>
      <c r="C38" s="33" t="s">
        <v>389</v>
      </c>
      <c r="D38" s="32" t="s">
        <v>3961</v>
      </c>
      <c r="E38" s="11" t="str">
        <f>HYPERLINK("https://youtu.be/8qEh9V-ZpfA?t=5858","channel 2")</f>
        <v>channel 2</v>
      </c>
    </row>
    <row r="39">
      <c r="A39" s="118"/>
      <c r="B39" s="32" t="s">
        <v>3962</v>
      </c>
      <c r="C39" s="35" t="s">
        <v>446</v>
      </c>
      <c r="D39" s="32" t="s">
        <v>3963</v>
      </c>
      <c r="E39" s="135" t="str">
        <f>HYPERLINK("https://youtu.be/vqdbdpVe2EQ?t=6622","channel 1")</f>
        <v>channel 1</v>
      </c>
    </row>
    <row r="40">
      <c r="A40" s="118"/>
      <c r="B40" s="32" t="s">
        <v>2854</v>
      </c>
      <c r="C40" s="33" t="s">
        <v>2256</v>
      </c>
      <c r="D40" s="32" t="s">
        <v>3961</v>
      </c>
      <c r="E40" s="11" t="str">
        <f>HYPERLINK("https://youtu.be/8qEh9V-ZpfA?t=6783","channel 2")</f>
        <v>channel 2</v>
      </c>
    </row>
    <row r="41">
      <c r="A41" s="118"/>
      <c r="B41" s="32" t="s">
        <v>3146</v>
      </c>
      <c r="C41" s="33" t="s">
        <v>312</v>
      </c>
      <c r="D41" s="32" t="s">
        <v>3963</v>
      </c>
      <c r="E41" s="135" t="str">
        <f>HYPERLINK("https://youtu.be/vqdbdpVe2EQ?t=7569","channel 1")</f>
        <v>channel 1</v>
      </c>
    </row>
    <row r="42">
      <c r="A42" s="118"/>
      <c r="B42" s="32" t="s">
        <v>2854</v>
      </c>
      <c r="C42" s="33" t="s">
        <v>302</v>
      </c>
      <c r="D42" s="32" t="s">
        <v>3962</v>
      </c>
      <c r="E42" s="11" t="str">
        <f>HYPERLINK("https://youtu.be/8qEh9V-ZpfA?t=7700","channel 2")</f>
        <v>channel 2</v>
      </c>
    </row>
    <row r="43">
      <c r="A43" s="118"/>
      <c r="B43" s="32" t="s">
        <v>3961</v>
      </c>
      <c r="C43" s="33" t="s">
        <v>55</v>
      </c>
      <c r="D43" s="32" t="s">
        <v>3963</v>
      </c>
      <c r="E43" s="135" t="str">
        <f>HYPERLINK("https://youtu.be/vqdbdpVe2EQ?t=8496","channel 1")</f>
        <v>channel 1</v>
      </c>
    </row>
    <row r="44">
      <c r="A44" s="118"/>
      <c r="B44" s="32" t="s">
        <v>3146</v>
      </c>
      <c r="C44" s="33" t="s">
        <v>1223</v>
      </c>
      <c r="D44" s="32" t="s">
        <v>3962</v>
      </c>
      <c r="E44" s="11" t="str">
        <f>HYPERLINK("https://youtu.be/8qEh9V-ZpfA?t=8571","channel 2")</f>
        <v>channel 2</v>
      </c>
    </row>
    <row r="45">
      <c r="A45" s="118"/>
      <c r="B45" s="72" t="s">
        <v>2382</v>
      </c>
      <c r="C45" s="2"/>
      <c r="D45" s="3"/>
      <c r="E45" s="134"/>
    </row>
    <row r="46">
      <c r="A46" s="118"/>
      <c r="B46" s="35" t="s">
        <v>2</v>
      </c>
      <c r="C46" s="35" t="s">
        <v>3</v>
      </c>
      <c r="D46" s="35" t="s">
        <v>4</v>
      </c>
      <c r="E46" s="6" t="s">
        <v>5</v>
      </c>
    </row>
    <row r="47">
      <c r="A47" s="118"/>
      <c r="B47" s="32" t="s">
        <v>3941</v>
      </c>
      <c r="C47" s="33" t="s">
        <v>578</v>
      </c>
      <c r="D47" s="32" t="s">
        <v>3119</v>
      </c>
      <c r="E47" s="135" t="str">
        <f>HYPERLINK("https://youtu.be/IuK74g5VZyc","channel 1")</f>
        <v>channel 1</v>
      </c>
    </row>
    <row r="48">
      <c r="A48" s="118"/>
      <c r="B48" s="32" t="s">
        <v>3964</v>
      </c>
      <c r="C48" s="33" t="s">
        <v>22</v>
      </c>
      <c r="D48" s="32" t="s">
        <v>3965</v>
      </c>
      <c r="E48" s="11" t="str">
        <f>HYPERLINK("https://youtu.be/kvIc4t8qgxE","channel 2")</f>
        <v>channel 2</v>
      </c>
    </row>
    <row r="49">
      <c r="A49" s="118"/>
      <c r="B49" s="32" t="s">
        <v>3544</v>
      </c>
      <c r="C49" s="33" t="s">
        <v>76</v>
      </c>
      <c r="D49" s="32" t="s">
        <v>3941</v>
      </c>
      <c r="E49" s="135" t="str">
        <f>HYPERLINK("https://youtu.be/IuK74g5VZyc?t=912","channel 1")</f>
        <v>channel 1</v>
      </c>
    </row>
    <row r="50">
      <c r="A50" s="118"/>
      <c r="B50" s="32" t="s">
        <v>3964</v>
      </c>
      <c r="C50" s="33" t="s">
        <v>389</v>
      </c>
      <c r="D50" s="32" t="s">
        <v>3119</v>
      </c>
      <c r="E50" s="11" t="str">
        <f>HYPERLINK("https://youtu.be/kvIc4t8qgxE?t=936","channel 2")</f>
        <v>channel 2</v>
      </c>
    </row>
    <row r="51">
      <c r="A51" s="118"/>
      <c r="B51" s="32" t="s">
        <v>3544</v>
      </c>
      <c r="C51" s="33" t="s">
        <v>488</v>
      </c>
      <c r="D51" s="32" t="s">
        <v>3965</v>
      </c>
      <c r="E51" s="135" t="str">
        <f>HYPERLINK("https://youtu.be/IuK74g5VZyc?t=1858","channel 1")</f>
        <v>channel 1</v>
      </c>
    </row>
    <row r="52">
      <c r="A52" s="118"/>
      <c r="B52" s="32" t="s">
        <v>3964</v>
      </c>
      <c r="C52" s="33" t="s">
        <v>251</v>
      </c>
      <c r="D52" s="32" t="s">
        <v>3941</v>
      </c>
      <c r="E52" s="11" t="str">
        <f>HYPERLINK("https://youtu.be/kvIc4t8qgxE?t=1819","channel 2")</f>
        <v>channel 2</v>
      </c>
    </row>
    <row r="53">
      <c r="A53" s="118"/>
      <c r="B53" s="32" t="s">
        <v>3544</v>
      </c>
      <c r="C53" s="33" t="s">
        <v>282</v>
      </c>
      <c r="D53" s="32" t="s">
        <v>3119</v>
      </c>
      <c r="E53" s="135" t="str">
        <f>HYPERLINK("https://youtu.be/IuK74g5VZyc?t=2785","channel 1")</f>
        <v>channel 1</v>
      </c>
    </row>
    <row r="54">
      <c r="A54" s="118"/>
      <c r="B54" s="32" t="s">
        <v>3965</v>
      </c>
      <c r="C54" s="33" t="s">
        <v>218</v>
      </c>
      <c r="D54" s="32" t="s">
        <v>3941</v>
      </c>
      <c r="E54" s="11" t="str">
        <f>HYPERLINK("https://youtu.be/kvIc4t8qgxE?t=2740","channel 2")</f>
        <v>channel 2</v>
      </c>
    </row>
    <row r="55">
      <c r="A55" s="118"/>
      <c r="B55" s="32" t="s">
        <v>3544</v>
      </c>
      <c r="C55" s="33" t="s">
        <v>217</v>
      </c>
      <c r="D55" s="32" t="s">
        <v>3964</v>
      </c>
      <c r="E55" s="135" t="str">
        <f>HYPERLINK("https://youtu.be/IuK74g5VZyc?t=3721","channel 1")</f>
        <v>channel 1</v>
      </c>
    </row>
    <row r="56">
      <c r="A56" s="118"/>
      <c r="B56" s="32" t="s">
        <v>3965</v>
      </c>
      <c r="C56" s="33" t="s">
        <v>42</v>
      </c>
      <c r="D56" s="32" t="s">
        <v>3119</v>
      </c>
      <c r="E56" s="11" t="str">
        <f>HYPERLINK("https://youtu.be/kvIc4t8qgxE?t=3663","channel 2")</f>
        <v>channel 2</v>
      </c>
    </row>
    <row r="57">
      <c r="A57" s="118"/>
      <c r="B57" s="32" t="s">
        <v>3119</v>
      </c>
      <c r="C57" s="33" t="s">
        <v>55</v>
      </c>
      <c r="D57" s="32" t="s">
        <v>3941</v>
      </c>
      <c r="E57" s="135" t="str">
        <f>HYPERLINK("https://youtu.be/IuK74g5VZyc?t=4619","channel 1")</f>
        <v>channel 1</v>
      </c>
    </row>
    <row r="58">
      <c r="A58" s="118"/>
      <c r="B58" s="32" t="s">
        <v>3965</v>
      </c>
      <c r="C58" s="33" t="s">
        <v>578</v>
      </c>
      <c r="D58" s="32" t="s">
        <v>3964</v>
      </c>
      <c r="E58" s="11" t="str">
        <f>HYPERLINK("https://youtu.be/kvIc4t8qgxE?t=4590","channel 2")</f>
        <v>channel 2</v>
      </c>
    </row>
    <row r="59">
      <c r="A59" s="118"/>
      <c r="B59" s="32" t="s">
        <v>3941</v>
      </c>
      <c r="C59" s="33" t="s">
        <v>726</v>
      </c>
      <c r="D59" s="32" t="s">
        <v>3544</v>
      </c>
      <c r="E59" s="135" t="str">
        <f>HYPERLINK("https://youtu.be/IuK74g5VZyc?t=5588","channel 1")</f>
        <v>channel 1</v>
      </c>
    </row>
    <row r="60">
      <c r="A60" s="118"/>
      <c r="B60" s="32" t="s">
        <v>3119</v>
      </c>
      <c r="C60" s="33" t="s">
        <v>7</v>
      </c>
      <c r="D60" s="32" t="s">
        <v>3964</v>
      </c>
      <c r="E60" s="11" t="str">
        <f>HYPERLINK("https://youtu.be/kvIc4t8qgxE?t=5543","channel 2")</f>
        <v>channel 2</v>
      </c>
    </row>
    <row r="61">
      <c r="A61" s="118"/>
      <c r="B61" s="32" t="s">
        <v>3965</v>
      </c>
      <c r="C61" s="33" t="s">
        <v>291</v>
      </c>
      <c r="D61" s="32" t="s">
        <v>3544</v>
      </c>
      <c r="E61" s="135" t="str">
        <f>HYPERLINK("https://youtu.be/IuK74g5VZyc?t=6471","channel 1")</f>
        <v>channel 1</v>
      </c>
    </row>
    <row r="62">
      <c r="A62" s="118"/>
      <c r="B62" s="32" t="s">
        <v>3941</v>
      </c>
      <c r="C62" s="35" t="s">
        <v>42</v>
      </c>
      <c r="D62" s="32" t="s">
        <v>3964</v>
      </c>
      <c r="E62" s="11" t="str">
        <f>HYPERLINK("https://youtu.be/kvIc4t8qgxE?t=6451","channel 2")</f>
        <v>channel 2</v>
      </c>
    </row>
    <row r="63">
      <c r="A63" s="118"/>
      <c r="B63" s="32" t="s">
        <v>3119</v>
      </c>
      <c r="C63" s="33" t="s">
        <v>250</v>
      </c>
      <c r="D63" s="32" t="s">
        <v>3544</v>
      </c>
      <c r="E63" s="135" t="str">
        <f>HYPERLINK("https://youtu.be/IuK74g5VZyc?t=7367","channel 1")</f>
        <v>channel 1</v>
      </c>
    </row>
    <row r="64">
      <c r="A64" s="118"/>
      <c r="B64" s="32" t="s">
        <v>3941</v>
      </c>
      <c r="C64" s="33" t="s">
        <v>243</v>
      </c>
      <c r="D64" s="32" t="s">
        <v>3965</v>
      </c>
      <c r="E64" s="11" t="str">
        <f>HYPERLINK("https://youtu.be/kvIc4t8qgxE?t=7431","channel 2")</f>
        <v>channel 2</v>
      </c>
    </row>
    <row r="65">
      <c r="A65" s="118"/>
      <c r="B65" s="32" t="s">
        <v>3964</v>
      </c>
      <c r="C65" s="33" t="s">
        <v>43</v>
      </c>
      <c r="D65" s="32" t="s">
        <v>3544</v>
      </c>
      <c r="E65" s="135" t="str">
        <f>HYPERLINK("https://youtu.be/IuK74g5VZyc?t=8447","channel 1")</f>
        <v>channel 1</v>
      </c>
    </row>
    <row r="66">
      <c r="A66" s="118"/>
      <c r="B66" s="32" t="s">
        <v>3119</v>
      </c>
      <c r="C66" s="33" t="s">
        <v>35</v>
      </c>
      <c r="D66" s="32" t="s">
        <v>3965</v>
      </c>
      <c r="E66" s="11" t="str">
        <f>HYPERLINK("https://youtu.be/kvIc4t8qgxE?t=8334","channel 2")</f>
        <v>channel 2</v>
      </c>
    </row>
    <row r="67">
      <c r="A67" s="118"/>
      <c r="B67" s="137" t="s">
        <v>2560</v>
      </c>
      <c r="C67" s="2"/>
      <c r="D67" s="3"/>
      <c r="E67" s="138"/>
    </row>
    <row r="68">
      <c r="A68" s="118"/>
      <c r="B68" s="35" t="s">
        <v>2</v>
      </c>
      <c r="C68" s="35" t="s">
        <v>3</v>
      </c>
      <c r="D68" s="35" t="s">
        <v>4</v>
      </c>
      <c r="E68" s="16" t="s">
        <v>5</v>
      </c>
    </row>
    <row r="69">
      <c r="A69" s="118"/>
      <c r="B69" s="32" t="s">
        <v>3966</v>
      </c>
      <c r="C69" s="33" t="s">
        <v>400</v>
      </c>
      <c r="D69" s="32" t="s">
        <v>3789</v>
      </c>
      <c r="E69" s="135" t="str">
        <f>HYPERLINK("https://youtu.be/p0rYsEoVbOk","channel 1")</f>
        <v>channel 1</v>
      </c>
    </row>
    <row r="70">
      <c r="A70" s="118"/>
      <c r="B70" s="32" t="s">
        <v>3383</v>
      </c>
      <c r="C70" s="33" t="s">
        <v>693</v>
      </c>
      <c r="D70" s="32" t="s">
        <v>3967</v>
      </c>
      <c r="E70" s="11" t="str">
        <f>HYPERLINK("https://youtu.be/1SpKqEFu8As","channel 2")</f>
        <v>channel 2</v>
      </c>
    </row>
    <row r="71">
      <c r="A71" s="118"/>
      <c r="B71" s="32" t="s">
        <v>3968</v>
      </c>
      <c r="C71" s="33" t="s">
        <v>81</v>
      </c>
      <c r="D71" s="32" t="s">
        <v>3966</v>
      </c>
      <c r="E71" s="135" t="str">
        <f>HYPERLINK("https://youtu.be/p0rYsEoVbOk?t=924","channel 1")</f>
        <v>channel 1</v>
      </c>
    </row>
    <row r="72">
      <c r="A72" s="118"/>
      <c r="B72" s="32" t="s">
        <v>3383</v>
      </c>
      <c r="C72" s="33" t="s">
        <v>84</v>
      </c>
      <c r="D72" s="32" t="s">
        <v>3789</v>
      </c>
      <c r="E72" s="11" t="str">
        <f>HYPERLINK("https://youtu.be/1SpKqEFu8As?t=926","channel 2")</f>
        <v>channel 2</v>
      </c>
    </row>
    <row r="73">
      <c r="A73" s="118"/>
      <c r="B73" s="32" t="s">
        <v>3968</v>
      </c>
      <c r="C73" s="33" t="s">
        <v>81</v>
      </c>
      <c r="D73" s="32" t="s">
        <v>3967</v>
      </c>
      <c r="E73" s="135" t="str">
        <f>HYPERLINK("https://youtu.be/p0rYsEoVbOk?t=1807","channel 1")</f>
        <v>channel 1</v>
      </c>
    </row>
    <row r="74">
      <c r="A74" s="118"/>
      <c r="B74" s="32" t="s">
        <v>3383</v>
      </c>
      <c r="C74" s="33" t="s">
        <v>197</v>
      </c>
      <c r="D74" s="32" t="s">
        <v>3966</v>
      </c>
      <c r="E74" s="11" t="str">
        <f>HYPERLINK("https://youtu.be/1SpKqEFu8As?t=1862","channel 2")</f>
        <v>channel 2</v>
      </c>
    </row>
    <row r="75">
      <c r="A75" s="118"/>
      <c r="B75" s="32" t="s">
        <v>3968</v>
      </c>
      <c r="C75" s="33" t="s">
        <v>321</v>
      </c>
      <c r="D75" s="32" t="s">
        <v>3789</v>
      </c>
      <c r="E75" s="135" t="str">
        <f>HYPERLINK("https://youtu.be/p0rYsEoVbOk?t=2684","channel 1")</f>
        <v>channel 1</v>
      </c>
    </row>
    <row r="76">
      <c r="A76" s="118"/>
      <c r="B76" s="32" t="s">
        <v>3967</v>
      </c>
      <c r="C76" s="33" t="s">
        <v>218</v>
      </c>
      <c r="D76" s="32" t="s">
        <v>3966</v>
      </c>
      <c r="E76" s="11" t="str">
        <f>HYPERLINK("https://youtu.be/1SpKqEFu8As?t=2766","channel 2")</f>
        <v>channel 2</v>
      </c>
    </row>
    <row r="77">
      <c r="A77" s="118"/>
      <c r="B77" s="32" t="s">
        <v>3968</v>
      </c>
      <c r="C77" s="33" t="s">
        <v>83</v>
      </c>
      <c r="D77" s="32" t="s">
        <v>3383</v>
      </c>
      <c r="E77" s="135" t="str">
        <f>HYPERLINK("https://youtu.be/p0rYsEoVbOk?t=3652","channel 1")</f>
        <v>channel 1</v>
      </c>
    </row>
    <row r="78">
      <c r="A78" s="118"/>
      <c r="B78" s="32" t="s">
        <v>3967</v>
      </c>
      <c r="C78" s="33" t="s">
        <v>274</v>
      </c>
      <c r="D78" s="32" t="s">
        <v>3789</v>
      </c>
      <c r="E78" s="11" t="str">
        <f>HYPERLINK("https://youtu.be/1SpKqEFu8As?t=3673","channel 2")</f>
        <v>channel 2</v>
      </c>
    </row>
    <row r="79">
      <c r="A79" s="118"/>
      <c r="B79" s="32" t="s">
        <v>3789</v>
      </c>
      <c r="C79" s="33" t="s">
        <v>369</v>
      </c>
      <c r="D79" s="32" t="s">
        <v>3966</v>
      </c>
      <c r="E79" s="135" t="str">
        <f>HYPERLINK("https://youtu.be/p0rYsEoVbOk?t=4621","channel 1")</f>
        <v>channel 1</v>
      </c>
    </row>
    <row r="80">
      <c r="A80" s="118"/>
      <c r="B80" s="32" t="s">
        <v>3967</v>
      </c>
      <c r="C80" s="33" t="s">
        <v>62</v>
      </c>
      <c r="D80" s="32" t="s">
        <v>3383</v>
      </c>
      <c r="E80" s="11" t="str">
        <f>HYPERLINK("https://youtu.be/1SpKqEFu8As?t=4632","channel 2")</f>
        <v>channel 2</v>
      </c>
    </row>
    <row r="81">
      <c r="A81" s="118"/>
      <c r="B81" s="32" t="s">
        <v>3966</v>
      </c>
      <c r="C81" s="33" t="s">
        <v>41</v>
      </c>
      <c r="D81" s="32" t="s">
        <v>3968</v>
      </c>
      <c r="E81" s="135" t="str">
        <f>HYPERLINK("https://youtu.be/p0rYsEoVbOk?t=5514","channel 1")</f>
        <v>channel 1</v>
      </c>
    </row>
    <row r="82">
      <c r="A82" s="118"/>
      <c r="B82" s="32" t="s">
        <v>3789</v>
      </c>
      <c r="C82" s="33" t="s">
        <v>3969</v>
      </c>
      <c r="D82" s="32" t="s">
        <v>3383</v>
      </c>
      <c r="E82" s="11" t="str">
        <f>HYPERLINK("https://youtu.be/1SpKqEFu8As?t=5522","channel 2")</f>
        <v>channel 2</v>
      </c>
    </row>
    <row r="83">
      <c r="A83" s="118"/>
      <c r="B83" s="32" t="s">
        <v>3967</v>
      </c>
      <c r="C83" s="33" t="s">
        <v>16</v>
      </c>
      <c r="D83" s="32" t="s">
        <v>3968</v>
      </c>
      <c r="E83" s="135" t="str">
        <f>HYPERLINK("https://youtu.be/p0rYsEoVbOk?t=6437","channel 1")</f>
        <v>channel 1</v>
      </c>
    </row>
    <row r="84">
      <c r="A84" s="118"/>
      <c r="B84" s="32" t="s">
        <v>3966</v>
      </c>
      <c r="C84" s="33" t="s">
        <v>27</v>
      </c>
      <c r="D84" s="32" t="s">
        <v>3383</v>
      </c>
      <c r="E84" s="11" t="str">
        <f>HYPERLINK("https://youtu.be/1SpKqEFu8As?t=6460","channel 2")</f>
        <v>channel 2</v>
      </c>
    </row>
    <row r="85">
      <c r="A85" s="118"/>
      <c r="B85" s="32" t="s">
        <v>3789</v>
      </c>
      <c r="C85" s="33" t="s">
        <v>62</v>
      </c>
      <c r="D85" s="32" t="s">
        <v>3968</v>
      </c>
      <c r="E85" s="135" t="str">
        <f>HYPERLINK("https://youtu.be/p0rYsEoVbOk?t=7351","channel 1")</f>
        <v>channel 1</v>
      </c>
    </row>
    <row r="86">
      <c r="A86" s="118"/>
      <c r="B86" s="32" t="s">
        <v>3966</v>
      </c>
      <c r="C86" s="33" t="s">
        <v>22</v>
      </c>
      <c r="D86" s="32" t="s">
        <v>3967</v>
      </c>
      <c r="E86" s="11" t="str">
        <f>HYPERLINK("https://youtu.be/1SpKqEFu8As?t=7340","channel 2")</f>
        <v>channel 2</v>
      </c>
    </row>
    <row r="87">
      <c r="A87" s="118"/>
      <c r="B87" s="32" t="s">
        <v>3383</v>
      </c>
      <c r="C87" s="33" t="s">
        <v>291</v>
      </c>
      <c r="D87" s="32" t="s">
        <v>3968</v>
      </c>
      <c r="E87" s="135" t="str">
        <f>HYPERLINK("https://youtu.be/p0rYsEoVbOk?t=8297","channel 1")</f>
        <v>channel 1</v>
      </c>
    </row>
    <row r="88">
      <c r="A88" s="118"/>
      <c r="B88" s="32" t="s">
        <v>3789</v>
      </c>
      <c r="C88" s="33" t="s">
        <v>58</v>
      </c>
      <c r="D88" s="32" t="s">
        <v>3967</v>
      </c>
      <c r="E88" s="11" t="str">
        <f>HYPERLINK("https://youtu.be/1SpKqEFu8As?t=8341","channel 2")</f>
        <v>channel 2</v>
      </c>
    </row>
    <row r="89">
      <c r="A89" s="118"/>
      <c r="B89" s="72" t="s">
        <v>2575</v>
      </c>
      <c r="C89" s="2"/>
      <c r="D89" s="3"/>
      <c r="E89" s="138"/>
    </row>
    <row r="90">
      <c r="A90" s="118"/>
      <c r="B90" s="35" t="s">
        <v>2</v>
      </c>
      <c r="C90" s="35" t="s">
        <v>3</v>
      </c>
      <c r="D90" s="35" t="s">
        <v>4</v>
      </c>
      <c r="E90" s="16" t="s">
        <v>5</v>
      </c>
    </row>
    <row r="91">
      <c r="A91" s="118"/>
      <c r="B91" s="119" t="s">
        <v>3736</v>
      </c>
      <c r="C91" s="33" t="s">
        <v>68</v>
      </c>
      <c r="D91" s="32" t="s">
        <v>424</v>
      </c>
      <c r="E91" s="135" t="str">
        <f>HYPERLINK("https://youtu.be/zMxjy3bSTvM","channel 1")</f>
        <v>channel 1</v>
      </c>
    </row>
    <row r="92">
      <c r="A92" s="118"/>
      <c r="B92" s="32" t="s">
        <v>3970</v>
      </c>
      <c r="C92" s="33" t="s">
        <v>936</v>
      </c>
      <c r="D92" s="32" t="s">
        <v>3297</v>
      </c>
      <c r="E92" s="11" t="str">
        <f>HYPERLINK("https://youtu.be/SZbqRksmLNk","channel 2")</f>
        <v>channel 2</v>
      </c>
    </row>
    <row r="93">
      <c r="A93" s="118"/>
      <c r="B93" s="32" t="s">
        <v>3971</v>
      </c>
      <c r="C93" s="33" t="s">
        <v>413</v>
      </c>
      <c r="D93" s="32" t="s">
        <v>3736</v>
      </c>
      <c r="E93" s="135" t="str">
        <f>HYPERLINK("https://youtu.be/zMxjy3bSTvM?t=832","channel 1")</f>
        <v>channel 1</v>
      </c>
    </row>
    <row r="94">
      <c r="A94" s="118"/>
      <c r="B94" s="32" t="s">
        <v>3970</v>
      </c>
      <c r="C94" s="33" t="s">
        <v>52</v>
      </c>
      <c r="D94" s="32" t="s">
        <v>424</v>
      </c>
      <c r="E94" s="11" t="str">
        <f>HYPERLINK("https://youtu.be/SZbqRksmLNk?t=987","channel 2")</f>
        <v>channel 2</v>
      </c>
    </row>
    <row r="95">
      <c r="A95" s="118"/>
      <c r="B95" s="32" t="s">
        <v>3971</v>
      </c>
      <c r="C95" s="37" t="s">
        <v>196</v>
      </c>
      <c r="D95" s="32" t="s">
        <v>3297</v>
      </c>
      <c r="E95" s="135" t="str">
        <f>HYPERLINK("https://youtu.be/zMxjy3bSTvM?t=1729","channel 1")</f>
        <v>channel 1</v>
      </c>
    </row>
    <row r="96">
      <c r="A96" s="118"/>
      <c r="B96" s="32" t="s">
        <v>3970</v>
      </c>
      <c r="C96" s="33" t="s">
        <v>362</v>
      </c>
      <c r="D96" s="32" t="s">
        <v>3736</v>
      </c>
      <c r="E96" s="11" t="str">
        <f>HYPERLINK("https://youtu.be/SZbqRksmLNk?t=1895","channel 2")</f>
        <v>channel 2</v>
      </c>
    </row>
    <row r="97">
      <c r="A97" s="118"/>
      <c r="B97" s="32" t="s">
        <v>3971</v>
      </c>
      <c r="C97" s="33" t="s">
        <v>369</v>
      </c>
      <c r="D97" s="32" t="s">
        <v>424</v>
      </c>
      <c r="E97" s="135" t="str">
        <f>HYPERLINK("https://youtu.be/zMxjy3bSTvM?t=2712","channel 1")</f>
        <v>channel 1</v>
      </c>
    </row>
    <row r="98">
      <c r="A98" s="118"/>
      <c r="B98" s="32" t="s">
        <v>3297</v>
      </c>
      <c r="C98" s="33" t="s">
        <v>488</v>
      </c>
      <c r="D98" s="32" t="s">
        <v>3736</v>
      </c>
      <c r="E98" s="11" t="str">
        <f>HYPERLINK("https://youtu.be/SZbqRksmLNk?t=2862","channel 2")</f>
        <v>channel 2</v>
      </c>
    </row>
    <row r="99">
      <c r="A99" s="118"/>
      <c r="B99" s="32" t="s">
        <v>3971</v>
      </c>
      <c r="C99" s="33" t="s">
        <v>802</v>
      </c>
      <c r="D99" s="32" t="s">
        <v>3970</v>
      </c>
      <c r="E99" s="135" t="str">
        <f>HYPERLINK("https://youtu.be/zMxjy3bSTvM?t=3600","channel 1")</f>
        <v>channel 1</v>
      </c>
    </row>
    <row r="100">
      <c r="A100" s="118"/>
      <c r="B100" s="32" t="s">
        <v>3297</v>
      </c>
      <c r="C100" s="33" t="s">
        <v>249</v>
      </c>
      <c r="D100" s="32" t="s">
        <v>424</v>
      </c>
      <c r="E100" s="11" t="str">
        <f>HYPERLINK("https://youtu.be/SZbqRksmLNk?t=3790","channel 2")</f>
        <v>channel 2</v>
      </c>
    </row>
    <row r="101">
      <c r="A101" s="118"/>
      <c r="B101" s="32" t="s">
        <v>424</v>
      </c>
      <c r="C101" s="33" t="s">
        <v>260</v>
      </c>
      <c r="D101" s="32" t="s">
        <v>3736</v>
      </c>
      <c r="E101" s="135" t="str">
        <f>HYPERLINK("https://youtu.be/zMxjy3bSTvM?t=4468","channel 1")</f>
        <v>channel 1</v>
      </c>
    </row>
    <row r="102">
      <c r="A102" s="118"/>
      <c r="B102" s="32" t="s">
        <v>3297</v>
      </c>
      <c r="C102" s="33" t="s">
        <v>78</v>
      </c>
      <c r="D102" s="32" t="s">
        <v>3970</v>
      </c>
      <c r="E102" s="11" t="str">
        <f>HYPERLINK("https://youtu.be/SZbqRksmLNk?t=4752","channel 2")</f>
        <v>channel 2</v>
      </c>
    </row>
    <row r="103">
      <c r="A103" s="118"/>
      <c r="B103" s="32" t="s">
        <v>3736</v>
      </c>
      <c r="C103" s="33" t="s">
        <v>835</v>
      </c>
      <c r="D103" s="32" t="s">
        <v>3971</v>
      </c>
      <c r="E103" s="135" t="str">
        <f>HYPERLINK("https://youtu.be/zMxjy3bSTvM?t=5375","channel 1")</f>
        <v>channel 1</v>
      </c>
    </row>
    <row r="104">
      <c r="A104" s="118"/>
      <c r="B104" s="32" t="s">
        <v>424</v>
      </c>
      <c r="C104" s="33" t="s">
        <v>3972</v>
      </c>
      <c r="D104" s="32" t="s">
        <v>3970</v>
      </c>
      <c r="E104" s="11" t="str">
        <f>HYPERLINK("https://youtu.be/SZbqRksmLNk?t=5649","channel 2")</f>
        <v>channel 2</v>
      </c>
    </row>
    <row r="105">
      <c r="A105" s="118"/>
      <c r="B105" s="32" t="s">
        <v>3297</v>
      </c>
      <c r="C105" s="33" t="s">
        <v>542</v>
      </c>
      <c r="D105" s="32" t="s">
        <v>3971</v>
      </c>
      <c r="E105" s="135" t="str">
        <f>HYPERLINK("https://youtu.be/zMxjy3bSTvM?t=6223","channel 1")</f>
        <v>channel 1</v>
      </c>
    </row>
    <row r="106">
      <c r="A106" s="118"/>
      <c r="B106" s="32" t="s">
        <v>3736</v>
      </c>
      <c r="C106" s="33" t="s">
        <v>319</v>
      </c>
      <c r="D106" s="32" t="s">
        <v>3970</v>
      </c>
      <c r="E106" s="11" t="str">
        <f>HYPERLINK("https://youtu.be/SZbqRksmLNk?t=6586","channel 2")</f>
        <v>channel 2</v>
      </c>
    </row>
    <row r="107">
      <c r="A107" s="118"/>
      <c r="B107" s="32" t="s">
        <v>424</v>
      </c>
      <c r="C107" s="33" t="s">
        <v>906</v>
      </c>
      <c r="D107" s="32" t="s">
        <v>3971</v>
      </c>
      <c r="E107" s="135" t="str">
        <f>HYPERLINK("https://youtu.be/zMxjy3bSTvM?t=7166","channel 1")</f>
        <v>channel 1</v>
      </c>
    </row>
    <row r="108">
      <c r="A108" s="118"/>
      <c r="B108" s="32" t="s">
        <v>3736</v>
      </c>
      <c r="C108" s="33" t="s">
        <v>534</v>
      </c>
      <c r="D108" s="32" t="s">
        <v>3297</v>
      </c>
      <c r="E108" s="11" t="str">
        <f>HYPERLINK("https://youtu.be/SZbqRksmLNk?t=7500","channel 2")</f>
        <v>channel 2</v>
      </c>
    </row>
    <row r="109">
      <c r="A109" s="118"/>
      <c r="B109" s="32" t="s">
        <v>3970</v>
      </c>
      <c r="C109" s="33" t="s">
        <v>481</v>
      </c>
      <c r="D109" s="32" t="s">
        <v>3971</v>
      </c>
      <c r="E109" s="135" t="str">
        <f>HYPERLINK("https://youtu.be/zMxjy3bSTvM?t=8058","channel 1")</f>
        <v>channel 1</v>
      </c>
    </row>
    <row r="110">
      <c r="A110" s="118"/>
      <c r="B110" s="32" t="s">
        <v>424</v>
      </c>
      <c r="C110" s="33" t="s">
        <v>212</v>
      </c>
      <c r="D110" s="32" t="s">
        <v>3297</v>
      </c>
      <c r="E110" s="11" t="str">
        <f>HYPERLINK("https://youtu.be/SZbqRksmLNk?t=8395","channel 2")</f>
        <v>channel 2</v>
      </c>
    </row>
    <row r="111">
      <c r="A111" s="118"/>
      <c r="B111" s="72" t="s">
        <v>2272</v>
      </c>
      <c r="C111" s="2"/>
      <c r="D111" s="3"/>
      <c r="E111" s="138"/>
    </row>
    <row r="112">
      <c r="A112" s="118"/>
      <c r="B112" s="35" t="s">
        <v>2</v>
      </c>
      <c r="C112" s="35" t="s">
        <v>3</v>
      </c>
      <c r="D112" s="35" t="s">
        <v>4</v>
      </c>
      <c r="E112" s="16" t="s">
        <v>5</v>
      </c>
    </row>
    <row r="113">
      <c r="A113" s="118"/>
      <c r="B113" s="32" t="s">
        <v>3450</v>
      </c>
      <c r="C113" s="33" t="s">
        <v>201</v>
      </c>
      <c r="D113" s="32" t="s">
        <v>2984</v>
      </c>
      <c r="E113" s="135" t="str">
        <f>HYPERLINK("https://youtu.be/5lC43L5T_4g","channel 1")</f>
        <v>channel 1</v>
      </c>
    </row>
    <row r="114">
      <c r="A114" s="118"/>
      <c r="B114" s="32" t="s">
        <v>3087</v>
      </c>
      <c r="C114" s="33" t="s">
        <v>50</v>
      </c>
      <c r="D114" s="8" t="s">
        <v>3973</v>
      </c>
      <c r="E114" s="11" t="str">
        <f>HYPERLINK("https://youtu.be/innpaOOxegY","channel 2")</f>
        <v>channel 2</v>
      </c>
    </row>
    <row r="115">
      <c r="A115" s="118"/>
      <c r="B115" s="32" t="s">
        <v>3974</v>
      </c>
      <c r="C115" s="33" t="s">
        <v>190</v>
      </c>
      <c r="D115" s="32" t="s">
        <v>3450</v>
      </c>
      <c r="E115" s="135" t="str">
        <f>HYPERLINK("https://youtu.be/5lC43L5T_4g?t=879","channel 1")</f>
        <v>channel 1</v>
      </c>
    </row>
    <row r="116">
      <c r="A116" s="118"/>
      <c r="B116" s="32" t="s">
        <v>3087</v>
      </c>
      <c r="C116" s="33" t="s">
        <v>239</v>
      </c>
      <c r="D116" s="32" t="s">
        <v>2984</v>
      </c>
      <c r="E116" s="11" t="str">
        <f>HYPERLINK("https://youtu.be/innpaOOxegY?t=1009","channel 2")</f>
        <v>channel 2</v>
      </c>
    </row>
    <row r="117">
      <c r="A117" s="118"/>
      <c r="B117" s="32" t="s">
        <v>3974</v>
      </c>
      <c r="C117" s="33" t="s">
        <v>283</v>
      </c>
      <c r="D117" s="8" t="s">
        <v>3973</v>
      </c>
      <c r="E117" s="135" t="str">
        <f>HYPERLINK("https://youtu.be/5lC43L5T_4g?t=1733","channel 1")</f>
        <v>channel 1</v>
      </c>
    </row>
    <row r="118">
      <c r="A118" s="118"/>
      <c r="B118" s="32" t="s">
        <v>3087</v>
      </c>
      <c r="C118" s="33" t="s">
        <v>64</v>
      </c>
      <c r="D118" s="32" t="s">
        <v>3450</v>
      </c>
      <c r="E118" s="11" t="str">
        <f>HYPERLINK("https://youtu.be/innpaOOxegY?t=1910","channel 2")</f>
        <v>channel 2</v>
      </c>
    </row>
    <row r="119">
      <c r="A119" s="118"/>
      <c r="B119" s="32" t="s">
        <v>3974</v>
      </c>
      <c r="C119" s="33" t="s">
        <v>481</v>
      </c>
      <c r="D119" s="32" t="s">
        <v>2984</v>
      </c>
      <c r="E119" s="135" t="str">
        <f>HYPERLINK("https://youtu.be/5lC43L5T_4g?t=2682","channel 1")</f>
        <v>channel 1</v>
      </c>
    </row>
    <row r="120">
      <c r="A120" s="118"/>
      <c r="B120" s="8" t="s">
        <v>3973</v>
      </c>
      <c r="C120" s="33" t="s">
        <v>835</v>
      </c>
      <c r="D120" s="32" t="s">
        <v>3450</v>
      </c>
      <c r="E120" s="11" t="str">
        <f>HYPERLINK("https://youtu.be/innpaOOxegY?t=2748","channel 2")</f>
        <v>channel 2</v>
      </c>
    </row>
    <row r="121">
      <c r="A121" s="118"/>
      <c r="B121" s="32" t="s">
        <v>3974</v>
      </c>
      <c r="C121" s="33" t="s">
        <v>62</v>
      </c>
      <c r="D121" s="32" t="s">
        <v>3087</v>
      </c>
      <c r="E121" s="135" t="str">
        <f>HYPERLINK("https://youtu.be/5lC43L5T_4g?t=3531","channel 1")</f>
        <v>channel 1</v>
      </c>
    </row>
    <row r="122">
      <c r="A122" s="118"/>
      <c r="B122" s="8" t="s">
        <v>3973</v>
      </c>
      <c r="C122" s="33" t="s">
        <v>693</v>
      </c>
      <c r="D122" s="32" t="s">
        <v>2984</v>
      </c>
      <c r="E122" s="11" t="str">
        <f>HYPERLINK("https://youtu.be/innpaOOxegY?t=3629","channel 2")</f>
        <v>channel 2</v>
      </c>
    </row>
    <row r="123">
      <c r="A123" s="118"/>
      <c r="B123" s="32" t="s">
        <v>2984</v>
      </c>
      <c r="C123" s="33" t="s">
        <v>533</v>
      </c>
      <c r="D123" s="32" t="s">
        <v>3450</v>
      </c>
      <c r="E123" s="135" t="str">
        <f>HYPERLINK("https://youtu.be/5lC43L5T_4g?t=4385","channel 1")</f>
        <v>channel 1</v>
      </c>
    </row>
    <row r="124">
      <c r="A124" s="118"/>
      <c r="B124" s="8" t="s">
        <v>3973</v>
      </c>
      <c r="C124" s="33" t="s">
        <v>190</v>
      </c>
      <c r="D124" s="32" t="s">
        <v>3087</v>
      </c>
      <c r="E124" s="11" t="str">
        <f>HYPERLINK("https://youtu.be/innpaOOxegY?t=4431","channel 2")</f>
        <v>channel 2</v>
      </c>
    </row>
    <row r="125">
      <c r="A125" s="118"/>
      <c r="B125" s="32" t="s">
        <v>3450</v>
      </c>
      <c r="C125" s="33" t="s">
        <v>81</v>
      </c>
      <c r="D125" s="32" t="s">
        <v>3974</v>
      </c>
      <c r="E125" s="135" t="str">
        <f>HYPERLINK("https://youtu.be/5lC43L5T_4g?t=5274","channel 1")</f>
        <v>channel 1</v>
      </c>
    </row>
    <row r="126">
      <c r="A126" s="118"/>
      <c r="B126" s="32" t="s">
        <v>2984</v>
      </c>
      <c r="C126" s="33" t="s">
        <v>49</v>
      </c>
      <c r="D126" s="32" t="s">
        <v>3087</v>
      </c>
      <c r="E126" s="11" t="str">
        <f>HYPERLINK("https://youtu.be/innpaOOxegY?t=5282","channel 2")</f>
        <v>channel 2</v>
      </c>
    </row>
    <row r="127">
      <c r="A127" s="118"/>
      <c r="B127" s="8" t="s">
        <v>3973</v>
      </c>
      <c r="C127" s="33" t="s">
        <v>196</v>
      </c>
      <c r="D127" s="32" t="s">
        <v>3974</v>
      </c>
      <c r="E127" s="135" t="str">
        <f>HYPERLINK("https://youtu.be/5lC43L5T_4g?t=6108","channel 1")</f>
        <v>channel 1</v>
      </c>
    </row>
    <row r="128">
      <c r="A128" s="118"/>
      <c r="B128" s="32" t="s">
        <v>3450</v>
      </c>
      <c r="C128" s="33" t="s">
        <v>201</v>
      </c>
      <c r="D128" s="32" t="s">
        <v>3087</v>
      </c>
      <c r="E128" s="11" t="str">
        <f>HYPERLINK("https://youtu.be/innpaOOxegY?t=6150","channel 2")</f>
        <v>channel 2</v>
      </c>
    </row>
    <row r="129">
      <c r="A129" s="118"/>
      <c r="B129" s="32" t="s">
        <v>2984</v>
      </c>
      <c r="C129" s="33" t="s">
        <v>88</v>
      </c>
      <c r="D129" s="32" t="s">
        <v>3974</v>
      </c>
      <c r="E129" s="135" t="str">
        <f>HYPERLINK("https://youtu.be/5lC43L5T_4g?t=7072","channel 1")</f>
        <v>channel 1</v>
      </c>
    </row>
    <row r="130">
      <c r="A130" s="118"/>
      <c r="B130" s="32" t="s">
        <v>3450</v>
      </c>
      <c r="C130" s="33" t="s">
        <v>197</v>
      </c>
      <c r="D130" s="8" t="s">
        <v>3973</v>
      </c>
      <c r="E130" s="11" t="str">
        <f>HYPERLINK("https://youtu.be/innpaOOxegY?t=6972","channel 2")</f>
        <v>channel 2</v>
      </c>
    </row>
    <row r="131">
      <c r="A131" s="118"/>
      <c r="B131" s="32" t="s">
        <v>3087</v>
      </c>
      <c r="C131" s="33" t="s">
        <v>232</v>
      </c>
      <c r="D131" s="32" t="s">
        <v>3974</v>
      </c>
      <c r="E131" s="135" t="str">
        <f>HYPERLINK("https://youtu.be/5lC43L5T_4g?t=7921","channel 1")</f>
        <v>channel 1</v>
      </c>
    </row>
    <row r="132">
      <c r="A132" s="122"/>
      <c r="B132" s="32" t="s">
        <v>2984</v>
      </c>
      <c r="C132" s="33" t="s">
        <v>1338</v>
      </c>
      <c r="D132" s="8" t="s">
        <v>3973</v>
      </c>
      <c r="E132" s="11" t="str">
        <f>HYPERLINK("https://youtu.be/innpaOOxegY?t=7852","channel 2")</f>
        <v>channel 2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7"/>
      <c r="B1" s="72" t="s">
        <v>2790</v>
      </c>
      <c r="C1" s="2"/>
      <c r="D1" s="3"/>
      <c r="E1" s="134"/>
    </row>
    <row r="2">
      <c r="A2" s="118"/>
      <c r="B2" s="35" t="s">
        <v>2</v>
      </c>
      <c r="C2" s="35" t="s">
        <v>3</v>
      </c>
      <c r="D2" s="35" t="s">
        <v>4</v>
      </c>
      <c r="E2" s="6" t="s">
        <v>5</v>
      </c>
    </row>
    <row r="3">
      <c r="A3" s="118"/>
      <c r="B3" s="32" t="s">
        <v>3201</v>
      </c>
      <c r="C3" s="33" t="s">
        <v>283</v>
      </c>
      <c r="D3" s="32" t="s">
        <v>3596</v>
      </c>
      <c r="E3" s="135" t="str">
        <f>HYPERLINK("https://youtu.be/x0gGe_ww3A0","channel 1")</f>
        <v>channel 1</v>
      </c>
    </row>
    <row r="4">
      <c r="A4" s="118"/>
      <c r="B4" s="32" t="s">
        <v>3975</v>
      </c>
      <c r="C4" s="60" t="s">
        <v>285</v>
      </c>
      <c r="D4" s="32" t="s">
        <v>3976</v>
      </c>
      <c r="E4" s="11" t="str">
        <f>HYPERLINK("https://youtu.be/dry6x3RHFhg","channel 2")</f>
        <v>channel 2</v>
      </c>
    </row>
    <row r="5">
      <c r="A5" s="118"/>
      <c r="B5" s="32" t="s">
        <v>3573</v>
      </c>
      <c r="C5" s="33" t="s">
        <v>25</v>
      </c>
      <c r="D5" s="32" t="s">
        <v>3201</v>
      </c>
      <c r="E5" s="135" t="str">
        <f>HYPERLINK("https://youtu.be/x0gGe_ww3A0?t=810","channel 1")</f>
        <v>channel 1</v>
      </c>
    </row>
    <row r="6">
      <c r="A6" s="118"/>
      <c r="B6" s="32" t="s">
        <v>3975</v>
      </c>
      <c r="C6" s="33" t="s">
        <v>295</v>
      </c>
      <c r="D6" s="32" t="s">
        <v>3596</v>
      </c>
      <c r="E6" s="11" t="str">
        <f>HYPERLINK("https://youtu.be/dry6x3RHFhg?t=1026","channel 2")</f>
        <v>channel 2</v>
      </c>
    </row>
    <row r="7">
      <c r="A7" s="118"/>
      <c r="B7" s="32" t="s">
        <v>3573</v>
      </c>
      <c r="C7" s="33" t="s">
        <v>201</v>
      </c>
      <c r="D7" s="32" t="s">
        <v>3976</v>
      </c>
      <c r="E7" s="135" t="str">
        <f>HYPERLINK("https://youtu.be/x0gGe_ww3A0?t=1693","channel 1")</f>
        <v>channel 1</v>
      </c>
    </row>
    <row r="8">
      <c r="A8" s="118"/>
      <c r="B8" s="32" t="s">
        <v>3975</v>
      </c>
      <c r="C8" s="33" t="s">
        <v>52</v>
      </c>
      <c r="D8" s="32" t="s">
        <v>3201</v>
      </c>
      <c r="E8" s="11" t="str">
        <f>HYPERLINK("https://youtu.be/dry6x3RHFhg?t=1923","channel 2")</f>
        <v>channel 2</v>
      </c>
    </row>
    <row r="9">
      <c r="A9" s="118"/>
      <c r="B9" s="32" t="s">
        <v>3573</v>
      </c>
      <c r="C9" s="33" t="s">
        <v>25</v>
      </c>
      <c r="D9" s="32" t="s">
        <v>3596</v>
      </c>
      <c r="E9" s="135" t="str">
        <f>HYPERLINK("https://youtu.be/x0gGe_ww3A0?t=2568","channel 1")</f>
        <v>channel 1</v>
      </c>
    </row>
    <row r="10">
      <c r="A10" s="118"/>
      <c r="B10" s="32" t="s">
        <v>3976</v>
      </c>
      <c r="C10" s="33" t="s">
        <v>31</v>
      </c>
      <c r="D10" s="32" t="s">
        <v>3201</v>
      </c>
      <c r="E10" s="11" t="str">
        <f>HYPERLINK("https://youtu.be/dry6x3RHFhg?t=2891","channel 2")</f>
        <v>channel 2</v>
      </c>
    </row>
    <row r="11">
      <c r="A11" s="118"/>
      <c r="B11" s="32" t="s">
        <v>3573</v>
      </c>
      <c r="C11" s="33" t="s">
        <v>195</v>
      </c>
      <c r="D11" s="32" t="s">
        <v>3975</v>
      </c>
      <c r="E11" s="135" t="str">
        <f>HYPERLINK("https://youtu.be/x0gGe_ww3A0?t=3566","channel 1")</f>
        <v>channel 1</v>
      </c>
    </row>
    <row r="12">
      <c r="A12" s="118"/>
      <c r="B12" s="32" t="s">
        <v>3976</v>
      </c>
      <c r="C12" s="33" t="s">
        <v>885</v>
      </c>
      <c r="D12" s="32" t="s">
        <v>3596</v>
      </c>
      <c r="E12" s="11" t="str">
        <f>HYPERLINK("https://youtu.be/dry6x3RHFhg?t=3788","channel 2")</f>
        <v>channel 2</v>
      </c>
    </row>
    <row r="13">
      <c r="A13" s="118"/>
      <c r="B13" s="32" t="s">
        <v>3596</v>
      </c>
      <c r="C13" s="33" t="s">
        <v>27</v>
      </c>
      <c r="D13" s="32" t="s">
        <v>3201</v>
      </c>
      <c r="E13" s="135" t="str">
        <f>HYPERLINK("https://youtu.be/x0gGe_ww3A0?t=4556","channel 1")</f>
        <v>channel 1</v>
      </c>
    </row>
    <row r="14">
      <c r="A14" s="118"/>
      <c r="B14" s="32" t="s">
        <v>3976</v>
      </c>
      <c r="C14" s="33" t="s">
        <v>87</v>
      </c>
      <c r="D14" s="32" t="s">
        <v>3975</v>
      </c>
      <c r="E14" s="11" t="str">
        <f>HYPERLINK("https://youtu.be/dry6x3RHFhg?t=4680","channel 2")</f>
        <v>channel 2</v>
      </c>
    </row>
    <row r="15">
      <c r="A15" s="118"/>
      <c r="B15" s="32" t="s">
        <v>3201</v>
      </c>
      <c r="C15" s="33" t="s">
        <v>412</v>
      </c>
      <c r="D15" s="32" t="s">
        <v>3573</v>
      </c>
      <c r="E15" s="135" t="str">
        <f>HYPERLINK("https://youtu.be/x0gGe_ww3A0?t=5324","channel 1")</f>
        <v>channel 1</v>
      </c>
    </row>
    <row r="16">
      <c r="A16" s="118"/>
      <c r="B16" s="32" t="s">
        <v>3596</v>
      </c>
      <c r="C16" s="33" t="s">
        <v>80</v>
      </c>
      <c r="D16" s="32" t="s">
        <v>3975</v>
      </c>
      <c r="E16" s="11" t="str">
        <f>HYPERLINK("https://youtu.be/dry6x3RHFhg?t=5551","channel 2")</f>
        <v>channel 2</v>
      </c>
    </row>
    <row r="17">
      <c r="A17" s="118"/>
      <c r="B17" s="32" t="s">
        <v>3976</v>
      </c>
      <c r="C17" s="33" t="s">
        <v>55</v>
      </c>
      <c r="D17" s="32" t="s">
        <v>3573</v>
      </c>
      <c r="E17" s="135" t="str">
        <f>HYPERLINK("https://youtu.be/x0gGe_ww3A0?t=6206","channel 1")</f>
        <v>channel 1</v>
      </c>
    </row>
    <row r="18">
      <c r="A18" s="118"/>
      <c r="B18" s="32" t="s">
        <v>3201</v>
      </c>
      <c r="C18" s="33" t="s">
        <v>16</v>
      </c>
      <c r="D18" s="32" t="s">
        <v>3975</v>
      </c>
      <c r="E18" s="11" t="str">
        <f>HYPERLINK("https://youtu.be/dry6x3RHFhg?t=6440","channel 2")</f>
        <v>channel 2</v>
      </c>
    </row>
    <row r="19">
      <c r="A19" s="118"/>
      <c r="B19" s="32" t="s">
        <v>3596</v>
      </c>
      <c r="C19" s="33" t="s">
        <v>400</v>
      </c>
      <c r="D19" s="32" t="s">
        <v>3573</v>
      </c>
      <c r="E19" s="135" t="str">
        <f>HYPERLINK("https://youtu.be/x0gGe_ww3A0?t=7225","channel 1")</f>
        <v>channel 1</v>
      </c>
    </row>
    <row r="20">
      <c r="A20" s="118"/>
      <c r="B20" s="32" t="s">
        <v>3201</v>
      </c>
      <c r="C20" s="33" t="s">
        <v>190</v>
      </c>
      <c r="D20" s="32" t="s">
        <v>3976</v>
      </c>
      <c r="E20" s="11" t="str">
        <f>HYPERLINK("https://youtu.be/dry6x3RHFhg?t=7455","channel 2")</f>
        <v>channel 2</v>
      </c>
    </row>
    <row r="21">
      <c r="A21" s="118"/>
      <c r="B21" s="32" t="s">
        <v>3975</v>
      </c>
      <c r="C21" s="33" t="s">
        <v>78</v>
      </c>
      <c r="D21" s="32" t="s">
        <v>3573</v>
      </c>
      <c r="E21" s="135" t="str">
        <f>HYPERLINK("https://youtu.be/x0gGe_ww3A0?t=8093","channel 1")</f>
        <v>channel 1</v>
      </c>
    </row>
    <row r="22">
      <c r="A22" s="118"/>
      <c r="B22" s="32" t="s">
        <v>3596</v>
      </c>
      <c r="C22" s="33" t="s">
        <v>584</v>
      </c>
      <c r="D22" s="32" t="s">
        <v>3976</v>
      </c>
      <c r="E22" s="11" t="str">
        <f>HYPERLINK("https://youtu.be/dry6x3RHFhg?t=8368","channel 2")</f>
        <v>channel 2</v>
      </c>
    </row>
    <row r="23">
      <c r="A23" s="118"/>
      <c r="B23" s="72" t="s">
        <v>1664</v>
      </c>
      <c r="C23" s="2"/>
      <c r="D23" s="3"/>
      <c r="E23" s="134"/>
    </row>
    <row r="24">
      <c r="A24" s="118"/>
      <c r="B24" s="35" t="s">
        <v>2</v>
      </c>
      <c r="C24" s="35" t="s">
        <v>3</v>
      </c>
      <c r="D24" s="35" t="s">
        <v>4</v>
      </c>
      <c r="E24" s="6" t="s">
        <v>5</v>
      </c>
    </row>
    <row r="25">
      <c r="A25" s="118"/>
      <c r="B25" s="32" t="s">
        <v>3977</v>
      </c>
      <c r="C25" s="33" t="s">
        <v>81</v>
      </c>
      <c r="D25" s="32" t="s">
        <v>3635</v>
      </c>
      <c r="E25" s="135" t="str">
        <f>HYPERLINK("https://youtu.be/loNLGOFb2zc","channel 1")</f>
        <v>channel 1</v>
      </c>
    </row>
    <row r="26">
      <c r="A26" s="118"/>
      <c r="B26" s="32" t="s">
        <v>3978</v>
      </c>
      <c r="C26" s="33" t="s">
        <v>43</v>
      </c>
      <c r="D26" s="32" t="s">
        <v>1790</v>
      </c>
      <c r="E26" s="11" t="str">
        <f>HYPERLINK("https://youtu.be/6CZiq9i1L_I?t=137","channel 2")</f>
        <v>channel 2</v>
      </c>
    </row>
    <row r="27">
      <c r="A27" s="118"/>
      <c r="B27" s="32" t="s">
        <v>3870</v>
      </c>
      <c r="C27" s="33" t="s">
        <v>291</v>
      </c>
      <c r="D27" s="32" t="s">
        <v>3977</v>
      </c>
      <c r="E27" s="135" t="str">
        <f>HYPERLINK("https://youtu.be/loNLGOFb2zc?t=794","channel 1")</f>
        <v>channel 1</v>
      </c>
    </row>
    <row r="28">
      <c r="A28" s="118"/>
      <c r="B28" s="32" t="s">
        <v>3978</v>
      </c>
      <c r="C28" s="33" t="s">
        <v>297</v>
      </c>
      <c r="D28" s="32" t="s">
        <v>3635</v>
      </c>
      <c r="E28" s="11" t="str">
        <f>HYPERLINK("https://youtu.be/6CZiq9i1L_I?t=1091","channel 2")</f>
        <v>channel 2</v>
      </c>
    </row>
    <row r="29">
      <c r="A29" s="118"/>
      <c r="B29" s="32" t="s">
        <v>3870</v>
      </c>
      <c r="C29" s="33" t="s">
        <v>354</v>
      </c>
      <c r="D29" s="32" t="s">
        <v>1790</v>
      </c>
      <c r="E29" s="135" t="str">
        <f>HYPERLINK("https://youtu.be/loNLGOFb2zc?t=1743","channel 1")</f>
        <v>channel 1</v>
      </c>
    </row>
    <row r="30">
      <c r="A30" s="118"/>
      <c r="B30" s="32" t="s">
        <v>3978</v>
      </c>
      <c r="C30" s="33" t="s">
        <v>68</v>
      </c>
      <c r="D30" s="32" t="s">
        <v>3977</v>
      </c>
      <c r="E30" s="11" t="str">
        <f>HYPERLINK("https://youtu.be/6CZiq9i1L_I?t=2012","channel 2")</f>
        <v>channel 2</v>
      </c>
    </row>
    <row r="31">
      <c r="A31" s="118"/>
      <c r="B31" s="32" t="s">
        <v>3870</v>
      </c>
      <c r="C31" s="33" t="s">
        <v>815</v>
      </c>
      <c r="D31" s="32" t="s">
        <v>3635</v>
      </c>
      <c r="E31" s="135" t="str">
        <f>HYPERLINK("https://youtu.be/loNLGOFb2zc?t=2619","channel 1")</f>
        <v>channel 1</v>
      </c>
    </row>
    <row r="32">
      <c r="A32" s="118"/>
      <c r="B32" s="32" t="s">
        <v>1790</v>
      </c>
      <c r="C32" s="33" t="s">
        <v>7</v>
      </c>
      <c r="D32" s="32" t="s">
        <v>3977</v>
      </c>
      <c r="E32" s="11" t="str">
        <f>HYPERLINK("https://youtu.be/6CZiq9i1L_I?t=2980","channel 2")</f>
        <v>channel 2</v>
      </c>
    </row>
    <row r="33">
      <c r="A33" s="118"/>
      <c r="B33" s="32" t="s">
        <v>3870</v>
      </c>
      <c r="C33" s="33" t="s">
        <v>47</v>
      </c>
      <c r="D33" s="32" t="s">
        <v>3978</v>
      </c>
      <c r="E33" s="135" t="str">
        <f>HYPERLINK("https://youtu.be/loNLGOFb2zc?t=3509","channel 1")</f>
        <v>channel 1</v>
      </c>
    </row>
    <row r="34">
      <c r="A34" s="118"/>
      <c r="B34" s="32" t="s">
        <v>1790</v>
      </c>
      <c r="C34" s="33" t="s">
        <v>68</v>
      </c>
      <c r="D34" s="32" t="s">
        <v>3635</v>
      </c>
      <c r="E34" s="11" t="str">
        <f>HYPERLINK("https://youtu.be/6CZiq9i1L_I?t=3918","channel 2")</f>
        <v>channel 2</v>
      </c>
    </row>
    <row r="35">
      <c r="A35" s="118"/>
      <c r="B35" s="32" t="s">
        <v>3635</v>
      </c>
      <c r="C35" s="33" t="s">
        <v>23</v>
      </c>
      <c r="D35" s="32" t="s">
        <v>3977</v>
      </c>
      <c r="E35" s="135" t="str">
        <f>HYPERLINK("https://youtu.be/loNLGOFb2zc?t=4495","channel 1")</f>
        <v>channel 1</v>
      </c>
    </row>
    <row r="36">
      <c r="A36" s="118"/>
      <c r="B36" s="32" t="s">
        <v>1790</v>
      </c>
      <c r="C36" s="33" t="s">
        <v>289</v>
      </c>
      <c r="D36" s="32" t="s">
        <v>3978</v>
      </c>
      <c r="E36" s="11" t="str">
        <f>HYPERLINK("https://youtu.be/6CZiq9i1L_I?t=4802","channel 2")</f>
        <v>channel 2</v>
      </c>
    </row>
    <row r="37">
      <c r="A37" s="118"/>
      <c r="B37" s="32" t="s">
        <v>3977</v>
      </c>
      <c r="C37" s="33" t="s">
        <v>289</v>
      </c>
      <c r="D37" s="32" t="s">
        <v>3870</v>
      </c>
      <c r="E37" s="135" t="str">
        <f>HYPERLINK("https://youtu.be/loNLGOFb2zc?t=5459","channel 1")</f>
        <v>channel 1</v>
      </c>
    </row>
    <row r="38">
      <c r="A38" s="118"/>
      <c r="B38" s="32" t="s">
        <v>3635</v>
      </c>
      <c r="C38" s="33" t="s">
        <v>293</v>
      </c>
      <c r="D38" s="32" t="s">
        <v>3978</v>
      </c>
      <c r="E38" s="11" t="str">
        <f>HYPERLINK("https://youtu.be/6CZiq9i1L_I?t=5698","channel 2")</f>
        <v>channel 2</v>
      </c>
    </row>
    <row r="39">
      <c r="A39" s="118"/>
      <c r="B39" s="32" t="s">
        <v>1790</v>
      </c>
      <c r="C39" s="35" t="s">
        <v>260</v>
      </c>
      <c r="D39" s="32" t="s">
        <v>3870</v>
      </c>
      <c r="E39" s="135" t="str">
        <f>HYPERLINK("https://youtu.be/loNLGOFb2zc?t=6430","channel 1")</f>
        <v>channel 1</v>
      </c>
    </row>
    <row r="40">
      <c r="A40" s="118"/>
      <c r="B40" s="32" t="s">
        <v>3977</v>
      </c>
      <c r="C40" s="33" t="s">
        <v>17</v>
      </c>
      <c r="D40" s="32" t="s">
        <v>3978</v>
      </c>
      <c r="E40" s="11" t="str">
        <f>HYPERLINK("https://youtu.be/6CZiq9i1L_I?t=6685","channel 2")</f>
        <v>channel 2</v>
      </c>
    </row>
    <row r="41">
      <c r="A41" s="118"/>
      <c r="B41" s="32" t="s">
        <v>3635</v>
      </c>
      <c r="C41" s="33" t="s">
        <v>351</v>
      </c>
      <c r="D41" s="32" t="s">
        <v>3870</v>
      </c>
      <c r="E41" s="135" t="str">
        <f>HYPERLINK("https://youtu.be/loNLGOFb2zc?t=7431","channel 1")</f>
        <v>channel 1</v>
      </c>
    </row>
    <row r="42">
      <c r="A42" s="118"/>
      <c r="B42" s="32" t="s">
        <v>3977</v>
      </c>
      <c r="C42" s="33" t="s">
        <v>19</v>
      </c>
      <c r="D42" s="32" t="s">
        <v>1790</v>
      </c>
      <c r="E42" s="11" t="str">
        <f>HYPERLINK("https://youtu.be/6CZiq9i1L_I?t=7786","channel 2")</f>
        <v>channel 2</v>
      </c>
    </row>
    <row r="43">
      <c r="A43" s="118"/>
      <c r="B43" s="32" t="s">
        <v>3978</v>
      </c>
      <c r="C43" s="33" t="s">
        <v>331</v>
      </c>
      <c r="D43" s="32" t="s">
        <v>3870</v>
      </c>
      <c r="E43" s="135" t="str">
        <f>HYPERLINK("https://youtu.be/loNLGOFb2zc?t=8424","channel 1")</f>
        <v>channel 1</v>
      </c>
    </row>
    <row r="44">
      <c r="A44" s="118"/>
      <c r="B44" s="32" t="s">
        <v>3635</v>
      </c>
      <c r="C44" s="33" t="s">
        <v>545</v>
      </c>
      <c r="D44" s="32" t="s">
        <v>1790</v>
      </c>
      <c r="E44" s="11" t="str">
        <f>HYPERLINK("https://youtu.be/6CZiq9i1L_I?t=8741","channel 2")</f>
        <v>channel 2</v>
      </c>
    </row>
    <row r="45">
      <c r="A45" s="118"/>
      <c r="B45" s="72" t="s">
        <v>2554</v>
      </c>
      <c r="C45" s="2"/>
      <c r="D45" s="3"/>
      <c r="E45" s="134"/>
    </row>
    <row r="46">
      <c r="A46" s="118"/>
      <c r="B46" s="35" t="s">
        <v>2</v>
      </c>
      <c r="C46" s="35" t="s">
        <v>3</v>
      </c>
      <c r="D46" s="35" t="s">
        <v>4</v>
      </c>
      <c r="E46" s="6" t="s">
        <v>5</v>
      </c>
    </row>
    <row r="47">
      <c r="A47" s="118"/>
      <c r="B47" s="32" t="s">
        <v>3883</v>
      </c>
      <c r="C47" s="33" t="s">
        <v>16</v>
      </c>
      <c r="D47" s="32" t="s">
        <v>3179</v>
      </c>
      <c r="E47" s="135" t="str">
        <f>HYPERLINK("https://youtu.be/QLuxo92SY5k","channel 1")</f>
        <v>channel 1</v>
      </c>
    </row>
    <row r="48">
      <c r="A48" s="118"/>
      <c r="B48" s="32" t="s">
        <v>3979</v>
      </c>
      <c r="C48" s="33" t="s">
        <v>195</v>
      </c>
      <c r="D48" s="32" t="s">
        <v>2899</v>
      </c>
      <c r="E48" s="11" t="str">
        <f>HYPERLINK("https://youtu.be/5woCOibJOLI","channel 2")</f>
        <v>channel 2</v>
      </c>
    </row>
    <row r="49">
      <c r="A49" s="118"/>
      <c r="B49" s="32" t="s">
        <v>3980</v>
      </c>
      <c r="C49" s="33" t="s">
        <v>534</v>
      </c>
      <c r="D49" s="32" t="s">
        <v>3883</v>
      </c>
      <c r="E49" s="135" t="str">
        <f>HYPERLINK("https://youtu.be/QLuxo92SY5k?t=997","channel 1")</f>
        <v>channel 1</v>
      </c>
    </row>
    <row r="50">
      <c r="A50" s="118"/>
      <c r="B50" s="32" t="s">
        <v>3979</v>
      </c>
      <c r="C50" s="33" t="s">
        <v>218</v>
      </c>
      <c r="D50" s="32" t="s">
        <v>3179</v>
      </c>
      <c r="E50" s="11" t="str">
        <f>HYPERLINK("https://youtu.be/5woCOibJOLI?t=964","channel 2")</f>
        <v>channel 2</v>
      </c>
    </row>
    <row r="51">
      <c r="A51" s="118"/>
      <c r="B51" s="32" t="s">
        <v>3980</v>
      </c>
      <c r="C51" s="33" t="s">
        <v>76</v>
      </c>
      <c r="D51" s="32" t="s">
        <v>2899</v>
      </c>
      <c r="E51" s="135" t="str">
        <f>HYPERLINK("https://youtu.be/QLuxo92SY5k?t=1937","channel 1")</f>
        <v>channel 1</v>
      </c>
    </row>
    <row r="52">
      <c r="A52" s="118"/>
      <c r="B52" s="32" t="s">
        <v>3979</v>
      </c>
      <c r="C52" s="33" t="s">
        <v>35</v>
      </c>
      <c r="D52" s="32" t="s">
        <v>3883</v>
      </c>
      <c r="E52" s="11" t="str">
        <f>HYPERLINK("https://youtu.be/5woCOibJOLI?t=1902","channel 2")</f>
        <v>channel 2</v>
      </c>
    </row>
    <row r="53">
      <c r="A53" s="118"/>
      <c r="B53" s="32" t="s">
        <v>3980</v>
      </c>
      <c r="C53" s="33" t="s">
        <v>190</v>
      </c>
      <c r="D53" s="32" t="s">
        <v>3179</v>
      </c>
      <c r="E53" s="135" t="str">
        <f>HYPERLINK("https://youtu.be/QLuxo92SY5k?t=2927","channel 1")</f>
        <v>channel 1</v>
      </c>
    </row>
    <row r="54">
      <c r="A54" s="118"/>
      <c r="B54" s="32" t="s">
        <v>2899</v>
      </c>
      <c r="C54" s="33" t="s">
        <v>42</v>
      </c>
      <c r="D54" s="32" t="s">
        <v>3883</v>
      </c>
      <c r="E54" s="11" t="str">
        <f>HYPERLINK("https://youtu.be/5woCOibJOLI?t=2953","channel 2")</f>
        <v>channel 2</v>
      </c>
    </row>
    <row r="55">
      <c r="A55" s="118"/>
      <c r="B55" s="32" t="s">
        <v>3980</v>
      </c>
      <c r="C55" s="33" t="s">
        <v>41</v>
      </c>
      <c r="D55" s="32" t="s">
        <v>3979</v>
      </c>
      <c r="E55" s="135" t="str">
        <f>HYPERLINK("https://youtu.be/QLuxo92SY5k?t=3802","channel 1")</f>
        <v>channel 1</v>
      </c>
    </row>
    <row r="56">
      <c r="A56" s="118"/>
      <c r="B56" s="32" t="s">
        <v>2899</v>
      </c>
      <c r="C56" s="33" t="s">
        <v>38</v>
      </c>
      <c r="D56" s="32" t="s">
        <v>3179</v>
      </c>
      <c r="E56" s="11" t="str">
        <f>HYPERLINK("https://youtu.be/5woCOibJOLI?t=3981","channel 2")</f>
        <v>channel 2</v>
      </c>
    </row>
    <row r="57">
      <c r="A57" s="118"/>
      <c r="B57" s="32" t="s">
        <v>3179</v>
      </c>
      <c r="C57" s="33" t="s">
        <v>319</v>
      </c>
      <c r="D57" s="32" t="s">
        <v>3883</v>
      </c>
      <c r="E57" s="135" t="str">
        <f>HYPERLINK("https://youtu.be/QLuxo92SY5k?t=4843","channel 1")</f>
        <v>channel 1</v>
      </c>
    </row>
    <row r="58">
      <c r="A58" s="118"/>
      <c r="B58" s="32" t="s">
        <v>2899</v>
      </c>
      <c r="C58" s="33" t="s">
        <v>65</v>
      </c>
      <c r="D58" s="32" t="s">
        <v>3979</v>
      </c>
      <c r="E58" s="11" t="str">
        <f>HYPERLINK("https://youtu.be/5woCOibJOLI?t=4881","channel 2")</f>
        <v>channel 2</v>
      </c>
    </row>
    <row r="59">
      <c r="A59" s="118"/>
      <c r="B59" s="32" t="s">
        <v>3883</v>
      </c>
      <c r="C59" s="33" t="s">
        <v>416</v>
      </c>
      <c r="D59" s="32" t="s">
        <v>3980</v>
      </c>
      <c r="E59" s="135" t="str">
        <f>HYPERLINK("https://youtu.be/QLuxo92SY5k?t=5805","channel 1")</f>
        <v>channel 1</v>
      </c>
    </row>
    <row r="60">
      <c r="A60" s="118"/>
      <c r="B60" s="32" t="s">
        <v>3179</v>
      </c>
      <c r="C60" s="33" t="s">
        <v>472</v>
      </c>
      <c r="D60" s="32" t="s">
        <v>3979</v>
      </c>
      <c r="E60" s="11" t="str">
        <f>HYPERLINK("https://youtu.be/5woCOibJOLI?t=5842","channel 2")</f>
        <v>channel 2</v>
      </c>
    </row>
    <row r="61">
      <c r="A61" s="118"/>
      <c r="B61" s="32" t="s">
        <v>2899</v>
      </c>
      <c r="C61" s="33" t="s">
        <v>814</v>
      </c>
      <c r="D61" s="32" t="s">
        <v>3980</v>
      </c>
      <c r="E61" s="135" t="str">
        <f>HYPERLINK("https://youtu.be/QLuxo92SY5k?t=6757","channel 1")</f>
        <v>channel 1</v>
      </c>
    </row>
    <row r="62">
      <c r="A62" s="118"/>
      <c r="B62" s="32" t="s">
        <v>3883</v>
      </c>
      <c r="C62" s="35" t="s">
        <v>17</v>
      </c>
      <c r="D62" s="32" t="s">
        <v>3979</v>
      </c>
      <c r="E62" s="11" t="str">
        <f>HYPERLINK("https://youtu.be/5woCOibJOLI?t=6855","channel 2")</f>
        <v>channel 2</v>
      </c>
    </row>
    <row r="63">
      <c r="A63" s="118"/>
      <c r="B63" s="32" t="s">
        <v>3179</v>
      </c>
      <c r="C63" s="33" t="s">
        <v>329</v>
      </c>
      <c r="D63" s="32" t="s">
        <v>3980</v>
      </c>
      <c r="E63" s="135" t="str">
        <f>HYPERLINK("https://youtu.be/QLuxo92SY5k?t=7786","channel 1")</f>
        <v>channel 1</v>
      </c>
    </row>
    <row r="64">
      <c r="A64" s="118"/>
      <c r="B64" s="32" t="s">
        <v>3883</v>
      </c>
      <c r="C64" s="33" t="s">
        <v>27</v>
      </c>
      <c r="D64" s="32" t="s">
        <v>2899</v>
      </c>
      <c r="E64" s="11" t="str">
        <f>HYPERLINK("https://youtu.be/5woCOibJOLI?t=7823","channel 2")</f>
        <v>channel 2</v>
      </c>
    </row>
    <row r="65">
      <c r="A65" s="118"/>
      <c r="B65" s="32" t="s">
        <v>3979</v>
      </c>
      <c r="C65" s="33" t="s">
        <v>55</v>
      </c>
      <c r="D65" s="32" t="s">
        <v>3980</v>
      </c>
      <c r="E65" s="135" t="str">
        <f>HYPERLINK("https://youtu.be/QLuxo92SY5k?t=8730","channel 1")</f>
        <v>channel 1</v>
      </c>
    </row>
    <row r="66">
      <c r="A66" s="118"/>
      <c r="B66" s="32" t="s">
        <v>3179</v>
      </c>
      <c r="C66" s="33" t="s">
        <v>31</v>
      </c>
      <c r="D66" s="32" t="s">
        <v>2899</v>
      </c>
      <c r="E66" s="11" t="str">
        <f>HYPERLINK("https://youtu.be/5woCOibJOLI?t=8708","channel 2")</f>
        <v>channel 2</v>
      </c>
    </row>
    <row r="67">
      <c r="A67" s="118"/>
      <c r="B67" s="137" t="s">
        <v>1435</v>
      </c>
      <c r="C67" s="2"/>
      <c r="D67" s="3"/>
      <c r="E67" s="138"/>
    </row>
    <row r="68">
      <c r="A68" s="118"/>
      <c r="B68" s="35" t="s">
        <v>2</v>
      </c>
      <c r="C68" s="35" t="s">
        <v>3</v>
      </c>
      <c r="D68" s="35" t="s">
        <v>4</v>
      </c>
      <c r="E68" s="16" t="s">
        <v>5</v>
      </c>
    </row>
    <row r="69">
      <c r="A69" s="118"/>
      <c r="B69" s="32" t="s">
        <v>3981</v>
      </c>
      <c r="C69" s="33" t="s">
        <v>239</v>
      </c>
      <c r="D69" s="32" t="s">
        <v>3445</v>
      </c>
      <c r="E69" s="135" t="str">
        <f>HYPERLINK("https://youtu.be/qjt7_FGehBM","channel 1")</f>
        <v>channel 1</v>
      </c>
    </row>
    <row r="70">
      <c r="A70" s="118"/>
      <c r="B70" s="32" t="s">
        <v>3982</v>
      </c>
      <c r="C70" s="33" t="s">
        <v>658</v>
      </c>
      <c r="D70" s="32" t="s">
        <v>3983</v>
      </c>
      <c r="E70" s="11" t="str">
        <f>HYPERLINK("https://youtu.be/r29BItdyXDk","channel 2")</f>
        <v>channel 2</v>
      </c>
    </row>
    <row r="71">
      <c r="A71" s="118"/>
      <c r="B71" s="32" t="s">
        <v>3984</v>
      </c>
      <c r="C71" s="33" t="s">
        <v>11</v>
      </c>
      <c r="D71" s="32" t="s">
        <v>3981</v>
      </c>
      <c r="E71" s="135" t="str">
        <f>HYPERLINK("https://youtu.be/qjt7_FGehBM?t=972","channel 1")</f>
        <v>channel 1</v>
      </c>
    </row>
    <row r="72">
      <c r="A72" s="118"/>
      <c r="B72" s="32" t="s">
        <v>3982</v>
      </c>
      <c r="C72" s="33" t="s">
        <v>42</v>
      </c>
      <c r="D72" s="32" t="s">
        <v>3445</v>
      </c>
      <c r="E72" s="11" t="str">
        <f>HYPERLINK("https://youtu.be/r29BItdyXDk?t=998","channel 2")</f>
        <v>channel 2</v>
      </c>
    </row>
    <row r="73">
      <c r="A73" s="118"/>
      <c r="B73" s="32" t="s">
        <v>3984</v>
      </c>
      <c r="C73" s="33" t="s">
        <v>26</v>
      </c>
      <c r="D73" s="32" t="s">
        <v>3983</v>
      </c>
      <c r="E73" s="135" t="str">
        <f>HYPERLINK("https://youtu.be/qjt7_FGehBM?t=1877","channel 1")</f>
        <v>channel 1</v>
      </c>
    </row>
    <row r="74">
      <c r="A74" s="118"/>
      <c r="B74" s="32" t="s">
        <v>3982</v>
      </c>
      <c r="C74" s="33" t="s">
        <v>190</v>
      </c>
      <c r="D74" s="32" t="s">
        <v>3981</v>
      </c>
      <c r="E74" s="11" t="str">
        <f>HYPERLINK("https://youtu.be/r29BItdyXDk?t=1918","channel 2")</f>
        <v>channel 2</v>
      </c>
    </row>
    <row r="75">
      <c r="A75" s="118"/>
      <c r="B75" s="32" t="s">
        <v>3984</v>
      </c>
      <c r="C75" s="37" t="s">
        <v>193</v>
      </c>
      <c r="D75" s="32" t="s">
        <v>3445</v>
      </c>
      <c r="E75" s="135" t="str">
        <f>HYPERLINK("https://youtu.be/qjt7_FGehBM?t=2967","channel 1")</f>
        <v>channel 1</v>
      </c>
    </row>
    <row r="76">
      <c r="A76" s="118"/>
      <c r="B76" s="32" t="s">
        <v>3983</v>
      </c>
      <c r="C76" s="33" t="s">
        <v>267</v>
      </c>
      <c r="D76" s="32" t="s">
        <v>3981</v>
      </c>
      <c r="E76" s="11" t="str">
        <f>HYPERLINK("https://youtu.be/r29BItdyXDk?t=3097","channel 2")</f>
        <v>channel 2</v>
      </c>
    </row>
    <row r="77">
      <c r="A77" s="118"/>
      <c r="B77" s="32" t="s">
        <v>3984</v>
      </c>
      <c r="C77" s="33" t="s">
        <v>201</v>
      </c>
      <c r="D77" s="32" t="s">
        <v>3982</v>
      </c>
      <c r="E77" s="135" t="str">
        <f>HYPERLINK("https://youtu.be/qjt7_FGehBM?t=3976","channel 1")</f>
        <v>channel 1</v>
      </c>
    </row>
    <row r="78">
      <c r="A78" s="118"/>
      <c r="B78" s="32" t="s">
        <v>3983</v>
      </c>
      <c r="C78" s="33" t="s">
        <v>196</v>
      </c>
      <c r="D78" s="32" t="s">
        <v>3445</v>
      </c>
      <c r="E78" s="11" t="str">
        <f>HYPERLINK("https://youtu.be/r29BItdyXDk?t=4064","channel 2")</f>
        <v>channel 2</v>
      </c>
    </row>
    <row r="79">
      <c r="A79" s="118"/>
      <c r="B79" s="32" t="s">
        <v>3445</v>
      </c>
      <c r="C79" s="33" t="s">
        <v>64</v>
      </c>
      <c r="D79" s="32" t="s">
        <v>3981</v>
      </c>
      <c r="E79" s="135" t="str">
        <f>HYPERLINK("https://youtu.be/qjt7_FGehBM?t=4962","channel 1")</f>
        <v>channel 1</v>
      </c>
    </row>
    <row r="80">
      <c r="A80" s="118"/>
      <c r="B80" s="32" t="s">
        <v>3983</v>
      </c>
      <c r="C80" s="33" t="s">
        <v>245</v>
      </c>
      <c r="D80" s="32" t="s">
        <v>3982</v>
      </c>
      <c r="E80" s="11" t="str">
        <f>HYPERLINK("https://youtu.be/r29BItdyXDk?t=5110","channel 2")</f>
        <v>channel 2</v>
      </c>
    </row>
    <row r="81">
      <c r="A81" s="118"/>
      <c r="B81" s="32" t="s">
        <v>3981</v>
      </c>
      <c r="C81" s="33" t="s">
        <v>19</v>
      </c>
      <c r="D81" s="32" t="s">
        <v>3984</v>
      </c>
      <c r="E81" s="135" t="str">
        <f>HYPERLINK("https://youtu.be/qjt7_FGehBM?t=6030","channel 1")</f>
        <v>channel 1</v>
      </c>
    </row>
    <row r="82">
      <c r="A82" s="118"/>
      <c r="B82" s="32" t="s">
        <v>3445</v>
      </c>
      <c r="C82" s="33" t="s">
        <v>87</v>
      </c>
      <c r="D82" s="32" t="s">
        <v>3982</v>
      </c>
      <c r="E82" s="11" t="str">
        <f>HYPERLINK("https://youtu.be/r29BItdyXDk?t=6276","channel 2")</f>
        <v>channel 2</v>
      </c>
    </row>
    <row r="83">
      <c r="A83" s="118"/>
      <c r="B83" s="32" t="s">
        <v>3983</v>
      </c>
      <c r="C83" s="33" t="s">
        <v>28</v>
      </c>
      <c r="D83" s="32" t="s">
        <v>3984</v>
      </c>
      <c r="E83" s="135" t="str">
        <f>HYPERLINK("https://youtu.be/qjt7_FGehBM?t=7007","channel 1")</f>
        <v>channel 1</v>
      </c>
    </row>
    <row r="84">
      <c r="A84" s="118"/>
      <c r="B84" s="32" t="s">
        <v>3981</v>
      </c>
      <c r="C84" s="33" t="s">
        <v>19</v>
      </c>
      <c r="D84" s="32" t="s">
        <v>3982</v>
      </c>
      <c r="E84" s="11" t="str">
        <f>HYPERLINK("https://youtu.be/r29BItdyXDk?t=7183","channel 2")</f>
        <v>channel 2</v>
      </c>
    </row>
    <row r="85">
      <c r="A85" s="118"/>
      <c r="B85" s="32" t="s">
        <v>3445</v>
      </c>
      <c r="C85" s="33" t="s">
        <v>412</v>
      </c>
      <c r="D85" s="32" t="s">
        <v>3984</v>
      </c>
      <c r="E85" s="135" t="str">
        <f>HYPERLINK("https://youtu.be/qjt7_FGehBM?t=7956","channel 1")</f>
        <v>channel 1</v>
      </c>
    </row>
    <row r="86">
      <c r="A86" s="118"/>
      <c r="B86" s="32" t="s">
        <v>3981</v>
      </c>
      <c r="C86" s="33" t="s">
        <v>306</v>
      </c>
      <c r="D86" s="32" t="s">
        <v>3983</v>
      </c>
      <c r="E86" s="11" t="str">
        <f>HYPERLINK("https://youtu.be/r29BItdyXDk?t=8135","channel 2")</f>
        <v>channel 2</v>
      </c>
    </row>
    <row r="87">
      <c r="A87" s="118"/>
      <c r="B87" s="32" t="s">
        <v>3982</v>
      </c>
      <c r="C87" s="33" t="s">
        <v>66</v>
      </c>
      <c r="D87" s="32" t="s">
        <v>3984</v>
      </c>
      <c r="E87" s="135" t="str">
        <f>HYPERLINK("https://youtu.be/qjt7_FGehBM?t=8934","channel 1")</f>
        <v>channel 1</v>
      </c>
    </row>
    <row r="88">
      <c r="A88" s="118"/>
      <c r="B88" s="32" t="s">
        <v>3445</v>
      </c>
      <c r="C88" s="33" t="s">
        <v>239</v>
      </c>
      <c r="D88" s="32" t="s">
        <v>3983</v>
      </c>
      <c r="E88" s="11" t="str">
        <f>HYPERLINK("https://youtu.be/r29BItdyXDk?t=8992","channel 2")</f>
        <v>channel 2</v>
      </c>
    </row>
    <row r="89">
      <c r="A89" s="118"/>
      <c r="B89" s="72" t="s">
        <v>2055</v>
      </c>
      <c r="C89" s="2"/>
      <c r="D89" s="3"/>
      <c r="E89" s="138"/>
    </row>
    <row r="90">
      <c r="A90" s="118"/>
      <c r="B90" s="35" t="s">
        <v>2</v>
      </c>
      <c r="C90" s="35" t="s">
        <v>3</v>
      </c>
      <c r="D90" s="35" t="s">
        <v>4</v>
      </c>
      <c r="E90" s="16" t="s">
        <v>5</v>
      </c>
    </row>
    <row r="91">
      <c r="A91" s="118"/>
      <c r="B91" s="119" t="s">
        <v>3252</v>
      </c>
      <c r="C91" s="33" t="s">
        <v>24</v>
      </c>
      <c r="D91" s="32" t="s">
        <v>3844</v>
      </c>
      <c r="E91" s="135" t="str">
        <f>HYPERLINK("https://youtu.be/KQsEYr_BU-U","channel 1")</f>
        <v>channel 1</v>
      </c>
    </row>
    <row r="92">
      <c r="A92" s="118"/>
      <c r="B92" s="32" t="s">
        <v>1799</v>
      </c>
      <c r="C92" s="33" t="s">
        <v>217</v>
      </c>
      <c r="D92" s="32" t="s">
        <v>3985</v>
      </c>
      <c r="E92" s="11" t="str">
        <f>HYPERLINK("https://youtu.be/oS5GFNbC0zE","channel 2")</f>
        <v>channel 2</v>
      </c>
    </row>
    <row r="93">
      <c r="A93" s="118"/>
      <c r="B93" s="32" t="s">
        <v>3986</v>
      </c>
      <c r="C93" s="33" t="s">
        <v>793</v>
      </c>
      <c r="D93" s="32" t="s">
        <v>3252</v>
      </c>
      <c r="E93" s="135" t="str">
        <f>HYPERLINK("https://youtu.be/KQsEYr_BU-U?t=1103","channel 1")</f>
        <v>channel 1</v>
      </c>
    </row>
    <row r="94">
      <c r="A94" s="118"/>
      <c r="B94" s="32" t="s">
        <v>1799</v>
      </c>
      <c r="C94" s="33" t="s">
        <v>31</v>
      </c>
      <c r="D94" s="32" t="s">
        <v>3844</v>
      </c>
      <c r="E94" s="11" t="str">
        <f>HYPERLINK("https://youtu.be/oS5GFNbC0zE?t=1033","channel 2")</f>
        <v>channel 2</v>
      </c>
    </row>
    <row r="95">
      <c r="A95" s="118"/>
      <c r="B95" s="32" t="s">
        <v>3986</v>
      </c>
      <c r="C95" s="33" t="s">
        <v>48</v>
      </c>
      <c r="D95" s="32" t="s">
        <v>3985</v>
      </c>
      <c r="E95" s="135" t="str">
        <f>HYPERLINK("https://youtu.be/KQsEYr_BU-U?t=2023","channel 1")</f>
        <v>channel 1</v>
      </c>
    </row>
    <row r="96">
      <c r="A96" s="118"/>
      <c r="B96" s="32" t="s">
        <v>1799</v>
      </c>
      <c r="C96" s="33" t="s">
        <v>195</v>
      </c>
      <c r="D96" s="32" t="s">
        <v>3252</v>
      </c>
      <c r="E96" s="11" t="str">
        <f>HYPERLINK("https://youtu.be/oS5GFNbC0zE?t=1982","channel 2")</f>
        <v>channel 2</v>
      </c>
    </row>
    <row r="97">
      <c r="A97" s="118"/>
      <c r="B97" s="32" t="s">
        <v>3986</v>
      </c>
      <c r="C97" s="33" t="s">
        <v>294</v>
      </c>
      <c r="D97" s="32" t="s">
        <v>3844</v>
      </c>
      <c r="E97" s="135" t="str">
        <f>HYPERLINK("https://youtu.be/KQsEYr_BU-U?t=2953","channel 1")</f>
        <v>channel 1</v>
      </c>
    </row>
    <row r="98">
      <c r="A98" s="118"/>
      <c r="B98" s="32" t="s">
        <v>3985</v>
      </c>
      <c r="C98" s="33" t="s">
        <v>190</v>
      </c>
      <c r="D98" s="32" t="s">
        <v>3252</v>
      </c>
      <c r="E98" s="11" t="str">
        <f>HYPERLINK("https://youtu.be/oS5GFNbC0zE?t=3005","channel 2")</f>
        <v>channel 2</v>
      </c>
    </row>
    <row r="99">
      <c r="A99" s="118"/>
      <c r="B99" s="32" t="s">
        <v>3986</v>
      </c>
      <c r="C99" s="33" t="s">
        <v>886</v>
      </c>
      <c r="D99" s="32" t="s">
        <v>1799</v>
      </c>
      <c r="E99" s="135" t="str">
        <f>HYPERLINK("https://youtu.be/KQsEYr_BU-U?t=3880","channel 1")</f>
        <v>channel 1</v>
      </c>
    </row>
    <row r="100">
      <c r="A100" s="118"/>
      <c r="B100" s="32" t="s">
        <v>3985</v>
      </c>
      <c r="C100" s="33" t="s">
        <v>68</v>
      </c>
      <c r="D100" s="32" t="s">
        <v>3844</v>
      </c>
      <c r="E100" s="11" t="str">
        <f>HYPERLINK("https://youtu.be/oS5GFNbC0zE?t=3889","channel 2")</f>
        <v>channel 2</v>
      </c>
    </row>
    <row r="101">
      <c r="A101" s="118"/>
      <c r="B101" s="32" t="s">
        <v>3844</v>
      </c>
      <c r="C101" s="33" t="s">
        <v>87</v>
      </c>
      <c r="D101" s="32" t="s">
        <v>3252</v>
      </c>
      <c r="E101" s="135" t="str">
        <f>HYPERLINK("https://youtu.be/KQsEYr_BU-U?t=4788","channel 1")</f>
        <v>channel 1</v>
      </c>
    </row>
    <row r="102">
      <c r="A102" s="118"/>
      <c r="B102" s="32" t="s">
        <v>3985</v>
      </c>
      <c r="C102" s="33" t="s">
        <v>201</v>
      </c>
      <c r="D102" s="32" t="s">
        <v>1799</v>
      </c>
      <c r="E102" s="11" t="str">
        <f>HYPERLINK("https://youtu.be/oS5GFNbC0zE?t=4762","channel 2")</f>
        <v>channel 2</v>
      </c>
    </row>
    <row r="103">
      <c r="A103" s="118"/>
      <c r="B103" s="32" t="s">
        <v>3252</v>
      </c>
      <c r="C103" s="33" t="s">
        <v>949</v>
      </c>
      <c r="D103" s="32" t="s">
        <v>3986</v>
      </c>
      <c r="E103" s="135" t="str">
        <f>HYPERLINK("https://youtu.be/KQsEYr_BU-U?t=5680","channel 1")</f>
        <v>channel 1</v>
      </c>
    </row>
    <row r="104">
      <c r="A104" s="118"/>
      <c r="B104" s="32" t="s">
        <v>3844</v>
      </c>
      <c r="C104" s="33" t="s">
        <v>536</v>
      </c>
      <c r="D104" s="32" t="s">
        <v>1799</v>
      </c>
      <c r="E104" s="11" t="str">
        <f>HYPERLINK("https://youtu.be/oS5GFNbC0zE?t=5627","channel 2")</f>
        <v>channel 2</v>
      </c>
    </row>
    <row r="105">
      <c r="A105" s="118"/>
      <c r="B105" s="32" t="s">
        <v>3985</v>
      </c>
      <c r="C105" s="33" t="s">
        <v>72</v>
      </c>
      <c r="D105" s="32" t="s">
        <v>3986</v>
      </c>
      <c r="E105" s="135" t="str">
        <f>HYPERLINK("https://youtu.be/KQsEYr_BU-U?t=6649","channel 1")</f>
        <v>channel 1</v>
      </c>
    </row>
    <row r="106">
      <c r="A106" s="118"/>
      <c r="B106" s="32" t="s">
        <v>3252</v>
      </c>
      <c r="C106" s="33" t="s">
        <v>190</v>
      </c>
      <c r="D106" s="32" t="s">
        <v>1799</v>
      </c>
      <c r="E106" s="11" t="str">
        <f>HYPERLINK("https://youtu.be/oS5GFNbC0zE?t=6548","channel 2")</f>
        <v>channel 2</v>
      </c>
    </row>
    <row r="107">
      <c r="A107" s="118"/>
      <c r="B107" s="32" t="s">
        <v>3844</v>
      </c>
      <c r="C107" s="33" t="s">
        <v>82</v>
      </c>
      <c r="D107" s="32" t="s">
        <v>3986</v>
      </c>
      <c r="E107" s="135" t="str">
        <f>HYPERLINK("https://youtu.be/KQsEYr_BU-U?t=7660","channel 1")</f>
        <v>channel 1</v>
      </c>
    </row>
    <row r="108">
      <c r="A108" s="118"/>
      <c r="B108" s="32" t="s">
        <v>3252</v>
      </c>
      <c r="C108" s="33" t="s">
        <v>363</v>
      </c>
      <c r="D108" s="32" t="s">
        <v>3985</v>
      </c>
      <c r="E108" s="11" t="str">
        <f>HYPERLINK("https://youtu.be/oS5GFNbC0zE?t=7674","channel 2")</f>
        <v>channel 2</v>
      </c>
    </row>
    <row r="109">
      <c r="A109" s="118"/>
      <c r="B109" s="32" t="s">
        <v>1799</v>
      </c>
      <c r="C109" s="33" t="s">
        <v>55</v>
      </c>
      <c r="D109" s="32" t="s">
        <v>3986</v>
      </c>
      <c r="E109" s="135" t="str">
        <f>HYPERLINK("https://youtu.be/KQsEYr_BU-U?t=8570","channel 1")</f>
        <v>channel 1</v>
      </c>
    </row>
    <row r="110">
      <c r="A110" s="118"/>
      <c r="B110" s="32" t="s">
        <v>3844</v>
      </c>
      <c r="C110" s="33" t="s">
        <v>49</v>
      </c>
      <c r="D110" s="32" t="s">
        <v>3985</v>
      </c>
      <c r="E110" s="11" t="str">
        <f>HYPERLINK("https://youtu.be/oS5GFNbC0zE?t=8617","channel 2")</f>
        <v>channel 2</v>
      </c>
    </row>
    <row r="111">
      <c r="A111" s="118"/>
      <c r="B111" s="72" t="s">
        <v>2272</v>
      </c>
      <c r="C111" s="2"/>
      <c r="D111" s="3"/>
      <c r="E111" s="138"/>
    </row>
    <row r="112">
      <c r="A112" s="118"/>
      <c r="B112" s="35" t="s">
        <v>2</v>
      </c>
      <c r="C112" s="35" t="s">
        <v>3</v>
      </c>
      <c r="D112" s="35" t="s">
        <v>4</v>
      </c>
      <c r="E112" s="16" t="s">
        <v>5</v>
      </c>
    </row>
    <row r="113">
      <c r="A113" s="118"/>
      <c r="B113" s="32" t="s">
        <v>3450</v>
      </c>
      <c r="C113" s="33" t="s">
        <v>440</v>
      </c>
      <c r="D113" s="32" t="s">
        <v>2984</v>
      </c>
      <c r="E113" s="135" t="str">
        <f>HYPERLINK("https://youtu.be/gU_YFEV_KaI","channel 1")</f>
        <v>channel 1</v>
      </c>
    </row>
    <row r="114">
      <c r="A114" s="118"/>
      <c r="B114" s="32" t="s">
        <v>3087</v>
      </c>
      <c r="C114" s="33" t="s">
        <v>197</v>
      </c>
      <c r="D114" s="32" t="s">
        <v>3367</v>
      </c>
      <c r="E114" s="11" t="str">
        <f>HYPERLINK("https://youtu.be/gzHHJ3832y8","channel 2")</f>
        <v>channel 2</v>
      </c>
    </row>
    <row r="115">
      <c r="A115" s="118"/>
      <c r="B115" s="32" t="s">
        <v>3974</v>
      </c>
      <c r="C115" s="33" t="s">
        <v>551</v>
      </c>
      <c r="D115" s="32" t="s">
        <v>3450</v>
      </c>
      <c r="E115" s="135" t="str">
        <f>HYPERLINK("https://youtu.be/gU_YFEV_KaI?t=991","channel 1")</f>
        <v>channel 1</v>
      </c>
    </row>
    <row r="116">
      <c r="A116" s="118"/>
      <c r="B116" s="32" t="s">
        <v>3087</v>
      </c>
      <c r="C116" s="33" t="s">
        <v>48</v>
      </c>
      <c r="D116" s="32" t="s">
        <v>2984</v>
      </c>
      <c r="E116" s="11" t="str">
        <f>HYPERLINK("https://youtu.be/gzHHJ3832y8?t=954","channel 2")</f>
        <v>channel 2</v>
      </c>
    </row>
    <row r="117">
      <c r="A117" s="118"/>
      <c r="B117" s="32" t="s">
        <v>3974</v>
      </c>
      <c r="C117" s="33" t="s">
        <v>533</v>
      </c>
      <c r="D117" s="32" t="s">
        <v>3367</v>
      </c>
      <c r="E117" s="135" t="str">
        <f>HYPERLINK("https://youtu.be/gU_YFEV_KaI?t=1918","channel 1")</f>
        <v>channel 1</v>
      </c>
    </row>
    <row r="118">
      <c r="A118" s="118"/>
      <c r="B118" s="32" t="s">
        <v>3087</v>
      </c>
      <c r="C118" s="33" t="s">
        <v>270</v>
      </c>
      <c r="D118" s="32" t="s">
        <v>3450</v>
      </c>
      <c r="E118" s="11" t="str">
        <f>HYPERLINK("https://youtu.be/gzHHJ3832y8?t=1801","channel 2")</f>
        <v>channel 2</v>
      </c>
    </row>
    <row r="119">
      <c r="A119" s="118"/>
      <c r="B119" s="32" t="s">
        <v>3974</v>
      </c>
      <c r="C119" s="33" t="s">
        <v>286</v>
      </c>
      <c r="D119" s="32" t="s">
        <v>2984</v>
      </c>
      <c r="E119" s="135" t="str">
        <f>HYPERLINK("https://youtu.be/gU_YFEV_KaI?t=2910","channel 1")</f>
        <v>channel 1</v>
      </c>
    </row>
    <row r="120">
      <c r="A120" s="118"/>
      <c r="B120" s="32" t="s">
        <v>3367</v>
      </c>
      <c r="C120" s="33" t="s">
        <v>43</v>
      </c>
      <c r="D120" s="32" t="s">
        <v>3450</v>
      </c>
      <c r="E120" s="11" t="str">
        <f>HYPERLINK("https://youtu.be/gzHHJ3832y8?t=2782","channel 2")</f>
        <v>channel 2</v>
      </c>
    </row>
    <row r="121">
      <c r="A121" s="118"/>
      <c r="B121" s="32" t="s">
        <v>3974</v>
      </c>
      <c r="C121" s="33" t="s">
        <v>320</v>
      </c>
      <c r="D121" s="32" t="s">
        <v>3087</v>
      </c>
      <c r="E121" s="135" t="str">
        <f>HYPERLINK("https://youtu.be/gU_YFEV_KaI?t=3851","channel 1")</f>
        <v>channel 1</v>
      </c>
    </row>
    <row r="122">
      <c r="A122" s="118"/>
      <c r="B122" s="32" t="s">
        <v>3367</v>
      </c>
      <c r="C122" s="33" t="s">
        <v>291</v>
      </c>
      <c r="D122" s="32" t="s">
        <v>2984</v>
      </c>
      <c r="E122" s="11" t="str">
        <f>HYPERLINK("https://youtu.be/gzHHJ3832y8?t=3659","channel 2")</f>
        <v>channel 2</v>
      </c>
    </row>
    <row r="123">
      <c r="A123" s="118"/>
      <c r="B123" s="32" t="s">
        <v>2984</v>
      </c>
      <c r="C123" s="33" t="s">
        <v>43</v>
      </c>
      <c r="D123" s="32" t="s">
        <v>3450</v>
      </c>
      <c r="E123" s="135" t="str">
        <f>HYPERLINK("https://youtu.be/gU_YFEV_KaI?t=4803","channel 1")</f>
        <v>channel 1</v>
      </c>
    </row>
    <row r="124">
      <c r="A124" s="118"/>
      <c r="B124" s="32" t="s">
        <v>3367</v>
      </c>
      <c r="C124" s="33" t="s">
        <v>426</v>
      </c>
      <c r="D124" s="32" t="s">
        <v>3087</v>
      </c>
      <c r="E124" s="11" t="str">
        <f>HYPERLINK("https://youtu.be/gzHHJ3832y8?t=3659","channel 2")</f>
        <v>channel 2</v>
      </c>
    </row>
    <row r="125">
      <c r="A125" s="118"/>
      <c r="B125" s="32" t="s">
        <v>3450</v>
      </c>
      <c r="C125" s="33" t="s">
        <v>289</v>
      </c>
      <c r="D125" s="32" t="s">
        <v>3974</v>
      </c>
      <c r="E125" s="135" t="str">
        <f>HYPERLINK("https://youtu.be/gU_YFEV_KaI?t=5731","channel 1")</f>
        <v>channel 1</v>
      </c>
    </row>
    <row r="126">
      <c r="A126" s="118"/>
      <c r="B126" s="32" t="s">
        <v>2984</v>
      </c>
      <c r="C126" s="33" t="s">
        <v>259</v>
      </c>
      <c r="D126" s="32" t="s">
        <v>3087</v>
      </c>
      <c r="E126" s="11" t="str">
        <f>HYPERLINK("https://youtu.be/gzHHJ3832y8?t=5609","channel 2")</f>
        <v>channel 2</v>
      </c>
    </row>
    <row r="127">
      <c r="A127" s="118"/>
      <c r="B127" s="32" t="s">
        <v>3367</v>
      </c>
      <c r="C127" s="33" t="s">
        <v>687</v>
      </c>
      <c r="D127" s="32" t="s">
        <v>3974</v>
      </c>
      <c r="E127" s="135" t="str">
        <f>HYPERLINK("https://youtu.be/gU_YFEV_KaI?t=6658","channel 1")</f>
        <v>channel 1</v>
      </c>
    </row>
    <row r="128">
      <c r="A128" s="118"/>
      <c r="B128" s="32" t="s">
        <v>3450</v>
      </c>
      <c r="C128" s="33" t="s">
        <v>319</v>
      </c>
      <c r="D128" s="32" t="s">
        <v>3087</v>
      </c>
      <c r="E128" s="11" t="str">
        <f>HYPERLINK("https://youtu.be/gzHHJ3832y8?t=6551","channel 2")</f>
        <v>channel 2</v>
      </c>
    </row>
    <row r="129">
      <c r="A129" s="118"/>
      <c r="B129" s="32" t="s">
        <v>2984</v>
      </c>
      <c r="C129" s="33" t="s">
        <v>686</v>
      </c>
      <c r="D129" s="32" t="s">
        <v>3974</v>
      </c>
      <c r="E129" s="135" t="str">
        <f>HYPERLINK("https://youtu.be/gU_YFEV_KaI?t=7547","channel 1")</f>
        <v>channel 1</v>
      </c>
    </row>
    <row r="130">
      <c r="A130" s="118"/>
      <c r="B130" s="32" t="s">
        <v>3450</v>
      </c>
      <c r="C130" s="33" t="s">
        <v>187</v>
      </c>
      <c r="D130" s="32" t="s">
        <v>3367</v>
      </c>
      <c r="E130" s="11" t="str">
        <f>HYPERLINK("https://youtu.be/gzHHJ3832y8?t=7473","channel 2")</f>
        <v>channel 2</v>
      </c>
    </row>
    <row r="131">
      <c r="A131" s="118"/>
      <c r="B131" s="32" t="s">
        <v>3087</v>
      </c>
      <c r="C131" s="33" t="s">
        <v>984</v>
      </c>
      <c r="D131" s="32" t="s">
        <v>3974</v>
      </c>
      <c r="E131" s="135" t="str">
        <f>HYPERLINK("https://youtu.be/gU_YFEV_KaI?t=8472","channel 1")</f>
        <v>channel 1</v>
      </c>
    </row>
    <row r="132">
      <c r="A132" s="122"/>
      <c r="B132" s="32" t="s">
        <v>2984</v>
      </c>
      <c r="C132" s="33" t="s">
        <v>293</v>
      </c>
      <c r="D132" s="32" t="s">
        <v>3367</v>
      </c>
      <c r="E132" s="11" t="str">
        <f>HYPERLINK("https://youtu.be/gzHHJ3832y8?t=8317","channel 2")</f>
        <v>channel 2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7"/>
      <c r="B1" s="72" t="s">
        <v>1400</v>
      </c>
      <c r="C1" s="2"/>
      <c r="D1" s="3"/>
      <c r="E1" s="134"/>
    </row>
    <row r="2">
      <c r="A2" s="118"/>
      <c r="B2" s="35" t="s">
        <v>2</v>
      </c>
      <c r="C2" s="35" t="s">
        <v>3</v>
      </c>
      <c r="D2" s="35" t="s">
        <v>4</v>
      </c>
      <c r="E2" s="6" t="s">
        <v>5</v>
      </c>
    </row>
    <row r="3">
      <c r="A3" s="118"/>
      <c r="B3" s="32" t="s">
        <v>3987</v>
      </c>
      <c r="C3" s="33" t="s">
        <v>197</v>
      </c>
      <c r="D3" s="32" t="s">
        <v>2042</v>
      </c>
      <c r="E3" s="135" t="str">
        <f>HYPERLINK("https://youtu.be/BezndDkDUes","channel 1")</f>
        <v>channel 1</v>
      </c>
    </row>
    <row r="4">
      <c r="A4" s="118"/>
      <c r="B4" s="32" t="s">
        <v>3778</v>
      </c>
      <c r="C4" s="60" t="s">
        <v>81</v>
      </c>
      <c r="D4" s="32" t="s">
        <v>2225</v>
      </c>
      <c r="E4" s="11" t="str">
        <f>HYPERLINK("https://youtu.be/TT-Csga3Frg","channel 2")</f>
        <v>channel 2</v>
      </c>
    </row>
    <row r="5">
      <c r="A5" s="118"/>
      <c r="B5" s="32" t="s">
        <v>3406</v>
      </c>
      <c r="C5" s="33" t="s">
        <v>62</v>
      </c>
      <c r="D5" s="32" t="s">
        <v>3987</v>
      </c>
      <c r="E5" s="135" t="str">
        <f>HYPERLINK("https://youtu.be/BezndDkDUes?t=1001","channel 1")</f>
        <v>channel 1</v>
      </c>
    </row>
    <row r="6">
      <c r="A6" s="118"/>
      <c r="B6" s="32" t="s">
        <v>3778</v>
      </c>
      <c r="C6" s="33" t="s">
        <v>71</v>
      </c>
      <c r="D6" s="32" t="s">
        <v>2042</v>
      </c>
      <c r="E6" s="11" t="str">
        <f>HYPERLINK("https://youtu.be/TT-Csga3Frg?t=876","channel 2")</f>
        <v>channel 2</v>
      </c>
    </row>
    <row r="7">
      <c r="A7" s="118"/>
      <c r="B7" s="32" t="s">
        <v>3406</v>
      </c>
      <c r="C7" s="33" t="s">
        <v>81</v>
      </c>
      <c r="D7" s="32" t="s">
        <v>2225</v>
      </c>
      <c r="E7" s="135" t="str">
        <f>HYPERLINK("https://youtu.be/BezndDkDUes?t=1966","channel 1")</f>
        <v>channel 1</v>
      </c>
    </row>
    <row r="8">
      <c r="A8" s="118"/>
      <c r="B8" s="32" t="s">
        <v>3778</v>
      </c>
      <c r="C8" s="33" t="s">
        <v>533</v>
      </c>
      <c r="D8" s="32" t="s">
        <v>3987</v>
      </c>
      <c r="E8" s="11" t="str">
        <f>HYPERLINK("https://youtu.be/TT-Csga3Frg?t=1739","channel 2")</f>
        <v>channel 2</v>
      </c>
    </row>
    <row r="9">
      <c r="A9" s="118"/>
      <c r="B9" s="32" t="s">
        <v>3406</v>
      </c>
      <c r="C9" s="33" t="s">
        <v>22</v>
      </c>
      <c r="D9" s="32" t="s">
        <v>2042</v>
      </c>
      <c r="E9" s="135" t="str">
        <f>HYPERLINK("https://youtu.be/BezndDkDUes?t=2908","channel 1")</f>
        <v>channel 1</v>
      </c>
    </row>
    <row r="10">
      <c r="A10" s="118"/>
      <c r="B10" s="32" t="s">
        <v>2225</v>
      </c>
      <c r="C10" s="33" t="s">
        <v>17</v>
      </c>
      <c r="D10" s="32" t="s">
        <v>3987</v>
      </c>
      <c r="E10" s="11" t="str">
        <f>HYPERLINK("https://youtu.be/TT-Csga3Frg?t=2704","channel 2")</f>
        <v>channel 2</v>
      </c>
    </row>
    <row r="11">
      <c r="A11" s="118"/>
      <c r="B11" s="32" t="s">
        <v>3406</v>
      </c>
      <c r="C11" s="33" t="s">
        <v>797</v>
      </c>
      <c r="D11" s="32" t="s">
        <v>3778</v>
      </c>
      <c r="E11" s="135" t="str">
        <f>HYPERLINK("https://youtu.be/BezndDkDUes?t=3895","channel 1")</f>
        <v>channel 1</v>
      </c>
    </row>
    <row r="12">
      <c r="A12" s="118"/>
      <c r="B12" s="32" t="s">
        <v>2225</v>
      </c>
      <c r="C12" s="33" t="s">
        <v>87</v>
      </c>
      <c r="D12" s="32" t="s">
        <v>2042</v>
      </c>
      <c r="E12" s="11" t="str">
        <f>HYPERLINK("https://youtu.be/TT-Csga3Frg?t=3653","channel 2")</f>
        <v>channel 2</v>
      </c>
    </row>
    <row r="13">
      <c r="A13" s="118"/>
      <c r="B13" s="32" t="s">
        <v>2042</v>
      </c>
      <c r="C13" s="33" t="s">
        <v>43</v>
      </c>
      <c r="D13" s="32" t="s">
        <v>3987</v>
      </c>
      <c r="E13" s="135" t="str">
        <f>HYPERLINK("https://youtu.be/BezndDkDUes?t=4831","channel 1")</f>
        <v>channel 1</v>
      </c>
    </row>
    <row r="14">
      <c r="A14" s="118"/>
      <c r="B14" s="32" t="s">
        <v>2225</v>
      </c>
      <c r="C14" s="33" t="s">
        <v>651</v>
      </c>
      <c r="D14" s="32" t="s">
        <v>3778</v>
      </c>
      <c r="E14" s="11" t="str">
        <f>HYPERLINK("https://youtu.be/TT-Csga3Frg?t=4553","channel 2")</f>
        <v>channel 2</v>
      </c>
    </row>
    <row r="15">
      <c r="A15" s="118"/>
      <c r="B15" s="32" t="s">
        <v>3987</v>
      </c>
      <c r="C15" s="33" t="s">
        <v>19</v>
      </c>
      <c r="D15" s="32" t="s">
        <v>3406</v>
      </c>
      <c r="E15" s="135" t="str">
        <f>HYPERLINK("https://youtu.be/BezndDkDUes?t=5845","channel 1")</f>
        <v>channel 1</v>
      </c>
    </row>
    <row r="16">
      <c r="A16" s="118"/>
      <c r="B16" s="32" t="s">
        <v>2042</v>
      </c>
      <c r="C16" s="33" t="s">
        <v>268</v>
      </c>
      <c r="D16" s="32" t="s">
        <v>3778</v>
      </c>
      <c r="E16" s="11" t="str">
        <f>HYPERLINK("https://youtu.be/TT-Csga3Frg?t=5616","channel 2")</f>
        <v>channel 2</v>
      </c>
    </row>
    <row r="17">
      <c r="A17" s="118"/>
      <c r="B17" s="32" t="s">
        <v>2225</v>
      </c>
      <c r="C17" s="33" t="s">
        <v>190</v>
      </c>
      <c r="D17" s="32" t="s">
        <v>3406</v>
      </c>
      <c r="E17" s="135" t="str">
        <f>HYPERLINK("https://youtu.be/BezndDkDUes?t=6817","channel 1")</f>
        <v>channel 1</v>
      </c>
    </row>
    <row r="18">
      <c r="A18" s="118"/>
      <c r="B18" s="32" t="s">
        <v>3987</v>
      </c>
      <c r="C18" s="33" t="s">
        <v>190</v>
      </c>
      <c r="D18" s="32" t="s">
        <v>3778</v>
      </c>
      <c r="E18" s="11" t="str">
        <f>HYPERLINK("https://youtu.be/TT-Csga3Frg?t=6625","channel 2")</f>
        <v>channel 2</v>
      </c>
    </row>
    <row r="19">
      <c r="A19" s="118"/>
      <c r="B19" s="32" t="s">
        <v>2042</v>
      </c>
      <c r="C19" s="33" t="s">
        <v>270</v>
      </c>
      <c r="D19" s="32" t="s">
        <v>3406</v>
      </c>
      <c r="E19" s="135" t="str">
        <f>HYPERLINK("https://youtu.be/BezndDkDUes?t=7826","channel 1")</f>
        <v>channel 1</v>
      </c>
    </row>
    <row r="20">
      <c r="A20" s="118"/>
      <c r="B20" s="32" t="s">
        <v>3987</v>
      </c>
      <c r="C20" s="33" t="s">
        <v>232</v>
      </c>
      <c r="D20" s="32" t="s">
        <v>2225</v>
      </c>
      <c r="E20" s="11" t="str">
        <f>HYPERLINK("https://youtu.be/TT-Csga3Frg?t=7570","channel 2")</f>
        <v>channel 2</v>
      </c>
    </row>
    <row r="21">
      <c r="A21" s="118"/>
      <c r="B21" s="32" t="s">
        <v>3778</v>
      </c>
      <c r="C21" s="33" t="s">
        <v>69</v>
      </c>
      <c r="D21" s="32" t="s">
        <v>3406</v>
      </c>
      <c r="E21" s="135" t="str">
        <f>HYPERLINK("https://youtu.be/BezndDkDUes?t=8764","channel 1")</f>
        <v>channel 1</v>
      </c>
    </row>
    <row r="22">
      <c r="A22" s="118"/>
      <c r="B22" s="32" t="s">
        <v>2042</v>
      </c>
      <c r="C22" s="33" t="s">
        <v>312</v>
      </c>
      <c r="D22" s="32" t="s">
        <v>2225</v>
      </c>
      <c r="E22" s="11" t="str">
        <f>HYPERLINK("https://youtu.be/TT-Csga3Frg?t=8473","channel 2")</f>
        <v>channel 2</v>
      </c>
    </row>
    <row r="23">
      <c r="A23" s="118"/>
      <c r="B23" s="72" t="s">
        <v>2099</v>
      </c>
      <c r="C23" s="2"/>
      <c r="D23" s="3"/>
      <c r="E23" s="134"/>
    </row>
    <row r="24">
      <c r="A24" s="118"/>
      <c r="B24" s="35" t="s">
        <v>2</v>
      </c>
      <c r="C24" s="35" t="s">
        <v>3</v>
      </c>
      <c r="D24" s="35" t="s">
        <v>4</v>
      </c>
      <c r="E24" s="6" t="s">
        <v>5</v>
      </c>
    </row>
    <row r="25">
      <c r="A25" s="118"/>
      <c r="B25" s="32" t="s">
        <v>3988</v>
      </c>
      <c r="C25" s="33" t="s">
        <v>201</v>
      </c>
      <c r="D25" s="32" t="s">
        <v>1860</v>
      </c>
      <c r="E25" s="135" t="str">
        <f>HYPERLINK("https://youtu.be/3eZPKdbRCYQ","channel 1")</f>
        <v>channel 1</v>
      </c>
    </row>
    <row r="26">
      <c r="A26" s="118"/>
      <c r="B26" s="32" t="s">
        <v>3989</v>
      </c>
      <c r="C26" s="33" t="s">
        <v>19</v>
      </c>
      <c r="D26" s="32" t="s">
        <v>3990</v>
      </c>
      <c r="E26" s="11" t="str">
        <f>HYPERLINK("https://youtu.be/byiqfAmOok0","channel 2")</f>
        <v>channel 2</v>
      </c>
    </row>
    <row r="27">
      <c r="A27" s="118"/>
      <c r="B27" s="32" t="s">
        <v>3991</v>
      </c>
      <c r="C27" s="33" t="s">
        <v>3992</v>
      </c>
      <c r="D27" s="32" t="s">
        <v>3988</v>
      </c>
      <c r="E27" s="141" t="s">
        <v>9</v>
      </c>
    </row>
    <row r="28">
      <c r="A28" s="118"/>
      <c r="B28" s="32" t="s">
        <v>3989</v>
      </c>
      <c r="C28" s="33" t="s">
        <v>446</v>
      </c>
      <c r="D28" s="32" t="s">
        <v>1860</v>
      </c>
      <c r="E28" s="11" t="str">
        <f>HYPERLINK("https://youtu.be/byiqfAmOok0?t=886","channel 2")</f>
        <v>channel 2</v>
      </c>
    </row>
    <row r="29">
      <c r="A29" s="118"/>
      <c r="B29" s="32" t="s">
        <v>3991</v>
      </c>
      <c r="C29" s="33" t="s">
        <v>479</v>
      </c>
      <c r="D29" s="32" t="s">
        <v>3990</v>
      </c>
      <c r="E29" s="141" t="s">
        <v>9</v>
      </c>
    </row>
    <row r="30">
      <c r="A30" s="118"/>
      <c r="B30" s="32" t="s">
        <v>3989</v>
      </c>
      <c r="C30" s="33" t="s">
        <v>82</v>
      </c>
      <c r="D30" s="32" t="s">
        <v>3988</v>
      </c>
      <c r="E30" s="11" t="str">
        <f>HYPERLINK("https://youtu.be/byiqfAmOok0?t=2057","channel 2")</f>
        <v>channel 2</v>
      </c>
    </row>
    <row r="31">
      <c r="A31" s="118"/>
      <c r="B31" s="32" t="s">
        <v>3991</v>
      </c>
      <c r="C31" s="33" t="s">
        <v>11</v>
      </c>
      <c r="D31" s="32" t="s">
        <v>1860</v>
      </c>
      <c r="E31" s="141" t="s">
        <v>9</v>
      </c>
    </row>
    <row r="32">
      <c r="A32" s="118"/>
      <c r="B32" s="32" t="s">
        <v>3990</v>
      </c>
      <c r="C32" s="33" t="s">
        <v>28</v>
      </c>
      <c r="D32" s="32" t="s">
        <v>3988</v>
      </c>
      <c r="E32" s="11" t="str">
        <f>HYPERLINK("https://youtu.be/byiqfAmOok0?t=3360","channel 2")</f>
        <v>channel 2</v>
      </c>
    </row>
    <row r="33">
      <c r="A33" s="118"/>
      <c r="B33" s="32" t="s">
        <v>3991</v>
      </c>
      <c r="C33" s="33" t="s">
        <v>291</v>
      </c>
      <c r="D33" s="32" t="s">
        <v>3989</v>
      </c>
      <c r="E33" s="141" t="s">
        <v>9</v>
      </c>
    </row>
    <row r="34">
      <c r="A34" s="118"/>
      <c r="B34" s="32" t="s">
        <v>3990</v>
      </c>
      <c r="C34" s="33" t="s">
        <v>67</v>
      </c>
      <c r="D34" s="32" t="s">
        <v>1860</v>
      </c>
      <c r="E34" s="11" t="str">
        <f>HYPERLINK("https://youtu.be/byiqfAmOok0?t=4300","channel 2")</f>
        <v>channel 2</v>
      </c>
    </row>
    <row r="35">
      <c r="A35" s="118"/>
      <c r="B35" s="32" t="s">
        <v>1860</v>
      </c>
      <c r="C35" s="33" t="s">
        <v>218</v>
      </c>
      <c r="D35" s="32" t="s">
        <v>3988</v>
      </c>
      <c r="E35" s="141" t="s">
        <v>9</v>
      </c>
    </row>
    <row r="36">
      <c r="A36" s="118"/>
      <c r="B36" s="32" t="s">
        <v>3990</v>
      </c>
      <c r="C36" s="33" t="s">
        <v>291</v>
      </c>
      <c r="D36" s="32" t="s">
        <v>3989</v>
      </c>
      <c r="E36" s="11" t="str">
        <f>HYPERLINK("https://youtu.be/byiqfAmOok0?t=5348","channel 2")</f>
        <v>channel 2</v>
      </c>
    </row>
    <row r="37">
      <c r="A37" s="118"/>
      <c r="B37" s="32" t="s">
        <v>3988</v>
      </c>
      <c r="C37" s="33" t="s">
        <v>412</v>
      </c>
      <c r="D37" s="32" t="s">
        <v>3991</v>
      </c>
      <c r="E37" s="141" t="s">
        <v>9</v>
      </c>
    </row>
    <row r="38">
      <c r="A38" s="118"/>
      <c r="B38" s="32" t="s">
        <v>1860</v>
      </c>
      <c r="C38" s="33" t="s">
        <v>47</v>
      </c>
      <c r="D38" s="32" t="s">
        <v>3989</v>
      </c>
      <c r="E38" s="11" t="str">
        <f>HYPERLINK("https://youtu.be/byiqfAmOok0?t=6212","channel 2")</f>
        <v>channel 2</v>
      </c>
    </row>
    <row r="39">
      <c r="A39" s="118"/>
      <c r="B39" s="32" t="s">
        <v>3990</v>
      </c>
      <c r="C39" s="35" t="s">
        <v>19</v>
      </c>
      <c r="D39" s="32" t="s">
        <v>3991</v>
      </c>
      <c r="E39" s="141" t="s">
        <v>9</v>
      </c>
    </row>
    <row r="40">
      <c r="A40" s="118"/>
      <c r="B40" s="32" t="s">
        <v>3988</v>
      </c>
      <c r="C40" s="33" t="s">
        <v>544</v>
      </c>
      <c r="D40" s="32" t="s">
        <v>3989</v>
      </c>
      <c r="E40" s="11" t="str">
        <f>HYPERLINK("https://youtu.be/byiqfAmOok0?t=7224","channel 2")</f>
        <v>channel 2</v>
      </c>
    </row>
    <row r="41">
      <c r="A41" s="118"/>
      <c r="B41" s="32" t="s">
        <v>1860</v>
      </c>
      <c r="C41" s="33" t="s">
        <v>87</v>
      </c>
      <c r="D41" s="32" t="s">
        <v>3991</v>
      </c>
      <c r="E41" s="141" t="s">
        <v>9</v>
      </c>
    </row>
    <row r="42">
      <c r="A42" s="118"/>
      <c r="B42" s="32" t="s">
        <v>3988</v>
      </c>
      <c r="C42" s="33" t="s">
        <v>285</v>
      </c>
      <c r="D42" s="32" t="s">
        <v>3990</v>
      </c>
      <c r="E42" s="11" t="str">
        <f>HYPERLINK("https://youtu.be/byiqfAmOok0?t=8145","channel 2")</f>
        <v>channel 2</v>
      </c>
    </row>
    <row r="43">
      <c r="A43" s="118"/>
      <c r="B43" s="32" t="s">
        <v>3989</v>
      </c>
      <c r="C43" s="33" t="s">
        <v>195</v>
      </c>
      <c r="D43" s="32" t="s">
        <v>3991</v>
      </c>
      <c r="E43" s="141" t="s">
        <v>9</v>
      </c>
    </row>
    <row r="44">
      <c r="A44" s="118"/>
      <c r="B44" s="32" t="s">
        <v>1860</v>
      </c>
      <c r="C44" s="33" t="s">
        <v>25</v>
      </c>
      <c r="D44" s="32" t="s">
        <v>3990</v>
      </c>
      <c r="E44" s="11" t="str">
        <f>HYPERLINK("https://youtu.be/byiqfAmOok0?t=9020","channel 2")</f>
        <v>channel 2</v>
      </c>
    </row>
    <row r="45">
      <c r="A45" s="118"/>
      <c r="B45" s="72" t="s">
        <v>2554</v>
      </c>
      <c r="C45" s="2"/>
      <c r="D45" s="3"/>
      <c r="E45" s="134"/>
    </row>
    <row r="46">
      <c r="A46" s="118"/>
      <c r="B46" s="35" t="s">
        <v>2</v>
      </c>
      <c r="C46" s="35" t="s">
        <v>3</v>
      </c>
      <c r="D46" s="35" t="s">
        <v>4</v>
      </c>
      <c r="E46" s="6" t="s">
        <v>5</v>
      </c>
    </row>
    <row r="47">
      <c r="A47" s="118"/>
      <c r="B47" s="32" t="s">
        <v>2052</v>
      </c>
      <c r="C47" s="33" t="s">
        <v>196</v>
      </c>
      <c r="D47" s="32" t="s">
        <v>3761</v>
      </c>
      <c r="E47" s="135" t="str">
        <f>HYPERLINK("https://youtu.be/M6eDT0-v0rI","channel 1")</f>
        <v>channel 1</v>
      </c>
    </row>
    <row r="48">
      <c r="A48" s="118"/>
      <c r="B48" s="32" t="s">
        <v>3993</v>
      </c>
      <c r="C48" s="33" t="s">
        <v>25</v>
      </c>
      <c r="D48" s="32" t="s">
        <v>3994</v>
      </c>
      <c r="E48" s="11" t="str">
        <f>HYPERLINK("https://youtu.be/xOP7U0urNrQ","channel 2")</f>
        <v>channel 2</v>
      </c>
    </row>
    <row r="49">
      <c r="A49" s="118"/>
      <c r="B49" s="32" t="s">
        <v>3884</v>
      </c>
      <c r="C49" s="33" t="s">
        <v>218</v>
      </c>
      <c r="D49" s="32" t="s">
        <v>2052</v>
      </c>
      <c r="E49" s="135" t="str">
        <f>HYPERLINK("https://youtu.be/M6eDT0-v0rI?t=985","channel 1")</f>
        <v>channel 1</v>
      </c>
    </row>
    <row r="50">
      <c r="A50" s="118"/>
      <c r="B50" s="32" t="s">
        <v>3993</v>
      </c>
      <c r="C50" s="33" t="s">
        <v>283</v>
      </c>
      <c r="D50" s="32" t="s">
        <v>3761</v>
      </c>
      <c r="E50" s="11" t="str">
        <f>HYPERLINK("https://youtu.be/xOP7U0urNrQ?t=1011","channel 2")</f>
        <v>channel 2</v>
      </c>
    </row>
    <row r="51">
      <c r="A51" s="118"/>
      <c r="B51" s="32" t="s">
        <v>3884</v>
      </c>
      <c r="C51" s="33" t="s">
        <v>58</v>
      </c>
      <c r="D51" s="32" t="s">
        <v>3994</v>
      </c>
      <c r="E51" s="135" t="str">
        <f>HYPERLINK("https://youtu.be/M6eDT0-v0rI?t=1949","channel 1")</f>
        <v>channel 1</v>
      </c>
    </row>
    <row r="52">
      <c r="A52" s="118"/>
      <c r="B52" s="32" t="s">
        <v>3993</v>
      </c>
      <c r="C52" s="33" t="s">
        <v>190</v>
      </c>
      <c r="D52" s="32" t="s">
        <v>2052</v>
      </c>
      <c r="E52" s="11" t="str">
        <f>HYPERLINK("https://youtu.be/xOP7U0urNrQ?t=1945","channel 2")</f>
        <v>channel 2</v>
      </c>
    </row>
    <row r="53">
      <c r="A53" s="118"/>
      <c r="B53" s="32" t="s">
        <v>3884</v>
      </c>
      <c r="C53" s="33" t="s">
        <v>17</v>
      </c>
      <c r="D53" s="32" t="s">
        <v>3761</v>
      </c>
      <c r="E53" s="135" t="str">
        <f>HYPERLINK("https://youtu.be/M6eDT0-v0rI?t=2962","channel 1")</f>
        <v>channel 1</v>
      </c>
    </row>
    <row r="54">
      <c r="A54" s="118"/>
      <c r="B54" s="32" t="s">
        <v>3994</v>
      </c>
      <c r="C54" s="33" t="s">
        <v>993</v>
      </c>
      <c r="D54" s="32" t="s">
        <v>2052</v>
      </c>
      <c r="E54" s="11" t="str">
        <f>HYPERLINK("https://youtu.be/xOP7U0urNrQ?t=2895","channel 2")</f>
        <v>channel 2</v>
      </c>
    </row>
    <row r="55">
      <c r="A55" s="118"/>
      <c r="B55" s="32" t="s">
        <v>3884</v>
      </c>
      <c r="C55" s="33" t="s">
        <v>58</v>
      </c>
      <c r="D55" s="32" t="s">
        <v>3993</v>
      </c>
      <c r="E55" s="135" t="str">
        <f>HYPERLINK("https://youtu.be/M6eDT0-v0rI?t=3922","channel 1")</f>
        <v>channel 1</v>
      </c>
    </row>
    <row r="56">
      <c r="A56" s="118"/>
      <c r="B56" s="32" t="s">
        <v>3994</v>
      </c>
      <c r="C56" s="33" t="s">
        <v>1025</v>
      </c>
      <c r="D56" s="32" t="s">
        <v>3761</v>
      </c>
      <c r="E56" s="11" t="str">
        <f>HYPERLINK("https://youtu.be/xOP7U0urNrQ?t=3933","channel 2")</f>
        <v>channel 2</v>
      </c>
    </row>
    <row r="57">
      <c r="A57" s="118"/>
      <c r="B57" s="32" t="s">
        <v>3761</v>
      </c>
      <c r="C57" s="33" t="s">
        <v>687</v>
      </c>
      <c r="D57" s="32" t="s">
        <v>2052</v>
      </c>
      <c r="E57" s="135" t="str">
        <f>HYPERLINK("https://youtu.be/M6eDT0-v0rI?t=4859","channel 1")</f>
        <v>channel 1</v>
      </c>
    </row>
    <row r="58">
      <c r="A58" s="118"/>
      <c r="B58" s="32" t="s">
        <v>3994</v>
      </c>
      <c r="C58" s="33" t="s">
        <v>389</v>
      </c>
      <c r="D58" s="32" t="s">
        <v>3993</v>
      </c>
      <c r="E58" s="11" t="str">
        <f>HYPERLINK("https://youtu.be/xOP7U0urNrQ?t=4879","channel 2")</f>
        <v>channel 2</v>
      </c>
    </row>
    <row r="59">
      <c r="A59" s="118"/>
      <c r="B59" s="32" t="s">
        <v>2052</v>
      </c>
      <c r="C59" s="33" t="s">
        <v>217</v>
      </c>
      <c r="D59" s="32" t="s">
        <v>3884</v>
      </c>
      <c r="E59" s="135" t="str">
        <f>HYPERLINK("https://youtu.be/M6eDT0-v0rI?t=5796","channel 1")</f>
        <v>channel 1</v>
      </c>
    </row>
    <row r="60">
      <c r="A60" s="118"/>
      <c r="B60" s="32" t="s">
        <v>3761</v>
      </c>
      <c r="C60" s="33" t="s">
        <v>71</v>
      </c>
      <c r="D60" s="32" t="s">
        <v>3993</v>
      </c>
      <c r="E60" s="11" t="str">
        <f>HYPERLINK("https://youtu.be/xOP7U0urNrQ?t=5791","channel 2")</f>
        <v>channel 2</v>
      </c>
    </row>
    <row r="61">
      <c r="A61" s="118"/>
      <c r="B61" s="32" t="s">
        <v>3994</v>
      </c>
      <c r="C61" s="33" t="s">
        <v>590</v>
      </c>
      <c r="D61" s="32" t="s">
        <v>3884</v>
      </c>
      <c r="E61" s="135" t="str">
        <f>HYPERLINK("https://youtu.be/M6eDT0-v0rI?t=6711","channel 1")</f>
        <v>channel 1</v>
      </c>
    </row>
    <row r="62">
      <c r="A62" s="118"/>
      <c r="B62" s="32" t="s">
        <v>2052</v>
      </c>
      <c r="C62" s="33" t="s">
        <v>22</v>
      </c>
      <c r="D62" s="32" t="s">
        <v>3993</v>
      </c>
      <c r="E62" s="11" t="str">
        <f>HYPERLINK("https://youtu.be/xOP7U0urNrQ?t=6707","channel 2")</f>
        <v>channel 2</v>
      </c>
    </row>
    <row r="63">
      <c r="A63" s="118"/>
      <c r="B63" s="32" t="s">
        <v>3761</v>
      </c>
      <c r="C63" s="33" t="s">
        <v>400</v>
      </c>
      <c r="D63" s="32" t="s">
        <v>3884</v>
      </c>
      <c r="E63" s="135" t="str">
        <f>HYPERLINK("https://youtu.be/M6eDT0-v0rI?t=7890","channel 1")</f>
        <v>channel 1</v>
      </c>
    </row>
    <row r="64">
      <c r="A64" s="118"/>
      <c r="B64" s="32" t="s">
        <v>2052</v>
      </c>
      <c r="C64" s="33" t="s">
        <v>19</v>
      </c>
      <c r="D64" s="32" t="s">
        <v>3994</v>
      </c>
      <c r="E64" s="11" t="str">
        <f>HYPERLINK("https://youtu.be/xOP7U0urNrQ?t=7769","channel 2")</f>
        <v>channel 2</v>
      </c>
    </row>
    <row r="65">
      <c r="A65" s="118"/>
      <c r="B65" s="32" t="s">
        <v>3993</v>
      </c>
      <c r="C65" s="33" t="s">
        <v>196</v>
      </c>
      <c r="D65" s="32" t="s">
        <v>3884</v>
      </c>
      <c r="E65" s="135" t="str">
        <f>HYPERLINK("https://youtu.be/M6eDT0-v0rI?t=9809","channel 1")</f>
        <v>channel 1</v>
      </c>
    </row>
    <row r="66">
      <c r="A66" s="118"/>
      <c r="B66" s="32" t="s">
        <v>3761</v>
      </c>
      <c r="C66" s="57" t="s">
        <v>449</v>
      </c>
      <c r="D66" s="32" t="s">
        <v>3994</v>
      </c>
      <c r="E66" s="102" t="s">
        <v>13</v>
      </c>
    </row>
    <row r="67">
      <c r="A67" s="118"/>
      <c r="B67" s="137" t="s">
        <v>1435</v>
      </c>
      <c r="C67" s="2"/>
      <c r="D67" s="3"/>
      <c r="E67" s="138"/>
    </row>
    <row r="68">
      <c r="A68" s="118"/>
      <c r="B68" s="35" t="s">
        <v>2</v>
      </c>
      <c r="C68" s="35" t="s">
        <v>3</v>
      </c>
      <c r="D68" s="35" t="s">
        <v>4</v>
      </c>
      <c r="E68" s="16" t="s">
        <v>5</v>
      </c>
    </row>
    <row r="69">
      <c r="A69" s="118"/>
      <c r="B69" s="32" t="s">
        <v>1853</v>
      </c>
      <c r="C69" s="33" t="s">
        <v>195</v>
      </c>
      <c r="D69" s="32" t="s">
        <v>3537</v>
      </c>
      <c r="E69" s="135" t="str">
        <f>HYPERLINK("https://youtu.be/r5rxQD995ik","channel 1")</f>
        <v>channel 1</v>
      </c>
    </row>
    <row r="70">
      <c r="A70" s="118"/>
      <c r="B70" s="32" t="s">
        <v>3995</v>
      </c>
      <c r="C70" s="33" t="s">
        <v>1021</v>
      </c>
      <c r="D70" s="32" t="s">
        <v>3996</v>
      </c>
      <c r="E70" s="11" t="str">
        <f>HYPERLINK("https://youtu.be/3-s8Q5LsSJA","channel 2")</f>
        <v>channel 2</v>
      </c>
    </row>
    <row r="71">
      <c r="A71" s="118"/>
      <c r="B71" s="32" t="s">
        <v>3899</v>
      </c>
      <c r="C71" s="33" t="s">
        <v>196</v>
      </c>
      <c r="D71" s="32" t="s">
        <v>1853</v>
      </c>
      <c r="E71" s="135" t="str">
        <f>HYPERLINK("https://youtu.be/r5rxQD995ik?t=1011","channel 1")</f>
        <v>channel 1</v>
      </c>
    </row>
    <row r="72">
      <c r="A72" s="118"/>
      <c r="B72" s="32" t="s">
        <v>3995</v>
      </c>
      <c r="C72" s="33" t="s">
        <v>853</v>
      </c>
      <c r="D72" s="32" t="s">
        <v>3537</v>
      </c>
      <c r="E72" s="11" t="str">
        <f>HYPERLINK("https://youtu.be/3-s8Q5LsSJA?t=882","channel 2")</f>
        <v>channel 2</v>
      </c>
    </row>
    <row r="73">
      <c r="A73" s="118"/>
      <c r="B73" s="32" t="s">
        <v>3899</v>
      </c>
      <c r="C73" s="33" t="s">
        <v>55</v>
      </c>
      <c r="D73" s="32" t="s">
        <v>3996</v>
      </c>
      <c r="E73" s="135" t="str">
        <f>HYPERLINK("https://youtu.be/r5rxQD995ik?t=1927","channel 1")</f>
        <v>channel 1</v>
      </c>
    </row>
    <row r="74">
      <c r="A74" s="118"/>
      <c r="B74" s="32" t="s">
        <v>3995</v>
      </c>
      <c r="C74" s="33" t="s">
        <v>83</v>
      </c>
      <c r="D74" s="32" t="s">
        <v>1853</v>
      </c>
      <c r="E74" s="11" t="str">
        <f>HYPERLINK("https://youtu.be/3-s8Q5LsSJA?t=2180","channel 2")</f>
        <v>channel 2</v>
      </c>
    </row>
    <row r="75">
      <c r="A75" s="118"/>
      <c r="B75" s="32" t="s">
        <v>3899</v>
      </c>
      <c r="C75" s="33" t="s">
        <v>404</v>
      </c>
      <c r="D75" s="32" t="s">
        <v>3537</v>
      </c>
      <c r="E75" s="135" t="str">
        <f>HYPERLINK("https://youtu.be/r5rxQD995ik?t=2938","channel 1")</f>
        <v>channel 1</v>
      </c>
    </row>
    <row r="76">
      <c r="A76" s="118"/>
      <c r="B76" s="32" t="s">
        <v>3996</v>
      </c>
      <c r="C76" s="33" t="s">
        <v>2784</v>
      </c>
      <c r="D76" s="32" t="s">
        <v>1853</v>
      </c>
      <c r="E76" s="11" t="str">
        <f>HYPERLINK("https://youtu.be/3-s8Q5LsSJA?t=3102","channel 2")</f>
        <v>channel 2</v>
      </c>
    </row>
    <row r="77">
      <c r="A77" s="118"/>
      <c r="B77" s="32" t="s">
        <v>3899</v>
      </c>
      <c r="C77" s="33" t="s">
        <v>7</v>
      </c>
      <c r="D77" s="32" t="s">
        <v>3995</v>
      </c>
      <c r="E77" s="135" t="str">
        <f>HYPERLINK("https://youtu.be/r5rxQD995ik?t=3912","channel 1")</f>
        <v>channel 1</v>
      </c>
    </row>
    <row r="78">
      <c r="A78" s="118"/>
      <c r="B78" s="32" t="s">
        <v>3996</v>
      </c>
      <c r="C78" s="33" t="s">
        <v>69</v>
      </c>
      <c r="D78" s="32" t="s">
        <v>3537</v>
      </c>
      <c r="E78" s="11" t="str">
        <f>HYPERLINK("https://youtu.be/3-s8Q5LsSJA?t=3954","channel 2")</f>
        <v>channel 2</v>
      </c>
    </row>
    <row r="79">
      <c r="A79" s="118"/>
      <c r="B79" s="32" t="s">
        <v>3537</v>
      </c>
      <c r="C79" s="33" t="s">
        <v>26</v>
      </c>
      <c r="D79" s="32" t="s">
        <v>1853</v>
      </c>
      <c r="E79" s="135" t="str">
        <f>HYPERLINK("https://youtu.be/r5rxQD995ik?t=4876","channel 1")</f>
        <v>channel 1</v>
      </c>
    </row>
    <row r="80">
      <c r="A80" s="118"/>
      <c r="B80" s="32" t="s">
        <v>3996</v>
      </c>
      <c r="C80" s="33" t="s">
        <v>665</v>
      </c>
      <c r="D80" s="32" t="s">
        <v>3995</v>
      </c>
      <c r="E80" s="11" t="str">
        <f>HYPERLINK("https://youtu.be/3-s8Q5LsSJA?t=4806","channel 2")</f>
        <v>channel 2</v>
      </c>
    </row>
    <row r="81">
      <c r="A81" s="118"/>
      <c r="B81" s="32" t="s">
        <v>1853</v>
      </c>
      <c r="C81" s="33" t="s">
        <v>217</v>
      </c>
      <c r="D81" s="32" t="s">
        <v>3899</v>
      </c>
      <c r="E81" s="135" t="str">
        <f>HYPERLINK("https://youtu.be/r5rxQD995ik?t=5820","channel 1")</f>
        <v>channel 1</v>
      </c>
    </row>
    <row r="82">
      <c r="A82" s="118"/>
      <c r="B82" s="32" t="s">
        <v>3537</v>
      </c>
      <c r="C82" s="33" t="s">
        <v>81</v>
      </c>
      <c r="D82" s="32" t="s">
        <v>3995</v>
      </c>
      <c r="E82" s="11" t="str">
        <f>HYPERLINK("https://youtu.be/3-s8Q5LsSJA?t=5699","channel 2")</f>
        <v>channel 2</v>
      </c>
    </row>
    <row r="83">
      <c r="A83" s="118"/>
      <c r="B83" s="32" t="s">
        <v>3996</v>
      </c>
      <c r="C83" s="33" t="s">
        <v>533</v>
      </c>
      <c r="D83" s="32" t="s">
        <v>3899</v>
      </c>
      <c r="E83" s="135" t="str">
        <f>HYPERLINK("https://youtu.be/r5rxQD995ik?t=6747","channel 1")</f>
        <v>channel 1</v>
      </c>
    </row>
    <row r="84">
      <c r="A84" s="118"/>
      <c r="B84" s="32" t="s">
        <v>1853</v>
      </c>
      <c r="C84" s="33" t="s">
        <v>64</v>
      </c>
      <c r="D84" s="32" t="s">
        <v>3995</v>
      </c>
      <c r="E84" s="11" t="str">
        <f>HYPERLINK("https://youtu.be/3-s8Q5LsSJA?t=6628","channel 2")</f>
        <v>channel 2</v>
      </c>
    </row>
    <row r="85">
      <c r="A85" s="118"/>
      <c r="B85" s="32" t="s">
        <v>3537</v>
      </c>
      <c r="C85" s="33" t="s">
        <v>80</v>
      </c>
      <c r="D85" s="32" t="s">
        <v>3899</v>
      </c>
      <c r="E85" s="135" t="str">
        <f>HYPERLINK("https://youtu.be/r5rxQD995ik?t=7691","channel 1")</f>
        <v>channel 1</v>
      </c>
    </row>
    <row r="86">
      <c r="A86" s="118"/>
      <c r="B86" s="32" t="s">
        <v>1853</v>
      </c>
      <c r="C86" s="33" t="s">
        <v>20</v>
      </c>
      <c r="D86" s="32" t="s">
        <v>3996</v>
      </c>
      <c r="E86" s="11" t="str">
        <f>HYPERLINK("https://youtu.be/3-s8Q5LsSJA?t=7525","channel 2")</f>
        <v>channel 2</v>
      </c>
    </row>
    <row r="87">
      <c r="A87" s="118"/>
      <c r="B87" s="32" t="s">
        <v>3995</v>
      </c>
      <c r="C87" s="33" t="s">
        <v>55</v>
      </c>
      <c r="D87" s="32" t="s">
        <v>3899</v>
      </c>
      <c r="E87" s="135" t="str">
        <f>HYPERLINK("https://youtu.be/r5rxQD995ik?t=8624","channel 1")</f>
        <v>channel 1</v>
      </c>
    </row>
    <row r="88">
      <c r="A88" s="118"/>
      <c r="B88" s="32" t="s">
        <v>3537</v>
      </c>
      <c r="C88" s="33" t="s">
        <v>2014</v>
      </c>
      <c r="D88" s="32" t="s">
        <v>3996</v>
      </c>
      <c r="E88" s="11" t="str">
        <f>HYPERLINK("https://youtu.be/3-s8Q5LsSJA?t=8500","channel 2")</f>
        <v>channel 2</v>
      </c>
    </row>
    <row r="89">
      <c r="A89" s="118"/>
      <c r="B89" s="72" t="s">
        <v>2575</v>
      </c>
      <c r="C89" s="2"/>
      <c r="D89" s="3"/>
      <c r="E89" s="138"/>
    </row>
    <row r="90">
      <c r="A90" s="118"/>
      <c r="B90" s="35" t="s">
        <v>2</v>
      </c>
      <c r="C90" s="35" t="s">
        <v>3</v>
      </c>
      <c r="D90" s="35" t="s">
        <v>4</v>
      </c>
      <c r="E90" s="16" t="s">
        <v>5</v>
      </c>
    </row>
    <row r="91">
      <c r="A91" s="118"/>
      <c r="B91" s="32" t="s">
        <v>3769</v>
      </c>
      <c r="C91" s="33" t="s">
        <v>48</v>
      </c>
      <c r="D91" s="32" t="s">
        <v>3997</v>
      </c>
      <c r="E91" s="135" t="str">
        <f>HYPERLINK("https://youtu.be/CgbZAvumsL4","channel 1")</f>
        <v>channel 1</v>
      </c>
    </row>
    <row r="92">
      <c r="A92" s="118"/>
      <c r="B92" s="32" t="s">
        <v>3216</v>
      </c>
      <c r="C92" s="33" t="s">
        <v>1031</v>
      </c>
      <c r="D92" s="8" t="s">
        <v>876</v>
      </c>
      <c r="E92" s="11" t="str">
        <f>HYPERLINK("https://youtu.be/tOi1WD3eu94","channel 2")</f>
        <v>channel 2</v>
      </c>
    </row>
    <row r="93">
      <c r="A93" s="118"/>
      <c r="B93" s="32" t="s">
        <v>1575</v>
      </c>
      <c r="C93" s="33" t="s">
        <v>20</v>
      </c>
      <c r="D93" s="32" t="s">
        <v>3769</v>
      </c>
      <c r="E93" s="135" t="str">
        <f>HYPERLINK("https://youtu.be/CgbZAvumsL4?t=919","channel 1")</f>
        <v>channel 1</v>
      </c>
    </row>
    <row r="94">
      <c r="A94" s="118"/>
      <c r="B94" s="32" t="s">
        <v>3216</v>
      </c>
      <c r="C94" s="33" t="s">
        <v>83</v>
      </c>
      <c r="D94" s="32" t="s">
        <v>3997</v>
      </c>
      <c r="E94" s="11" t="str">
        <f>HYPERLINK("https://youtu.be/tOi1WD3eu94?t=952","channel 2")</f>
        <v>channel 2</v>
      </c>
    </row>
    <row r="95">
      <c r="A95" s="118"/>
      <c r="B95" s="32" t="s">
        <v>1575</v>
      </c>
      <c r="C95" s="33" t="s">
        <v>14</v>
      </c>
      <c r="D95" s="8" t="s">
        <v>876</v>
      </c>
      <c r="E95" s="135" t="str">
        <f>HYPERLINK("https://youtu.be/CgbZAvumsL4?t=1859","channel 1")</f>
        <v>channel 1</v>
      </c>
    </row>
    <row r="96">
      <c r="A96" s="118"/>
      <c r="B96" s="32" t="s">
        <v>3216</v>
      </c>
      <c r="C96" s="33" t="s">
        <v>319</v>
      </c>
      <c r="D96" s="32" t="s">
        <v>3769</v>
      </c>
      <c r="E96" s="11" t="str">
        <f>HYPERLINK("https://youtu.be/tOi1WD3eu94?t=1950","channel 2")</f>
        <v>channel 2</v>
      </c>
    </row>
    <row r="97">
      <c r="A97" s="118"/>
      <c r="B97" s="32" t="s">
        <v>1575</v>
      </c>
      <c r="C97" s="33" t="s">
        <v>319</v>
      </c>
      <c r="D97" s="32" t="s">
        <v>3997</v>
      </c>
      <c r="E97" s="135" t="str">
        <f>HYPERLINK("https://youtu.be/CgbZAvumsL4?t=2690","channel 1")</f>
        <v>channel 1</v>
      </c>
    </row>
    <row r="98">
      <c r="A98" s="118"/>
      <c r="B98" s="8" t="s">
        <v>876</v>
      </c>
      <c r="C98" s="33" t="s">
        <v>48</v>
      </c>
      <c r="D98" s="32" t="s">
        <v>3769</v>
      </c>
      <c r="E98" s="11" t="str">
        <f>HYPERLINK("https://youtu.be/tOi1WD3eu94?t=2865","channel 2")</f>
        <v>channel 2</v>
      </c>
    </row>
    <row r="99">
      <c r="A99" s="118"/>
      <c r="B99" s="32" t="s">
        <v>1575</v>
      </c>
      <c r="C99" s="33" t="s">
        <v>195</v>
      </c>
      <c r="D99" s="32" t="s">
        <v>3216</v>
      </c>
      <c r="E99" s="135" t="str">
        <f>HYPERLINK("https://youtu.be/CgbZAvumsL4?t=3576","channel 1")</f>
        <v>channel 1</v>
      </c>
    </row>
    <row r="100">
      <c r="A100" s="118"/>
      <c r="B100" s="8" t="s">
        <v>876</v>
      </c>
      <c r="C100" s="33" t="s">
        <v>196</v>
      </c>
      <c r="D100" s="32" t="s">
        <v>3997</v>
      </c>
      <c r="E100" s="11" t="str">
        <f>HYPERLINK("https://youtu.be/tOi1WD3eu94?t=3726","channel 2")</f>
        <v>channel 2</v>
      </c>
    </row>
    <row r="101">
      <c r="A101" s="118"/>
      <c r="B101" s="32" t="s">
        <v>3997</v>
      </c>
      <c r="C101" s="33" t="s">
        <v>3998</v>
      </c>
      <c r="D101" s="32" t="s">
        <v>3769</v>
      </c>
      <c r="E101" s="135" t="str">
        <f>HYPERLINK("https://youtu.be/CgbZAvumsL4?t=4466","channel 1")</f>
        <v>channel 1</v>
      </c>
    </row>
    <row r="102">
      <c r="A102" s="118"/>
      <c r="B102" s="8" t="s">
        <v>876</v>
      </c>
      <c r="C102" s="33" t="s">
        <v>52</v>
      </c>
      <c r="D102" s="32" t="s">
        <v>3216</v>
      </c>
      <c r="E102" s="11" t="str">
        <f>HYPERLINK("https://youtu.be/tOi1WD3eu94?t=4589","channel 2")</f>
        <v>channel 2</v>
      </c>
    </row>
    <row r="103">
      <c r="A103" s="118"/>
      <c r="B103" s="32" t="s">
        <v>3769</v>
      </c>
      <c r="C103" s="33" t="s">
        <v>239</v>
      </c>
      <c r="D103" s="32" t="s">
        <v>1575</v>
      </c>
      <c r="E103" s="135" t="str">
        <f>HYPERLINK("https://youtu.be/CgbZAvumsL4?t=5362","channel 1")</f>
        <v>channel 1</v>
      </c>
    </row>
    <row r="104">
      <c r="A104" s="118"/>
      <c r="B104" s="32" t="s">
        <v>3997</v>
      </c>
      <c r="C104" s="33" t="s">
        <v>20</v>
      </c>
      <c r="D104" s="32" t="s">
        <v>3216</v>
      </c>
      <c r="E104" s="11" t="str">
        <f>HYPERLINK("https://youtu.be/tOi1WD3eu94?t=5490","channel 2")</f>
        <v>channel 2</v>
      </c>
    </row>
    <row r="105">
      <c r="A105" s="118"/>
      <c r="B105" s="8" t="s">
        <v>876</v>
      </c>
      <c r="C105" s="33" t="s">
        <v>722</v>
      </c>
      <c r="D105" s="32" t="s">
        <v>1575</v>
      </c>
      <c r="E105" s="135" t="str">
        <f>HYPERLINK("https://youtu.be/CgbZAvumsL4?t=6281","channel 1")</f>
        <v>channel 1</v>
      </c>
    </row>
    <row r="106">
      <c r="A106" s="118"/>
      <c r="B106" s="32" t="s">
        <v>3769</v>
      </c>
      <c r="C106" s="33" t="s">
        <v>278</v>
      </c>
      <c r="D106" s="32" t="s">
        <v>3216</v>
      </c>
      <c r="E106" s="11" t="str">
        <f>HYPERLINK("https://youtu.be/tOi1WD3eu94?t=6409","channel 2")</f>
        <v>channel 2</v>
      </c>
    </row>
    <row r="107">
      <c r="A107" s="118"/>
      <c r="B107" s="32" t="s">
        <v>3997</v>
      </c>
      <c r="C107" s="33" t="s">
        <v>1186</v>
      </c>
      <c r="D107" s="32" t="s">
        <v>1575</v>
      </c>
      <c r="E107" s="135" t="str">
        <f>HYPERLINK("https://youtu.be/CgbZAvumsL4?t=7142","channel 1")</f>
        <v>channel 1</v>
      </c>
    </row>
    <row r="108">
      <c r="A108" s="118"/>
      <c r="B108" s="32" t="s">
        <v>3769</v>
      </c>
      <c r="C108" s="33" t="s">
        <v>62</v>
      </c>
      <c r="D108" s="8" t="s">
        <v>876</v>
      </c>
      <c r="E108" s="11" t="str">
        <f>HYPERLINK("https://youtu.be/tOi1WD3eu94?t=7279","channel 2")</f>
        <v>channel 2</v>
      </c>
    </row>
    <row r="109">
      <c r="A109" s="118"/>
      <c r="B109" s="32" t="s">
        <v>3216</v>
      </c>
      <c r="C109" s="33" t="s">
        <v>17</v>
      </c>
      <c r="D109" s="32" t="s">
        <v>1575</v>
      </c>
      <c r="E109" s="135" t="str">
        <f>HYPERLINK("https://youtu.be/CgbZAvumsL4?t=8038","channel 1")</f>
        <v>channel 1</v>
      </c>
    </row>
    <row r="110">
      <c r="A110" s="118"/>
      <c r="B110" s="32" t="s">
        <v>3997</v>
      </c>
      <c r="C110" s="33" t="s">
        <v>83</v>
      </c>
      <c r="D110" s="8" t="s">
        <v>876</v>
      </c>
      <c r="E110" s="11" t="str">
        <f>HYPERLINK("https://youtu.be/tOi1WD3eu94?t=8113","channel 2")</f>
        <v>channel 2</v>
      </c>
    </row>
    <row r="111">
      <c r="A111" s="118"/>
      <c r="B111" s="72" t="s">
        <v>2939</v>
      </c>
      <c r="C111" s="2"/>
      <c r="D111" s="3"/>
      <c r="E111" s="138"/>
    </row>
    <row r="112">
      <c r="A112" s="118"/>
      <c r="B112" s="35" t="s">
        <v>2</v>
      </c>
      <c r="C112" s="35" t="s">
        <v>3</v>
      </c>
      <c r="D112" s="35" t="s">
        <v>4</v>
      </c>
      <c r="E112" s="16" t="s">
        <v>5</v>
      </c>
    </row>
    <row r="113">
      <c r="A113" s="118"/>
      <c r="B113" s="32" t="s">
        <v>3999</v>
      </c>
      <c r="C113" s="33" t="s">
        <v>353</v>
      </c>
      <c r="D113" s="32" t="s">
        <v>4000</v>
      </c>
      <c r="E113" s="135" t="str">
        <f>HYPERLINK("https://youtu.be/qx-fsYvoA-Y","channel 1")</f>
        <v>channel 1</v>
      </c>
    </row>
    <row r="114">
      <c r="A114" s="118"/>
      <c r="B114" s="32" t="s">
        <v>4001</v>
      </c>
      <c r="C114" s="33" t="s">
        <v>20</v>
      </c>
      <c r="D114" s="8" t="s">
        <v>3165</v>
      </c>
      <c r="E114" s="11" t="str">
        <f>HYPERLINK("https://youtu.be/B-owgcf1eNM","channel 2")</f>
        <v>channel 2</v>
      </c>
    </row>
    <row r="115">
      <c r="A115" s="118"/>
      <c r="B115" s="32" t="s">
        <v>1819</v>
      </c>
      <c r="C115" s="33" t="s">
        <v>187</v>
      </c>
      <c r="D115" s="32" t="s">
        <v>3999</v>
      </c>
      <c r="E115" s="135" t="str">
        <f>HYPERLINK("https://youtu.be/qx-fsYvoA-Y?t=998","channel 1")</f>
        <v>channel 1</v>
      </c>
    </row>
    <row r="116">
      <c r="A116" s="118"/>
      <c r="B116" s="32" t="s">
        <v>4001</v>
      </c>
      <c r="C116" s="33" t="s">
        <v>370</v>
      </c>
      <c r="D116" s="32" t="s">
        <v>4000</v>
      </c>
      <c r="E116" s="11" t="str">
        <f>HYPERLINK("https://youtu.be/B-owgcf1eNM?t=994","channel 2")</f>
        <v>channel 2</v>
      </c>
    </row>
    <row r="117">
      <c r="A117" s="118"/>
      <c r="B117" s="32" t="s">
        <v>1819</v>
      </c>
      <c r="C117" s="33" t="s">
        <v>412</v>
      </c>
      <c r="D117" s="8" t="s">
        <v>3165</v>
      </c>
      <c r="E117" s="135" t="str">
        <f>HYPERLINK("https://youtu.be/qx-fsYvoA-Y?t=1893","channel 1")</f>
        <v>channel 1</v>
      </c>
    </row>
    <row r="118">
      <c r="A118" s="118"/>
      <c r="B118" s="32" t="s">
        <v>4001</v>
      </c>
      <c r="C118" s="33" t="s">
        <v>285</v>
      </c>
      <c r="D118" s="32" t="s">
        <v>3999</v>
      </c>
      <c r="E118" s="11" t="str">
        <f>HYPERLINK("https://youtu.be/B-owgcf1eNM?t=1938","channel 2")</f>
        <v>channel 2</v>
      </c>
    </row>
    <row r="119">
      <c r="A119" s="118"/>
      <c r="B119" s="32" t="s">
        <v>1819</v>
      </c>
      <c r="C119" s="33" t="s">
        <v>217</v>
      </c>
      <c r="D119" s="32" t="s">
        <v>4000</v>
      </c>
      <c r="E119" s="135" t="str">
        <f>HYPERLINK("https://youtu.be/qx-fsYvoA-Y?t=2751","channel 1")</f>
        <v>channel 1</v>
      </c>
    </row>
    <row r="120">
      <c r="A120" s="118"/>
      <c r="B120" s="8" t="s">
        <v>3165</v>
      </c>
      <c r="C120" s="33" t="s">
        <v>64</v>
      </c>
      <c r="D120" s="32" t="s">
        <v>3999</v>
      </c>
      <c r="E120" s="11" t="str">
        <f>HYPERLINK("https://youtu.be/B-owgcf1eNM?t=2797","channel 2")</f>
        <v>channel 2</v>
      </c>
    </row>
    <row r="121">
      <c r="A121" s="118"/>
      <c r="B121" s="32" t="s">
        <v>1819</v>
      </c>
      <c r="C121" s="33" t="s">
        <v>22</v>
      </c>
      <c r="D121" s="32" t="s">
        <v>4001</v>
      </c>
      <c r="E121" s="135" t="str">
        <f>HYPERLINK("https://youtu.be/qx-fsYvoA-Y?t=3588","channel 1")</f>
        <v>channel 1</v>
      </c>
    </row>
    <row r="122">
      <c r="A122" s="118"/>
      <c r="B122" s="8" t="s">
        <v>3165</v>
      </c>
      <c r="C122" s="33" t="s">
        <v>14</v>
      </c>
      <c r="D122" s="32" t="s">
        <v>4000</v>
      </c>
      <c r="E122" s="11" t="str">
        <f>HYPERLINK("https://youtu.be/B-owgcf1eNM?t=3693","channel 2")</f>
        <v>channel 2</v>
      </c>
    </row>
    <row r="123">
      <c r="A123" s="118"/>
      <c r="B123" s="32" t="s">
        <v>4000</v>
      </c>
      <c r="C123" s="33" t="s">
        <v>416</v>
      </c>
      <c r="D123" s="32" t="s">
        <v>3999</v>
      </c>
      <c r="E123" s="135" t="str">
        <f>HYPERLINK("https://youtu.be/qx-fsYvoA-Y?t=4499","channel 1")</f>
        <v>channel 1</v>
      </c>
    </row>
    <row r="124">
      <c r="A124" s="118"/>
      <c r="B124" s="8" t="s">
        <v>3165</v>
      </c>
      <c r="C124" s="33" t="s">
        <v>47</v>
      </c>
      <c r="D124" s="32" t="s">
        <v>4001</v>
      </c>
      <c r="E124" s="11" t="str">
        <f>HYPERLINK("https://youtu.be/B-owgcf1eNM?t=4549","channel 2")</f>
        <v>channel 2</v>
      </c>
    </row>
    <row r="125">
      <c r="A125" s="118"/>
      <c r="B125" s="32" t="s">
        <v>3999</v>
      </c>
      <c r="C125" s="33" t="s">
        <v>38</v>
      </c>
      <c r="D125" s="32" t="s">
        <v>1819</v>
      </c>
      <c r="E125" s="135" t="str">
        <f>HYPERLINK("https://youtu.be/qx-fsYvoA-Y?t=5436","channel 1")</f>
        <v>channel 1</v>
      </c>
    </row>
    <row r="126">
      <c r="A126" s="118"/>
      <c r="B126" s="32" t="s">
        <v>4000</v>
      </c>
      <c r="C126" s="33" t="s">
        <v>793</v>
      </c>
      <c r="D126" s="32" t="s">
        <v>4001</v>
      </c>
      <c r="E126" s="11" t="str">
        <f>HYPERLINK("https://youtu.be/B-owgcf1eNM?t=5457","channel 2")</f>
        <v>channel 2</v>
      </c>
    </row>
    <row r="127">
      <c r="A127" s="118"/>
      <c r="B127" s="8" t="s">
        <v>3165</v>
      </c>
      <c r="C127" s="33" t="s">
        <v>67</v>
      </c>
      <c r="D127" s="32" t="s">
        <v>1819</v>
      </c>
      <c r="E127" s="135" t="str">
        <f>HYPERLINK("https://youtu.be/qx-fsYvoA-Y?t=6289","channel 1")</f>
        <v>channel 1</v>
      </c>
    </row>
    <row r="128">
      <c r="A128" s="118"/>
      <c r="B128" s="32" t="s">
        <v>3999</v>
      </c>
      <c r="C128" s="33" t="s">
        <v>68</v>
      </c>
      <c r="D128" s="32" t="s">
        <v>4001</v>
      </c>
      <c r="E128" s="11" t="str">
        <f>HYPERLINK("https://youtu.be/B-owgcf1eNM?t=6330","channel 2")</f>
        <v>channel 2</v>
      </c>
    </row>
    <row r="129">
      <c r="A129" s="118"/>
      <c r="B129" s="32" t="s">
        <v>4000</v>
      </c>
      <c r="C129" s="33" t="s">
        <v>72</v>
      </c>
      <c r="D129" s="32" t="s">
        <v>1819</v>
      </c>
      <c r="E129" s="135" t="str">
        <f>HYPERLINK("https://youtu.be/qx-fsYvoA-Y?t=7120","channel 1")</f>
        <v>channel 1</v>
      </c>
    </row>
    <row r="130">
      <c r="A130" s="118"/>
      <c r="B130" s="32" t="s">
        <v>3999</v>
      </c>
      <c r="C130" s="33" t="s">
        <v>239</v>
      </c>
      <c r="D130" s="8" t="s">
        <v>3165</v>
      </c>
      <c r="E130" s="11" t="str">
        <f>HYPERLINK("https://youtu.be/B-owgcf1eNM?t=7161","channel 2")</f>
        <v>channel 2</v>
      </c>
    </row>
    <row r="131">
      <c r="A131" s="118"/>
      <c r="B131" s="32" t="s">
        <v>4001</v>
      </c>
      <c r="C131" s="33" t="s">
        <v>278</v>
      </c>
      <c r="D131" s="32" t="s">
        <v>1819</v>
      </c>
      <c r="E131" s="135" t="str">
        <f>HYPERLINK("https://youtu.be/qx-fsYvoA-Y?t=7935","channel 1")</f>
        <v>channel 1</v>
      </c>
    </row>
    <row r="132">
      <c r="A132" s="122"/>
      <c r="B132" s="32" t="s">
        <v>4000</v>
      </c>
      <c r="C132" s="33" t="s">
        <v>362</v>
      </c>
      <c r="D132" s="8" t="s">
        <v>3165</v>
      </c>
      <c r="E132" s="11" t="str">
        <f>HYPERLINK("https://youtu.be/B-owgcf1eNM?t=8074","channel 2")</f>
        <v>channel 2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7"/>
      <c r="B1" s="72" t="s">
        <v>2154</v>
      </c>
      <c r="C1" s="2"/>
      <c r="D1" s="3"/>
      <c r="E1" s="134"/>
    </row>
    <row r="2">
      <c r="A2" s="118"/>
      <c r="B2" s="35" t="s">
        <v>2</v>
      </c>
      <c r="C2" s="35" t="s">
        <v>3</v>
      </c>
      <c r="D2" s="35" t="s">
        <v>4</v>
      </c>
      <c r="E2" s="6" t="s">
        <v>5</v>
      </c>
    </row>
    <row r="3">
      <c r="A3" s="118"/>
      <c r="B3" s="8" t="s">
        <v>3581</v>
      </c>
      <c r="C3" s="33" t="s">
        <v>906</v>
      </c>
      <c r="D3" s="8" t="s">
        <v>4002</v>
      </c>
      <c r="E3" s="135" t="str">
        <f>HYPERLINK("https://youtu.be/pPUIydUZonE","channel 1")</f>
        <v>channel 1</v>
      </c>
    </row>
    <row r="4">
      <c r="A4" s="118"/>
      <c r="B4" s="8" t="s">
        <v>3527</v>
      </c>
      <c r="C4" s="60" t="s">
        <v>212</v>
      </c>
      <c r="D4" s="8" t="s">
        <v>4003</v>
      </c>
      <c r="E4" s="11" t="str">
        <f>HYPERLINK("https://youtu.be/j1zttjRVMEQ","channel 2")</f>
        <v>channel 2</v>
      </c>
    </row>
    <row r="5">
      <c r="A5" s="118"/>
      <c r="B5" s="8" t="s">
        <v>3917</v>
      </c>
      <c r="C5" s="33" t="s">
        <v>291</v>
      </c>
      <c r="D5" s="8" t="s">
        <v>3581</v>
      </c>
      <c r="E5" s="135" t="str">
        <f>HYPERLINK("https://youtu.be/pPUIydUZonE?t=1081","channel 1")</f>
        <v>channel 1</v>
      </c>
    </row>
    <row r="6">
      <c r="A6" s="118"/>
      <c r="B6" s="8" t="s">
        <v>3527</v>
      </c>
      <c r="C6" s="33" t="s">
        <v>534</v>
      </c>
      <c r="D6" s="8" t="s">
        <v>4002</v>
      </c>
      <c r="E6" s="11" t="str">
        <f>HYPERLINK("https://youtu.be/j1zttjRVMEQ?t=896","channel 2")</f>
        <v>channel 2</v>
      </c>
    </row>
    <row r="7">
      <c r="A7" s="118"/>
      <c r="B7" s="8" t="s">
        <v>3917</v>
      </c>
      <c r="C7" s="33" t="s">
        <v>240</v>
      </c>
      <c r="D7" s="8" t="s">
        <v>4003</v>
      </c>
      <c r="E7" s="135" t="str">
        <f>HYPERLINK("https://youtu.be/pPUIydUZonE?t=2017","channel 1")</f>
        <v>channel 1</v>
      </c>
    </row>
    <row r="8">
      <c r="A8" s="118"/>
      <c r="B8" s="8" t="s">
        <v>3527</v>
      </c>
      <c r="C8" s="33" t="s">
        <v>2014</v>
      </c>
      <c r="D8" s="8" t="s">
        <v>3581</v>
      </c>
      <c r="E8" s="11" t="str">
        <f>HYPERLINK("https://youtu.be/j1zttjRVMEQ?t=1859","channel 2")</f>
        <v>channel 2</v>
      </c>
    </row>
    <row r="9">
      <c r="A9" s="118"/>
      <c r="B9" s="8" t="s">
        <v>3917</v>
      </c>
      <c r="C9" s="33" t="s">
        <v>338</v>
      </c>
      <c r="D9" s="8" t="s">
        <v>4002</v>
      </c>
      <c r="E9" s="135" t="str">
        <f>HYPERLINK("https://youtu.be/pPUIydUZonE?t=2889","channel 1")</f>
        <v>channel 1</v>
      </c>
    </row>
    <row r="10">
      <c r="A10" s="118"/>
      <c r="B10" s="8" t="s">
        <v>4003</v>
      </c>
      <c r="C10" s="33" t="s">
        <v>7</v>
      </c>
      <c r="D10" s="8" t="s">
        <v>3581</v>
      </c>
      <c r="E10" s="11" t="str">
        <f>HYPERLINK("https://youtu.be/j1zttjRVMEQ?t=2847","channel 2")</f>
        <v>channel 2</v>
      </c>
    </row>
    <row r="11">
      <c r="A11" s="118"/>
      <c r="B11" s="8" t="s">
        <v>3917</v>
      </c>
      <c r="C11" s="33" t="s">
        <v>250</v>
      </c>
      <c r="D11" s="8" t="s">
        <v>3527</v>
      </c>
      <c r="E11" s="135" t="str">
        <f>HYPERLINK("https://youtu.be/pPUIydUZonE?t=3816","channel 1")</f>
        <v>channel 1</v>
      </c>
    </row>
    <row r="12">
      <c r="A12" s="118"/>
      <c r="B12" s="8" t="s">
        <v>4003</v>
      </c>
      <c r="C12" s="33" t="s">
        <v>545</v>
      </c>
      <c r="D12" s="8" t="s">
        <v>4002</v>
      </c>
      <c r="E12" s="11" t="str">
        <f>HYPERLINK("https://youtu.be/j1zttjRVMEQ?t=3771","channel 2")</f>
        <v>channel 2</v>
      </c>
    </row>
    <row r="13">
      <c r="A13" s="118"/>
      <c r="B13" s="8" t="s">
        <v>4002</v>
      </c>
      <c r="C13" s="33" t="s">
        <v>203</v>
      </c>
      <c r="D13" s="8" t="s">
        <v>3581</v>
      </c>
      <c r="E13" s="135" t="str">
        <f>HYPERLINK("https://youtu.be/pPUIydUZonE?t=4775","channel 1")</f>
        <v>channel 1</v>
      </c>
    </row>
    <row r="14">
      <c r="A14" s="118"/>
      <c r="B14" s="8" t="s">
        <v>4003</v>
      </c>
      <c r="C14" s="33" t="s">
        <v>4004</v>
      </c>
      <c r="D14" s="8" t="s">
        <v>3527</v>
      </c>
      <c r="E14" s="11" t="str">
        <f>HYPERLINK("https://youtu.be/j1zttjRVMEQ?t=4733","channel 2")</f>
        <v>channel 2</v>
      </c>
    </row>
    <row r="15">
      <c r="A15" s="118"/>
      <c r="B15" s="8" t="s">
        <v>3581</v>
      </c>
      <c r="C15" s="33" t="s">
        <v>25</v>
      </c>
      <c r="D15" s="8" t="s">
        <v>3917</v>
      </c>
      <c r="E15" s="135" t="str">
        <f>HYPERLINK("https://youtu.be/pPUIydUZonE?t=5783","channel 1")</f>
        <v>channel 1</v>
      </c>
    </row>
    <row r="16">
      <c r="A16" s="118"/>
      <c r="B16" s="8" t="s">
        <v>4002</v>
      </c>
      <c r="C16" s="33" t="s">
        <v>445</v>
      </c>
      <c r="D16" s="8" t="s">
        <v>3527</v>
      </c>
      <c r="E16" s="11" t="str">
        <f>HYPERLINK("https://youtu.be/j1zttjRVMEQ?t=5830","channel 2")</f>
        <v>channel 2</v>
      </c>
    </row>
    <row r="17">
      <c r="A17" s="118"/>
      <c r="B17" s="8" t="s">
        <v>4003</v>
      </c>
      <c r="C17" s="33" t="s">
        <v>78</v>
      </c>
      <c r="D17" s="8" t="s">
        <v>3917</v>
      </c>
      <c r="E17" s="135" t="str">
        <f>HYPERLINK("https://youtu.be/pPUIydUZonE?t=6921","channel 1")</f>
        <v>channel 1</v>
      </c>
    </row>
    <row r="18">
      <c r="A18" s="118"/>
      <c r="B18" s="8" t="s">
        <v>3581</v>
      </c>
      <c r="C18" s="33" t="s">
        <v>369</v>
      </c>
      <c r="D18" s="8" t="s">
        <v>3527</v>
      </c>
      <c r="E18" s="11" t="str">
        <f>HYPERLINK("https://youtu.be/j1zttjRVMEQ?t=6695","channel 2")</f>
        <v>channel 2</v>
      </c>
    </row>
    <row r="19">
      <c r="A19" s="118"/>
      <c r="B19" s="8" t="s">
        <v>4002</v>
      </c>
      <c r="C19" s="33" t="s">
        <v>259</v>
      </c>
      <c r="D19" s="8" t="s">
        <v>3917</v>
      </c>
      <c r="E19" s="135" t="str">
        <f>HYPERLINK("https://youtu.be/pPUIydUZonE?t=7853","channel 1")</f>
        <v>channel 1</v>
      </c>
    </row>
    <row r="20">
      <c r="A20" s="118"/>
      <c r="B20" s="8" t="s">
        <v>3581</v>
      </c>
      <c r="C20" s="33" t="s">
        <v>31</v>
      </c>
      <c r="D20" s="8" t="s">
        <v>4003</v>
      </c>
      <c r="E20" s="11" t="str">
        <f>HYPERLINK("https://youtu.be/j1zttjRVMEQ?t=7681","channel 2")</f>
        <v>channel 2</v>
      </c>
    </row>
    <row r="21">
      <c r="A21" s="118"/>
      <c r="B21" s="8" t="s">
        <v>3527</v>
      </c>
      <c r="C21" s="33" t="s">
        <v>21</v>
      </c>
      <c r="D21" s="8" t="s">
        <v>3917</v>
      </c>
      <c r="E21" s="135" t="str">
        <f>HYPERLINK("https://youtu.be/pPUIydUZonE?t=8795","channel 1")</f>
        <v>channel 1</v>
      </c>
    </row>
    <row r="22">
      <c r="A22" s="118"/>
      <c r="B22" s="8" t="s">
        <v>4002</v>
      </c>
      <c r="C22" s="33" t="s">
        <v>370</v>
      </c>
      <c r="D22" s="8" t="s">
        <v>4003</v>
      </c>
      <c r="E22" s="11" t="str">
        <f>HYPERLINK("https://youtu.be/j1zttjRVMEQ?t=8638","channel 2")</f>
        <v>channel 2</v>
      </c>
    </row>
    <row r="23">
      <c r="A23" s="118"/>
      <c r="B23" s="72" t="s">
        <v>2099</v>
      </c>
      <c r="C23" s="2"/>
      <c r="D23" s="3"/>
      <c r="E23" s="134"/>
    </row>
    <row r="24">
      <c r="A24" s="118"/>
      <c r="B24" s="35" t="s">
        <v>2</v>
      </c>
      <c r="C24" s="35" t="s">
        <v>3</v>
      </c>
      <c r="D24" s="35" t="s">
        <v>4</v>
      </c>
      <c r="E24" s="6" t="s">
        <v>5</v>
      </c>
    </row>
    <row r="25">
      <c r="A25" s="118"/>
      <c r="B25" s="8" t="s">
        <v>4005</v>
      </c>
      <c r="C25" s="33" t="s">
        <v>261</v>
      </c>
      <c r="D25" s="8" t="s">
        <v>4006</v>
      </c>
      <c r="E25" s="135" t="str">
        <f>HYPERLINK("https://youtu.be/hoIzhNzMHtg","channel 1")</f>
        <v>channel 1</v>
      </c>
    </row>
    <row r="26">
      <c r="A26" s="118"/>
      <c r="B26" s="8" t="s">
        <v>4007</v>
      </c>
      <c r="C26" s="33" t="s">
        <v>45</v>
      </c>
      <c r="D26" s="8" t="s">
        <v>4008</v>
      </c>
      <c r="E26" s="11" t="str">
        <f>HYPERLINK("https://youtu.be/zxcPy2dK7vI","channel 2")</f>
        <v>channel 2</v>
      </c>
    </row>
    <row r="27">
      <c r="A27" s="118"/>
      <c r="B27" s="8" t="s">
        <v>4009</v>
      </c>
      <c r="C27" s="33" t="s">
        <v>303</v>
      </c>
      <c r="D27" s="8" t="s">
        <v>4005</v>
      </c>
      <c r="E27" s="135" t="str">
        <f>HYPERLINK("https://youtu.be/hoIzhNzMHtg?t=987","channel 1")</f>
        <v>channel 1</v>
      </c>
    </row>
    <row r="28">
      <c r="A28" s="118"/>
      <c r="B28" s="8" t="s">
        <v>4007</v>
      </c>
      <c r="C28" s="33" t="s">
        <v>380</v>
      </c>
      <c r="D28" s="8" t="s">
        <v>4006</v>
      </c>
      <c r="E28" s="11" t="str">
        <f>HYPERLINK("https://youtu.be/zxcPy2dK7vI?t=945","channel 2")</f>
        <v>channel 2</v>
      </c>
    </row>
    <row r="29">
      <c r="A29" s="118"/>
      <c r="B29" s="8" t="s">
        <v>4009</v>
      </c>
      <c r="C29" s="33" t="s">
        <v>283</v>
      </c>
      <c r="D29" s="8" t="s">
        <v>4008</v>
      </c>
      <c r="E29" s="135" t="str">
        <f>HYPERLINK("https://youtu.be/hoIzhNzMHtg?t=2022","channel 1")</f>
        <v>channel 1</v>
      </c>
    </row>
    <row r="30">
      <c r="A30" s="118"/>
      <c r="B30" s="8" t="s">
        <v>4007</v>
      </c>
      <c r="C30" s="33" t="s">
        <v>16</v>
      </c>
      <c r="D30" s="8" t="s">
        <v>4005</v>
      </c>
      <c r="E30" s="11" t="str">
        <f>HYPERLINK("https://youtu.be/zxcPy2dK7vI?t=1998","channel 2")</f>
        <v>channel 2</v>
      </c>
    </row>
    <row r="31">
      <c r="A31" s="118"/>
      <c r="B31" s="8" t="s">
        <v>4009</v>
      </c>
      <c r="C31" s="33" t="s">
        <v>21</v>
      </c>
      <c r="D31" s="8" t="s">
        <v>4006</v>
      </c>
      <c r="E31" s="135" t="str">
        <f>HYPERLINK("https://youtu.be/hoIzhNzMHtg?t=3013","channel 1")</f>
        <v>channel 1</v>
      </c>
    </row>
    <row r="32">
      <c r="A32" s="118"/>
      <c r="B32" s="8" t="s">
        <v>4008</v>
      </c>
      <c r="C32" s="33" t="s">
        <v>19</v>
      </c>
      <c r="D32" s="8" t="s">
        <v>4005</v>
      </c>
      <c r="E32" s="11" t="str">
        <f>HYPERLINK("https://youtu.be/zxcPy2dK7vI?t=2991","channel 2")</f>
        <v>channel 2</v>
      </c>
    </row>
    <row r="33">
      <c r="A33" s="118"/>
      <c r="B33" s="8" t="s">
        <v>4009</v>
      </c>
      <c r="C33" s="33" t="s">
        <v>22</v>
      </c>
      <c r="D33" s="8" t="s">
        <v>4007</v>
      </c>
      <c r="E33" s="135" t="str">
        <f>HYPERLINK("https://youtu.be/hoIzhNzMHtg?t=3933","channel 1")</f>
        <v>channel 1</v>
      </c>
    </row>
    <row r="34">
      <c r="A34" s="118"/>
      <c r="B34" s="8" t="s">
        <v>4008</v>
      </c>
      <c r="C34" s="33" t="s">
        <v>68</v>
      </c>
      <c r="D34" s="8" t="s">
        <v>4006</v>
      </c>
      <c r="E34" s="11" t="str">
        <f>HYPERLINK("https://youtu.be/zxcPy2dK7vI?t=3932","channel 2")</f>
        <v>channel 2</v>
      </c>
    </row>
    <row r="35">
      <c r="A35" s="118"/>
      <c r="B35" s="8" t="s">
        <v>4006</v>
      </c>
      <c r="C35" s="33" t="s">
        <v>285</v>
      </c>
      <c r="D35" s="8" t="s">
        <v>4005</v>
      </c>
      <c r="E35" s="135" t="str">
        <f>HYPERLINK("https://youtu.be/hoIzhNzMHtg?t=4889","channel 1")</f>
        <v>channel 1</v>
      </c>
    </row>
    <row r="36">
      <c r="A36" s="118"/>
      <c r="B36" s="8" t="s">
        <v>4008</v>
      </c>
      <c r="C36" s="33" t="s">
        <v>65</v>
      </c>
      <c r="D36" s="8" t="s">
        <v>4007</v>
      </c>
      <c r="E36" s="11" t="str">
        <f>HYPERLINK("https://youtu.be/zxcPy2dK7vI?t=4842","channel 2")</f>
        <v>channel 2</v>
      </c>
    </row>
    <row r="37">
      <c r="A37" s="118"/>
      <c r="B37" s="8" t="s">
        <v>4005</v>
      </c>
      <c r="C37" s="33" t="s">
        <v>533</v>
      </c>
      <c r="D37" s="8" t="s">
        <v>4009</v>
      </c>
      <c r="E37" s="135" t="str">
        <f>HYPERLINK("https://youtu.be/hoIzhNzMHtg?t=5841","channel 1")</f>
        <v>channel 1</v>
      </c>
    </row>
    <row r="38">
      <c r="A38" s="118"/>
      <c r="B38" s="8" t="s">
        <v>4006</v>
      </c>
      <c r="C38" s="33" t="s">
        <v>55</v>
      </c>
      <c r="D38" s="8" t="s">
        <v>4007</v>
      </c>
      <c r="E38" s="11" t="str">
        <f>HYPERLINK("https://youtu.be/zxcPy2dK7vI?t=5869","channel 2")</f>
        <v>channel 2</v>
      </c>
    </row>
    <row r="39">
      <c r="A39" s="118"/>
      <c r="B39" s="8" t="s">
        <v>4008</v>
      </c>
      <c r="C39" s="35" t="s">
        <v>4010</v>
      </c>
      <c r="D39" s="8" t="s">
        <v>4009</v>
      </c>
      <c r="E39" s="135" t="str">
        <f>HYPERLINK("https://youtu.be/hoIzhNzMHtg?t=6790","channel 1")</f>
        <v>channel 1</v>
      </c>
    </row>
    <row r="40">
      <c r="A40" s="118"/>
      <c r="B40" s="8" t="s">
        <v>4005</v>
      </c>
      <c r="C40" s="33" t="s">
        <v>55</v>
      </c>
      <c r="D40" s="8" t="s">
        <v>4007</v>
      </c>
      <c r="E40" s="11" t="str">
        <f>HYPERLINK("https://youtu.be/zxcPy2dK7vI?t=6828","channel 2")</f>
        <v>channel 2</v>
      </c>
    </row>
    <row r="41">
      <c r="A41" s="118"/>
      <c r="B41" s="8" t="s">
        <v>4006</v>
      </c>
      <c r="C41" s="33" t="s">
        <v>81</v>
      </c>
      <c r="D41" s="8" t="s">
        <v>4009</v>
      </c>
      <c r="E41" s="135" t="str">
        <f>HYPERLINK("https://youtu.be/hoIzhNzMHtg?t=7685","channel 1")</f>
        <v>channel 1</v>
      </c>
    </row>
    <row r="42">
      <c r="A42" s="118"/>
      <c r="B42" s="8" t="s">
        <v>4005</v>
      </c>
      <c r="C42" s="33" t="s">
        <v>912</v>
      </c>
      <c r="D42" s="8" t="s">
        <v>4008</v>
      </c>
      <c r="E42" s="11" t="str">
        <f>HYPERLINK("https://youtu.be/zxcPy2dK7vI?t=7725","channel 2")</f>
        <v>channel 2</v>
      </c>
    </row>
    <row r="43">
      <c r="A43" s="118"/>
      <c r="B43" s="8" t="s">
        <v>4007</v>
      </c>
      <c r="C43" s="33" t="s">
        <v>196</v>
      </c>
      <c r="D43" s="8" t="s">
        <v>4009</v>
      </c>
      <c r="E43" s="135" t="str">
        <f>HYPERLINK("https://youtu.be/hoIzhNzMHtg?t=8586","channel 1")</f>
        <v>channel 1</v>
      </c>
    </row>
    <row r="44">
      <c r="A44" s="118"/>
      <c r="B44" s="8" t="s">
        <v>4006</v>
      </c>
      <c r="C44" s="33" t="s">
        <v>220</v>
      </c>
      <c r="D44" s="8" t="s">
        <v>4008</v>
      </c>
      <c r="E44" s="11" t="str">
        <f>HYPERLINK("https://youtu.be/zxcPy2dK7vI?t=8654","channel 2")</f>
        <v>channel 2</v>
      </c>
    </row>
    <row r="45">
      <c r="A45" s="118"/>
      <c r="B45" s="72" t="s">
        <v>2685</v>
      </c>
      <c r="C45" s="2"/>
      <c r="D45" s="3"/>
      <c r="E45" s="134"/>
    </row>
    <row r="46">
      <c r="A46" s="118"/>
      <c r="B46" s="35" t="s">
        <v>2</v>
      </c>
      <c r="C46" s="35" t="s">
        <v>3</v>
      </c>
      <c r="D46" s="35" t="s">
        <v>4</v>
      </c>
      <c r="E46" s="6" t="s">
        <v>5</v>
      </c>
    </row>
    <row r="47">
      <c r="A47" s="118"/>
      <c r="B47" s="8" t="s">
        <v>4011</v>
      </c>
      <c r="C47" s="33" t="s">
        <v>400</v>
      </c>
      <c r="D47" s="8" t="s">
        <v>10</v>
      </c>
      <c r="E47" s="135" t="str">
        <f>HYPERLINK("https://youtu.be/KLBZAaRq-R0","channel 1")</f>
        <v>channel 1</v>
      </c>
    </row>
    <row r="48">
      <c r="A48" s="118"/>
      <c r="B48" s="8" t="s">
        <v>1662</v>
      </c>
      <c r="C48" s="33" t="s">
        <v>400</v>
      </c>
      <c r="D48" s="8" t="s">
        <v>4012</v>
      </c>
      <c r="E48" s="11" t="str">
        <f>HYPERLINK("https://youtu.be/VfUP4dbQuSQ","channel 2")</f>
        <v>channel 2</v>
      </c>
    </row>
    <row r="49">
      <c r="A49" s="118"/>
      <c r="B49" s="8" t="s">
        <v>3776</v>
      </c>
      <c r="C49" s="37" t="s">
        <v>7</v>
      </c>
      <c r="D49" s="8" t="s">
        <v>4011</v>
      </c>
      <c r="E49" s="135" t="str">
        <f>HYPERLINK("https://youtu.be/KLBZAaRq-R0?t=988","channel 1")</f>
        <v>channel 1</v>
      </c>
    </row>
    <row r="50">
      <c r="A50" s="118"/>
      <c r="B50" s="8" t="s">
        <v>1662</v>
      </c>
      <c r="C50" s="33" t="s">
        <v>87</v>
      </c>
      <c r="D50" s="8" t="s">
        <v>10</v>
      </c>
      <c r="E50" s="11" t="str">
        <f>HYPERLINK("https://youtu.be/VfUP4dbQuSQ?t=912","channel 2")</f>
        <v>channel 2</v>
      </c>
    </row>
    <row r="51">
      <c r="A51" s="118"/>
      <c r="B51" s="8" t="s">
        <v>3776</v>
      </c>
      <c r="C51" s="33" t="s">
        <v>980</v>
      </c>
      <c r="D51" s="8" t="s">
        <v>4012</v>
      </c>
      <c r="E51" s="135" t="str">
        <f>HYPERLINK("https://youtu.be/KLBZAaRq-R0?t=1926","channel 1")</f>
        <v>channel 1</v>
      </c>
    </row>
    <row r="52">
      <c r="A52" s="118"/>
      <c r="B52" s="8" t="s">
        <v>1662</v>
      </c>
      <c r="C52" s="33" t="s">
        <v>330</v>
      </c>
      <c r="D52" s="8" t="s">
        <v>4011</v>
      </c>
      <c r="E52" s="11" t="str">
        <f>HYPERLINK("https://youtu.be/VfUP4dbQuSQ?t=1901","channel 2")</f>
        <v>channel 2</v>
      </c>
    </row>
    <row r="53">
      <c r="A53" s="118"/>
      <c r="B53" s="8" t="s">
        <v>3776</v>
      </c>
      <c r="C53" s="33" t="s">
        <v>304</v>
      </c>
      <c r="D53" s="8" t="s">
        <v>10</v>
      </c>
      <c r="E53" s="135" t="str">
        <f>HYPERLINK("https://youtu.be/KLBZAaRq-R0?t=2832","channel 1")</f>
        <v>channel 1</v>
      </c>
    </row>
    <row r="54">
      <c r="A54" s="118"/>
      <c r="B54" s="8" t="s">
        <v>4012</v>
      </c>
      <c r="C54" s="33" t="s">
        <v>1299</v>
      </c>
      <c r="D54" s="8" t="s">
        <v>4011</v>
      </c>
      <c r="E54" s="11" t="str">
        <f>HYPERLINK("https://youtu.be/VfUP4dbQuSQ?t=2875","channel 2")</f>
        <v>channel 2</v>
      </c>
    </row>
    <row r="55">
      <c r="A55" s="118"/>
      <c r="B55" s="8" t="s">
        <v>3776</v>
      </c>
      <c r="C55" s="33" t="s">
        <v>14</v>
      </c>
      <c r="D55" s="8" t="s">
        <v>1662</v>
      </c>
      <c r="E55" s="135" t="str">
        <f>HYPERLINK("https://youtu.be/KLBZAaRq-R0?t=3806","channel 1")</f>
        <v>channel 1</v>
      </c>
    </row>
    <row r="56">
      <c r="A56" s="118"/>
      <c r="B56" s="8" t="s">
        <v>4012</v>
      </c>
      <c r="C56" s="33" t="s">
        <v>193</v>
      </c>
      <c r="D56" s="8" t="s">
        <v>10</v>
      </c>
      <c r="E56" s="11" t="str">
        <f>HYPERLINK("https://youtu.be/VfUP4dbQuSQ?t=3795","channel 2")</f>
        <v>channel 2</v>
      </c>
    </row>
    <row r="57">
      <c r="A57" s="118"/>
      <c r="B57" s="8" t="s">
        <v>10</v>
      </c>
      <c r="C57" s="33" t="s">
        <v>797</v>
      </c>
      <c r="D57" s="8" t="s">
        <v>4011</v>
      </c>
      <c r="E57" s="135" t="str">
        <f>HYPERLINK("https://youtu.be/KLBZAaRq-R0?t=4703","channel 1")</f>
        <v>channel 1</v>
      </c>
    </row>
    <row r="58">
      <c r="A58" s="118"/>
      <c r="B58" s="8" t="s">
        <v>4012</v>
      </c>
      <c r="C58" s="33" t="s">
        <v>1622</v>
      </c>
      <c r="D58" s="8" t="s">
        <v>1662</v>
      </c>
      <c r="E58" s="11" t="str">
        <f>HYPERLINK("https://youtu.be/VfUP4dbQuSQ?t=4645","channel 2")</f>
        <v>channel 2</v>
      </c>
    </row>
    <row r="59">
      <c r="A59" s="118"/>
      <c r="B59" s="8" t="s">
        <v>4011</v>
      </c>
      <c r="C59" s="33" t="s">
        <v>815</v>
      </c>
      <c r="D59" s="8" t="s">
        <v>3776</v>
      </c>
      <c r="E59" s="135" t="str">
        <f>HYPERLINK("https://youtu.be/KLBZAaRq-R0?t=5607","channel 1")</f>
        <v>channel 1</v>
      </c>
    </row>
    <row r="60">
      <c r="A60" s="118"/>
      <c r="B60" s="8" t="s">
        <v>10</v>
      </c>
      <c r="C60" s="33" t="s">
        <v>193</v>
      </c>
      <c r="D60" s="8" t="s">
        <v>1662</v>
      </c>
      <c r="E60" s="11" t="str">
        <f>HYPERLINK("https://youtu.be/VfUP4dbQuSQ?t=5720","channel 2")</f>
        <v>channel 2</v>
      </c>
    </row>
    <row r="61">
      <c r="A61" s="118"/>
      <c r="B61" s="8" t="s">
        <v>4012</v>
      </c>
      <c r="C61" s="33" t="s">
        <v>35</v>
      </c>
      <c r="D61" s="8" t="s">
        <v>3776</v>
      </c>
      <c r="E61" s="135" t="str">
        <f>HYPERLINK("https://youtu.be/KLBZAaRq-R0?t=6510","channel 1")</f>
        <v>channel 1</v>
      </c>
    </row>
    <row r="62">
      <c r="A62" s="118"/>
      <c r="B62" s="8" t="s">
        <v>4011</v>
      </c>
      <c r="C62" s="35" t="s">
        <v>276</v>
      </c>
      <c r="D62" s="8" t="s">
        <v>1662</v>
      </c>
      <c r="E62" s="11" t="str">
        <f>HYPERLINK("https://youtu.be/VfUP4dbQuSQ?t=6609","channel 2")</f>
        <v>channel 2</v>
      </c>
    </row>
    <row r="63">
      <c r="A63" s="118"/>
      <c r="B63" s="8" t="s">
        <v>10</v>
      </c>
      <c r="C63" s="33" t="s">
        <v>17</v>
      </c>
      <c r="D63" s="8" t="s">
        <v>3776</v>
      </c>
      <c r="E63" s="135" t="str">
        <f>HYPERLINK("https://youtu.be/KLBZAaRq-R0?t=7410","channel 1")</f>
        <v>channel 1</v>
      </c>
    </row>
    <row r="64">
      <c r="A64" s="118"/>
      <c r="B64" s="8" t="s">
        <v>4011</v>
      </c>
      <c r="C64" s="33" t="s">
        <v>231</v>
      </c>
      <c r="D64" s="8" t="s">
        <v>4012</v>
      </c>
      <c r="E64" s="11" t="str">
        <f>HYPERLINK("https://youtu.be/VfUP4dbQuSQ?t=7544","channel 2")</f>
        <v>channel 2</v>
      </c>
    </row>
    <row r="65">
      <c r="A65" s="118"/>
      <c r="B65" s="8" t="s">
        <v>1662</v>
      </c>
      <c r="C65" s="33" t="s">
        <v>21</v>
      </c>
      <c r="D65" s="8" t="s">
        <v>3776</v>
      </c>
      <c r="E65" s="135" t="str">
        <f>HYPERLINK("https://youtu.be/KLBZAaRq-R0?t=8274","channel 1")</f>
        <v>channel 1</v>
      </c>
    </row>
    <row r="66">
      <c r="A66" s="118"/>
      <c r="B66" s="8" t="s">
        <v>10</v>
      </c>
      <c r="C66" s="33" t="s">
        <v>78</v>
      </c>
      <c r="D66" s="8" t="s">
        <v>4012</v>
      </c>
      <c r="E66" s="11" t="str">
        <f>HYPERLINK("https://youtu.be/VfUP4dbQuSQ?t=8456","channel 2")</f>
        <v>channel 2</v>
      </c>
    </row>
    <row r="67">
      <c r="A67" s="118"/>
      <c r="B67" s="137" t="s">
        <v>1685</v>
      </c>
      <c r="C67" s="2"/>
      <c r="D67" s="3"/>
      <c r="E67" s="138"/>
    </row>
    <row r="68">
      <c r="A68" s="118"/>
      <c r="B68" s="35" t="s">
        <v>2</v>
      </c>
      <c r="C68" s="35" t="s">
        <v>3</v>
      </c>
      <c r="D68" s="35" t="s">
        <v>4</v>
      </c>
      <c r="E68" s="16" t="s">
        <v>5</v>
      </c>
    </row>
    <row r="69">
      <c r="A69" s="118"/>
      <c r="B69" s="8" t="s">
        <v>4013</v>
      </c>
      <c r="C69" s="33" t="s">
        <v>43</v>
      </c>
      <c r="D69" s="8" t="s">
        <v>4014</v>
      </c>
      <c r="E69" s="135" t="str">
        <f>HYPERLINK("https://youtu.be/DbAN68aHcwY","channel 1")</f>
        <v>channel 1</v>
      </c>
    </row>
    <row r="70">
      <c r="A70" s="118"/>
      <c r="B70" s="8" t="s">
        <v>4015</v>
      </c>
      <c r="C70" s="33" t="s">
        <v>48</v>
      </c>
      <c r="D70" s="8" t="s">
        <v>4016</v>
      </c>
      <c r="E70" s="11" t="str">
        <f>HYPERLINK("https://youtu.be/eThnN-Le3s0","channel 2")</f>
        <v>channel 2</v>
      </c>
    </row>
    <row r="71">
      <c r="A71" s="118"/>
      <c r="B71" s="8" t="s">
        <v>4017</v>
      </c>
      <c r="C71" s="33" t="s">
        <v>875</v>
      </c>
      <c r="D71" s="8" t="s">
        <v>4013</v>
      </c>
      <c r="E71" s="135" t="str">
        <f>HYPERLINK("https://youtu.be/DbAN68aHcwY?t=983","channel 1")</f>
        <v>channel 1</v>
      </c>
    </row>
    <row r="72">
      <c r="A72" s="118"/>
      <c r="B72" s="8" t="s">
        <v>4015</v>
      </c>
      <c r="C72" s="33" t="s">
        <v>251</v>
      </c>
      <c r="D72" s="8" t="s">
        <v>4014</v>
      </c>
      <c r="E72" s="11" t="str">
        <f>HYPERLINK("https://youtu.be/eThnN-Le3s0?t=917","channel 2")</f>
        <v>channel 2</v>
      </c>
    </row>
    <row r="73">
      <c r="A73" s="118"/>
      <c r="B73" s="8" t="s">
        <v>4017</v>
      </c>
      <c r="C73" s="33" t="s">
        <v>11</v>
      </c>
      <c r="D73" s="8" t="s">
        <v>4016</v>
      </c>
      <c r="E73" s="135" t="str">
        <f>HYPERLINK("https://youtu.be/DbAN68aHcwY?t=2002","channel 1")</f>
        <v>channel 1</v>
      </c>
    </row>
    <row r="74">
      <c r="A74" s="118"/>
      <c r="B74" s="8" t="s">
        <v>4015</v>
      </c>
      <c r="C74" s="33" t="s">
        <v>41</v>
      </c>
      <c r="D74" s="8" t="s">
        <v>4013</v>
      </c>
      <c r="E74" s="11" t="str">
        <f>HYPERLINK("https://youtu.be/eThnN-Le3s0?t=1989","channel 2")</f>
        <v>channel 2</v>
      </c>
    </row>
    <row r="75">
      <c r="A75" s="118"/>
      <c r="B75" s="8" t="s">
        <v>4017</v>
      </c>
      <c r="C75" s="33" t="s">
        <v>20</v>
      </c>
      <c r="D75" s="8" t="s">
        <v>4014</v>
      </c>
      <c r="E75" s="135" t="str">
        <f>HYPERLINK("https://youtu.be/DbAN68aHcwY?t=2958","channel 1")</f>
        <v>channel 1</v>
      </c>
    </row>
    <row r="76">
      <c r="A76" s="118"/>
      <c r="B76" s="8" t="s">
        <v>4016</v>
      </c>
      <c r="C76" s="33" t="s">
        <v>426</v>
      </c>
      <c r="D76" s="8" t="s">
        <v>4013</v>
      </c>
      <c r="E76" s="11" t="str">
        <f>HYPERLINK("https://youtu.be/eThnN-Le3s0?t=2971","channel 2")</f>
        <v>channel 2</v>
      </c>
    </row>
    <row r="77">
      <c r="A77" s="118"/>
      <c r="B77" s="8" t="s">
        <v>4017</v>
      </c>
      <c r="C77" s="33" t="s">
        <v>412</v>
      </c>
      <c r="D77" s="8" t="s">
        <v>4015</v>
      </c>
      <c r="E77" s="135" t="str">
        <f>HYPERLINK("https://youtu.be/DbAN68aHcwY?t=3861","channel 1")</f>
        <v>channel 1</v>
      </c>
    </row>
    <row r="78">
      <c r="A78" s="118"/>
      <c r="B78" s="8" t="s">
        <v>4016</v>
      </c>
      <c r="C78" s="33" t="s">
        <v>297</v>
      </c>
      <c r="D78" s="8" t="s">
        <v>4014</v>
      </c>
      <c r="E78" s="11" t="str">
        <f>HYPERLINK("https://youtu.be/eThnN-Le3s0?t=3807","channel 2")</f>
        <v>channel 2</v>
      </c>
    </row>
    <row r="79">
      <c r="A79" s="118"/>
      <c r="B79" s="8" t="s">
        <v>4014</v>
      </c>
      <c r="C79" s="33" t="s">
        <v>545</v>
      </c>
      <c r="D79" s="8" t="s">
        <v>4013</v>
      </c>
      <c r="E79" s="135" t="str">
        <f>HYPERLINK("https://youtu.be/DbAN68aHcwY?t=4748","channel 1")</f>
        <v>channel 1</v>
      </c>
    </row>
    <row r="80">
      <c r="A80" s="118"/>
      <c r="B80" s="8" t="s">
        <v>4016</v>
      </c>
      <c r="C80" s="33" t="s">
        <v>4018</v>
      </c>
      <c r="D80" s="8" t="s">
        <v>4015</v>
      </c>
      <c r="E80" s="11" t="str">
        <f>HYPERLINK("https://youtu.be/eThnN-Le3s0?t=4761","channel 2")</f>
        <v>channel 2</v>
      </c>
    </row>
    <row r="81">
      <c r="A81" s="118"/>
      <c r="B81" s="8" t="s">
        <v>4013</v>
      </c>
      <c r="C81" s="33" t="s">
        <v>297</v>
      </c>
      <c r="D81" s="8" t="s">
        <v>4017</v>
      </c>
      <c r="E81" s="135" t="str">
        <f>HYPERLINK("https://youtu.be/DbAN68aHcwY?t=5701","channel 1")</f>
        <v>channel 1</v>
      </c>
    </row>
    <row r="82">
      <c r="A82" s="118"/>
      <c r="B82" s="8" t="s">
        <v>4014</v>
      </c>
      <c r="C82" s="33" t="s">
        <v>25</v>
      </c>
      <c r="D82" s="8" t="s">
        <v>4015</v>
      </c>
      <c r="E82" s="11" t="str">
        <f>HYPERLINK("https://youtu.be/eThnN-Le3s0?t=5706","channel 2")</f>
        <v>channel 2</v>
      </c>
    </row>
    <row r="83">
      <c r="A83" s="118"/>
      <c r="B83" s="8" t="s">
        <v>4016</v>
      </c>
      <c r="C83" s="33" t="s">
        <v>416</v>
      </c>
      <c r="D83" s="8" t="s">
        <v>4017</v>
      </c>
      <c r="E83" s="135" t="str">
        <f>HYPERLINK("https://youtu.be/DbAN68aHcwY?t=6655","channel 1")</f>
        <v>channel 1</v>
      </c>
    </row>
    <row r="84">
      <c r="A84" s="118"/>
      <c r="B84" s="8" t="s">
        <v>4013</v>
      </c>
      <c r="C84" s="33" t="s">
        <v>4019</v>
      </c>
      <c r="D84" s="8" t="s">
        <v>4015</v>
      </c>
      <c r="E84" s="11" t="str">
        <f>HYPERLINK("https://youtu.be/eThnN-Le3s0?t=6696","channel 2")</f>
        <v>channel 2</v>
      </c>
    </row>
    <row r="85">
      <c r="A85" s="118"/>
      <c r="B85" s="8" t="s">
        <v>4014</v>
      </c>
      <c r="C85" s="33" t="s">
        <v>49</v>
      </c>
      <c r="D85" s="8" t="s">
        <v>4017</v>
      </c>
      <c r="E85" s="135" t="str">
        <f>HYPERLINK("https://youtu.be/DbAN68aHcwY?t=7585","channel 1")</f>
        <v>channel 1</v>
      </c>
    </row>
    <row r="86">
      <c r="A86" s="118"/>
      <c r="B86" s="8" t="s">
        <v>4013</v>
      </c>
      <c r="C86" s="33" t="s">
        <v>240</v>
      </c>
      <c r="D86" s="8" t="s">
        <v>4016</v>
      </c>
      <c r="E86" s="11" t="str">
        <f>HYPERLINK("https://youtu.be/eThnN-Le3s0?t=7668","channel 2")</f>
        <v>channel 2</v>
      </c>
    </row>
    <row r="87">
      <c r="A87" s="118"/>
      <c r="B87" s="8" t="s">
        <v>4015</v>
      </c>
      <c r="C87" s="33" t="s">
        <v>479</v>
      </c>
      <c r="D87" s="8" t="s">
        <v>4017</v>
      </c>
      <c r="E87" s="135" t="str">
        <f>HYPERLINK("https://youtu.be/DbAN68aHcwY?t=8523","channel 1")</f>
        <v>channel 1</v>
      </c>
    </row>
    <row r="88">
      <c r="A88" s="122"/>
      <c r="B88" s="8" t="s">
        <v>4014</v>
      </c>
      <c r="C88" s="33" t="s">
        <v>1284</v>
      </c>
      <c r="D88" s="8" t="s">
        <v>4016</v>
      </c>
      <c r="E88" s="11" t="str">
        <f>HYPERLINK("https://youtu.be/eThnN-Le3s0?t=8604","channel 2")</f>
        <v>channel 2</v>
      </c>
    </row>
    <row r="89">
      <c r="B89" s="72" t="s">
        <v>2661</v>
      </c>
      <c r="C89" s="2"/>
      <c r="D89" s="3"/>
      <c r="E89" s="138"/>
    </row>
    <row r="90">
      <c r="B90" s="35" t="s">
        <v>2</v>
      </c>
      <c r="C90" s="35" t="s">
        <v>3</v>
      </c>
      <c r="D90" s="35" t="s">
        <v>4</v>
      </c>
      <c r="E90" s="16" t="s">
        <v>5</v>
      </c>
    </row>
    <row r="91">
      <c r="B91" s="8" t="s">
        <v>3102</v>
      </c>
      <c r="C91" s="33" t="s">
        <v>270</v>
      </c>
      <c r="D91" s="8" t="s">
        <v>1785</v>
      </c>
      <c r="E91" s="135" t="str">
        <f>HYPERLINK("https://youtu.be/0AOkDJjKab4","channel 1")</f>
        <v>channel 1</v>
      </c>
    </row>
    <row r="92">
      <c r="B92" s="8" t="s">
        <v>1837</v>
      </c>
      <c r="C92" s="33" t="s">
        <v>446</v>
      </c>
      <c r="D92" s="8" t="s">
        <v>1807</v>
      </c>
      <c r="E92" s="11" t="str">
        <f>HYPERLINK("https://youtu.be/Phg1F8Z_YAg","channel 2")</f>
        <v>channel 2</v>
      </c>
    </row>
    <row r="93">
      <c r="B93" s="8" t="s">
        <v>1571</v>
      </c>
      <c r="C93" s="33" t="s">
        <v>67</v>
      </c>
      <c r="D93" s="8" t="s">
        <v>3102</v>
      </c>
      <c r="E93" s="135" t="str">
        <f>HYPERLINK("https://youtu.be/0AOkDJjKab4?t=900","channel 1")</f>
        <v>channel 1</v>
      </c>
    </row>
    <row r="94">
      <c r="B94" s="8" t="s">
        <v>1837</v>
      </c>
      <c r="C94" s="33" t="s">
        <v>68</v>
      </c>
      <c r="D94" s="8" t="s">
        <v>1785</v>
      </c>
      <c r="E94" s="11" t="str">
        <f>HYPERLINK("https://youtu.be/Phg1F8Z_YAg?t=911","channel 2")</f>
        <v>channel 2</v>
      </c>
    </row>
    <row r="95">
      <c r="B95" s="8" t="s">
        <v>1571</v>
      </c>
      <c r="C95" s="33" t="s">
        <v>4020</v>
      </c>
      <c r="D95" s="8" t="s">
        <v>1807</v>
      </c>
      <c r="E95" s="135" t="str">
        <f>HYPERLINK("https://youtu.be/0AOkDJjKab4?t=1790","channel 1")</f>
        <v>channel 1</v>
      </c>
    </row>
    <row r="96">
      <c r="B96" s="8" t="s">
        <v>1837</v>
      </c>
      <c r="C96" s="33" t="s">
        <v>365</v>
      </c>
      <c r="D96" s="8" t="s">
        <v>3102</v>
      </c>
      <c r="E96" s="11" t="str">
        <f>HYPERLINK("https://youtu.be/Phg1F8Z_YAg?t=1752","channel 2")</f>
        <v>channel 2</v>
      </c>
    </row>
    <row r="97">
      <c r="B97" s="8" t="s">
        <v>1571</v>
      </c>
      <c r="C97" s="33" t="s">
        <v>196</v>
      </c>
      <c r="D97" s="8" t="s">
        <v>1785</v>
      </c>
      <c r="E97" s="135" t="str">
        <f>HYPERLINK("https://youtu.be/0AOkDJjKab4?t=2723","channel 1")</f>
        <v>channel 1</v>
      </c>
    </row>
    <row r="98">
      <c r="B98" s="8" t="s">
        <v>1807</v>
      </c>
      <c r="C98" s="33" t="s">
        <v>294</v>
      </c>
      <c r="D98" s="8" t="s">
        <v>3102</v>
      </c>
      <c r="E98" s="11" t="str">
        <f>HYPERLINK("https://youtu.be/Phg1F8Z_YAg?t=3574","channel 2")</f>
        <v>channel 2</v>
      </c>
    </row>
    <row r="99">
      <c r="B99" s="8" t="s">
        <v>1571</v>
      </c>
      <c r="C99" s="33" t="s">
        <v>18</v>
      </c>
      <c r="D99" s="8" t="s">
        <v>1837</v>
      </c>
      <c r="E99" s="135" t="str">
        <f>HYPERLINK("https://youtu.be/0AOkDJjKab4?t=3720","channel 1")</f>
        <v>channel 1</v>
      </c>
    </row>
    <row r="100">
      <c r="B100" s="8" t="s">
        <v>1807</v>
      </c>
      <c r="C100" s="33" t="s">
        <v>270</v>
      </c>
      <c r="D100" s="8" t="s">
        <v>1785</v>
      </c>
      <c r="E100" s="11" t="str">
        <f>HYPERLINK("https://youtu.be/Phg1F8Z_YAg?t=2654","channel 2")</f>
        <v>channel 2</v>
      </c>
    </row>
    <row r="101">
      <c r="B101" s="8" t="s">
        <v>1785</v>
      </c>
      <c r="C101" s="33" t="s">
        <v>22</v>
      </c>
      <c r="D101" s="8" t="s">
        <v>3102</v>
      </c>
      <c r="E101" s="135" t="str">
        <f>HYPERLINK("https://youtu.be/0AOkDJjKab4?t=4610","channel 1")</f>
        <v>channel 1</v>
      </c>
    </row>
    <row r="102">
      <c r="B102" s="8" t="s">
        <v>1807</v>
      </c>
      <c r="C102" s="33" t="s">
        <v>190</v>
      </c>
      <c r="D102" s="8" t="s">
        <v>1837</v>
      </c>
      <c r="E102" s="11" t="str">
        <f>HYPERLINK("https://youtu.be/Phg1F8Z_YAg?t=4582","channel 2")</f>
        <v>channel 2</v>
      </c>
    </row>
    <row r="103">
      <c r="B103" s="8" t="s">
        <v>3102</v>
      </c>
      <c r="C103" s="33" t="s">
        <v>7</v>
      </c>
      <c r="D103" s="8" t="s">
        <v>1571</v>
      </c>
      <c r="E103" s="135" t="str">
        <f>HYPERLINK("https://youtu.be/0AOkDJjKab4?t=4610","channel 1")</f>
        <v>channel 1</v>
      </c>
    </row>
    <row r="104">
      <c r="B104" s="8" t="s">
        <v>1785</v>
      </c>
      <c r="C104" s="33" t="s">
        <v>22</v>
      </c>
      <c r="D104" s="8" t="s">
        <v>1837</v>
      </c>
      <c r="E104" s="11" t="str">
        <f>HYPERLINK("https://youtu.be/Phg1F8Z_YAg?t=5528","channel 2")</f>
        <v>channel 2</v>
      </c>
    </row>
    <row r="105">
      <c r="B105" s="8" t="s">
        <v>1807</v>
      </c>
      <c r="C105" s="33" t="s">
        <v>201</v>
      </c>
      <c r="D105" s="8" t="s">
        <v>1571</v>
      </c>
      <c r="E105" s="135" t="str">
        <f>HYPERLINK("https://youtu.be/0AOkDJjKab4?t=6445","channel 1")</f>
        <v>channel 1</v>
      </c>
    </row>
    <row r="106">
      <c r="B106" s="8" t="s">
        <v>3102</v>
      </c>
      <c r="C106" s="33" t="s">
        <v>318</v>
      </c>
      <c r="D106" s="8" t="s">
        <v>1837</v>
      </c>
      <c r="E106" s="11" t="str">
        <f>HYPERLINK("https://youtu.be/Phg1F8Z_YAg?t=6396","channel 2")</f>
        <v>channel 2</v>
      </c>
    </row>
    <row r="107">
      <c r="B107" s="8" t="s">
        <v>1785</v>
      </c>
      <c r="C107" s="33" t="s">
        <v>17</v>
      </c>
      <c r="D107" s="8" t="s">
        <v>1571</v>
      </c>
      <c r="E107" s="135" t="str">
        <f>HYPERLINK("https://youtu.be/0AOkDJjKab4?t=7306","channel 1")</f>
        <v>channel 1</v>
      </c>
    </row>
    <row r="108">
      <c r="B108" s="8" t="s">
        <v>3102</v>
      </c>
      <c r="C108" s="33" t="s">
        <v>81</v>
      </c>
      <c r="D108" s="8" t="s">
        <v>1807</v>
      </c>
      <c r="E108" s="11" t="str">
        <f>HYPERLINK("https://youtu.be/Phg1F8Z_YAg?t=7246","channel 2")</f>
        <v>channel 2</v>
      </c>
    </row>
    <row r="109">
      <c r="B109" s="8" t="s">
        <v>1837</v>
      </c>
      <c r="C109" s="33" t="s">
        <v>331</v>
      </c>
      <c r="D109" s="8" t="s">
        <v>1571</v>
      </c>
      <c r="E109" s="135" t="str">
        <f>HYPERLINK("https://youtu.be/0AOkDJjKab4?t=8234","channel 1")</f>
        <v>channel 1</v>
      </c>
    </row>
    <row r="110">
      <c r="B110" s="8" t="s">
        <v>1785</v>
      </c>
      <c r="C110" s="33" t="s">
        <v>218</v>
      </c>
      <c r="D110" s="8" t="s">
        <v>1807</v>
      </c>
      <c r="E110" s="11" t="str">
        <f>HYPERLINK("https://youtu.be/Phg1F8Z_YAg?t=8087","channel 2")</f>
        <v>channel 2</v>
      </c>
    </row>
    <row r="111">
      <c r="B111" s="72" t="s">
        <v>2272</v>
      </c>
      <c r="C111" s="2"/>
      <c r="D111" s="3"/>
      <c r="E111" s="138"/>
    </row>
    <row r="112">
      <c r="B112" s="35" t="s">
        <v>2</v>
      </c>
      <c r="C112" s="35" t="s">
        <v>3</v>
      </c>
      <c r="D112" s="35" t="s">
        <v>4</v>
      </c>
      <c r="E112" s="16" t="s">
        <v>5</v>
      </c>
    </row>
    <row r="113">
      <c r="B113" s="8" t="s">
        <v>4021</v>
      </c>
      <c r="C113" s="33" t="s">
        <v>20</v>
      </c>
      <c r="D113" s="8" t="s">
        <v>4022</v>
      </c>
      <c r="E113" s="135" t="str">
        <f>HYPERLINK("https://youtu.be/AyeDyy_N3jk","channel 1")</f>
        <v>channel 1</v>
      </c>
    </row>
    <row r="114">
      <c r="B114" s="8" t="s">
        <v>2411</v>
      </c>
      <c r="C114" s="33" t="s">
        <v>55</v>
      </c>
      <c r="D114" s="8" t="s">
        <v>1507</v>
      </c>
      <c r="E114" s="11" t="str">
        <f>HYPERLINK("https://youtu.be/Elp51rkQ8SA","channel 2")</f>
        <v>channel 2</v>
      </c>
    </row>
    <row r="115">
      <c r="B115" s="8" t="s">
        <v>4023</v>
      </c>
      <c r="C115" s="33" t="s">
        <v>43</v>
      </c>
      <c r="D115" s="8" t="s">
        <v>4021</v>
      </c>
      <c r="E115" s="135" t="str">
        <f>HYPERLINK("https://youtu.be/AyeDyy_N3jk?t=915","channel 1")</f>
        <v>channel 1</v>
      </c>
    </row>
    <row r="116">
      <c r="B116" s="8" t="s">
        <v>2411</v>
      </c>
      <c r="C116" s="33" t="s">
        <v>270</v>
      </c>
      <c r="D116" s="8" t="s">
        <v>4022</v>
      </c>
      <c r="E116" s="11" t="str">
        <f>HYPERLINK("https://youtu.be/Elp51rkQ8SA?t=824","channel 2")</f>
        <v>channel 2</v>
      </c>
    </row>
    <row r="117">
      <c r="B117" s="8" t="s">
        <v>4023</v>
      </c>
      <c r="C117" s="33" t="s">
        <v>18</v>
      </c>
      <c r="D117" s="8" t="s">
        <v>1507</v>
      </c>
      <c r="E117" s="135" t="str">
        <f>HYPERLINK("https://youtu.be/AyeDyy_N3jk?t=1860","channel 1")</f>
        <v>channel 1</v>
      </c>
    </row>
    <row r="118">
      <c r="B118" s="8" t="s">
        <v>2411</v>
      </c>
      <c r="C118" s="33" t="s">
        <v>24</v>
      </c>
      <c r="D118" s="8" t="s">
        <v>4021</v>
      </c>
      <c r="E118" s="11" t="str">
        <f>HYPERLINK("https://youtu.be/Elp51rkQ8SA?t=1783","channel 2")</f>
        <v>channel 2</v>
      </c>
    </row>
    <row r="119">
      <c r="B119" s="8" t="s">
        <v>4023</v>
      </c>
      <c r="C119" s="33" t="s">
        <v>291</v>
      </c>
      <c r="D119" s="8" t="s">
        <v>4022</v>
      </c>
      <c r="E119" s="135" t="str">
        <f>HYPERLINK("https://youtu.be/AyeDyy_N3jk?t=2724","channel 1")</f>
        <v>channel 1</v>
      </c>
    </row>
    <row r="120">
      <c r="B120" s="8" t="s">
        <v>1507</v>
      </c>
      <c r="C120" s="33" t="s">
        <v>426</v>
      </c>
      <c r="D120" s="8" t="s">
        <v>4021</v>
      </c>
      <c r="E120" s="11" t="str">
        <f>HYPERLINK("https://youtu.be/Elp51rkQ8SA?t=2742","channel 2")</f>
        <v>channel 2</v>
      </c>
    </row>
    <row r="121">
      <c r="B121" s="8" t="s">
        <v>4023</v>
      </c>
      <c r="C121" s="33" t="s">
        <v>389</v>
      </c>
      <c r="D121" s="8" t="s">
        <v>2411</v>
      </c>
      <c r="E121" s="135" t="str">
        <f>HYPERLINK("https://youtu.be/AyeDyy_N3jk?t=3689","channel 1")</f>
        <v>channel 1</v>
      </c>
    </row>
    <row r="122">
      <c r="B122" s="8" t="s">
        <v>1507</v>
      </c>
      <c r="C122" s="33" t="s">
        <v>17</v>
      </c>
      <c r="D122" s="8" t="s">
        <v>4022</v>
      </c>
      <c r="E122" s="11" t="str">
        <f>HYPERLINK("https://youtu.be/Elp51rkQ8SA?t=3673","channel 2")</f>
        <v>channel 2</v>
      </c>
    </row>
    <row r="123">
      <c r="B123" s="8" t="s">
        <v>4022</v>
      </c>
      <c r="C123" s="33" t="s">
        <v>20</v>
      </c>
      <c r="D123" s="8" t="s">
        <v>4021</v>
      </c>
      <c r="E123" s="135" t="str">
        <f>HYPERLINK("https://youtu.be/AyeDyy_N3jk?t=4637","channel 1")</f>
        <v>channel 1</v>
      </c>
    </row>
    <row r="124">
      <c r="B124" s="8" t="s">
        <v>1507</v>
      </c>
      <c r="C124" s="33" t="s">
        <v>579</v>
      </c>
      <c r="D124" s="8" t="s">
        <v>2411</v>
      </c>
      <c r="E124" s="11" t="str">
        <f>HYPERLINK("https://youtu.be/Elp51rkQ8SA?t=4686","channel 2")</f>
        <v>channel 2</v>
      </c>
    </row>
    <row r="125">
      <c r="B125" s="8" t="s">
        <v>4021</v>
      </c>
      <c r="C125" s="33" t="s">
        <v>195</v>
      </c>
      <c r="D125" s="8" t="s">
        <v>4023</v>
      </c>
      <c r="E125" s="135" t="str">
        <f>HYPERLINK("https://youtu.be/AyeDyy_N3jk?t=5652","channel 1")</f>
        <v>channel 1</v>
      </c>
    </row>
    <row r="126">
      <c r="B126" s="8" t="s">
        <v>4022</v>
      </c>
      <c r="C126" s="33" t="s">
        <v>81</v>
      </c>
      <c r="D126" s="8" t="s">
        <v>2411</v>
      </c>
      <c r="E126" s="11" t="str">
        <f>HYPERLINK("https://youtu.be/Elp51rkQ8SA?t=5493","channel 2")</f>
        <v>channel 2</v>
      </c>
    </row>
    <row r="127">
      <c r="B127" s="8" t="s">
        <v>1507</v>
      </c>
      <c r="C127" s="33" t="s">
        <v>58</v>
      </c>
      <c r="D127" s="8" t="s">
        <v>4023</v>
      </c>
      <c r="E127" s="135" t="str">
        <f>HYPERLINK("https://youtu.be/AyeDyy_N3jk?t=6535","channel 1")</f>
        <v>channel 1</v>
      </c>
    </row>
    <row r="128">
      <c r="B128" s="8" t="s">
        <v>4021</v>
      </c>
      <c r="C128" s="33" t="s">
        <v>64</v>
      </c>
      <c r="D128" s="8" t="s">
        <v>2411</v>
      </c>
      <c r="E128" s="11" t="str">
        <f>HYPERLINK("https://youtu.be/Elp51rkQ8SA?t=6407","channel 2")</f>
        <v>channel 2</v>
      </c>
    </row>
    <row r="129">
      <c r="B129" s="8" t="s">
        <v>4022</v>
      </c>
      <c r="C129" s="33" t="s">
        <v>197</v>
      </c>
      <c r="D129" s="8" t="s">
        <v>4023</v>
      </c>
      <c r="E129" s="135" t="str">
        <f>HYPERLINK("https://youtu.be/AyeDyy_N3jk?t=7405","channel 1")</f>
        <v>channel 1</v>
      </c>
    </row>
    <row r="130">
      <c r="B130" s="8" t="s">
        <v>4021</v>
      </c>
      <c r="C130" s="33" t="s">
        <v>25</v>
      </c>
      <c r="D130" s="8" t="s">
        <v>1507</v>
      </c>
      <c r="E130" s="11" t="str">
        <f>HYPERLINK("https://youtu.be/Elp51rkQ8SA?t=7303","channel 2")</f>
        <v>channel 2</v>
      </c>
    </row>
    <row r="131">
      <c r="B131" s="8" t="s">
        <v>2411</v>
      </c>
      <c r="C131" s="33" t="s">
        <v>201</v>
      </c>
      <c r="D131" s="8" t="s">
        <v>4023</v>
      </c>
      <c r="E131" s="135" t="str">
        <f>HYPERLINK("https://youtu.be/AyeDyy_N3jk?t=8304","channel 1")</f>
        <v>channel 1</v>
      </c>
    </row>
    <row r="132">
      <c r="B132" s="8" t="s">
        <v>4022</v>
      </c>
      <c r="C132" s="33" t="s">
        <v>19</v>
      </c>
      <c r="D132" s="8" t="s">
        <v>1507</v>
      </c>
      <c r="E132" s="11" t="str">
        <f>HYPERLINK("https://youtu.be/Elp51rkQ8SA?t=8297","channel 2")</f>
        <v>channel 2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7"/>
      <c r="B1" s="72" t="s">
        <v>2370</v>
      </c>
      <c r="C1" s="2"/>
      <c r="D1" s="3"/>
      <c r="E1" s="134"/>
    </row>
    <row r="2">
      <c r="A2" s="118"/>
      <c r="B2" s="35" t="s">
        <v>2</v>
      </c>
      <c r="C2" s="35" t="s">
        <v>3</v>
      </c>
      <c r="D2" s="35" t="s">
        <v>4</v>
      </c>
      <c r="E2" s="6" t="s">
        <v>5</v>
      </c>
    </row>
    <row r="3">
      <c r="A3" s="118"/>
      <c r="B3" s="8" t="s">
        <v>4024</v>
      </c>
      <c r="C3" s="33" t="s">
        <v>44</v>
      </c>
      <c r="D3" s="8" t="s">
        <v>3119</v>
      </c>
      <c r="E3" s="135" t="str">
        <f>HYPERLINK("https://youtu.be/rknVKs452Xk","channel 1")</f>
        <v>channel 1</v>
      </c>
    </row>
    <row r="4">
      <c r="A4" s="118"/>
      <c r="B4" s="8" t="s">
        <v>1667</v>
      </c>
      <c r="C4" s="60" t="s">
        <v>722</v>
      </c>
      <c r="D4" s="8" t="s">
        <v>4025</v>
      </c>
      <c r="E4" s="11" t="str">
        <f>HYPERLINK("https://youtu.be/B0uWjTHWym8","channel 2")</f>
        <v>channel 2</v>
      </c>
    </row>
    <row r="5">
      <c r="A5" s="118"/>
      <c r="B5" s="81" t="s">
        <v>4026</v>
      </c>
      <c r="C5" s="33" t="s">
        <v>283</v>
      </c>
      <c r="D5" s="8" t="s">
        <v>4024</v>
      </c>
      <c r="E5" s="135" t="str">
        <f>HYPERLINK("https://youtu.be/rknVKs452Xk?t=966","channel 1")</f>
        <v>channel 1</v>
      </c>
    </row>
    <row r="6">
      <c r="A6" s="118"/>
      <c r="B6" s="8" t="s">
        <v>1667</v>
      </c>
      <c r="C6" s="33" t="s">
        <v>58</v>
      </c>
      <c r="D6" s="8" t="s">
        <v>3119</v>
      </c>
      <c r="E6" s="11" t="str">
        <f>HYPERLINK("https://youtu.be/B0uWjTHWym8?t=903","channel 2")</f>
        <v>channel 2</v>
      </c>
    </row>
    <row r="7">
      <c r="A7" s="118"/>
      <c r="B7" s="81" t="s">
        <v>4026</v>
      </c>
      <c r="C7" s="33" t="s">
        <v>72</v>
      </c>
      <c r="D7" s="8" t="s">
        <v>4025</v>
      </c>
      <c r="E7" s="135" t="str">
        <f>HYPERLINK("https://youtu.be/rknVKs452Xk?t=1975","channel 1")</f>
        <v>channel 1</v>
      </c>
    </row>
    <row r="8">
      <c r="A8" s="118"/>
      <c r="B8" s="8" t="s">
        <v>1667</v>
      </c>
      <c r="C8" s="33" t="s">
        <v>52</v>
      </c>
      <c r="D8" s="8" t="s">
        <v>4024</v>
      </c>
      <c r="E8" s="11" t="str">
        <f>HYPERLINK("https://youtu.be/B0uWjTHWym8?t=1739","channel 2")</f>
        <v>channel 2</v>
      </c>
    </row>
    <row r="9">
      <c r="A9" s="118"/>
      <c r="B9" s="81" t="s">
        <v>4026</v>
      </c>
      <c r="C9" s="33" t="s">
        <v>197</v>
      </c>
      <c r="D9" s="8" t="s">
        <v>3119</v>
      </c>
      <c r="E9" s="135" t="str">
        <f>HYPERLINK("https://youtu.be/rknVKs452Xk?t=2910","channel 1")</f>
        <v>channel 1</v>
      </c>
    </row>
    <row r="10">
      <c r="A10" s="118"/>
      <c r="B10" s="8" t="s">
        <v>4025</v>
      </c>
      <c r="C10" s="33" t="s">
        <v>259</v>
      </c>
      <c r="D10" s="8" t="s">
        <v>4024</v>
      </c>
      <c r="E10" s="11" t="str">
        <f>HYPERLINK("https://youtu.be/B0uWjTHWym8?t=2919","channel 2")</f>
        <v>channel 2</v>
      </c>
    </row>
    <row r="11">
      <c r="A11" s="118"/>
      <c r="B11" s="81" t="s">
        <v>4026</v>
      </c>
      <c r="C11" s="33" t="s">
        <v>7</v>
      </c>
      <c r="D11" s="8" t="s">
        <v>1667</v>
      </c>
      <c r="E11" s="135" t="str">
        <f>HYPERLINK("https://youtu.be/rknVKs452Xk?t=3810","channel 1")</f>
        <v>channel 1</v>
      </c>
    </row>
    <row r="12">
      <c r="A12" s="118"/>
      <c r="B12" s="8" t="s">
        <v>4025</v>
      </c>
      <c r="C12" s="33" t="s">
        <v>319</v>
      </c>
      <c r="D12" s="8" t="s">
        <v>3119</v>
      </c>
      <c r="E12" s="11" t="str">
        <f>HYPERLINK("https://youtu.be/B0uWjTHWym8?t=3896","channel 2")</f>
        <v>channel 2</v>
      </c>
    </row>
    <row r="13">
      <c r="A13" s="118"/>
      <c r="B13" s="8" t="s">
        <v>3119</v>
      </c>
      <c r="C13" s="33" t="s">
        <v>25</v>
      </c>
      <c r="D13" s="8" t="s">
        <v>4024</v>
      </c>
      <c r="E13" s="135" t="str">
        <f>HYPERLINK("https://youtu.be/rknVKs452Xk?t=4742","channel 1")</f>
        <v>channel 1</v>
      </c>
    </row>
    <row r="14">
      <c r="A14" s="118"/>
      <c r="B14" s="8" t="s">
        <v>4025</v>
      </c>
      <c r="C14" s="33" t="s">
        <v>215</v>
      </c>
      <c r="D14" s="8" t="s">
        <v>1667</v>
      </c>
      <c r="E14" s="11" t="str">
        <f>HYPERLINK("https://youtu.be/B0uWjTHWym8?t=4754","channel 2")</f>
        <v>channel 2</v>
      </c>
    </row>
    <row r="15">
      <c r="A15" s="118"/>
      <c r="B15" s="8" t="s">
        <v>4024</v>
      </c>
      <c r="C15" s="33" t="s">
        <v>4027</v>
      </c>
      <c r="D15" s="8" t="s">
        <v>4026</v>
      </c>
      <c r="E15" s="135" t="str">
        <f>HYPERLINK("https://youtu.be/rknVKs452Xk?t=5716","channel 1")</f>
        <v>channel 1</v>
      </c>
    </row>
    <row r="16">
      <c r="A16" s="118"/>
      <c r="B16" s="8" t="s">
        <v>3119</v>
      </c>
      <c r="C16" s="33" t="s">
        <v>195</v>
      </c>
      <c r="D16" s="8" t="s">
        <v>1667</v>
      </c>
      <c r="E16" s="11" t="str">
        <f>HYPERLINK("https://youtu.be/B0uWjTHWym8?t=5672","channel 2")</f>
        <v>channel 2</v>
      </c>
    </row>
    <row r="17">
      <c r="A17" s="118"/>
      <c r="B17" s="8" t="s">
        <v>4025</v>
      </c>
      <c r="C17" s="33" t="s">
        <v>215</v>
      </c>
      <c r="D17" s="81" t="s">
        <v>4026</v>
      </c>
      <c r="E17" s="135" t="str">
        <f>HYPERLINK("https://youtu.be/rknVKs452Xk?t=6666","channel 1")</f>
        <v>channel 1</v>
      </c>
    </row>
    <row r="18">
      <c r="A18" s="118"/>
      <c r="B18" s="8" t="s">
        <v>4024</v>
      </c>
      <c r="C18" s="33" t="s">
        <v>65</v>
      </c>
      <c r="D18" s="8" t="s">
        <v>1667</v>
      </c>
      <c r="E18" s="11" t="str">
        <f>HYPERLINK("https://youtu.be/B0uWjTHWym8?t=6680","channel 2")</f>
        <v>channel 2</v>
      </c>
    </row>
    <row r="19">
      <c r="A19" s="118"/>
      <c r="B19" s="8" t="s">
        <v>3119</v>
      </c>
      <c r="C19" s="33" t="s">
        <v>250</v>
      </c>
      <c r="D19" s="81" t="s">
        <v>4026</v>
      </c>
      <c r="E19" s="135" t="str">
        <f>HYPERLINK("https://youtu.be/rknVKs452Xk?t=7661","channel 1")</f>
        <v>channel 1</v>
      </c>
    </row>
    <row r="20">
      <c r="A20" s="118"/>
      <c r="B20" s="8" t="s">
        <v>4024</v>
      </c>
      <c r="C20" s="33" t="s">
        <v>1299</v>
      </c>
      <c r="D20" s="8" t="s">
        <v>4025</v>
      </c>
      <c r="E20" s="11" t="str">
        <f>HYPERLINK("https://youtu.be/B0uWjTHWym8?t=7680","channel 2")</f>
        <v>channel 2</v>
      </c>
    </row>
    <row r="21">
      <c r="A21" s="118"/>
      <c r="B21" s="8" t="s">
        <v>1667</v>
      </c>
      <c r="C21" s="33" t="s">
        <v>21</v>
      </c>
      <c r="D21" s="81" t="s">
        <v>4026</v>
      </c>
      <c r="E21" s="135" t="str">
        <f>HYPERLINK("https://youtu.be/rknVKs452Xk?t=8566","channel 1")</f>
        <v>channel 1</v>
      </c>
    </row>
    <row r="22">
      <c r="A22" s="118"/>
      <c r="B22" s="8" t="s">
        <v>3119</v>
      </c>
      <c r="C22" s="33" t="s">
        <v>27</v>
      </c>
      <c r="D22" s="8" t="s">
        <v>4025</v>
      </c>
      <c r="E22" s="11" t="str">
        <f>HYPERLINK("https://youtu.be/B0uWjTHWym8?t=8554","channel 2")</f>
        <v>channel 2</v>
      </c>
    </row>
    <row r="23">
      <c r="A23" s="118"/>
      <c r="B23" s="72" t="s">
        <v>2308</v>
      </c>
      <c r="C23" s="2"/>
      <c r="D23" s="3"/>
      <c r="E23" s="134"/>
    </row>
    <row r="24">
      <c r="A24" s="118"/>
      <c r="B24" s="35" t="s">
        <v>2</v>
      </c>
      <c r="C24" s="35" t="s">
        <v>3</v>
      </c>
      <c r="D24" s="35" t="s">
        <v>4</v>
      </c>
      <c r="E24" s="6" t="s">
        <v>5</v>
      </c>
    </row>
    <row r="25">
      <c r="A25" s="118"/>
      <c r="B25" s="8" t="s">
        <v>4028</v>
      </c>
      <c r="C25" s="33" t="s">
        <v>11</v>
      </c>
      <c r="D25" s="8" t="s">
        <v>3789</v>
      </c>
      <c r="E25" s="135" t="str">
        <f>HYPERLINK("https://youtu.be/9BekbkPEVR8","channel 1")</f>
        <v>channel 1</v>
      </c>
    </row>
    <row r="26">
      <c r="A26" s="118"/>
      <c r="B26" s="8" t="s">
        <v>94</v>
      </c>
      <c r="C26" s="33" t="s">
        <v>68</v>
      </c>
      <c r="D26" s="8" t="s">
        <v>4029</v>
      </c>
      <c r="E26" s="11" t="str">
        <f>HYPERLINK("https://youtu.be/8fqcd_ipF_0","channel 2")</f>
        <v>channel 2</v>
      </c>
    </row>
    <row r="27">
      <c r="A27" s="118"/>
      <c r="B27" s="8" t="s">
        <v>3792</v>
      </c>
      <c r="C27" s="33" t="s">
        <v>274</v>
      </c>
      <c r="D27" s="8" t="s">
        <v>4028</v>
      </c>
      <c r="E27" s="135" t="str">
        <f>HYPERLINK("https://youtu.be/9BekbkPEVR8?t=1030","channel 1")</f>
        <v>channel 1</v>
      </c>
    </row>
    <row r="28">
      <c r="A28" s="118"/>
      <c r="B28" s="8" t="s">
        <v>94</v>
      </c>
      <c r="C28" s="33" t="s">
        <v>205</v>
      </c>
      <c r="D28" s="8" t="s">
        <v>3789</v>
      </c>
      <c r="E28" s="11" t="str">
        <f>HYPERLINK("https://youtu.be/8fqcd_ipF_0?t=833","channel 2")</f>
        <v>channel 2</v>
      </c>
    </row>
    <row r="29">
      <c r="A29" s="118"/>
      <c r="B29" s="8" t="s">
        <v>3792</v>
      </c>
      <c r="C29" s="33" t="s">
        <v>62</v>
      </c>
      <c r="D29" s="8" t="s">
        <v>4029</v>
      </c>
      <c r="E29" s="135" t="str">
        <f>HYPERLINK("https://youtu.be/9BekbkPEVR8?t=1982","channel 1")</f>
        <v>channel 1</v>
      </c>
    </row>
    <row r="30">
      <c r="A30" s="118"/>
      <c r="B30" s="8" t="s">
        <v>94</v>
      </c>
      <c r="C30" s="33" t="s">
        <v>72</v>
      </c>
      <c r="D30" s="8" t="s">
        <v>4028</v>
      </c>
      <c r="E30" s="11" t="str">
        <f>HYPERLINK("https://youtu.be/8fqcd_ipF_0?t=1702","channel 2")</f>
        <v>channel 2</v>
      </c>
    </row>
    <row r="31">
      <c r="A31" s="118"/>
      <c r="B31" s="8" t="s">
        <v>3792</v>
      </c>
      <c r="C31" s="33" t="s">
        <v>21</v>
      </c>
      <c r="D31" s="8" t="s">
        <v>3789</v>
      </c>
      <c r="E31" s="135" t="str">
        <f>HYPERLINK("https://youtu.be/9BekbkPEVR8?t=2905","channel 1")</f>
        <v>channel 1</v>
      </c>
    </row>
    <row r="32">
      <c r="A32" s="118"/>
      <c r="B32" s="8" t="s">
        <v>4029</v>
      </c>
      <c r="C32" s="33" t="s">
        <v>363</v>
      </c>
      <c r="D32" s="8" t="s">
        <v>4028</v>
      </c>
      <c r="E32" s="11" t="str">
        <f>HYPERLINK("https://youtu.be/8fqcd_ipF_0?t=2847","channel 2")</f>
        <v>channel 2</v>
      </c>
    </row>
    <row r="33">
      <c r="A33" s="118"/>
      <c r="B33" s="8" t="s">
        <v>3792</v>
      </c>
      <c r="C33" s="33" t="s">
        <v>993</v>
      </c>
      <c r="D33" s="8" t="s">
        <v>94</v>
      </c>
      <c r="E33" s="135" t="str">
        <f>HYPERLINK("https://youtu.be/9BekbkPEVR8?t=3853","channel 1")</f>
        <v>channel 1</v>
      </c>
    </row>
    <row r="34">
      <c r="A34" s="118"/>
      <c r="B34" s="8" t="s">
        <v>4029</v>
      </c>
      <c r="C34" s="33" t="s">
        <v>220</v>
      </c>
      <c r="D34" s="8" t="s">
        <v>3789</v>
      </c>
      <c r="E34" s="11" t="str">
        <f>HYPERLINK("https://youtu.be/8fqcd_ipF_0?t=3775","channel 2")</f>
        <v>channel 2</v>
      </c>
    </row>
    <row r="35">
      <c r="A35" s="118"/>
      <c r="B35" s="8" t="s">
        <v>3789</v>
      </c>
      <c r="C35" s="33" t="s">
        <v>589</v>
      </c>
      <c r="D35" s="8" t="s">
        <v>4028</v>
      </c>
      <c r="E35" s="135" t="str">
        <f>HYPERLINK("https://youtu.be/9BekbkPEVR8?t=4761","channel 1")</f>
        <v>channel 1</v>
      </c>
    </row>
    <row r="36">
      <c r="A36" s="118"/>
      <c r="B36" s="8" t="s">
        <v>4029</v>
      </c>
      <c r="C36" s="37" t="s">
        <v>445</v>
      </c>
      <c r="D36" s="8" t="s">
        <v>94</v>
      </c>
      <c r="E36" s="11" t="str">
        <f>HYPERLINK("https://youtu.be/8fqcd_ipF_0?t=4623","channel 2")</f>
        <v>channel 2</v>
      </c>
    </row>
    <row r="37">
      <c r="A37" s="118"/>
      <c r="B37" s="8" t="s">
        <v>4028</v>
      </c>
      <c r="C37" s="33" t="s">
        <v>64</v>
      </c>
      <c r="D37" s="8" t="s">
        <v>3792</v>
      </c>
      <c r="E37" s="135" t="str">
        <f>HYPERLINK("https://youtu.be/9BekbkPEVR8?t=5689","channel 1")</f>
        <v>channel 1</v>
      </c>
    </row>
    <row r="38">
      <c r="A38" s="118"/>
      <c r="B38" s="8" t="s">
        <v>3789</v>
      </c>
      <c r="C38" s="33" t="s">
        <v>293</v>
      </c>
      <c r="D38" s="8" t="s">
        <v>94</v>
      </c>
      <c r="E38" s="11" t="str">
        <f>HYPERLINK("https://youtu.be/8fqcd_ipF_0?t=5492","channel 2")</f>
        <v>channel 2</v>
      </c>
    </row>
    <row r="39">
      <c r="A39" s="118"/>
      <c r="B39" s="8" t="s">
        <v>4029</v>
      </c>
      <c r="C39" s="35" t="s">
        <v>81</v>
      </c>
      <c r="D39" s="8" t="s">
        <v>3792</v>
      </c>
      <c r="E39" s="135" t="str">
        <f>HYPERLINK("https://youtu.be/9BekbkPEVR8?t=6672","channel 1")</f>
        <v>channel 1</v>
      </c>
    </row>
    <row r="40">
      <c r="A40" s="118"/>
      <c r="B40" s="8" t="s">
        <v>4028</v>
      </c>
      <c r="C40" s="33" t="s">
        <v>727</v>
      </c>
      <c r="D40" s="8" t="s">
        <v>94</v>
      </c>
      <c r="E40" s="11" t="str">
        <f>HYPERLINK("https://youtu.be/8fqcd_ipF_0?t=6478","channel 2")</f>
        <v>channel 2</v>
      </c>
    </row>
    <row r="41">
      <c r="A41" s="118"/>
      <c r="B41" s="8" t="s">
        <v>3789</v>
      </c>
      <c r="C41" s="33" t="s">
        <v>578</v>
      </c>
      <c r="D41" s="8" t="s">
        <v>3792</v>
      </c>
      <c r="E41" s="135" t="str">
        <f>HYPERLINK("https://youtu.be/9BekbkPEVR8?t=7625","channel 1")</f>
        <v>channel 1</v>
      </c>
    </row>
    <row r="42">
      <c r="A42" s="118"/>
      <c r="B42" s="8" t="s">
        <v>4028</v>
      </c>
      <c r="C42" s="33" t="s">
        <v>544</v>
      </c>
      <c r="D42" s="8" t="s">
        <v>4029</v>
      </c>
      <c r="E42" s="11" t="str">
        <f>HYPERLINK("https://youtu.be/8fqcd_ipF_0?t=7311","channel 2")</f>
        <v>channel 2</v>
      </c>
    </row>
    <row r="43">
      <c r="A43" s="118"/>
      <c r="B43" s="8" t="s">
        <v>94</v>
      </c>
      <c r="C43" s="33" t="s">
        <v>78</v>
      </c>
      <c r="D43" s="8" t="s">
        <v>3792</v>
      </c>
      <c r="E43" s="135" t="str">
        <f>HYPERLINK("https://youtu.be/9BekbkPEVR8?t=8528","channel 1")</f>
        <v>channel 1</v>
      </c>
    </row>
    <row r="44">
      <c r="A44" s="118"/>
      <c r="B44" s="8" t="s">
        <v>3789</v>
      </c>
      <c r="C44" s="33" t="s">
        <v>62</v>
      </c>
      <c r="D44" s="8" t="s">
        <v>4029</v>
      </c>
      <c r="E44" s="11" t="str">
        <f>HYPERLINK("https://youtu.be/8fqcd_ipF_0?t=8347","channel 2")</f>
        <v>channel 2</v>
      </c>
    </row>
    <row r="45">
      <c r="A45" s="118"/>
      <c r="B45" s="72" t="s">
        <v>2316</v>
      </c>
      <c r="C45" s="2"/>
      <c r="D45" s="3"/>
      <c r="E45" s="134"/>
    </row>
    <row r="46">
      <c r="A46" s="118"/>
      <c r="B46" s="35" t="s">
        <v>2</v>
      </c>
      <c r="C46" s="35" t="s">
        <v>3</v>
      </c>
      <c r="D46" s="35" t="s">
        <v>4</v>
      </c>
      <c r="E46" s="6" t="s">
        <v>5</v>
      </c>
    </row>
    <row r="47">
      <c r="A47" s="118"/>
      <c r="B47" s="8" t="s">
        <v>4030</v>
      </c>
      <c r="C47" s="33" t="s">
        <v>328</v>
      </c>
      <c r="D47" s="8" t="s">
        <v>4031</v>
      </c>
      <c r="E47" s="135" t="str">
        <f>HYPERLINK("https://youtu.be/4uxKdZh7K2g","channel 1")</f>
        <v>channel 1</v>
      </c>
    </row>
    <row r="48">
      <c r="A48" s="118"/>
      <c r="B48" s="8" t="s">
        <v>568</v>
      </c>
      <c r="C48" s="33" t="s">
        <v>19</v>
      </c>
      <c r="D48" s="8" t="s">
        <v>763</v>
      </c>
      <c r="E48" s="11" t="str">
        <f>HYPERLINK("https://youtu.be/1DXcpr1CQCk","channel 2")</f>
        <v>channel 2</v>
      </c>
    </row>
    <row r="49">
      <c r="A49" s="118"/>
      <c r="B49" s="8" t="s">
        <v>4032</v>
      </c>
      <c r="C49" s="33" t="s">
        <v>346</v>
      </c>
      <c r="D49" s="8" t="s">
        <v>4030</v>
      </c>
      <c r="E49" s="135" t="str">
        <f>HYPERLINK("https://youtu.be/4uxKdZh7K2g?t=856","channel 1")</f>
        <v>channel 1</v>
      </c>
    </row>
    <row r="50">
      <c r="A50" s="118"/>
      <c r="B50" s="8" t="s">
        <v>568</v>
      </c>
      <c r="C50" s="33" t="s">
        <v>276</v>
      </c>
      <c r="D50" s="8" t="s">
        <v>4031</v>
      </c>
      <c r="E50" s="11" t="str">
        <f>HYPERLINK("https://youtu.be/sPrSnC7YbC8?t=987","channel 2")</f>
        <v>channel 2</v>
      </c>
    </row>
    <row r="51">
      <c r="A51" s="118"/>
      <c r="B51" s="8" t="s">
        <v>4032</v>
      </c>
      <c r="C51" s="33" t="s">
        <v>219</v>
      </c>
      <c r="D51" s="8" t="s">
        <v>763</v>
      </c>
      <c r="E51" s="135" t="str">
        <f>HYPERLINK("https://youtu.be/4uxKdZh7K2g?t=1846","channel 1")</f>
        <v>channel 1</v>
      </c>
    </row>
    <row r="52">
      <c r="A52" s="118"/>
      <c r="B52" s="8" t="s">
        <v>568</v>
      </c>
      <c r="C52" s="33" t="s">
        <v>291</v>
      </c>
      <c r="D52" s="8" t="s">
        <v>4030</v>
      </c>
      <c r="E52" s="11" t="str">
        <f>HYPERLINK("https://youtu.be/sPrSnC7YbC8?t=2038","channel 2")</f>
        <v>channel 2</v>
      </c>
    </row>
    <row r="53">
      <c r="A53" s="118"/>
      <c r="B53" s="8" t="s">
        <v>4032</v>
      </c>
      <c r="C53" s="33" t="s">
        <v>69</v>
      </c>
      <c r="D53" s="8" t="s">
        <v>4031</v>
      </c>
      <c r="E53" s="135" t="str">
        <f>HYPERLINK("https://youtu.be/4uxKdZh7K2g?t=2874","channel 1")</f>
        <v>channel 1</v>
      </c>
    </row>
    <row r="54">
      <c r="A54" s="118"/>
      <c r="B54" s="8" t="s">
        <v>763</v>
      </c>
      <c r="C54" s="33" t="s">
        <v>293</v>
      </c>
      <c r="D54" s="8" t="s">
        <v>4030</v>
      </c>
      <c r="E54" s="11" t="str">
        <f>HYPERLINK("https://youtu.be/sPrSnC7YbC8?t=3059","channel 2")</f>
        <v>channel 2</v>
      </c>
    </row>
    <row r="55">
      <c r="A55" s="118"/>
      <c r="B55" s="8" t="s">
        <v>4032</v>
      </c>
      <c r="C55" s="33" t="s">
        <v>215</v>
      </c>
      <c r="D55" s="8" t="s">
        <v>568</v>
      </c>
      <c r="E55" s="135" t="str">
        <f>HYPERLINK("https://youtu.be/4uxKdZh7K2g?t=3838","channel 1")</f>
        <v>channel 1</v>
      </c>
    </row>
    <row r="56">
      <c r="A56" s="118"/>
      <c r="B56" s="8" t="s">
        <v>763</v>
      </c>
      <c r="C56" s="33" t="s">
        <v>22</v>
      </c>
      <c r="D56" s="8" t="s">
        <v>4031</v>
      </c>
      <c r="E56" s="11" t="str">
        <f>HYPERLINK("https://youtu.be/sPrSnC7YbC8?t=4003","channel 2")</f>
        <v>channel 2</v>
      </c>
    </row>
    <row r="57">
      <c r="A57" s="118"/>
      <c r="B57" s="8" t="s">
        <v>4031</v>
      </c>
      <c r="C57" s="33" t="s">
        <v>494</v>
      </c>
      <c r="D57" s="8" t="s">
        <v>4030</v>
      </c>
      <c r="E57" s="135" t="str">
        <f>HYPERLINK("https://youtu.be/4uxKdZh7K2g?t=4715","channel 1")</f>
        <v>channel 1</v>
      </c>
    </row>
    <row r="58">
      <c r="A58" s="118"/>
      <c r="B58" s="8" t="s">
        <v>763</v>
      </c>
      <c r="C58" s="33" t="s">
        <v>22</v>
      </c>
      <c r="D58" s="8" t="s">
        <v>568</v>
      </c>
      <c r="E58" s="11" t="str">
        <f>HYPERLINK("https://youtu.be/sPrSnC7YbC8?t=4868","channel 2")</f>
        <v>channel 2</v>
      </c>
    </row>
    <row r="59">
      <c r="A59" s="118"/>
      <c r="B59" s="8" t="s">
        <v>4030</v>
      </c>
      <c r="C59" s="33" t="s">
        <v>35</v>
      </c>
      <c r="D59" s="8" t="s">
        <v>4032</v>
      </c>
      <c r="E59" s="135" t="str">
        <f>HYPERLINK("https://youtu.be/4uxKdZh7K2g?t=5647","channel 1")</f>
        <v>channel 1</v>
      </c>
    </row>
    <row r="60">
      <c r="A60" s="118"/>
      <c r="B60" s="8" t="s">
        <v>4031</v>
      </c>
      <c r="C60" s="33" t="s">
        <v>47</v>
      </c>
      <c r="D60" s="8" t="s">
        <v>568</v>
      </c>
      <c r="E60" s="11" t="str">
        <f>HYPERLINK("https://youtu.be/sPrSnC7YbC8?t=5849","channel 2")</f>
        <v>channel 2</v>
      </c>
    </row>
    <row r="61">
      <c r="A61" s="118"/>
      <c r="B61" s="8" t="s">
        <v>763</v>
      </c>
      <c r="C61" s="33" t="s">
        <v>363</v>
      </c>
      <c r="D61" s="8" t="s">
        <v>4032</v>
      </c>
      <c r="E61" s="135" t="str">
        <f>HYPERLINK("https://youtu.be/4uxKdZh7K2g?t=6606","channel 1")</f>
        <v>channel 1</v>
      </c>
    </row>
    <row r="62">
      <c r="A62" s="118"/>
      <c r="B62" s="8" t="s">
        <v>4030</v>
      </c>
      <c r="C62" s="35" t="s">
        <v>201</v>
      </c>
      <c r="D62" s="8" t="s">
        <v>568</v>
      </c>
      <c r="E62" s="11" t="str">
        <f>HYPERLINK("https://youtu.be/sPrSnC7YbC8?t=6791","channel 2")</f>
        <v>channel 2</v>
      </c>
    </row>
    <row r="63">
      <c r="A63" s="118"/>
      <c r="B63" s="8" t="s">
        <v>4031</v>
      </c>
      <c r="C63" s="33" t="s">
        <v>25</v>
      </c>
      <c r="D63" s="8" t="s">
        <v>4032</v>
      </c>
      <c r="E63" s="135" t="str">
        <f>HYPERLINK("https://youtu.be/4uxKdZh7K2g?t=7511","channel 1")</f>
        <v>channel 1</v>
      </c>
    </row>
    <row r="64">
      <c r="A64" s="118"/>
      <c r="B64" s="8" t="s">
        <v>4030</v>
      </c>
      <c r="C64" s="33" t="s">
        <v>19</v>
      </c>
      <c r="D64" s="8" t="s">
        <v>763</v>
      </c>
      <c r="E64" s="11" t="str">
        <f>HYPERLINK("https://youtu.be/sPrSnC7YbC8?t=7732","channel 2")</f>
        <v>channel 2</v>
      </c>
    </row>
    <row r="65">
      <c r="A65" s="118"/>
      <c r="B65" s="8" t="s">
        <v>568</v>
      </c>
      <c r="C65" s="33" t="s">
        <v>16</v>
      </c>
      <c r="D65" s="8" t="s">
        <v>4032</v>
      </c>
      <c r="E65" s="135" t="str">
        <f>HYPERLINK("https://youtu.be/4uxKdZh7K2g?t=8396","channel 1")</f>
        <v>channel 1</v>
      </c>
    </row>
    <row r="66">
      <c r="A66" s="118"/>
      <c r="B66" s="8" t="s">
        <v>4031</v>
      </c>
      <c r="C66" s="33" t="s">
        <v>579</v>
      </c>
      <c r="D66" s="8" t="s">
        <v>763</v>
      </c>
      <c r="E66" s="11" t="str">
        <f>HYPERLINK("https://youtu.be/sPrSnC7YbC8?t=8617","channel 2")</f>
        <v>channel 2</v>
      </c>
    </row>
    <row r="67">
      <c r="A67" s="118"/>
      <c r="B67" s="137" t="s">
        <v>2923</v>
      </c>
      <c r="C67" s="2"/>
      <c r="D67" s="3"/>
      <c r="E67" s="138"/>
    </row>
    <row r="68">
      <c r="A68" s="118"/>
      <c r="B68" s="35" t="s">
        <v>2</v>
      </c>
      <c r="C68" s="35" t="s">
        <v>3</v>
      </c>
      <c r="D68" s="35" t="s">
        <v>4</v>
      </c>
      <c r="E68" s="16" t="s">
        <v>5</v>
      </c>
    </row>
    <row r="69">
      <c r="A69" s="118"/>
      <c r="B69" s="8" t="s">
        <v>4033</v>
      </c>
      <c r="C69" s="33" t="s">
        <v>328</v>
      </c>
      <c r="D69" s="8" t="s">
        <v>3764</v>
      </c>
      <c r="E69" s="135" t="str">
        <f>HYPERLINK("https://youtu.be/DH_yUJgDvJQ","channel 1")</f>
        <v>channel 1</v>
      </c>
    </row>
    <row r="70">
      <c r="A70" s="118"/>
      <c r="B70" s="8" t="s">
        <v>4034</v>
      </c>
      <c r="C70" s="33" t="s">
        <v>201</v>
      </c>
      <c r="D70" s="8" t="s">
        <v>3337</v>
      </c>
      <c r="E70" s="11" t="str">
        <f>HYPERLINK("https://youtu.be/6uAe1V861TQ","channel 2")</f>
        <v>channel 2</v>
      </c>
    </row>
    <row r="71">
      <c r="A71" s="118"/>
      <c r="B71" s="8" t="s">
        <v>3766</v>
      </c>
      <c r="C71" s="33" t="s">
        <v>285</v>
      </c>
      <c r="D71" s="8" t="s">
        <v>4033</v>
      </c>
      <c r="E71" s="135" t="str">
        <f>HYPERLINK("https://youtu.be/DH_yUJgDvJQ?t=915","channel 1")</f>
        <v>channel 1</v>
      </c>
    </row>
    <row r="72">
      <c r="A72" s="118"/>
      <c r="B72" s="8" t="s">
        <v>4034</v>
      </c>
      <c r="C72" s="33" t="s">
        <v>286</v>
      </c>
      <c r="D72" s="8" t="s">
        <v>3764</v>
      </c>
      <c r="E72" s="11" t="str">
        <f>HYPERLINK("https://youtu.be/6uAe1V861TQ?t=924","channel 2")</f>
        <v>channel 2</v>
      </c>
    </row>
    <row r="73">
      <c r="A73" s="118"/>
      <c r="B73" s="8" t="s">
        <v>3766</v>
      </c>
      <c r="C73" s="33" t="s">
        <v>338</v>
      </c>
      <c r="D73" s="8" t="s">
        <v>3337</v>
      </c>
      <c r="E73" s="135" t="str">
        <f>HYPERLINK("https://youtu.be/DH_yUJgDvJQ?t=1800","channel 1")</f>
        <v>channel 1</v>
      </c>
    </row>
    <row r="74">
      <c r="A74" s="118"/>
      <c r="B74" s="8" t="s">
        <v>4034</v>
      </c>
      <c r="C74" s="33" t="s">
        <v>11</v>
      </c>
      <c r="D74" s="8" t="s">
        <v>4033</v>
      </c>
      <c r="E74" s="11" t="str">
        <f>HYPERLINK("https://youtu.be/6uAe1V861TQ?t=1890","channel 2")</f>
        <v>channel 2</v>
      </c>
    </row>
    <row r="75">
      <c r="A75" s="118"/>
      <c r="B75" s="8" t="s">
        <v>3766</v>
      </c>
      <c r="C75" s="33" t="s">
        <v>390</v>
      </c>
      <c r="D75" s="8" t="s">
        <v>3764</v>
      </c>
      <c r="E75" s="135" t="str">
        <f>HYPERLINK("https://youtu.be/DH_yUJgDvJQ?t=2682","channel 1")</f>
        <v>channel 1</v>
      </c>
    </row>
    <row r="76">
      <c r="A76" s="118"/>
      <c r="B76" s="8" t="s">
        <v>3337</v>
      </c>
      <c r="C76" s="33" t="s">
        <v>194</v>
      </c>
      <c r="D76" s="8" t="s">
        <v>4033</v>
      </c>
      <c r="E76" s="11" t="str">
        <f>HYPERLINK("https://youtu.be/6uAe1V861TQ?t=2808","channel 2")</f>
        <v>channel 2</v>
      </c>
    </row>
    <row r="77">
      <c r="A77" s="118"/>
      <c r="B77" s="8" t="s">
        <v>3766</v>
      </c>
      <c r="C77" s="33" t="s">
        <v>286</v>
      </c>
      <c r="D77" s="8" t="s">
        <v>4034</v>
      </c>
      <c r="E77" s="135" t="str">
        <f>HYPERLINK("https://youtu.be/DH_yUJgDvJQ?t=3601","channel 1")</f>
        <v>channel 1</v>
      </c>
    </row>
    <row r="78">
      <c r="A78" s="118"/>
      <c r="B78" s="8" t="s">
        <v>3337</v>
      </c>
      <c r="C78" s="33" t="s">
        <v>20</v>
      </c>
      <c r="D78" s="8" t="s">
        <v>3764</v>
      </c>
      <c r="E78" s="11" t="str">
        <f>HYPERLINK("https://youtu.be/6uAe1V861TQ?t=3708","channel 2")</f>
        <v>channel 2</v>
      </c>
    </row>
    <row r="79">
      <c r="A79" s="118"/>
      <c r="B79" s="8" t="s">
        <v>3764</v>
      </c>
      <c r="C79" s="33" t="s">
        <v>1496</v>
      </c>
      <c r="D79" s="8" t="s">
        <v>4033</v>
      </c>
      <c r="E79" s="135" t="str">
        <f>HYPERLINK("https://youtu.be/DH_yUJgDvJQ?t=4515","channel 1")</f>
        <v>channel 1</v>
      </c>
    </row>
    <row r="80">
      <c r="A80" s="118"/>
      <c r="B80" s="8" t="s">
        <v>3337</v>
      </c>
      <c r="C80" s="33" t="s">
        <v>260</v>
      </c>
      <c r="D80" s="8" t="s">
        <v>4034</v>
      </c>
      <c r="E80" s="11" t="str">
        <f>HYPERLINK("https://youtu.be/6uAe1V861TQ?t=4584","channel 2")</f>
        <v>channel 2</v>
      </c>
    </row>
    <row r="81">
      <c r="A81" s="118"/>
      <c r="B81" s="8" t="s">
        <v>4033</v>
      </c>
      <c r="C81" s="33" t="s">
        <v>1025</v>
      </c>
      <c r="D81" s="8" t="s">
        <v>3766</v>
      </c>
      <c r="E81" s="135" t="str">
        <f>HYPERLINK("https://youtu.be/DH_yUJgDvJQ?t=5407","channel 1")</f>
        <v>channel 1</v>
      </c>
    </row>
    <row r="82">
      <c r="A82" s="118"/>
      <c r="B82" s="8" t="s">
        <v>3764</v>
      </c>
      <c r="C82" s="33" t="s">
        <v>38</v>
      </c>
      <c r="D82" s="8" t="s">
        <v>4034</v>
      </c>
      <c r="E82" s="11" t="str">
        <f>HYPERLINK("https://youtu.be/6uAe1V861TQ?t=5468","channel 2")</f>
        <v>channel 2</v>
      </c>
    </row>
    <row r="83">
      <c r="A83" s="118"/>
      <c r="B83" s="8" t="s">
        <v>3337</v>
      </c>
      <c r="C83" s="33" t="s">
        <v>217</v>
      </c>
      <c r="D83" s="8" t="s">
        <v>3766</v>
      </c>
      <c r="E83" s="135" t="str">
        <f>HYPERLINK("https://youtu.be/DH_yUJgDvJQ?t=6304","channel 1")</f>
        <v>channel 1</v>
      </c>
    </row>
    <row r="84">
      <c r="A84" s="118"/>
      <c r="B84" s="8" t="s">
        <v>4033</v>
      </c>
      <c r="C84" s="33" t="s">
        <v>16</v>
      </c>
      <c r="D84" s="8" t="s">
        <v>4034</v>
      </c>
      <c r="E84" s="11" t="str">
        <f>HYPERLINK("https://youtu.be/6uAe1V861TQ?t=6393","channel 2")</f>
        <v>channel 2</v>
      </c>
    </row>
    <row r="85">
      <c r="A85" s="118"/>
      <c r="B85" s="8" t="s">
        <v>3764</v>
      </c>
      <c r="C85" s="33" t="s">
        <v>687</v>
      </c>
      <c r="D85" s="8" t="s">
        <v>3766</v>
      </c>
      <c r="E85" s="135" t="str">
        <f>HYPERLINK("https://youtu.be/DH_yUJgDvJQ?t=7212","channel 1")</f>
        <v>channel 1</v>
      </c>
    </row>
    <row r="86">
      <c r="A86" s="118"/>
      <c r="B86" s="8" t="s">
        <v>4033</v>
      </c>
      <c r="C86" s="33" t="s">
        <v>87</v>
      </c>
      <c r="D86" s="8" t="s">
        <v>3337</v>
      </c>
      <c r="E86" s="11" t="str">
        <f>HYPERLINK("https://youtu.be/6uAe1V861TQ?t=7299","channel 2")</f>
        <v>channel 2</v>
      </c>
    </row>
    <row r="87">
      <c r="A87" s="118"/>
      <c r="B87" s="8" t="s">
        <v>4034</v>
      </c>
      <c r="C87" s="33" t="s">
        <v>71</v>
      </c>
      <c r="D87" s="8" t="s">
        <v>3766</v>
      </c>
      <c r="E87" s="135" t="str">
        <f>HYPERLINK("https://youtu.be/DH_yUJgDvJQ?t=8067","channel 1")</f>
        <v>channel 1</v>
      </c>
    </row>
    <row r="88">
      <c r="A88" s="122"/>
      <c r="B88" s="8" t="s">
        <v>3764</v>
      </c>
      <c r="C88" s="33" t="s">
        <v>294</v>
      </c>
      <c r="D88" s="8" t="s">
        <v>3337</v>
      </c>
      <c r="E88" s="11" t="str">
        <f>HYPERLINK("https://youtu.be/6uAe1V861TQ?t=8159","channel 2")</f>
        <v>channel 2</v>
      </c>
    </row>
    <row r="89">
      <c r="B89" s="72" t="s">
        <v>2907</v>
      </c>
      <c r="C89" s="2"/>
      <c r="D89" s="3"/>
      <c r="E89" s="138"/>
    </row>
    <row r="90">
      <c r="B90" s="35" t="s">
        <v>2</v>
      </c>
      <c r="C90" s="35" t="s">
        <v>3</v>
      </c>
      <c r="D90" s="35" t="s">
        <v>4</v>
      </c>
      <c r="E90" s="16" t="s">
        <v>5</v>
      </c>
    </row>
    <row r="91">
      <c r="B91" s="8" t="s">
        <v>2659</v>
      </c>
      <c r="C91" s="33" t="s">
        <v>201</v>
      </c>
      <c r="D91" s="8" t="s">
        <v>3431</v>
      </c>
      <c r="E91" s="135" t="str">
        <f>HYPERLINK("https://youtu.be/95KxGL-YXsw","channel 1")</f>
        <v>channel 1</v>
      </c>
    </row>
    <row r="92">
      <c r="B92" s="8" t="s">
        <v>3096</v>
      </c>
      <c r="C92" s="33" t="s">
        <v>283</v>
      </c>
      <c r="D92" s="8" t="s">
        <v>3994</v>
      </c>
      <c r="E92" s="11" t="str">
        <f>HYPERLINK("https://youtu.be/eKMckF7I7ok","channel 2")</f>
        <v>channel 2</v>
      </c>
    </row>
    <row r="93">
      <c r="B93" s="8" t="s">
        <v>3431</v>
      </c>
      <c r="C93" s="33" t="s">
        <v>289</v>
      </c>
      <c r="D93" s="8" t="s">
        <v>2659</v>
      </c>
      <c r="E93" s="135" t="str">
        <f>HYPERLINK("https://youtu.be/95KxGL-YXsw?t=1946","channel 1")</f>
        <v>channel 1</v>
      </c>
    </row>
    <row r="94">
      <c r="B94" s="8" t="s">
        <v>3994</v>
      </c>
      <c r="C94" s="33" t="s">
        <v>338</v>
      </c>
      <c r="D94" s="8" t="s">
        <v>3096</v>
      </c>
      <c r="E94" s="11" t="str">
        <f>HYPERLINK("https://youtu.be/eKMckF7I7ok?t=2119","channel 2")</f>
        <v>channel 2</v>
      </c>
    </row>
    <row r="95">
      <c r="B95" s="8" t="s">
        <v>3994</v>
      </c>
      <c r="C95" s="33" t="s">
        <v>72</v>
      </c>
      <c r="D95" s="8" t="s">
        <v>2740</v>
      </c>
      <c r="E95" s="135" t="str">
        <f>HYPERLINK("https://youtu.be/95KxGL-YXsw?t=3106","channel 1")</f>
        <v>channel 1</v>
      </c>
    </row>
    <row r="96">
      <c r="B96" s="8" t="s">
        <v>3096</v>
      </c>
      <c r="C96" s="33" t="s">
        <v>62</v>
      </c>
      <c r="D96" s="8" t="s">
        <v>3431</v>
      </c>
      <c r="E96" s="11" t="str">
        <f>HYPERLINK("https://youtu.be/eKMckF7I7ok?t=3110","channel 2")</f>
        <v>channel 2</v>
      </c>
    </row>
    <row r="97">
      <c r="B97" s="8" t="s">
        <v>2659</v>
      </c>
      <c r="C97" s="33" t="s">
        <v>243</v>
      </c>
      <c r="D97" s="8" t="s">
        <v>2740</v>
      </c>
      <c r="E97" s="135" t="str">
        <f>HYPERLINK("https://youtu.be/95KxGL-YXsw?t=3973","channel 1")</f>
        <v>channel 1</v>
      </c>
    </row>
    <row r="98">
      <c r="B98" s="8" t="s">
        <v>3431</v>
      </c>
      <c r="C98" s="33" t="s">
        <v>626</v>
      </c>
      <c r="D98" s="8" t="s">
        <v>3994</v>
      </c>
      <c r="E98" s="11" t="str">
        <f>HYPERLINK("https://youtu.be/eKMckF7I7ok?t=3933","channel 2")</f>
        <v>channel 2</v>
      </c>
    </row>
    <row r="99">
      <c r="B99" s="8" t="s">
        <v>2659</v>
      </c>
      <c r="C99" s="33" t="s">
        <v>19</v>
      </c>
      <c r="D99" s="8" t="s">
        <v>3096</v>
      </c>
      <c r="E99" s="135" t="str">
        <f>HYPERLINK("https://youtu.be/95KxGL-YXsw?t=4978","channel 1")</f>
        <v>channel 1</v>
      </c>
    </row>
    <row r="100">
      <c r="B100" s="8" t="s">
        <v>3431</v>
      </c>
      <c r="C100" s="33" t="s">
        <v>793</v>
      </c>
      <c r="D100" s="8" t="s">
        <v>2740</v>
      </c>
      <c r="E100" s="11" t="str">
        <f>HYPERLINK("https://youtu.be/eKMckF7I7ok?t=5261","channel 2")</f>
        <v>channel 2</v>
      </c>
    </row>
    <row r="101">
      <c r="B101" s="8" t="s">
        <v>2740</v>
      </c>
      <c r="C101" s="33" t="s">
        <v>25</v>
      </c>
      <c r="D101" s="8" t="s">
        <v>3994</v>
      </c>
      <c r="E101" s="135" t="str">
        <f>HYPERLINK("https://youtu.be/95KxGL-YXsw?t=6126","channel 1")</f>
        <v>channel 1</v>
      </c>
    </row>
    <row r="102">
      <c r="B102" s="8" t="s">
        <v>3431</v>
      </c>
      <c r="C102" s="33" t="s">
        <v>196</v>
      </c>
      <c r="D102" s="8" t="s">
        <v>3096</v>
      </c>
      <c r="E102" s="11" t="str">
        <f>HYPERLINK("https://youtu.be/eKMckF7I7ok?t=6098","channel 2")</f>
        <v>channel 2</v>
      </c>
    </row>
    <row r="103">
      <c r="B103" s="8" t="s">
        <v>3994</v>
      </c>
      <c r="C103" s="33" t="s">
        <v>215</v>
      </c>
      <c r="D103" s="8" t="s">
        <v>2659</v>
      </c>
      <c r="E103" s="135" t="str">
        <f>HYPERLINK("https://youtu.be/95KxGL-YXsw?t=7102","channel 1")</f>
        <v>channel 1</v>
      </c>
    </row>
    <row r="104">
      <c r="B104" s="8" t="s">
        <v>2740</v>
      </c>
      <c r="C104" s="33" t="s">
        <v>22</v>
      </c>
      <c r="D104" s="8" t="s">
        <v>3096</v>
      </c>
      <c r="E104" s="11" t="str">
        <f>HYPERLINK("https://youtu.be/eKMckF7I7ok?t=7011","channel 2")</f>
        <v>channel 2</v>
      </c>
    </row>
    <row r="105">
      <c r="B105" s="8" t="s">
        <v>2659</v>
      </c>
      <c r="C105" s="33" t="s">
        <v>72</v>
      </c>
      <c r="D105" s="8" t="s">
        <v>3994</v>
      </c>
      <c r="E105" s="135" t="str">
        <f>HYPERLINK("https://youtu.be/95KxGL-YXsw?t=7981","channel 1")</f>
        <v>channel 1</v>
      </c>
    </row>
    <row r="106">
      <c r="B106" s="8" t="s">
        <v>3096</v>
      </c>
      <c r="C106" s="33" t="s">
        <v>270</v>
      </c>
      <c r="D106" s="8" t="s">
        <v>2740</v>
      </c>
      <c r="E106" s="11" t="str">
        <f>HYPERLINK("https://youtu.be/eKMckF7I7ok?t=7843","channel 2")</f>
        <v>channel 2</v>
      </c>
    </row>
    <row r="107">
      <c r="B107" s="8" t="s">
        <v>2740</v>
      </c>
      <c r="C107" s="33" t="s">
        <v>2374</v>
      </c>
      <c r="D107" s="8" t="s">
        <v>2659</v>
      </c>
      <c r="E107" s="135" t="str">
        <f>HYPERLINK("https://youtu.be/95KxGL-YXsw?t=8931","channel 1")</f>
        <v>channel 1</v>
      </c>
    </row>
    <row r="108">
      <c r="B108" s="8" t="s">
        <v>3994</v>
      </c>
      <c r="C108" s="33" t="s">
        <v>42</v>
      </c>
      <c r="D108" s="8" t="s">
        <v>3431</v>
      </c>
      <c r="E108" s="11" t="str">
        <f>HYPERLINK("https://youtu.be/eKMckF7I7ok?t=8829","channel 2")</f>
        <v>channel 2</v>
      </c>
    </row>
    <row r="109">
      <c r="B109" s="8" t="s">
        <v>3096</v>
      </c>
      <c r="C109" s="33" t="s">
        <v>196</v>
      </c>
      <c r="D109" s="8" t="s">
        <v>2659</v>
      </c>
      <c r="E109" s="135" t="str">
        <f>HYPERLINK("https://youtu.be/95KxGL-YXsw?t=9883","channel 1")</f>
        <v>channel 1</v>
      </c>
    </row>
    <row r="110">
      <c r="B110" s="8" t="s">
        <v>2740</v>
      </c>
      <c r="C110" s="33" t="s">
        <v>733</v>
      </c>
      <c r="D110" s="8" t="s">
        <v>3431</v>
      </c>
      <c r="E110" s="11" t="str">
        <f>HYPERLINK("https://youtu.be/eKMckF7I7ok?t=9850","channel 2")</f>
        <v>channel 2</v>
      </c>
    </row>
    <row r="111">
      <c r="B111" s="72" t="s">
        <v>2939</v>
      </c>
      <c r="C111" s="2"/>
      <c r="D111" s="3"/>
      <c r="E111" s="138"/>
    </row>
    <row r="112">
      <c r="B112" s="35" t="s">
        <v>2</v>
      </c>
      <c r="C112" s="35" t="s">
        <v>3</v>
      </c>
      <c r="D112" s="35" t="s">
        <v>4</v>
      </c>
      <c r="E112" s="16" t="s">
        <v>5</v>
      </c>
    </row>
    <row r="113">
      <c r="B113" s="8" t="s">
        <v>4011</v>
      </c>
      <c r="C113" s="33" t="s">
        <v>42</v>
      </c>
      <c r="D113" s="8" t="s">
        <v>2938</v>
      </c>
      <c r="E113" s="135" t="str">
        <f>HYPERLINK("https://youtu.be/YaIN5apbJR4","channel 1")</f>
        <v>channel 1</v>
      </c>
    </row>
    <row r="114">
      <c r="B114" s="8" t="s">
        <v>335</v>
      </c>
      <c r="C114" s="33" t="s">
        <v>196</v>
      </c>
      <c r="D114" s="8" t="s">
        <v>948</v>
      </c>
      <c r="E114" s="11" t="str">
        <f>HYPERLINK("https://youtu.be/lqeu2uwfA2Y","channel 2")</f>
        <v>channel 2</v>
      </c>
    </row>
    <row r="115">
      <c r="B115" s="8" t="s">
        <v>1522</v>
      </c>
      <c r="C115" s="33" t="s">
        <v>297</v>
      </c>
      <c r="D115" s="8" t="s">
        <v>4011</v>
      </c>
      <c r="E115" s="135" t="str">
        <f>HYPERLINK("https://youtu.be/YaIN5apbJR4?t=923","channel 1")</f>
        <v>channel 1</v>
      </c>
    </row>
    <row r="116">
      <c r="B116" s="8" t="s">
        <v>335</v>
      </c>
      <c r="C116" s="33" t="s">
        <v>17</v>
      </c>
      <c r="D116" s="8" t="s">
        <v>2938</v>
      </c>
      <c r="E116" s="11" t="str">
        <f>HYPERLINK("https://youtu.be/lqeu2uwfA2Y?t=938","channel 2")</f>
        <v>channel 2</v>
      </c>
    </row>
    <row r="117">
      <c r="B117" s="8" t="s">
        <v>1522</v>
      </c>
      <c r="C117" s="33" t="s">
        <v>80</v>
      </c>
      <c r="D117" s="8" t="s">
        <v>948</v>
      </c>
      <c r="E117" s="135" t="str">
        <f>HYPERLINK("https://youtu.be/YaIN5apbJR4?t=1832","channel 1")</f>
        <v>channel 1</v>
      </c>
    </row>
    <row r="118">
      <c r="B118" s="8" t="s">
        <v>335</v>
      </c>
      <c r="C118" s="33" t="s">
        <v>378</v>
      </c>
      <c r="D118" s="8" t="s">
        <v>4011</v>
      </c>
      <c r="E118" s="11" t="str">
        <f>HYPERLINK("https://youtu.be/lqeu2uwfA2Y?t=1876","channel 2")</f>
        <v>channel 2</v>
      </c>
    </row>
    <row r="119">
      <c r="B119" s="8" t="s">
        <v>1522</v>
      </c>
      <c r="C119" s="33" t="s">
        <v>72</v>
      </c>
      <c r="D119" s="8" t="s">
        <v>2938</v>
      </c>
      <c r="E119" s="135" t="str">
        <f>HYPERLINK("https://youtu.be/YaIN5apbJR4?t=2700","channel 1")</f>
        <v>channel 1</v>
      </c>
    </row>
    <row r="120">
      <c r="B120" s="8" t="s">
        <v>948</v>
      </c>
      <c r="C120" s="33" t="s">
        <v>20</v>
      </c>
      <c r="D120" s="8" t="s">
        <v>4011</v>
      </c>
      <c r="E120" s="11" t="str">
        <f>HYPERLINK("https://youtu.be/lqeu2uwfA2Y?t=2758","channel 2")</f>
        <v>channel 2</v>
      </c>
    </row>
    <row r="121">
      <c r="B121" s="8" t="s">
        <v>1522</v>
      </c>
      <c r="C121" s="33" t="s">
        <v>276</v>
      </c>
      <c r="D121" s="8" t="s">
        <v>335</v>
      </c>
      <c r="E121" s="135" t="str">
        <f>HYPERLINK("https://youtu.be/YaIN5apbJR4?t=3579","channel 1")</f>
        <v>channel 1</v>
      </c>
    </row>
    <row r="122">
      <c r="B122" s="8" t="s">
        <v>948</v>
      </c>
      <c r="C122" s="33" t="s">
        <v>338</v>
      </c>
      <c r="D122" s="8" t="s">
        <v>2938</v>
      </c>
      <c r="E122" s="11" t="str">
        <f>HYPERLINK("https://youtu.be/lqeu2uwfA2Y?t=3661","channel 2")</f>
        <v>channel 2</v>
      </c>
    </row>
    <row r="123">
      <c r="B123" s="8" t="s">
        <v>2938</v>
      </c>
      <c r="C123" s="33" t="s">
        <v>20</v>
      </c>
      <c r="D123" s="8" t="s">
        <v>4011</v>
      </c>
      <c r="E123" s="135" t="str">
        <f>HYPERLINK("https://youtu.be/YaIN5apbJR4?t=4462","channel 1")</f>
        <v>channel 1</v>
      </c>
    </row>
    <row r="124">
      <c r="B124" s="8" t="s">
        <v>948</v>
      </c>
      <c r="C124" s="33" t="s">
        <v>1191</v>
      </c>
      <c r="D124" s="8" t="s">
        <v>335</v>
      </c>
      <c r="E124" s="11" t="str">
        <f>HYPERLINK("https://youtu.be/lqeu2uwfA2Y?t=3661","channel 2")</f>
        <v>channel 2</v>
      </c>
    </row>
    <row r="125">
      <c r="B125" s="8" t="s">
        <v>4011</v>
      </c>
      <c r="C125" s="33" t="s">
        <v>18</v>
      </c>
      <c r="D125" s="8" t="s">
        <v>1522</v>
      </c>
      <c r="E125" s="135" t="str">
        <f>HYPERLINK("https://youtu.be/YaIN5apbJR4?t=5482","channel 1")</f>
        <v>channel 1</v>
      </c>
    </row>
    <row r="126">
      <c r="B126" s="8" t="s">
        <v>2938</v>
      </c>
      <c r="C126" s="33" t="s">
        <v>66</v>
      </c>
      <c r="D126" s="8" t="s">
        <v>335</v>
      </c>
      <c r="E126" s="11" t="str">
        <f>HYPERLINK("https://youtu.be/lqeu2uwfA2Y?t=5391","channel 2")</f>
        <v>channel 2</v>
      </c>
    </row>
    <row r="127">
      <c r="B127" s="8" t="s">
        <v>948</v>
      </c>
      <c r="C127" s="33" t="s">
        <v>297</v>
      </c>
      <c r="D127" s="8" t="s">
        <v>1522</v>
      </c>
      <c r="E127" s="135" t="str">
        <f>HYPERLINK("https://youtu.be/YaIN5apbJR4?t=6502","channel 1")</f>
        <v>channel 1</v>
      </c>
    </row>
    <row r="128">
      <c r="B128" s="8" t="s">
        <v>4011</v>
      </c>
      <c r="C128" s="33" t="s">
        <v>370</v>
      </c>
      <c r="D128" s="8" t="s">
        <v>335</v>
      </c>
      <c r="E128" s="11" t="str">
        <f>HYPERLINK("https://youtu.be/lqeu2uwfA2Y?t=6498","channel 2")</f>
        <v>channel 2</v>
      </c>
    </row>
    <row r="129">
      <c r="B129" s="8" t="s">
        <v>2938</v>
      </c>
      <c r="C129" s="33" t="s">
        <v>353</v>
      </c>
      <c r="D129" s="8" t="s">
        <v>1522</v>
      </c>
      <c r="E129" s="135" t="str">
        <f>HYPERLINK("https://youtu.be/YaIN5apbJR4?t=7426","channel 1")</f>
        <v>channel 1</v>
      </c>
    </row>
    <row r="130">
      <c r="B130" s="8" t="s">
        <v>4011</v>
      </c>
      <c r="C130" s="33" t="s">
        <v>196</v>
      </c>
      <c r="D130" s="8" t="s">
        <v>948</v>
      </c>
      <c r="E130" s="11" t="str">
        <f>HYPERLINK("https://youtu.be/lqeu2uwfA2Y?t=7419","channel 2")</f>
        <v>channel 2</v>
      </c>
    </row>
    <row r="131">
      <c r="B131" s="8" t="s">
        <v>335</v>
      </c>
      <c r="C131" s="33" t="s">
        <v>28</v>
      </c>
      <c r="D131" s="8" t="s">
        <v>1522</v>
      </c>
      <c r="E131" s="135" t="str">
        <f>HYPERLINK("https://youtu.be/YaIN5apbJR4?t=8363","channel 1")</f>
        <v>channel 1</v>
      </c>
    </row>
    <row r="132">
      <c r="B132" s="8" t="s">
        <v>2938</v>
      </c>
      <c r="C132" s="33" t="s">
        <v>201</v>
      </c>
      <c r="D132" s="8" t="s">
        <v>948</v>
      </c>
      <c r="E132" s="11" t="str">
        <f>HYPERLINK("https://youtu.be/lqeu2uwfA2Y?t=8431","channel 2")</f>
        <v>channel 2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7"/>
      <c r="B1" s="72" t="s">
        <v>1659</v>
      </c>
      <c r="C1" s="2"/>
      <c r="D1" s="3"/>
      <c r="E1" s="134"/>
    </row>
    <row r="2">
      <c r="A2" s="118"/>
      <c r="B2" s="35" t="s">
        <v>2</v>
      </c>
      <c r="C2" s="35" t="s">
        <v>3</v>
      </c>
      <c r="D2" s="35" t="s">
        <v>4</v>
      </c>
      <c r="E2" s="6" t="s">
        <v>5</v>
      </c>
    </row>
    <row r="3">
      <c r="A3" s="118"/>
      <c r="B3" s="8" t="s">
        <v>4035</v>
      </c>
      <c r="C3" s="33" t="s">
        <v>4036</v>
      </c>
      <c r="D3" s="8" t="s">
        <v>3350</v>
      </c>
      <c r="E3" s="135" t="str">
        <f>HYPERLINK("https://youtu.be/oZoAMQI_dFA","channel 1")</f>
        <v>channel 1</v>
      </c>
    </row>
    <row r="4">
      <c r="A4" s="118"/>
      <c r="B4" s="8" t="s">
        <v>3886</v>
      </c>
      <c r="C4" s="60" t="s">
        <v>72</v>
      </c>
      <c r="D4" s="8" t="s">
        <v>2090</v>
      </c>
      <c r="E4" s="11" t="str">
        <f>HYPERLINK("https://youtu.be/rXGjJrBiOXg","channel 2")</f>
        <v>channel 2</v>
      </c>
    </row>
    <row r="5">
      <c r="A5" s="118"/>
      <c r="B5" s="8" t="s">
        <v>4037</v>
      </c>
      <c r="C5" s="33" t="s">
        <v>220</v>
      </c>
      <c r="D5" s="8" t="s">
        <v>4035</v>
      </c>
      <c r="E5" s="135" t="str">
        <f>HYPERLINK("https://youtu.be/oZoAMQI_dFA?t=1021","channel 1")</f>
        <v>channel 1</v>
      </c>
    </row>
    <row r="6">
      <c r="A6" s="118"/>
      <c r="B6" s="8" t="s">
        <v>3886</v>
      </c>
      <c r="C6" s="33" t="s">
        <v>566</v>
      </c>
      <c r="D6" s="8" t="s">
        <v>3350</v>
      </c>
      <c r="E6" s="11" t="str">
        <f>HYPERLINK("https://youtu.be/rXGjJrBiOXg?t=911","channel 2")</f>
        <v>channel 2</v>
      </c>
    </row>
    <row r="7">
      <c r="A7" s="118"/>
      <c r="B7" s="8" t="s">
        <v>4037</v>
      </c>
      <c r="C7" s="33" t="s">
        <v>87</v>
      </c>
      <c r="D7" s="8" t="s">
        <v>2090</v>
      </c>
      <c r="E7" s="135" t="str">
        <f>HYPERLINK("https://youtu.be/oZoAMQI_dFA?t=2047","channel 1")</f>
        <v>channel 1</v>
      </c>
    </row>
    <row r="8">
      <c r="A8" s="118"/>
      <c r="B8" s="8" t="s">
        <v>3886</v>
      </c>
      <c r="C8" s="33" t="s">
        <v>218</v>
      </c>
      <c r="D8" s="8" t="s">
        <v>4035</v>
      </c>
      <c r="E8" s="11" t="str">
        <f>HYPERLINK("https://youtu.be/rXGjJrBiOXg?t=2019","channel 2")</f>
        <v>channel 2</v>
      </c>
    </row>
    <row r="9">
      <c r="A9" s="118"/>
      <c r="B9" s="8" t="s">
        <v>4037</v>
      </c>
      <c r="C9" s="33" t="s">
        <v>535</v>
      </c>
      <c r="D9" s="8" t="s">
        <v>3350</v>
      </c>
      <c r="E9" s="135" t="str">
        <f>HYPERLINK("https://youtu.be/oZoAMQI_dFA?t=2981","channel 1")</f>
        <v>channel 1</v>
      </c>
    </row>
    <row r="10">
      <c r="A10" s="118"/>
      <c r="B10" s="8" t="s">
        <v>2090</v>
      </c>
      <c r="C10" s="33" t="s">
        <v>217</v>
      </c>
      <c r="D10" s="8" t="s">
        <v>4035</v>
      </c>
      <c r="E10" s="11" t="str">
        <f>HYPERLINK("https://youtu.be/rXGjJrBiOXg?t=2996","channel 2")</f>
        <v>channel 2</v>
      </c>
    </row>
    <row r="11">
      <c r="A11" s="118"/>
      <c r="B11" s="8" t="s">
        <v>4037</v>
      </c>
      <c r="C11" s="33" t="s">
        <v>220</v>
      </c>
      <c r="D11" s="8" t="s">
        <v>3886</v>
      </c>
      <c r="E11" s="135" t="str">
        <f>HYPERLINK("https://youtu.be/oZoAMQI_dFA?t=3944","channel 1")</f>
        <v>channel 1</v>
      </c>
    </row>
    <row r="12">
      <c r="A12" s="118"/>
      <c r="B12" s="8" t="s">
        <v>2090</v>
      </c>
      <c r="C12" s="33" t="s">
        <v>482</v>
      </c>
      <c r="D12" s="8" t="s">
        <v>3350</v>
      </c>
      <c r="E12" s="11" t="str">
        <f>HYPERLINK("https://youtu.be/rXGjJrBiOXg?t=3933","channel 2")</f>
        <v>channel 2</v>
      </c>
    </row>
    <row r="13">
      <c r="A13" s="118"/>
      <c r="B13" s="8" t="s">
        <v>3350</v>
      </c>
      <c r="C13" s="33" t="s">
        <v>435</v>
      </c>
      <c r="D13" s="8" t="s">
        <v>4035</v>
      </c>
      <c r="E13" s="135" t="str">
        <f>HYPERLINK("https://youtu.be/oZoAMQI_dFA?t=4930","channel 1")</f>
        <v>channel 1</v>
      </c>
    </row>
    <row r="14">
      <c r="A14" s="118"/>
      <c r="B14" s="8" t="s">
        <v>2090</v>
      </c>
      <c r="C14" s="33" t="s">
        <v>414</v>
      </c>
      <c r="D14" s="8" t="s">
        <v>3886</v>
      </c>
      <c r="E14" s="11" t="str">
        <f>HYPERLINK("https://youtu.be/rXGjJrBiOXg?t=4875","channel 2")</f>
        <v>channel 2</v>
      </c>
    </row>
    <row r="15">
      <c r="A15" s="118"/>
      <c r="B15" s="8" t="s">
        <v>4035</v>
      </c>
      <c r="C15" s="33" t="s">
        <v>1019</v>
      </c>
      <c r="D15" s="8" t="s">
        <v>4037</v>
      </c>
      <c r="E15" s="135" t="str">
        <f>HYPERLINK("https://youtu.be/oZoAMQI_dFA?t=5922","channel 1")</f>
        <v>channel 1</v>
      </c>
    </row>
    <row r="16">
      <c r="A16" s="118"/>
      <c r="B16" s="8" t="s">
        <v>3350</v>
      </c>
      <c r="C16" s="33" t="s">
        <v>578</v>
      </c>
      <c r="D16" s="8" t="s">
        <v>3886</v>
      </c>
      <c r="E16" s="11" t="str">
        <f>HYPERLINK("https://youtu.be/rXGjJrBiOXg?t=5857","channel 2")</f>
        <v>channel 2</v>
      </c>
    </row>
    <row r="17">
      <c r="A17" s="118"/>
      <c r="B17" s="8" t="s">
        <v>2090</v>
      </c>
      <c r="C17" s="33" t="s">
        <v>370</v>
      </c>
      <c r="D17" s="8" t="s">
        <v>4037</v>
      </c>
      <c r="E17" s="135" t="str">
        <f>HYPERLINK("https://youtu.be/oZoAMQI_dFA?t=6913","channel 1")</f>
        <v>channel 1</v>
      </c>
    </row>
    <row r="18">
      <c r="A18" s="118"/>
      <c r="B18" s="8" t="s">
        <v>4035</v>
      </c>
      <c r="C18" s="33" t="s">
        <v>780</v>
      </c>
      <c r="D18" s="8" t="s">
        <v>3886</v>
      </c>
      <c r="E18" s="11" t="str">
        <f>HYPERLINK("https://youtu.be/rXGjJrBiOXg?t=6882","channel 2")</f>
        <v>channel 2</v>
      </c>
    </row>
    <row r="19">
      <c r="A19" s="118"/>
      <c r="B19" s="8" t="s">
        <v>3350</v>
      </c>
      <c r="C19" s="33" t="s">
        <v>28</v>
      </c>
      <c r="D19" s="8" t="s">
        <v>4037</v>
      </c>
      <c r="E19" s="135" t="str">
        <f>HYPERLINK("https://youtu.be/oZoAMQI_dFA?t=7956","channel 1")</f>
        <v>channel 1</v>
      </c>
    </row>
    <row r="20">
      <c r="A20" s="118"/>
      <c r="B20" s="8" t="s">
        <v>4035</v>
      </c>
      <c r="C20" s="33" t="s">
        <v>190</v>
      </c>
      <c r="D20" s="8" t="s">
        <v>2090</v>
      </c>
      <c r="E20" s="11" t="str">
        <f>HYPERLINK("https://youtu.be/rXGjJrBiOXg?t=7927","channel 2")</f>
        <v>channel 2</v>
      </c>
    </row>
    <row r="21">
      <c r="A21" s="118"/>
      <c r="B21" s="8" t="s">
        <v>3886</v>
      </c>
      <c r="C21" s="33" t="s">
        <v>544</v>
      </c>
      <c r="D21" s="8" t="s">
        <v>4037</v>
      </c>
      <c r="E21" s="135" t="str">
        <f>HYPERLINK("https://youtu.be/oZoAMQI_dFA?t=8920","channel 1")</f>
        <v>channel 1</v>
      </c>
    </row>
    <row r="22">
      <c r="A22" s="118"/>
      <c r="B22" s="8" t="s">
        <v>3350</v>
      </c>
      <c r="C22" s="33" t="s">
        <v>544</v>
      </c>
      <c r="D22" s="8" t="s">
        <v>2090</v>
      </c>
      <c r="E22" s="11" t="str">
        <f>HYPERLINK("https://youtu.be/rXGjJrBiOXg?t=8862","channel 2")</f>
        <v>channel 2</v>
      </c>
    </row>
    <row r="23">
      <c r="A23" s="118"/>
      <c r="B23" s="72" t="s">
        <v>2099</v>
      </c>
      <c r="C23" s="2"/>
      <c r="D23" s="3"/>
      <c r="E23" s="134"/>
    </row>
    <row r="24">
      <c r="A24" s="118"/>
      <c r="B24" s="35" t="s">
        <v>2</v>
      </c>
      <c r="C24" s="35" t="s">
        <v>3</v>
      </c>
      <c r="D24" s="35" t="s">
        <v>4</v>
      </c>
      <c r="E24" s="6" t="s">
        <v>5</v>
      </c>
    </row>
    <row r="25">
      <c r="A25" s="118"/>
      <c r="B25" s="8" t="s">
        <v>1800</v>
      </c>
      <c r="C25" s="33" t="s">
        <v>443</v>
      </c>
      <c r="D25" s="8" t="s">
        <v>4038</v>
      </c>
      <c r="E25" s="135" t="str">
        <f>HYPERLINK("https://youtu.be/Jn56EZZ0kbE","channel 1")</f>
        <v>channel 1</v>
      </c>
    </row>
    <row r="26">
      <c r="A26" s="118"/>
      <c r="B26" s="8" t="s">
        <v>4039</v>
      </c>
      <c r="C26" s="33" t="s">
        <v>479</v>
      </c>
      <c r="D26" s="8" t="s">
        <v>4040</v>
      </c>
      <c r="E26" s="11" t="str">
        <f>HYPERLINK("https://youtu.be/HASrE-OHPvM","channel 2")</f>
        <v>channel 2</v>
      </c>
    </row>
    <row r="27">
      <c r="A27" s="118"/>
      <c r="B27" s="8" t="s">
        <v>4041</v>
      </c>
      <c r="C27" s="33" t="s">
        <v>195</v>
      </c>
      <c r="D27" s="8" t="s">
        <v>1800</v>
      </c>
      <c r="E27" s="135" t="str">
        <f>HYPERLINK("https://youtu.be/Jn56EZZ0kbE?t=966","channel 1")</f>
        <v>channel 1</v>
      </c>
    </row>
    <row r="28">
      <c r="A28" s="118"/>
      <c r="B28" s="8" t="s">
        <v>4039</v>
      </c>
      <c r="C28" s="33" t="s">
        <v>71</v>
      </c>
      <c r="D28" s="8" t="s">
        <v>4038</v>
      </c>
      <c r="E28" s="11" t="str">
        <f>HYPERLINK("https://youtu.be/HASrE-OHPvM?t=1017","channel 2")</f>
        <v>channel 2</v>
      </c>
    </row>
    <row r="29">
      <c r="A29" s="118"/>
      <c r="B29" s="8" t="s">
        <v>4041</v>
      </c>
      <c r="C29" s="33" t="s">
        <v>195</v>
      </c>
      <c r="D29" s="8" t="s">
        <v>4040</v>
      </c>
      <c r="E29" s="135" t="str">
        <f>HYPERLINK("https://youtu.be/Jn56EZZ0kbE?t=1949","channel 1")</f>
        <v>channel 1</v>
      </c>
    </row>
    <row r="30">
      <c r="A30" s="118"/>
      <c r="B30" s="8" t="s">
        <v>4039</v>
      </c>
      <c r="C30" s="33" t="s">
        <v>16</v>
      </c>
      <c r="D30" s="8" t="s">
        <v>1800</v>
      </c>
      <c r="E30" s="11" t="str">
        <f>HYPERLINK("https://youtu.be/HASrE-OHPvM?t=2035","channel 2")</f>
        <v>channel 2</v>
      </c>
    </row>
    <row r="31">
      <c r="A31" s="118"/>
      <c r="B31" s="8" t="s">
        <v>4041</v>
      </c>
      <c r="C31" s="33" t="s">
        <v>4042</v>
      </c>
      <c r="D31" s="8" t="s">
        <v>4038</v>
      </c>
      <c r="E31" s="135" t="str">
        <f>HYPERLINK("https://youtu.be/Jn56EZZ0kbE?t=2874","channel 1")</f>
        <v>channel 1</v>
      </c>
    </row>
    <row r="32">
      <c r="A32" s="118"/>
      <c r="B32" s="8" t="s">
        <v>4040</v>
      </c>
      <c r="C32" s="33" t="s">
        <v>195</v>
      </c>
      <c r="D32" s="8" t="s">
        <v>1800</v>
      </c>
      <c r="E32" s="11" t="str">
        <f>HYPERLINK("https://youtu.be/HASrE-OHPvM?t=2933","channel 2")</f>
        <v>channel 2</v>
      </c>
    </row>
    <row r="33">
      <c r="A33" s="118"/>
      <c r="B33" s="8" t="s">
        <v>4041</v>
      </c>
      <c r="C33" s="33" t="s">
        <v>46</v>
      </c>
      <c r="D33" s="8" t="s">
        <v>4039</v>
      </c>
      <c r="E33" s="135" t="str">
        <f>HYPERLINK("https://youtu.be/Jn56EZZ0kbE?t=3820","channel 1")</f>
        <v>channel 1</v>
      </c>
    </row>
    <row r="34">
      <c r="A34" s="118"/>
      <c r="B34" s="8" t="s">
        <v>4040</v>
      </c>
      <c r="C34" s="33" t="s">
        <v>1428</v>
      </c>
      <c r="D34" s="8" t="s">
        <v>4038</v>
      </c>
      <c r="E34" s="11" t="str">
        <f>HYPERLINK("https://youtu.be/HASrE-OHPvM?t=3898","channel 2")</f>
        <v>channel 2</v>
      </c>
    </row>
    <row r="35">
      <c r="A35" s="118"/>
      <c r="B35" s="8" t="s">
        <v>4038</v>
      </c>
      <c r="C35" s="33" t="s">
        <v>31</v>
      </c>
      <c r="D35" s="8" t="s">
        <v>1800</v>
      </c>
      <c r="E35" s="135" t="str">
        <f>HYPERLINK("https://youtu.be/Jn56EZZ0kbE?t=4831","channel 1")</f>
        <v>channel 1</v>
      </c>
    </row>
    <row r="36">
      <c r="A36" s="118"/>
      <c r="B36" s="8" t="s">
        <v>4040</v>
      </c>
      <c r="C36" s="33" t="s">
        <v>443</v>
      </c>
      <c r="D36" s="8" t="s">
        <v>4039</v>
      </c>
      <c r="E36" s="11" t="str">
        <f>HYPERLINK("https://youtu.be/HASrE-OHPvM?t=4838","channel 2")</f>
        <v>channel 2</v>
      </c>
    </row>
    <row r="37">
      <c r="A37" s="118"/>
      <c r="B37" s="8" t="s">
        <v>1800</v>
      </c>
      <c r="C37" s="33" t="s">
        <v>31</v>
      </c>
      <c r="D37" s="8" t="s">
        <v>4041</v>
      </c>
      <c r="E37" s="135" t="str">
        <f>HYPERLINK("https://youtu.be/Jn56EZZ0kbE?t=5854","channel 1")</f>
        <v>channel 1</v>
      </c>
    </row>
    <row r="38">
      <c r="A38" s="118"/>
      <c r="B38" s="8" t="s">
        <v>4038</v>
      </c>
      <c r="C38" s="33" t="s">
        <v>217</v>
      </c>
      <c r="D38" s="8" t="s">
        <v>4039</v>
      </c>
      <c r="E38" s="11" t="str">
        <f>HYPERLINK("https://youtu.be/HASrE-OHPvM?t=5794","channel 2")</f>
        <v>channel 2</v>
      </c>
    </row>
    <row r="39">
      <c r="A39" s="118"/>
      <c r="B39" s="8" t="s">
        <v>4040</v>
      </c>
      <c r="C39" s="35" t="s">
        <v>43</v>
      </c>
      <c r="D39" s="8" t="s">
        <v>4041</v>
      </c>
      <c r="E39" s="135" t="str">
        <f>HYPERLINK("https://youtu.be/Jn56EZZ0kbE?t=6926","channel 1")</f>
        <v>channel 1</v>
      </c>
    </row>
    <row r="40">
      <c r="A40" s="118"/>
      <c r="B40" s="8" t="s">
        <v>1800</v>
      </c>
      <c r="C40" s="33" t="s">
        <v>71</v>
      </c>
      <c r="D40" s="8" t="s">
        <v>4039</v>
      </c>
      <c r="E40" s="11" t="str">
        <f>HYPERLINK("https://youtu.be/HASrE-OHPvM?t=6839","channel 2")</f>
        <v>channel 2</v>
      </c>
    </row>
    <row r="41">
      <c r="A41" s="118"/>
      <c r="B41" s="8" t="s">
        <v>4038</v>
      </c>
      <c r="C41" s="33" t="s">
        <v>62</v>
      </c>
      <c r="D41" s="8" t="s">
        <v>4041</v>
      </c>
      <c r="E41" s="135" t="str">
        <f>HYPERLINK("https://youtu.be/Jn56EZZ0kbE?t=7917","channel 1")</f>
        <v>channel 1</v>
      </c>
    </row>
    <row r="42">
      <c r="A42" s="118"/>
      <c r="B42" s="8" t="s">
        <v>1800</v>
      </c>
      <c r="C42" s="33" t="s">
        <v>190</v>
      </c>
      <c r="D42" s="8" t="s">
        <v>4040</v>
      </c>
      <c r="E42" s="11" t="str">
        <f>HYPERLINK("https://youtu.be/HASrE-OHPvM?t=7893","channel 2")</f>
        <v>channel 2</v>
      </c>
    </row>
    <row r="43">
      <c r="A43" s="118"/>
      <c r="B43" s="8" t="s">
        <v>4039</v>
      </c>
      <c r="C43" s="33" t="s">
        <v>726</v>
      </c>
      <c r="D43" s="8" t="s">
        <v>4041</v>
      </c>
      <c r="E43" s="135" t="str">
        <f>HYPERLINK("https://youtu.be/Jn56EZZ0kbE?t=8841","channel 1")</f>
        <v>channel 1</v>
      </c>
    </row>
    <row r="44">
      <c r="A44" s="118"/>
      <c r="B44" s="8" t="s">
        <v>4038</v>
      </c>
      <c r="C44" s="33" t="s">
        <v>43</v>
      </c>
      <c r="D44" s="8" t="s">
        <v>4040</v>
      </c>
      <c r="E44" s="11" t="str">
        <f>HYPERLINK("https://youtu.be/HASrE-OHPvM?t=8963","channel 2")</f>
        <v>channel 2</v>
      </c>
    </row>
    <row r="45">
      <c r="A45" s="118"/>
      <c r="B45" s="72" t="s">
        <v>3214</v>
      </c>
      <c r="C45" s="2"/>
      <c r="D45" s="3"/>
      <c r="E45" s="134"/>
    </row>
    <row r="46">
      <c r="A46" s="118"/>
      <c r="B46" s="35" t="s">
        <v>2</v>
      </c>
      <c r="C46" s="35" t="s">
        <v>3</v>
      </c>
      <c r="D46" s="35" t="s">
        <v>4</v>
      </c>
      <c r="E46" s="6" t="s">
        <v>5</v>
      </c>
    </row>
    <row r="47">
      <c r="A47" s="118"/>
      <c r="B47" s="8" t="s">
        <v>3278</v>
      </c>
      <c r="C47" s="33" t="s">
        <v>81</v>
      </c>
      <c r="D47" s="8" t="s">
        <v>4043</v>
      </c>
      <c r="E47" s="135" t="str">
        <f>HYPERLINK("https://youtu.be/VxJ4WNscOd8","channel 1")</f>
        <v>channel 1</v>
      </c>
    </row>
    <row r="48">
      <c r="A48" s="118"/>
      <c r="B48" s="8" t="s">
        <v>3886</v>
      </c>
      <c r="C48" s="33" t="s">
        <v>196</v>
      </c>
      <c r="D48" s="8" t="s">
        <v>2309</v>
      </c>
      <c r="E48" s="11" t="str">
        <f>HYPERLINK("https://youtu.be/1DXcpr1CQCk","channel 2")</f>
        <v>channel 2</v>
      </c>
    </row>
    <row r="49">
      <c r="A49" s="118"/>
      <c r="B49" s="8" t="s">
        <v>2437</v>
      </c>
      <c r="C49" s="33" t="s">
        <v>412</v>
      </c>
      <c r="D49" s="8" t="s">
        <v>3278</v>
      </c>
      <c r="E49" s="135" t="str">
        <f>HYPERLINK("https://youtu.be/VxJ4WNscOd8?t=808","channel 1")</f>
        <v>channel 1</v>
      </c>
    </row>
    <row r="50">
      <c r="A50" s="118"/>
      <c r="B50" s="8" t="s">
        <v>3886</v>
      </c>
      <c r="C50" s="33" t="s">
        <v>86</v>
      </c>
      <c r="D50" s="8" t="s">
        <v>4043</v>
      </c>
      <c r="E50" s="11" t="str">
        <f>HYPERLINK("https://youtu.be/1DXcpr1CQCk?t=965","channel 2")</f>
        <v>channel 2</v>
      </c>
    </row>
    <row r="51">
      <c r="A51" s="118"/>
      <c r="B51" s="8" t="s">
        <v>2437</v>
      </c>
      <c r="C51" s="33" t="s">
        <v>197</v>
      </c>
      <c r="D51" s="8" t="s">
        <v>2309</v>
      </c>
      <c r="E51" s="135" t="str">
        <f>HYPERLINK("https://youtu.be/VxJ4WNscOd8?t=1789","channel 1")</f>
        <v>channel 1</v>
      </c>
    </row>
    <row r="52">
      <c r="A52" s="118"/>
      <c r="B52" s="8" t="s">
        <v>3886</v>
      </c>
      <c r="C52" s="33" t="s">
        <v>52</v>
      </c>
      <c r="D52" s="8" t="s">
        <v>3278</v>
      </c>
      <c r="E52" s="11" t="str">
        <f>HYPERLINK("https://youtu.be/1DXcpr1CQCk?t=1895","channel 2")</f>
        <v>channel 2</v>
      </c>
    </row>
    <row r="53">
      <c r="A53" s="118"/>
      <c r="B53" s="8" t="s">
        <v>2437</v>
      </c>
      <c r="C53" s="33" t="s">
        <v>414</v>
      </c>
      <c r="D53" s="8" t="s">
        <v>4043</v>
      </c>
      <c r="E53" s="135" t="str">
        <f>HYPERLINK("https://youtu.be/VxJ4WNscOd8?t=2705","channel 1")</f>
        <v>channel 1</v>
      </c>
    </row>
    <row r="54">
      <c r="A54" s="118"/>
      <c r="B54" s="8" t="s">
        <v>2309</v>
      </c>
      <c r="C54" s="33" t="s">
        <v>243</v>
      </c>
      <c r="D54" s="8" t="s">
        <v>3278</v>
      </c>
      <c r="E54" s="11" t="str">
        <f>HYPERLINK("https://youtu.be/1DXcpr1CQCk?t=2811","channel 2")</f>
        <v>channel 2</v>
      </c>
    </row>
    <row r="55">
      <c r="A55" s="118"/>
      <c r="B55" s="8" t="s">
        <v>2437</v>
      </c>
      <c r="C55" s="33" t="s">
        <v>370</v>
      </c>
      <c r="D55" s="8" t="s">
        <v>3886</v>
      </c>
      <c r="E55" s="135" t="str">
        <f>HYPERLINK("https://youtu.be/VxJ4WNscOd8?t=3555","channel 1")</f>
        <v>channel 1</v>
      </c>
    </row>
    <row r="56">
      <c r="A56" s="118"/>
      <c r="B56" s="8" t="s">
        <v>2309</v>
      </c>
      <c r="C56" s="33" t="s">
        <v>231</v>
      </c>
      <c r="D56" s="8" t="s">
        <v>4043</v>
      </c>
      <c r="E56" s="11" t="str">
        <f>HYPERLINK("https://youtu.be/1DXcpr1CQCk?t=3761","channel 2")</f>
        <v>channel 2</v>
      </c>
    </row>
    <row r="57">
      <c r="A57" s="118"/>
      <c r="B57" s="8" t="s">
        <v>4043</v>
      </c>
      <c r="C57" s="33" t="s">
        <v>27</v>
      </c>
      <c r="D57" s="8" t="s">
        <v>3278</v>
      </c>
      <c r="E57" s="135" t="str">
        <f>HYPERLINK("https://youtu.be/VxJ4WNscOd8?t=4541","channel 1")</f>
        <v>channel 1</v>
      </c>
    </row>
    <row r="58">
      <c r="A58" s="118"/>
      <c r="B58" s="8" t="s">
        <v>2309</v>
      </c>
      <c r="C58" s="33" t="s">
        <v>68</v>
      </c>
      <c r="D58" s="8" t="s">
        <v>3886</v>
      </c>
      <c r="E58" s="11" t="str">
        <f>HYPERLINK("https://youtu.be/1DXcpr1CQCk?t=4711","channel 2")</f>
        <v>channel 2</v>
      </c>
    </row>
    <row r="59">
      <c r="A59" s="118"/>
      <c r="B59" s="8" t="s">
        <v>3278</v>
      </c>
      <c r="C59" s="33" t="s">
        <v>72</v>
      </c>
      <c r="D59" s="8" t="s">
        <v>2437</v>
      </c>
      <c r="E59" s="135" t="str">
        <f>HYPERLINK("https://youtu.be/VxJ4WNscOd8?t=5360","channel 1")</f>
        <v>channel 1</v>
      </c>
    </row>
    <row r="60">
      <c r="A60" s="118"/>
      <c r="B60" s="8" t="s">
        <v>4043</v>
      </c>
      <c r="C60" s="33" t="s">
        <v>814</v>
      </c>
      <c r="D60" s="8" t="s">
        <v>3886</v>
      </c>
      <c r="E60" s="11" t="str">
        <f>HYPERLINK("https://youtu.be/1DXcpr1CQCk?t=5643","channel 2")</f>
        <v>channel 2</v>
      </c>
    </row>
    <row r="61">
      <c r="A61" s="118"/>
      <c r="B61" s="8" t="s">
        <v>2309</v>
      </c>
      <c r="C61" s="33" t="s">
        <v>67</v>
      </c>
      <c r="D61" s="8" t="s">
        <v>2437</v>
      </c>
      <c r="E61" s="135" t="str">
        <f>HYPERLINK("https://youtu.be/VxJ4WNscOd8?t=6289","channel 1")</f>
        <v>channel 1</v>
      </c>
    </row>
    <row r="62">
      <c r="A62" s="118"/>
      <c r="B62" s="8" t="s">
        <v>3278</v>
      </c>
      <c r="C62" s="35" t="s">
        <v>460</v>
      </c>
      <c r="D62" s="8" t="s">
        <v>3886</v>
      </c>
      <c r="E62" s="11" t="str">
        <f>HYPERLINK("https://youtu.be/1DXcpr1CQCk?t=6627","channel 2")</f>
        <v>channel 2</v>
      </c>
    </row>
    <row r="63">
      <c r="A63" s="118"/>
      <c r="B63" s="8" t="s">
        <v>4043</v>
      </c>
      <c r="C63" s="33" t="s">
        <v>291</v>
      </c>
      <c r="D63" s="8" t="s">
        <v>2437</v>
      </c>
      <c r="E63" s="135" t="str">
        <f>HYPERLINK("https://youtu.be/VxJ4WNscOd8?t=7175","channel 1")</f>
        <v>channel 1</v>
      </c>
    </row>
    <row r="64">
      <c r="A64" s="118"/>
      <c r="B64" s="8" t="s">
        <v>3278</v>
      </c>
      <c r="C64" s="33" t="s">
        <v>404</v>
      </c>
      <c r="D64" s="8" t="s">
        <v>2309</v>
      </c>
      <c r="E64" s="102" t="s">
        <v>13</v>
      </c>
    </row>
    <row r="65">
      <c r="A65" s="118"/>
      <c r="B65" s="8" t="s">
        <v>3886</v>
      </c>
      <c r="C65" s="33" t="s">
        <v>274</v>
      </c>
      <c r="D65" s="8" t="s">
        <v>2437</v>
      </c>
      <c r="E65" s="135" t="str">
        <f>HYPERLINK("https://youtu.be/VxJ4WNscOd8?t=8026","channel 1")</f>
        <v>channel 1</v>
      </c>
    </row>
    <row r="66">
      <c r="A66" s="118"/>
      <c r="B66" s="8" t="s">
        <v>4043</v>
      </c>
      <c r="C66" s="33" t="s">
        <v>25</v>
      </c>
      <c r="D66" s="8" t="s">
        <v>2309</v>
      </c>
      <c r="E66" s="102" t="s">
        <v>13</v>
      </c>
    </row>
    <row r="67">
      <c r="A67" s="118"/>
      <c r="B67" s="72" t="s">
        <v>2560</v>
      </c>
      <c r="C67" s="2"/>
      <c r="D67" s="3"/>
      <c r="E67" s="138"/>
    </row>
    <row r="68">
      <c r="A68" s="118"/>
      <c r="B68" s="35" t="s">
        <v>2</v>
      </c>
      <c r="C68" s="35" t="s">
        <v>3</v>
      </c>
      <c r="D68" s="35" t="s">
        <v>4</v>
      </c>
      <c r="E68" s="16" t="s">
        <v>5</v>
      </c>
    </row>
    <row r="69">
      <c r="A69" s="118"/>
      <c r="B69" s="8" t="s">
        <v>3733</v>
      </c>
      <c r="C69" s="33" t="s">
        <v>22</v>
      </c>
      <c r="D69" s="8" t="s">
        <v>4044</v>
      </c>
      <c r="E69" s="135" t="str">
        <f>HYPERLINK("https://youtu.be/UwoXowq4Wu4","channel 1")</f>
        <v>channel 1</v>
      </c>
    </row>
    <row r="70">
      <c r="A70" s="118"/>
      <c r="B70" s="8" t="s">
        <v>3475</v>
      </c>
      <c r="C70" s="33" t="s">
        <v>1067</v>
      </c>
      <c r="D70" s="8" t="s">
        <v>516</v>
      </c>
      <c r="E70" s="11" t="str">
        <f>HYPERLINK("https://youtu.be/7JJRtVSYjaQ","channel 2")</f>
        <v>channel 2</v>
      </c>
    </row>
    <row r="71">
      <c r="A71" s="118"/>
      <c r="B71" s="8" t="s">
        <v>635</v>
      </c>
      <c r="C71" s="33" t="s">
        <v>912</v>
      </c>
      <c r="D71" s="8" t="s">
        <v>3733</v>
      </c>
      <c r="E71" s="135" t="str">
        <f>HYPERLINK("https://youtu.be/UwoXowq4Wu4?t=884","channel 1")</f>
        <v>channel 1</v>
      </c>
    </row>
    <row r="72">
      <c r="A72" s="118"/>
      <c r="B72" s="8" t="s">
        <v>3475</v>
      </c>
      <c r="C72" s="33" t="s">
        <v>16</v>
      </c>
      <c r="D72" s="8" t="s">
        <v>4044</v>
      </c>
      <c r="E72" s="11" t="str">
        <f>HYPERLINK("https://youtu.be/7JJRtVSYjaQ?t=944","channel 2")</f>
        <v>channel 2</v>
      </c>
    </row>
    <row r="73">
      <c r="A73" s="118"/>
      <c r="B73" s="8" t="s">
        <v>635</v>
      </c>
      <c r="C73" s="33" t="s">
        <v>197</v>
      </c>
      <c r="D73" s="8" t="s">
        <v>516</v>
      </c>
      <c r="E73" s="135" t="str">
        <f>HYPERLINK("https://youtu.be/UwoXowq4Wu4?t=1835","channel 1")</f>
        <v>channel 1</v>
      </c>
    </row>
    <row r="74">
      <c r="A74" s="118"/>
      <c r="B74" s="8" t="s">
        <v>3475</v>
      </c>
      <c r="C74" s="33" t="s">
        <v>291</v>
      </c>
      <c r="D74" s="8" t="s">
        <v>3733</v>
      </c>
      <c r="E74" s="11" t="str">
        <f>HYPERLINK("https://youtu.be/7JJRtVSYjaQ?t=1872","channel 2")</f>
        <v>channel 2</v>
      </c>
    </row>
    <row r="75">
      <c r="A75" s="118"/>
      <c r="B75" s="8" t="s">
        <v>635</v>
      </c>
      <c r="C75" s="33" t="s">
        <v>285</v>
      </c>
      <c r="D75" s="8" t="s">
        <v>4044</v>
      </c>
      <c r="E75" s="135" t="str">
        <f>HYPERLINK("https://youtu.be/UwoXowq4Wu4?t=2831","channel 1")</f>
        <v>channel 1</v>
      </c>
    </row>
    <row r="76">
      <c r="A76" s="118"/>
      <c r="B76" s="8" t="s">
        <v>516</v>
      </c>
      <c r="C76" s="33" t="s">
        <v>21</v>
      </c>
      <c r="D76" s="8" t="s">
        <v>3733</v>
      </c>
      <c r="E76" s="11" t="str">
        <f>HYPERLINK("https://youtu.be/7JJRtVSYjaQ?t=2780","channel 2")</f>
        <v>channel 2</v>
      </c>
    </row>
    <row r="77">
      <c r="A77" s="118"/>
      <c r="B77" s="8" t="s">
        <v>635</v>
      </c>
      <c r="C77" s="33" t="s">
        <v>260</v>
      </c>
      <c r="D77" s="8" t="s">
        <v>3475</v>
      </c>
      <c r="E77" s="135" t="str">
        <f>HYPERLINK("https://youtu.be/UwoXowq4Wu4?t=3701","channel 1")</f>
        <v>channel 1</v>
      </c>
    </row>
    <row r="78">
      <c r="A78" s="118"/>
      <c r="B78" s="8" t="s">
        <v>516</v>
      </c>
      <c r="C78" s="33" t="s">
        <v>28</v>
      </c>
      <c r="D78" s="8" t="s">
        <v>4044</v>
      </c>
      <c r="E78" s="11" t="str">
        <f>HYPERLINK("https://youtu.be/7JJRtVSYjaQ?t=3730","channel 2")</f>
        <v>channel 2</v>
      </c>
    </row>
    <row r="79">
      <c r="A79" s="118"/>
      <c r="B79" s="8" t="s">
        <v>4044</v>
      </c>
      <c r="C79" s="33" t="s">
        <v>190</v>
      </c>
      <c r="D79" s="8" t="s">
        <v>3733</v>
      </c>
      <c r="E79" s="135" t="str">
        <f>HYPERLINK("https://youtu.be/UwoXowq4Wu4?t=4704","channel 1")</f>
        <v>channel 1</v>
      </c>
    </row>
    <row r="80">
      <c r="A80" s="118"/>
      <c r="B80" s="8" t="s">
        <v>516</v>
      </c>
      <c r="C80" s="33" t="s">
        <v>346</v>
      </c>
      <c r="D80" s="8" t="s">
        <v>3475</v>
      </c>
      <c r="E80" s="11" t="str">
        <f>HYPERLINK("https://youtu.be/7JJRtVSYjaQ?t=4689","channel 2")</f>
        <v>channel 2</v>
      </c>
    </row>
    <row r="81">
      <c r="A81" s="118"/>
      <c r="B81" s="8" t="s">
        <v>3733</v>
      </c>
      <c r="C81" s="33" t="s">
        <v>48</v>
      </c>
      <c r="D81" s="8" t="s">
        <v>635</v>
      </c>
      <c r="E81" s="135" t="str">
        <f>HYPERLINK("https://youtu.be/UwoXowq4Wu4?t=5557","channel 1")</f>
        <v>channel 1</v>
      </c>
    </row>
    <row r="82">
      <c r="A82" s="118"/>
      <c r="B82" s="8" t="s">
        <v>4044</v>
      </c>
      <c r="C82" s="33" t="s">
        <v>400</v>
      </c>
      <c r="D82" s="8" t="s">
        <v>3475</v>
      </c>
      <c r="E82" s="11" t="str">
        <f>HYPERLINK("https://youtu.be/7JJRtVSYjaQ?t=5706","channel 2")</f>
        <v>channel 2</v>
      </c>
    </row>
    <row r="83">
      <c r="A83" s="118"/>
      <c r="B83" s="8" t="s">
        <v>516</v>
      </c>
      <c r="C83" s="33" t="s">
        <v>80</v>
      </c>
      <c r="D83" s="8" t="s">
        <v>635</v>
      </c>
      <c r="E83" s="135" t="str">
        <f>HYPERLINK("https://youtu.be/UwoXowq4Wu4?t=6597","channel 1")</f>
        <v>channel 1</v>
      </c>
    </row>
    <row r="84">
      <c r="A84" s="118"/>
      <c r="B84" s="8" t="s">
        <v>3733</v>
      </c>
      <c r="C84" s="33" t="s">
        <v>3555</v>
      </c>
      <c r="D84" s="8" t="s">
        <v>3475</v>
      </c>
      <c r="E84" s="11" t="str">
        <f>HYPERLINK("https://youtu.be/7JJRtVSYjaQ?t=6579","channel 2")</f>
        <v>channel 2</v>
      </c>
    </row>
    <row r="85">
      <c r="A85" s="118"/>
      <c r="B85" s="8" t="s">
        <v>4044</v>
      </c>
      <c r="C85" s="33" t="s">
        <v>466</v>
      </c>
      <c r="D85" s="8" t="s">
        <v>635</v>
      </c>
      <c r="E85" s="135" t="str">
        <f>HYPERLINK("https://youtu.be/UwoXowq4Wu4?t=7439","channel 1")</f>
        <v>channel 1</v>
      </c>
    </row>
    <row r="86">
      <c r="A86" s="118"/>
      <c r="B86" s="8" t="s">
        <v>3733</v>
      </c>
      <c r="C86" s="33" t="s">
        <v>215</v>
      </c>
      <c r="D86" s="8" t="s">
        <v>516</v>
      </c>
      <c r="E86" s="11" t="str">
        <f>HYPERLINK("https://youtu.be/7JJRtVSYjaQ?t=7440","channel 2")</f>
        <v>channel 2</v>
      </c>
    </row>
    <row r="87">
      <c r="A87" s="118"/>
      <c r="B87" s="8" t="s">
        <v>3475</v>
      </c>
      <c r="C87" s="33" t="s">
        <v>218</v>
      </c>
      <c r="D87" s="8" t="s">
        <v>635</v>
      </c>
      <c r="E87" s="135" t="str">
        <f>HYPERLINK("https://youtu.be/UwoXowq4Wu4?t=8310","channel 1")</f>
        <v>channel 1</v>
      </c>
    </row>
    <row r="88">
      <c r="A88" s="122"/>
      <c r="B88" s="8" t="s">
        <v>4044</v>
      </c>
      <c r="C88" s="33" t="s">
        <v>295</v>
      </c>
      <c r="D88" s="8" t="s">
        <v>516</v>
      </c>
      <c r="E88" s="11" t="str">
        <f>HYPERLINK("https://youtu.be/7JJRtVSYjaQ?t=8276","channel 2")</f>
        <v>channel 2</v>
      </c>
    </row>
    <row r="89">
      <c r="B89" s="72" t="s">
        <v>2661</v>
      </c>
      <c r="C89" s="2"/>
      <c r="D89" s="3"/>
      <c r="E89" s="138"/>
    </row>
    <row r="90">
      <c r="B90" s="35" t="s">
        <v>2</v>
      </c>
      <c r="C90" s="35" t="s">
        <v>3</v>
      </c>
      <c r="D90" s="35" t="s">
        <v>4</v>
      </c>
      <c r="E90" s="16" t="s">
        <v>5</v>
      </c>
    </row>
    <row r="91">
      <c r="B91" s="8" t="s">
        <v>4045</v>
      </c>
      <c r="C91" s="33" t="s">
        <v>87</v>
      </c>
      <c r="D91" s="8" t="s">
        <v>1242</v>
      </c>
      <c r="E91" s="135" t="str">
        <f>HYPERLINK("https://youtu.be/G6FenFacVlc","channel 1")</f>
        <v>channel 1</v>
      </c>
    </row>
    <row r="92">
      <c r="B92" s="8" t="s">
        <v>4046</v>
      </c>
      <c r="C92" s="33" t="s">
        <v>201</v>
      </c>
      <c r="D92" s="8" t="s">
        <v>3742</v>
      </c>
      <c r="E92" s="11" t="str">
        <f>HYPERLINK("https://youtu.be/ZuZQh1wD7Zs","channel 2")</f>
        <v>channel 2</v>
      </c>
    </row>
    <row r="93">
      <c r="B93" s="8" t="s">
        <v>2400</v>
      </c>
      <c r="C93" s="33" t="s">
        <v>81</v>
      </c>
      <c r="D93" s="8" t="s">
        <v>4045</v>
      </c>
      <c r="E93" s="135" t="str">
        <f>HYPERLINK("https://youtu.be/G6FenFacVlc?t=931","channel 1")</f>
        <v>channel 1</v>
      </c>
    </row>
    <row r="94">
      <c r="B94" s="8" t="s">
        <v>4046</v>
      </c>
      <c r="C94" s="33" t="s">
        <v>45</v>
      </c>
      <c r="D94" s="8" t="s">
        <v>1242</v>
      </c>
      <c r="E94" s="11" t="str">
        <f>HYPERLINK("https://youtu.be/ZuZQh1wD7Zs?t=1007","channel 2")</f>
        <v>channel 2</v>
      </c>
    </row>
    <row r="95">
      <c r="B95" s="8" t="s">
        <v>2400</v>
      </c>
      <c r="C95" s="33" t="s">
        <v>43</v>
      </c>
      <c r="D95" s="8" t="s">
        <v>3742</v>
      </c>
      <c r="E95" s="135" t="str">
        <f>HYPERLINK("https://youtu.be/G6FenFacVlc?t=1873","channel 1")</f>
        <v>channel 1</v>
      </c>
    </row>
    <row r="96">
      <c r="B96" s="8" t="s">
        <v>4046</v>
      </c>
      <c r="C96" s="33" t="s">
        <v>283</v>
      </c>
      <c r="D96" s="8" t="s">
        <v>4045</v>
      </c>
      <c r="E96" s="11" t="str">
        <f>HYPERLINK("https://youtu.be/ZuZQh1wD7Zs?t=1890","channel 2")</f>
        <v>channel 2</v>
      </c>
    </row>
    <row r="97">
      <c r="B97" s="8" t="s">
        <v>2400</v>
      </c>
      <c r="C97" s="33" t="s">
        <v>81</v>
      </c>
      <c r="D97" s="8" t="s">
        <v>1242</v>
      </c>
      <c r="E97" s="135" t="str">
        <f>HYPERLINK("https://youtu.be/G6FenFacVlc?t=2707","channel 1")</f>
        <v>channel 1</v>
      </c>
    </row>
    <row r="98">
      <c r="B98" s="8" t="s">
        <v>3742</v>
      </c>
      <c r="C98" s="33" t="s">
        <v>195</v>
      </c>
      <c r="D98" s="8" t="s">
        <v>4045</v>
      </c>
      <c r="E98" s="11" t="str">
        <f>HYPERLINK("https://youtu.be/ZuZQh1wD7Zs?t=2814","channel 2")</f>
        <v>channel 2</v>
      </c>
    </row>
    <row r="99">
      <c r="B99" s="8" t="s">
        <v>2400</v>
      </c>
      <c r="C99" s="33" t="s">
        <v>614</v>
      </c>
      <c r="D99" s="8" t="s">
        <v>4046</v>
      </c>
      <c r="E99" s="135" t="str">
        <f>HYPERLINK("https://youtu.be/G6FenFacVlc?t=3610","channel 1")</f>
        <v>channel 1</v>
      </c>
    </row>
    <row r="100">
      <c r="B100" s="8" t="s">
        <v>3742</v>
      </c>
      <c r="C100" s="33" t="s">
        <v>22</v>
      </c>
      <c r="D100" s="8" t="s">
        <v>1242</v>
      </c>
      <c r="E100" s="11" t="str">
        <f>HYPERLINK("https://youtu.be/ZuZQh1wD7Zs?t=3693","channel 2")</f>
        <v>channel 2</v>
      </c>
    </row>
    <row r="101">
      <c r="B101" s="8" t="s">
        <v>1242</v>
      </c>
      <c r="C101" s="33" t="s">
        <v>87</v>
      </c>
      <c r="D101" s="8" t="s">
        <v>4045</v>
      </c>
      <c r="E101" s="135" t="str">
        <f>HYPERLINK("https://youtu.be/G6FenFacVlc?t=4537","channel 1")</f>
        <v>channel 1</v>
      </c>
    </row>
    <row r="102">
      <c r="B102" s="8" t="s">
        <v>3742</v>
      </c>
      <c r="C102" s="33" t="s">
        <v>614</v>
      </c>
      <c r="D102" s="8" t="s">
        <v>4046</v>
      </c>
      <c r="E102" s="11" t="str">
        <f>HYPERLINK("https://youtu.be/ZuZQh1wD7Zs?t=4593","channel 2")</f>
        <v>channel 2</v>
      </c>
    </row>
    <row r="103">
      <c r="B103" s="8" t="s">
        <v>4045</v>
      </c>
      <c r="C103" s="33" t="s">
        <v>722</v>
      </c>
      <c r="D103" s="8" t="s">
        <v>2400</v>
      </c>
      <c r="E103" s="135" t="str">
        <f>HYPERLINK("https://youtu.be/G6FenFacVlc?t=5412","channel 1")</f>
        <v>channel 1</v>
      </c>
    </row>
    <row r="104">
      <c r="B104" s="8" t="s">
        <v>1242</v>
      </c>
      <c r="C104" s="33" t="s">
        <v>370</v>
      </c>
      <c r="D104" s="8" t="s">
        <v>4046</v>
      </c>
      <c r="E104" s="11" t="str">
        <f>HYPERLINK("https://youtu.be/ZuZQh1wD7Zs?t=5513","channel 2")</f>
        <v>channel 2</v>
      </c>
    </row>
    <row r="105">
      <c r="B105" s="8" t="s">
        <v>3742</v>
      </c>
      <c r="C105" s="33" t="s">
        <v>17</v>
      </c>
      <c r="D105" s="8" t="s">
        <v>2400</v>
      </c>
      <c r="E105" s="135" t="str">
        <f>HYPERLINK("https://youtu.be/G6FenFacVlc?t=6414","channel 1")</f>
        <v>channel 1</v>
      </c>
    </row>
    <row r="106">
      <c r="B106" s="8" t="s">
        <v>4045</v>
      </c>
      <c r="C106" s="33" t="s">
        <v>283</v>
      </c>
      <c r="D106" s="8" t="s">
        <v>4046</v>
      </c>
      <c r="E106" s="11" t="str">
        <f>HYPERLINK("https://youtu.be/ZuZQh1wD7Zs?t=6433","channel 2")</f>
        <v>channel 2</v>
      </c>
    </row>
    <row r="107">
      <c r="B107" s="8" t="s">
        <v>1242</v>
      </c>
      <c r="C107" s="33" t="s">
        <v>193</v>
      </c>
      <c r="D107" s="8" t="s">
        <v>2400</v>
      </c>
      <c r="E107" s="135" t="str">
        <f>HYPERLINK("https://youtu.be/G6FenFacVlc?t=7318","channel 1")</f>
        <v>channel 1</v>
      </c>
    </row>
    <row r="108">
      <c r="B108" s="8" t="s">
        <v>4045</v>
      </c>
      <c r="C108" s="33" t="s">
        <v>201</v>
      </c>
      <c r="D108" s="8" t="s">
        <v>3742</v>
      </c>
      <c r="E108" s="11" t="str">
        <f>HYPERLINK("https://youtu.be/ZuZQh1wD7Zs?t=7332","channel 2")</f>
        <v>channel 2</v>
      </c>
    </row>
    <row r="109">
      <c r="B109" s="8" t="s">
        <v>4046</v>
      </c>
      <c r="C109" s="33" t="s">
        <v>193</v>
      </c>
      <c r="D109" s="8" t="s">
        <v>2400</v>
      </c>
      <c r="E109" s="135" t="str">
        <f>HYPERLINK("https://youtu.be/G6FenFacVlc?t=8222","channel 1")</f>
        <v>channel 1</v>
      </c>
    </row>
    <row r="110">
      <c r="B110" s="8" t="s">
        <v>1242</v>
      </c>
      <c r="C110" s="33" t="s">
        <v>328</v>
      </c>
      <c r="D110" s="8" t="s">
        <v>3742</v>
      </c>
      <c r="E110" s="11" t="str">
        <f>HYPERLINK("https://youtu.be/ZuZQh1wD7Zs?t=8236","channel 2")</f>
        <v>channel 2</v>
      </c>
    </row>
    <row r="111">
      <c r="B111" s="72" t="s">
        <v>3552</v>
      </c>
      <c r="C111" s="2"/>
      <c r="D111" s="3"/>
      <c r="E111" s="138"/>
    </row>
    <row r="112">
      <c r="B112" s="35" t="s">
        <v>2</v>
      </c>
      <c r="C112" s="35" t="s">
        <v>3</v>
      </c>
      <c r="D112" s="35" t="s">
        <v>4</v>
      </c>
      <c r="E112" s="16" t="s">
        <v>5</v>
      </c>
    </row>
    <row r="113">
      <c r="B113" s="8" t="s">
        <v>1990</v>
      </c>
      <c r="C113" s="33" t="s">
        <v>190</v>
      </c>
      <c r="D113" s="8" t="s">
        <v>2901</v>
      </c>
      <c r="E113" s="135" t="str">
        <f>HYPERLINK("https://youtu.be/S4ap6mO18s8","channel 1")</f>
        <v>channel 1</v>
      </c>
    </row>
    <row r="114">
      <c r="B114" s="8" t="s">
        <v>4047</v>
      </c>
      <c r="C114" s="33" t="s">
        <v>270</v>
      </c>
      <c r="D114" s="8" t="s">
        <v>4048</v>
      </c>
      <c r="E114" s="11" t="str">
        <f>HYPERLINK("https://youtu.be/1-DXwMHXDiY","channel 2")</f>
        <v>channel 2</v>
      </c>
    </row>
    <row r="115">
      <c r="B115" s="8" t="s">
        <v>934</v>
      </c>
      <c r="C115" s="33" t="s">
        <v>369</v>
      </c>
      <c r="D115" s="8" t="s">
        <v>1990</v>
      </c>
      <c r="E115" s="135" t="str">
        <f>HYPERLINK("https://youtu.be/S4ap6mO18s8?t=912","channel 1")</f>
        <v>channel 1</v>
      </c>
    </row>
    <row r="116">
      <c r="B116" s="8" t="s">
        <v>4047</v>
      </c>
      <c r="C116" s="33" t="s">
        <v>201</v>
      </c>
      <c r="D116" s="8" t="s">
        <v>2901</v>
      </c>
      <c r="E116" s="11" t="str">
        <f>HYPERLINK("https://youtu.be/1-DXwMHXDiY?t=970","channel 2")</f>
        <v>channel 2</v>
      </c>
    </row>
    <row r="117">
      <c r="B117" s="8" t="s">
        <v>934</v>
      </c>
      <c r="C117" s="33" t="s">
        <v>26</v>
      </c>
      <c r="D117" s="8" t="s">
        <v>4048</v>
      </c>
      <c r="E117" s="135" t="str">
        <f>HYPERLINK("https://youtu.be/S4ap6mO18s8?t=1812","channel 1")</f>
        <v>channel 1</v>
      </c>
    </row>
    <row r="118">
      <c r="B118" s="8" t="s">
        <v>4047</v>
      </c>
      <c r="C118" s="33" t="s">
        <v>25</v>
      </c>
      <c r="D118" s="8" t="s">
        <v>1990</v>
      </c>
      <c r="E118" s="11" t="str">
        <f>HYPERLINK("https://youtu.be/1-DXwMHXDiY?t=1853","channel 2")</f>
        <v>channel 2</v>
      </c>
    </row>
    <row r="119">
      <c r="B119" s="8" t="s">
        <v>934</v>
      </c>
      <c r="C119" s="33" t="s">
        <v>218</v>
      </c>
      <c r="D119" s="8" t="s">
        <v>2901</v>
      </c>
      <c r="E119" s="135" t="str">
        <f>HYPERLINK("https://youtu.be/S4ap6mO18s8?t=2818","channel 1")</f>
        <v>channel 1</v>
      </c>
    </row>
    <row r="120">
      <c r="B120" s="8" t="s">
        <v>4048</v>
      </c>
      <c r="C120" s="33" t="s">
        <v>81</v>
      </c>
      <c r="D120" s="8" t="s">
        <v>1990</v>
      </c>
      <c r="E120" s="11" t="str">
        <f>HYPERLINK("https://youtu.be/1-DXwMHXDiY?t=2868","channel 2")</f>
        <v>channel 2</v>
      </c>
    </row>
    <row r="121">
      <c r="B121" s="8" t="s">
        <v>934</v>
      </c>
      <c r="C121" s="33" t="s">
        <v>370</v>
      </c>
      <c r="D121" s="8" t="s">
        <v>4047</v>
      </c>
      <c r="E121" s="135" t="str">
        <f>HYPERLINK("https://youtu.be/S4ap6mO18s8?t=3649","channel 1")</f>
        <v>channel 1</v>
      </c>
    </row>
    <row r="122">
      <c r="B122" s="8" t="s">
        <v>4048</v>
      </c>
      <c r="C122" s="33" t="s">
        <v>195</v>
      </c>
      <c r="D122" s="8" t="s">
        <v>2901</v>
      </c>
      <c r="E122" s="11" t="str">
        <f>HYPERLINK("https://youtu.be/1-DXwMHXDiY?t=3753","channel 2")</f>
        <v>channel 2</v>
      </c>
    </row>
    <row r="123">
      <c r="B123" s="8" t="s">
        <v>2901</v>
      </c>
      <c r="C123" s="33" t="s">
        <v>18</v>
      </c>
      <c r="D123" s="8" t="s">
        <v>1990</v>
      </c>
      <c r="E123" s="135" t="str">
        <f>HYPERLINK("https://youtu.be/S4ap6mO18s8?t=4613","channel 1")</f>
        <v>channel 1</v>
      </c>
    </row>
    <row r="124">
      <c r="B124" s="8" t="s">
        <v>4048</v>
      </c>
      <c r="C124" s="33" t="s">
        <v>195</v>
      </c>
      <c r="D124" s="8" t="s">
        <v>4047</v>
      </c>
      <c r="E124" s="11" t="str">
        <f>HYPERLINK("https://youtu.be/1-DXwMHXDiY?t=4659","channel 2")</f>
        <v>channel 2</v>
      </c>
    </row>
    <row r="125">
      <c r="B125" s="8" t="s">
        <v>1990</v>
      </c>
      <c r="C125" s="33" t="s">
        <v>68</v>
      </c>
      <c r="D125" s="8" t="s">
        <v>934</v>
      </c>
      <c r="E125" s="135" t="str">
        <f>HYPERLINK("https://youtu.be/S4ap6mO18s8?t=5487","channel 1")</f>
        <v>channel 1</v>
      </c>
    </row>
    <row r="126">
      <c r="B126" s="8" t="s">
        <v>2901</v>
      </c>
      <c r="C126" s="33" t="s">
        <v>80</v>
      </c>
      <c r="D126" s="8" t="s">
        <v>4047</v>
      </c>
      <c r="E126" s="11" t="str">
        <f>HYPERLINK("https://youtu.be/1-DXwMHXDiY?t=5543","channel 2")</f>
        <v>channel 2</v>
      </c>
    </row>
    <row r="127">
      <c r="B127" s="8" t="s">
        <v>4048</v>
      </c>
      <c r="C127" s="33" t="s">
        <v>261</v>
      </c>
      <c r="D127" s="8" t="s">
        <v>934</v>
      </c>
      <c r="E127" s="135" t="str">
        <f>HYPERLINK("https://youtu.be/S4ap6mO18s8?t=6365","channel 1")</f>
        <v>channel 1</v>
      </c>
    </row>
    <row r="128">
      <c r="B128" s="8" t="s">
        <v>1990</v>
      </c>
      <c r="C128" s="33" t="s">
        <v>83</v>
      </c>
      <c r="D128" s="8" t="s">
        <v>4047</v>
      </c>
      <c r="E128" s="11" t="str">
        <f>HYPERLINK("https://youtu.be/1-DXwMHXDiY?t=6453","channel 2")</f>
        <v>channel 2</v>
      </c>
    </row>
    <row r="129">
      <c r="B129" s="8" t="s">
        <v>2901</v>
      </c>
      <c r="C129" s="33" t="s">
        <v>270</v>
      </c>
      <c r="D129" s="8" t="s">
        <v>934</v>
      </c>
      <c r="E129" s="135" t="str">
        <f>HYPERLINK("https://youtu.be/S4ap6mO18s8?t=7234","channel 1")</f>
        <v>channel 1</v>
      </c>
    </row>
    <row r="130">
      <c r="B130" s="8" t="s">
        <v>1990</v>
      </c>
      <c r="C130" s="33" t="s">
        <v>201</v>
      </c>
      <c r="D130" s="8" t="s">
        <v>4048</v>
      </c>
      <c r="E130" s="11" t="str">
        <f>HYPERLINK("https://youtu.be/1-DXwMHXDiY?t=7415","channel 2")</f>
        <v>channel 2</v>
      </c>
    </row>
    <row r="131">
      <c r="B131" s="8" t="s">
        <v>4047</v>
      </c>
      <c r="C131" s="33" t="s">
        <v>14</v>
      </c>
      <c r="D131" s="8" t="s">
        <v>934</v>
      </c>
      <c r="E131" s="135" t="str">
        <f>HYPERLINK("https://youtu.be/S4ap6mO18s8?t=7987","channel 1")</f>
        <v>channel 1</v>
      </c>
    </row>
    <row r="132">
      <c r="B132" s="8" t="s">
        <v>2901</v>
      </c>
      <c r="C132" s="33" t="s">
        <v>857</v>
      </c>
      <c r="D132" s="8" t="s">
        <v>4048</v>
      </c>
      <c r="E132" s="11" t="str">
        <f>HYPERLINK("https://youtu.be/1-DXwMHXDiY?t=8424","channel 2")</f>
        <v>channel 2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7"/>
      <c r="B1" s="72" t="s">
        <v>2154</v>
      </c>
      <c r="C1" s="2"/>
      <c r="D1" s="3"/>
      <c r="E1" s="134"/>
    </row>
    <row r="2">
      <c r="A2" s="118"/>
      <c r="B2" s="35" t="s">
        <v>2</v>
      </c>
      <c r="C2" s="35" t="s">
        <v>3</v>
      </c>
      <c r="D2" s="35" t="s">
        <v>4</v>
      </c>
      <c r="E2" s="6" t="s">
        <v>5</v>
      </c>
    </row>
    <row r="3">
      <c r="A3" s="118"/>
      <c r="B3" s="8" t="s">
        <v>3761</v>
      </c>
      <c r="C3" s="33" t="s">
        <v>219</v>
      </c>
      <c r="D3" s="8" t="s">
        <v>1904</v>
      </c>
      <c r="E3" s="135" t="str">
        <f>HYPERLINK("https://youtu.be/gG1lVt5izms","channel 1")</f>
        <v>channel 1</v>
      </c>
    </row>
    <row r="4">
      <c r="A4" s="118"/>
      <c r="B4" s="8" t="s">
        <v>529</v>
      </c>
      <c r="C4" s="60" t="s">
        <v>195</v>
      </c>
      <c r="D4" s="8" t="s">
        <v>4049</v>
      </c>
      <c r="E4" s="11" t="str">
        <f>HYPERLINK("https://youtu.be/cWcfvPl5HoA","channel 2")</f>
        <v>channel 2</v>
      </c>
    </row>
    <row r="5">
      <c r="A5" s="118"/>
      <c r="B5" s="8" t="s">
        <v>189</v>
      </c>
      <c r="C5" s="33" t="s">
        <v>231</v>
      </c>
      <c r="D5" s="8" t="s">
        <v>3761</v>
      </c>
      <c r="E5" s="135" t="str">
        <f>HYPERLINK("https://youtu.be/gG1lVt5izms?t=250","channel 1")</f>
        <v>channel 1</v>
      </c>
    </row>
    <row r="6">
      <c r="A6" s="118"/>
      <c r="B6" s="8" t="s">
        <v>529</v>
      </c>
      <c r="C6" s="33" t="s">
        <v>726</v>
      </c>
      <c r="D6" s="8" t="s">
        <v>1904</v>
      </c>
      <c r="E6" s="11" t="str">
        <f>HYPERLINK("https://youtu.be/cWcfvPl5HoA?t=917","channel 2")</f>
        <v>channel 2</v>
      </c>
    </row>
    <row r="7">
      <c r="A7" s="118"/>
      <c r="B7" s="8" t="s">
        <v>189</v>
      </c>
      <c r="C7" s="33" t="s">
        <v>28</v>
      </c>
      <c r="D7" s="8" t="s">
        <v>4049</v>
      </c>
      <c r="E7" s="135" t="str">
        <f>HYPERLINK("https://youtu.be/gG1lVt5izms?t=1284","channel 1")</f>
        <v>channel 1</v>
      </c>
    </row>
    <row r="8">
      <c r="A8" s="118"/>
      <c r="B8" s="8" t="s">
        <v>529</v>
      </c>
      <c r="C8" s="33" t="s">
        <v>69</v>
      </c>
      <c r="D8" s="8" t="s">
        <v>3761</v>
      </c>
      <c r="E8" s="11" t="str">
        <f>HYPERLINK("https://youtu.be/cWcfvPl5HoA?t=1892","channel 2")</f>
        <v>channel 2</v>
      </c>
    </row>
    <row r="9">
      <c r="A9" s="118"/>
      <c r="B9" s="8" t="s">
        <v>189</v>
      </c>
      <c r="C9" s="33" t="s">
        <v>62</v>
      </c>
      <c r="D9" s="8" t="s">
        <v>1904</v>
      </c>
      <c r="E9" s="135" t="str">
        <f>HYPERLINK("https://youtu.be/gG1lVt5izms?t=2189","channel 1")</f>
        <v>channel 1</v>
      </c>
    </row>
    <row r="10">
      <c r="A10" s="118"/>
      <c r="B10" s="8" t="s">
        <v>4049</v>
      </c>
      <c r="C10" s="33" t="s">
        <v>3413</v>
      </c>
      <c r="D10" s="8" t="s">
        <v>3761</v>
      </c>
      <c r="E10" s="11" t="str">
        <f>HYPERLINK("https://youtu.be/cWcfvPl5HoA?t=2891","channel 2")</f>
        <v>channel 2</v>
      </c>
    </row>
    <row r="11">
      <c r="A11" s="118"/>
      <c r="B11" s="8" t="s">
        <v>189</v>
      </c>
      <c r="C11" s="33" t="s">
        <v>26</v>
      </c>
      <c r="D11" s="8" t="s">
        <v>529</v>
      </c>
      <c r="E11" s="135" t="str">
        <f>HYPERLINK("https://youtu.be/gG1lVt5izms?t=3232","channel 1")</f>
        <v>channel 1</v>
      </c>
    </row>
    <row r="12">
      <c r="A12" s="118"/>
      <c r="B12" s="8" t="s">
        <v>4049</v>
      </c>
      <c r="C12" s="33" t="s">
        <v>62</v>
      </c>
      <c r="D12" s="8" t="s">
        <v>1904</v>
      </c>
      <c r="E12" s="11" t="str">
        <f>HYPERLINK("https://youtu.be/cWcfvPl5HoA?t=3836","channel 2")</f>
        <v>channel 2</v>
      </c>
    </row>
    <row r="13">
      <c r="A13" s="118"/>
      <c r="B13" s="8" t="s">
        <v>1904</v>
      </c>
      <c r="C13" s="33" t="s">
        <v>446</v>
      </c>
      <c r="D13" s="8" t="s">
        <v>3761</v>
      </c>
      <c r="E13" s="135" t="str">
        <f>HYPERLINK("https://youtu.be/gG1lVt5izms?t=4192","channel 1")</f>
        <v>channel 1</v>
      </c>
    </row>
    <row r="14">
      <c r="A14" s="118"/>
      <c r="B14" s="8" t="s">
        <v>4049</v>
      </c>
      <c r="C14" s="33" t="s">
        <v>337</v>
      </c>
      <c r="D14" s="8" t="s">
        <v>529</v>
      </c>
      <c r="E14" s="11" t="str">
        <f>HYPERLINK("https://youtu.be/cWcfvPl5HoA?t=4755","channel 2")</f>
        <v>channel 2</v>
      </c>
    </row>
    <row r="15">
      <c r="A15" s="118"/>
      <c r="B15" s="8" t="s">
        <v>3761</v>
      </c>
      <c r="C15" s="33" t="s">
        <v>64</v>
      </c>
      <c r="D15" s="8" t="s">
        <v>189</v>
      </c>
      <c r="E15" s="135" t="str">
        <f>HYPERLINK("https://youtu.be/gG1lVt5izms?t=5194","channel 1")</f>
        <v>channel 1</v>
      </c>
    </row>
    <row r="16">
      <c r="A16" s="118"/>
      <c r="B16" s="8" t="s">
        <v>1904</v>
      </c>
      <c r="C16" s="33" t="s">
        <v>217</v>
      </c>
      <c r="D16" s="8" t="s">
        <v>529</v>
      </c>
      <c r="E16" s="11" t="str">
        <f>HYPERLINK("https://youtu.be/cWcfvPl5HoA?t=5861","channel 2")</f>
        <v>channel 2</v>
      </c>
    </row>
    <row r="17">
      <c r="A17" s="118"/>
      <c r="B17" s="8" t="s">
        <v>4049</v>
      </c>
      <c r="C17" s="33" t="s">
        <v>404</v>
      </c>
      <c r="D17" s="8" t="s">
        <v>189</v>
      </c>
      <c r="E17" s="135" t="str">
        <f>HYPERLINK("https://youtu.be/gG1lVt5izms?t=6131","channel 1")</f>
        <v>channel 1</v>
      </c>
    </row>
    <row r="18">
      <c r="A18" s="118"/>
      <c r="B18" s="8" t="s">
        <v>3761</v>
      </c>
      <c r="C18" s="33" t="s">
        <v>81</v>
      </c>
      <c r="D18" s="8" t="s">
        <v>529</v>
      </c>
      <c r="E18" s="11" t="str">
        <f>HYPERLINK("https://youtu.be/cWcfvPl5HoA?t=6764","channel 2")</f>
        <v>channel 2</v>
      </c>
    </row>
    <row r="19">
      <c r="A19" s="118"/>
      <c r="B19" s="8" t="s">
        <v>1904</v>
      </c>
      <c r="C19" s="33" t="s">
        <v>197</v>
      </c>
      <c r="D19" s="8" t="s">
        <v>189</v>
      </c>
      <c r="E19" s="135" t="str">
        <f>HYPERLINK("https://youtu.be/gG1lVt5izms?t=7072","channel 1")</f>
        <v>channel 1</v>
      </c>
    </row>
    <row r="20">
      <c r="A20" s="118"/>
      <c r="B20" s="8" t="s">
        <v>3761</v>
      </c>
      <c r="C20" s="33" t="s">
        <v>24</v>
      </c>
      <c r="D20" s="8" t="s">
        <v>4049</v>
      </c>
      <c r="E20" s="11" t="str">
        <f>HYPERLINK("https://youtu.be/cWcfvPl5HoA?t=7672","channel 2")</f>
        <v>channel 2</v>
      </c>
    </row>
    <row r="21">
      <c r="A21" s="118"/>
      <c r="B21" s="8" t="s">
        <v>529</v>
      </c>
      <c r="C21" s="33" t="s">
        <v>22</v>
      </c>
      <c r="D21" s="8" t="s">
        <v>189</v>
      </c>
      <c r="E21" s="135" t="str">
        <f>HYPERLINK("https://youtu.be/gG1lVt5izms?t=7989","channel 1")</f>
        <v>channel 1</v>
      </c>
    </row>
    <row r="22">
      <c r="A22" s="118"/>
      <c r="B22" s="8" t="s">
        <v>1904</v>
      </c>
      <c r="C22" s="33" t="s">
        <v>1342</v>
      </c>
      <c r="D22" s="8" t="s">
        <v>4049</v>
      </c>
      <c r="E22" s="11" t="str">
        <f>HYPERLINK("https://youtu.be/cWcfvPl5HoA?t=8597","channel 2")</f>
        <v>channel 2</v>
      </c>
    </row>
    <row r="23">
      <c r="A23" s="118"/>
      <c r="B23" s="72" t="s">
        <v>3143</v>
      </c>
      <c r="C23" s="2"/>
      <c r="D23" s="3"/>
      <c r="E23" s="134"/>
    </row>
    <row r="24">
      <c r="A24" s="118"/>
      <c r="B24" s="35" t="s">
        <v>2</v>
      </c>
      <c r="C24" s="35" t="s">
        <v>3</v>
      </c>
      <c r="D24" s="35" t="s">
        <v>4</v>
      </c>
      <c r="E24" s="6" t="s">
        <v>5</v>
      </c>
    </row>
    <row r="25">
      <c r="A25" s="118"/>
      <c r="B25" s="8" t="s">
        <v>3596</v>
      </c>
      <c r="C25" s="33" t="s">
        <v>294</v>
      </c>
      <c r="D25" s="8" t="s">
        <v>4050</v>
      </c>
      <c r="E25" s="135" t="str">
        <f>HYPERLINK("https://youtu.be/xnoUBF8SSA8","channel 1")</f>
        <v>channel 1</v>
      </c>
    </row>
    <row r="26">
      <c r="A26" s="118"/>
      <c r="B26" s="8" t="s">
        <v>4051</v>
      </c>
      <c r="C26" s="33" t="s">
        <v>24</v>
      </c>
      <c r="D26" s="8" t="s">
        <v>4052</v>
      </c>
      <c r="E26" s="11" t="str">
        <f>HYPERLINK("https://youtu.be/R4BIoa8qnqk","channel 2")</f>
        <v>channel 2</v>
      </c>
    </row>
    <row r="27">
      <c r="A27" s="118"/>
      <c r="B27" s="8" t="s">
        <v>1295</v>
      </c>
      <c r="C27" s="33" t="s">
        <v>297</v>
      </c>
      <c r="D27" s="8" t="s">
        <v>3596</v>
      </c>
      <c r="E27" s="135" t="str">
        <f>HYPERLINK("https://youtu.be/xnoUBF8SSA8?t=933","channel 1")</f>
        <v>channel 1</v>
      </c>
    </row>
    <row r="28">
      <c r="A28" s="118"/>
      <c r="B28" s="8" t="s">
        <v>4051</v>
      </c>
      <c r="C28" s="33" t="s">
        <v>62</v>
      </c>
      <c r="D28" s="8" t="s">
        <v>4050</v>
      </c>
      <c r="E28" s="11" t="str">
        <f>HYPERLINK("https://youtu.be/R4BIoa8qnqk?t=922","channel 2")</f>
        <v>channel 2</v>
      </c>
    </row>
    <row r="29">
      <c r="A29" s="118"/>
      <c r="B29" s="8" t="s">
        <v>1295</v>
      </c>
      <c r="C29" s="33" t="s">
        <v>354</v>
      </c>
      <c r="D29" s="8" t="s">
        <v>4052</v>
      </c>
      <c r="E29" s="135" t="str">
        <f>HYPERLINK("https://youtu.be/xnoUBF8SSA8?t=1853","channel 1")</f>
        <v>channel 1</v>
      </c>
    </row>
    <row r="30">
      <c r="A30" s="118"/>
      <c r="B30" s="8" t="s">
        <v>4051</v>
      </c>
      <c r="C30" s="33" t="s">
        <v>196</v>
      </c>
      <c r="D30" s="8" t="s">
        <v>3596</v>
      </c>
      <c r="E30" s="11" t="str">
        <f>HYPERLINK("https://youtu.be/R4BIoa8qnqk?t=1822","channel 2")</f>
        <v>channel 2</v>
      </c>
    </row>
    <row r="31">
      <c r="A31" s="118"/>
      <c r="B31" s="8" t="s">
        <v>1295</v>
      </c>
      <c r="C31" s="33" t="s">
        <v>201</v>
      </c>
      <c r="D31" s="8" t="s">
        <v>4050</v>
      </c>
      <c r="E31" s="135" t="str">
        <f>HYPERLINK("https://youtu.be/xnoUBF8SSA8?t=2772","channel 1")</f>
        <v>channel 1</v>
      </c>
    </row>
    <row r="32">
      <c r="A32" s="118"/>
      <c r="B32" s="8" t="s">
        <v>4052</v>
      </c>
      <c r="C32" s="33" t="s">
        <v>285</v>
      </c>
      <c r="D32" s="8" t="s">
        <v>3596</v>
      </c>
      <c r="E32" s="11" t="str">
        <f>HYPERLINK("https://youtu.be/R4BIoa8qnqk?t=2790","channel 2")</f>
        <v>channel 2</v>
      </c>
    </row>
    <row r="33">
      <c r="A33" s="118"/>
      <c r="B33" s="8" t="s">
        <v>1295</v>
      </c>
      <c r="C33" s="33" t="s">
        <v>285</v>
      </c>
      <c r="D33" s="8" t="s">
        <v>4051</v>
      </c>
      <c r="E33" s="135" t="str">
        <f>HYPERLINK("https://youtu.be/xnoUBF8SSA8?t=3677","channel 1")</f>
        <v>channel 1</v>
      </c>
    </row>
    <row r="34">
      <c r="A34" s="118"/>
      <c r="B34" s="8" t="s">
        <v>4052</v>
      </c>
      <c r="C34" s="33" t="s">
        <v>270</v>
      </c>
      <c r="D34" s="8" t="s">
        <v>4050</v>
      </c>
      <c r="E34" s="11" t="str">
        <f>HYPERLINK("https://youtu.be/R4BIoa8qnqk?t=3779","channel 2")</f>
        <v>channel 2</v>
      </c>
    </row>
    <row r="35">
      <c r="A35" s="118"/>
      <c r="B35" s="8" t="s">
        <v>4050</v>
      </c>
      <c r="C35" s="33" t="s">
        <v>18</v>
      </c>
      <c r="D35" s="8" t="s">
        <v>3596</v>
      </c>
      <c r="E35" s="135" t="str">
        <f>HYPERLINK("https://youtu.be/xnoUBF8SSA8?t=4682","channel 1")</f>
        <v>channel 1</v>
      </c>
    </row>
    <row r="36">
      <c r="A36" s="118"/>
      <c r="B36" s="8" t="s">
        <v>4052</v>
      </c>
      <c r="C36" s="33" t="s">
        <v>1031</v>
      </c>
      <c r="D36" s="8" t="s">
        <v>4051</v>
      </c>
      <c r="E36" s="11" t="str">
        <f>HYPERLINK("https://youtu.be/R4BIoa8qnqk?t=4682","channel 2")</f>
        <v>channel 2</v>
      </c>
    </row>
    <row r="37">
      <c r="A37" s="118"/>
      <c r="B37" s="8" t="s">
        <v>3596</v>
      </c>
      <c r="C37" s="33" t="s">
        <v>352</v>
      </c>
      <c r="D37" s="8" t="s">
        <v>1295</v>
      </c>
      <c r="E37" s="135" t="str">
        <f>HYPERLINK("https://youtu.be/xnoUBF8SSA8?t=5605","channel 1")</f>
        <v>channel 1</v>
      </c>
    </row>
    <row r="38">
      <c r="A38" s="118"/>
      <c r="B38" s="8" t="s">
        <v>4050</v>
      </c>
      <c r="C38" s="33" t="s">
        <v>26</v>
      </c>
      <c r="D38" s="8" t="s">
        <v>4051</v>
      </c>
      <c r="E38" s="11" t="str">
        <f>HYPERLINK("https://youtu.be/R4BIoa8qnqk?t=5578","channel 2")</f>
        <v>channel 2</v>
      </c>
    </row>
    <row r="39">
      <c r="A39" s="118"/>
      <c r="B39" s="8" t="s">
        <v>4052</v>
      </c>
      <c r="C39" s="35" t="s">
        <v>25</v>
      </c>
      <c r="D39" s="8" t="s">
        <v>1295</v>
      </c>
      <c r="E39" s="135" t="str">
        <f>HYPERLINK("https://youtu.be/xnoUBF8SSA8?t=6534","channel 1")</f>
        <v>channel 1</v>
      </c>
    </row>
    <row r="40">
      <c r="A40" s="118"/>
      <c r="B40" s="8" t="s">
        <v>3596</v>
      </c>
      <c r="C40" s="33" t="s">
        <v>81</v>
      </c>
      <c r="D40" s="8" t="s">
        <v>4051</v>
      </c>
      <c r="E40" s="11" t="str">
        <f>HYPERLINK("https://youtu.be/R4BIoa8qnqk?t=6483","channel 2")</f>
        <v>channel 2</v>
      </c>
    </row>
    <row r="41">
      <c r="A41" s="118"/>
      <c r="B41" s="8" t="s">
        <v>4050</v>
      </c>
      <c r="C41" s="33" t="s">
        <v>18</v>
      </c>
      <c r="D41" s="8" t="s">
        <v>1295</v>
      </c>
      <c r="E41" s="135" t="str">
        <f>HYPERLINK("https://youtu.be/xnoUBF8SSA8?t=7434","channel 1")</f>
        <v>channel 1</v>
      </c>
    </row>
    <row r="42">
      <c r="A42" s="118"/>
      <c r="B42" s="8" t="s">
        <v>3596</v>
      </c>
      <c r="C42" s="33" t="s">
        <v>551</v>
      </c>
      <c r="D42" s="8" t="s">
        <v>4052</v>
      </c>
      <c r="E42" s="11" t="str">
        <f>HYPERLINK("https://youtu.be/R4BIoa8qnqk?t=7465","channel 2")</f>
        <v>channel 2</v>
      </c>
    </row>
    <row r="43">
      <c r="A43" s="118"/>
      <c r="B43" s="8" t="s">
        <v>4051</v>
      </c>
      <c r="C43" s="33" t="s">
        <v>651</v>
      </c>
      <c r="D43" s="8" t="s">
        <v>1295</v>
      </c>
      <c r="E43" s="135" t="str">
        <f>HYPERLINK("https://youtu.be/xnoUBF8SSA8?t=8344","channel 1")</f>
        <v>channel 1</v>
      </c>
    </row>
    <row r="44">
      <c r="A44" s="118"/>
      <c r="B44" s="8" t="s">
        <v>4050</v>
      </c>
      <c r="C44" s="33" t="s">
        <v>259</v>
      </c>
      <c r="D44" s="8" t="s">
        <v>4052</v>
      </c>
      <c r="E44" s="11" t="str">
        <f>HYPERLINK("https://youtu.be/R4BIoa8qnqk?t=8396","channel 2")</f>
        <v>channel 2</v>
      </c>
    </row>
    <row r="45">
      <c r="A45" s="118"/>
      <c r="B45" s="72" t="s">
        <v>3019</v>
      </c>
      <c r="C45" s="2"/>
      <c r="D45" s="3"/>
      <c r="E45" s="134"/>
    </row>
    <row r="46">
      <c r="A46" s="118"/>
      <c r="B46" s="35" t="s">
        <v>2</v>
      </c>
      <c r="C46" s="35" t="s">
        <v>3</v>
      </c>
      <c r="D46" s="35" t="s">
        <v>4</v>
      </c>
      <c r="E46" s="6" t="s">
        <v>5</v>
      </c>
    </row>
    <row r="47">
      <c r="A47" s="118"/>
      <c r="B47" s="8" t="s">
        <v>4053</v>
      </c>
      <c r="C47" s="33" t="s">
        <v>25</v>
      </c>
      <c r="D47" s="8" t="s">
        <v>1907</v>
      </c>
      <c r="E47" s="135" t="str">
        <f>HYPERLINK("https://youtu.be/jHoCnJhfqWo","channel 1")</f>
        <v>channel 1</v>
      </c>
    </row>
    <row r="48">
      <c r="A48" s="118"/>
      <c r="B48" s="8" t="s">
        <v>1790</v>
      </c>
      <c r="C48" s="33" t="s">
        <v>232</v>
      </c>
      <c r="D48" s="8" t="s">
        <v>3905</v>
      </c>
      <c r="E48" s="11" t="str">
        <f>HYPERLINK("https://youtu.be/6DnptHJ-rQE","channel 2")</f>
        <v>channel 2</v>
      </c>
    </row>
    <row r="49">
      <c r="A49" s="118"/>
      <c r="B49" s="8" t="s">
        <v>2807</v>
      </c>
      <c r="C49" s="33" t="s">
        <v>250</v>
      </c>
      <c r="D49" s="8" t="s">
        <v>4053</v>
      </c>
      <c r="E49" s="135" t="str">
        <f>HYPERLINK("https://youtu.be/jHoCnJhfqWo?t=1006","channel 1")</f>
        <v>channel 1</v>
      </c>
    </row>
    <row r="50">
      <c r="A50" s="118"/>
      <c r="B50" s="8" t="s">
        <v>1790</v>
      </c>
      <c r="C50" s="33" t="s">
        <v>190</v>
      </c>
      <c r="D50" s="8" t="s">
        <v>1907</v>
      </c>
      <c r="E50" s="11" t="str">
        <f>HYPERLINK("https://youtu.be/6DnptHJ-rQE?t=986","channel 2")</f>
        <v>channel 2</v>
      </c>
    </row>
    <row r="51">
      <c r="A51" s="118"/>
      <c r="B51" s="8" t="s">
        <v>2807</v>
      </c>
      <c r="C51" s="33" t="s">
        <v>400</v>
      </c>
      <c r="D51" s="8" t="s">
        <v>3905</v>
      </c>
      <c r="E51" s="135" t="str">
        <f>HYPERLINK("https://youtu.be/jHoCnJhfqWo?t=1940","channel 1")</f>
        <v>channel 1</v>
      </c>
    </row>
    <row r="52">
      <c r="A52" s="118"/>
      <c r="B52" s="8" t="s">
        <v>1790</v>
      </c>
      <c r="C52" s="33" t="s">
        <v>20</v>
      </c>
      <c r="D52" s="8" t="s">
        <v>4053</v>
      </c>
      <c r="E52" s="11" t="str">
        <f>HYPERLINK("https://youtu.be/6DnptHJ-rQE?t=1852","channel 2")</f>
        <v>channel 2</v>
      </c>
    </row>
    <row r="53">
      <c r="A53" s="118"/>
      <c r="B53" s="8" t="s">
        <v>2807</v>
      </c>
      <c r="C53" s="33" t="s">
        <v>193</v>
      </c>
      <c r="D53" s="8" t="s">
        <v>1907</v>
      </c>
      <c r="E53" s="135" t="str">
        <f>HYPERLINK("https://youtu.be/jHoCnJhfqWo?t=2905","channel 1")</f>
        <v>channel 1</v>
      </c>
    </row>
    <row r="54">
      <c r="A54" s="118"/>
      <c r="B54" s="8" t="s">
        <v>3905</v>
      </c>
      <c r="C54" s="33" t="s">
        <v>250</v>
      </c>
      <c r="D54" s="8" t="s">
        <v>4053</v>
      </c>
      <c r="E54" s="11" t="str">
        <f>HYPERLINK("https://youtu.be/6DnptHJ-rQE?t=2972","channel 2")</f>
        <v>channel 2</v>
      </c>
    </row>
    <row r="55">
      <c r="A55" s="118"/>
      <c r="B55" s="8" t="s">
        <v>2807</v>
      </c>
      <c r="C55" s="33" t="s">
        <v>87</v>
      </c>
      <c r="D55" s="8" t="s">
        <v>1790</v>
      </c>
      <c r="E55" s="135" t="str">
        <f>HYPERLINK("https://youtu.be/jHoCnJhfqWo?t=3851","channel 1")</f>
        <v>channel 1</v>
      </c>
    </row>
    <row r="56">
      <c r="A56" s="118"/>
      <c r="B56" s="8" t="s">
        <v>3905</v>
      </c>
      <c r="C56" s="33" t="s">
        <v>52</v>
      </c>
      <c r="D56" s="8" t="s">
        <v>1907</v>
      </c>
      <c r="E56" s="11" t="str">
        <f>HYPERLINK("https://youtu.be/6DnptHJ-rQE?t=3972","channel 2")</f>
        <v>channel 2</v>
      </c>
    </row>
    <row r="57">
      <c r="A57" s="118"/>
      <c r="B57" s="8" t="s">
        <v>1907</v>
      </c>
      <c r="C57" s="33" t="s">
        <v>445</v>
      </c>
      <c r="D57" s="8" t="s">
        <v>4053</v>
      </c>
      <c r="E57" s="135" t="str">
        <f>HYPERLINK("https://youtu.be/jHoCnJhfqWo?t=4831","channel 1")</f>
        <v>channel 1</v>
      </c>
    </row>
    <row r="58">
      <c r="A58" s="118"/>
      <c r="B58" s="8" t="s">
        <v>3905</v>
      </c>
      <c r="C58" s="33" t="s">
        <v>544</v>
      </c>
      <c r="D58" s="8" t="s">
        <v>1790</v>
      </c>
      <c r="E58" s="11" t="str">
        <f>HYPERLINK("https://youtu.be/6DnptHJ-rQE?t=4798","channel 2")</f>
        <v>channel 2</v>
      </c>
    </row>
    <row r="59">
      <c r="A59" s="118"/>
      <c r="B59" s="8" t="s">
        <v>4053</v>
      </c>
      <c r="C59" s="33" t="s">
        <v>55</v>
      </c>
      <c r="D59" s="8" t="s">
        <v>2807</v>
      </c>
      <c r="E59" s="135" t="str">
        <f>HYPERLINK("https://youtu.be/jHoCnJhfqWo?t=5740","channel 1")</f>
        <v>channel 1</v>
      </c>
    </row>
    <row r="60">
      <c r="A60" s="118"/>
      <c r="B60" s="8" t="s">
        <v>1907</v>
      </c>
      <c r="C60" s="33" t="s">
        <v>55</v>
      </c>
      <c r="D60" s="8" t="s">
        <v>1790</v>
      </c>
      <c r="E60" s="11" t="str">
        <f>HYPERLINK("https://youtu.be/6DnptHJ-rQE?t=5905","channel 2")</f>
        <v>channel 2</v>
      </c>
    </row>
    <row r="61">
      <c r="A61" s="118"/>
      <c r="B61" s="8" t="s">
        <v>3905</v>
      </c>
      <c r="C61" s="33" t="s">
        <v>43</v>
      </c>
      <c r="D61" s="8" t="s">
        <v>2807</v>
      </c>
      <c r="E61" s="135" t="str">
        <f>HYPERLINK("https://youtu.be/jHoCnJhfqWo?t=6664","channel 1")</f>
        <v>channel 1</v>
      </c>
    </row>
    <row r="62">
      <c r="A62" s="118"/>
      <c r="B62" s="8" t="s">
        <v>4053</v>
      </c>
      <c r="C62" s="35" t="s">
        <v>460</v>
      </c>
      <c r="D62" s="8" t="s">
        <v>1790</v>
      </c>
      <c r="E62" s="11" t="str">
        <f>HYPERLINK("https://youtu.be/6DnptHJ-rQE?t=6784","channel 2")</f>
        <v>channel 2</v>
      </c>
    </row>
    <row r="63">
      <c r="A63" s="118"/>
      <c r="B63" s="8" t="s">
        <v>1907</v>
      </c>
      <c r="C63" s="33" t="s">
        <v>18</v>
      </c>
      <c r="D63" s="8" t="s">
        <v>2807</v>
      </c>
      <c r="E63" s="135" t="str">
        <f>HYPERLINK("https://youtu.be/jHoCnJhfqWo?t=7745","channel 1")</f>
        <v>channel 1</v>
      </c>
    </row>
    <row r="64">
      <c r="A64" s="118"/>
      <c r="B64" s="8" t="s">
        <v>4053</v>
      </c>
      <c r="C64" s="33" t="s">
        <v>1068</v>
      </c>
      <c r="D64" s="8" t="s">
        <v>3905</v>
      </c>
      <c r="E64" s="11" t="str">
        <f>HYPERLINK("https://youtu.be/6DnptHJ-rQE?t=7771","channel 2")</f>
        <v>channel 2</v>
      </c>
    </row>
    <row r="65">
      <c r="A65" s="118"/>
      <c r="B65" s="8" t="s">
        <v>1790</v>
      </c>
      <c r="C65" s="33" t="s">
        <v>19</v>
      </c>
      <c r="D65" s="8" t="s">
        <v>2807</v>
      </c>
      <c r="E65" s="135" t="str">
        <f>HYPERLINK("https://youtu.be/jHoCnJhfqWo?t=8666","channel 1")</f>
        <v>channel 1</v>
      </c>
    </row>
    <row r="66">
      <c r="A66" s="118"/>
      <c r="B66" s="8" t="s">
        <v>1907</v>
      </c>
      <c r="C66" s="33" t="s">
        <v>413</v>
      </c>
      <c r="D66" s="8" t="s">
        <v>3905</v>
      </c>
      <c r="E66" s="11" t="str">
        <f>HYPERLINK("https://youtu.be/6DnptHJ-rQE?t=8664","channel 2")</f>
        <v>channel 2</v>
      </c>
    </row>
    <row r="67">
      <c r="A67" s="118"/>
      <c r="B67" s="72" t="s">
        <v>1435</v>
      </c>
      <c r="C67" s="2"/>
      <c r="D67" s="3"/>
      <c r="E67" s="138"/>
    </row>
    <row r="68">
      <c r="A68" s="118"/>
      <c r="B68" s="35" t="s">
        <v>2</v>
      </c>
      <c r="C68" s="35" t="s">
        <v>3</v>
      </c>
      <c r="D68" s="35" t="s">
        <v>4</v>
      </c>
      <c r="E68" s="16" t="s">
        <v>5</v>
      </c>
    </row>
    <row r="69">
      <c r="A69" s="118"/>
      <c r="B69" s="8" t="s">
        <v>4054</v>
      </c>
      <c r="C69" s="33" t="s">
        <v>726</v>
      </c>
      <c r="D69" s="8" t="s">
        <v>1574</v>
      </c>
      <c r="E69" s="135" t="str">
        <f>HYPERLINK("https://youtu.be/qiXZ8cEEYlM","channel 1")</f>
        <v>channel 1</v>
      </c>
    </row>
    <row r="70">
      <c r="A70" s="118"/>
      <c r="B70" s="8" t="s">
        <v>940</v>
      </c>
      <c r="C70" s="33" t="s">
        <v>239</v>
      </c>
      <c r="D70" s="8" t="s">
        <v>3557</v>
      </c>
      <c r="E70" s="11" t="str">
        <f>HYPERLINK("https://youtu.be/TV9kd_tAJ3I","channel 2")</f>
        <v>channel 2</v>
      </c>
    </row>
    <row r="71">
      <c r="A71" s="118"/>
      <c r="B71" s="8" t="s">
        <v>1386</v>
      </c>
      <c r="C71" s="33" t="s">
        <v>88</v>
      </c>
      <c r="D71" s="8" t="s">
        <v>4054</v>
      </c>
      <c r="E71" s="135" t="str">
        <f>HYPERLINK("https://youtu.be/qiXZ8cEEYlM?t=900","channel 1")</f>
        <v>channel 1</v>
      </c>
    </row>
    <row r="72">
      <c r="A72" s="118"/>
      <c r="B72" s="8" t="s">
        <v>940</v>
      </c>
      <c r="C72" s="33" t="s">
        <v>837</v>
      </c>
      <c r="D72" s="8" t="s">
        <v>1574</v>
      </c>
      <c r="E72" s="11" t="str">
        <f>HYPERLINK("https://youtu.be/TV9kd_tAJ3I?t=854","channel 2")</f>
        <v>channel 2</v>
      </c>
    </row>
    <row r="73">
      <c r="A73" s="118"/>
      <c r="B73" s="8" t="s">
        <v>1386</v>
      </c>
      <c r="C73" s="33" t="s">
        <v>446</v>
      </c>
      <c r="D73" s="8" t="s">
        <v>3557</v>
      </c>
      <c r="E73" s="135" t="str">
        <f>HYPERLINK("https://youtu.be/qiXZ8cEEYlM?t=1871","channel 1")</f>
        <v>channel 1</v>
      </c>
    </row>
    <row r="74">
      <c r="A74" s="118"/>
      <c r="B74" s="8" t="s">
        <v>940</v>
      </c>
      <c r="C74" s="33" t="s">
        <v>329</v>
      </c>
      <c r="D74" s="8" t="s">
        <v>4054</v>
      </c>
      <c r="E74" s="11" t="str">
        <f>HYPERLINK("https://youtu.be/TV9kd_tAJ3I?t=1753","channel 2")</f>
        <v>channel 2</v>
      </c>
    </row>
    <row r="75">
      <c r="A75" s="118"/>
      <c r="B75" s="8" t="s">
        <v>1386</v>
      </c>
      <c r="C75" s="33" t="s">
        <v>302</v>
      </c>
      <c r="D75" s="8" t="s">
        <v>1574</v>
      </c>
      <c r="E75" s="135" t="str">
        <f>HYPERLINK("https://youtu.be/qiXZ8cEEYlM?t=2793","channel 1")</f>
        <v>channel 1</v>
      </c>
    </row>
    <row r="76">
      <c r="A76" s="118"/>
      <c r="B76" s="8" t="s">
        <v>3557</v>
      </c>
      <c r="C76" s="33" t="s">
        <v>212</v>
      </c>
      <c r="D76" s="8" t="s">
        <v>4054</v>
      </c>
      <c r="E76" s="11" t="str">
        <f>HYPERLINK("https://youtu.be/TV9kd_tAJ3I?t=2956","channel 2")</f>
        <v>channel 2</v>
      </c>
    </row>
    <row r="77">
      <c r="A77" s="118"/>
      <c r="B77" s="8" t="s">
        <v>1386</v>
      </c>
      <c r="C77" s="33" t="s">
        <v>67</v>
      </c>
      <c r="D77" s="8" t="s">
        <v>940</v>
      </c>
      <c r="E77" s="135" t="str">
        <f>HYPERLINK("https://youtu.be/qiXZ8cEEYlM?t=3740","channel 1")</f>
        <v>channel 1</v>
      </c>
    </row>
    <row r="78">
      <c r="A78" s="118"/>
      <c r="B78" s="8" t="s">
        <v>3557</v>
      </c>
      <c r="C78" s="33" t="s">
        <v>693</v>
      </c>
      <c r="D78" s="8" t="s">
        <v>1574</v>
      </c>
      <c r="E78" s="11" t="str">
        <f>HYPERLINK("https://youtu.be/TV9kd_tAJ3I?t=3763","channel 2")</f>
        <v>channel 2</v>
      </c>
    </row>
    <row r="79">
      <c r="A79" s="118"/>
      <c r="B79" s="8" t="s">
        <v>1574</v>
      </c>
      <c r="C79" s="33" t="s">
        <v>260</v>
      </c>
      <c r="D79" s="8" t="s">
        <v>4054</v>
      </c>
      <c r="E79" s="135" t="str">
        <f>HYPERLINK("https://youtu.be/qiXZ8cEEYlM?t=4674","channel 1")</f>
        <v>channel 1</v>
      </c>
    </row>
    <row r="80">
      <c r="A80" s="118"/>
      <c r="B80" s="8" t="s">
        <v>3557</v>
      </c>
      <c r="C80" s="33" t="s">
        <v>270</v>
      </c>
      <c r="D80" s="8" t="s">
        <v>940</v>
      </c>
      <c r="E80" s="102" t="s">
        <v>13</v>
      </c>
    </row>
    <row r="81">
      <c r="A81" s="118"/>
      <c r="B81" s="8" t="s">
        <v>4054</v>
      </c>
      <c r="C81" s="33" t="s">
        <v>196</v>
      </c>
      <c r="D81" s="8" t="s">
        <v>1386</v>
      </c>
      <c r="E81" s="135" t="str">
        <f>HYPERLINK("https://youtu.be/qiXZ8cEEYlM?t=5621","channel 1")</f>
        <v>channel 1</v>
      </c>
    </row>
    <row r="82">
      <c r="A82" s="118"/>
      <c r="B82" s="8" t="s">
        <v>1574</v>
      </c>
      <c r="C82" s="33" t="s">
        <v>55</v>
      </c>
      <c r="D82" s="8" t="s">
        <v>940</v>
      </c>
      <c r="E82" s="11" t="str">
        <f>HYPERLINK("https://youtu.be/TV9kd_tAJ3I?t=4702","channel 2")</f>
        <v>channel 2</v>
      </c>
    </row>
    <row r="83">
      <c r="A83" s="118"/>
      <c r="B83" s="8" t="s">
        <v>3557</v>
      </c>
      <c r="C83" s="33" t="s">
        <v>19</v>
      </c>
      <c r="D83" s="8" t="s">
        <v>1386</v>
      </c>
      <c r="E83" s="135" t="str">
        <f>HYPERLINK("https://youtu.be/qiXZ8cEEYlM?t=6528","channel 1")</f>
        <v>channel 1</v>
      </c>
    </row>
    <row r="84">
      <c r="A84" s="118"/>
      <c r="B84" s="8" t="s">
        <v>4054</v>
      </c>
      <c r="C84" s="33" t="s">
        <v>195</v>
      </c>
      <c r="D84" s="8" t="s">
        <v>940</v>
      </c>
      <c r="E84" s="11" t="str">
        <f>HYPERLINK("https://youtu.be/TV9kd_tAJ3I?t=6603","channel 2")</f>
        <v>channel 2</v>
      </c>
    </row>
    <row r="85">
      <c r="A85" s="118"/>
      <c r="B85" s="8" t="s">
        <v>1574</v>
      </c>
      <c r="C85" s="33" t="s">
        <v>260</v>
      </c>
      <c r="D85" s="8" t="s">
        <v>1386</v>
      </c>
      <c r="E85" s="135" t="str">
        <f>HYPERLINK("https://youtu.be/qiXZ8cEEYlM?t=7488","channel 1")</f>
        <v>channel 1</v>
      </c>
    </row>
    <row r="86">
      <c r="A86" s="118"/>
      <c r="B86" s="8" t="s">
        <v>4054</v>
      </c>
      <c r="C86" s="33" t="s">
        <v>412</v>
      </c>
      <c r="D86" s="8" t="s">
        <v>3557</v>
      </c>
      <c r="E86" s="11" t="str">
        <f>HYPERLINK("https://youtu.be/TV9kd_tAJ3I?t=7534","channel 2")</f>
        <v>channel 2</v>
      </c>
    </row>
    <row r="87">
      <c r="A87" s="118"/>
      <c r="B87" s="8" t="s">
        <v>940</v>
      </c>
      <c r="C87" s="33" t="s">
        <v>66</v>
      </c>
      <c r="D87" s="8" t="s">
        <v>1386</v>
      </c>
      <c r="E87" s="135" t="str">
        <f>HYPERLINK("https://youtu.be/qiXZ8cEEYlM?t=8346","channel 1")</f>
        <v>channel 1</v>
      </c>
    </row>
    <row r="88">
      <c r="A88" s="122"/>
      <c r="B88" s="8" t="s">
        <v>1574</v>
      </c>
      <c r="C88" s="33" t="s">
        <v>951</v>
      </c>
      <c r="D88" s="8" t="s">
        <v>3557</v>
      </c>
      <c r="E88" s="11" t="str">
        <f>HYPERLINK("https://youtu.be/TV9kd_tAJ3I?t=8388","channel 2")</f>
        <v>channel 2</v>
      </c>
    </row>
    <row r="89">
      <c r="B89" s="72" t="s">
        <v>2575</v>
      </c>
      <c r="C89" s="2"/>
      <c r="D89" s="3"/>
      <c r="E89" s="138"/>
    </row>
    <row r="90">
      <c r="B90" s="35" t="s">
        <v>2</v>
      </c>
      <c r="C90" s="35" t="s">
        <v>3</v>
      </c>
      <c r="D90" s="35" t="s">
        <v>4</v>
      </c>
      <c r="E90" s="16" t="s">
        <v>5</v>
      </c>
    </row>
    <row r="91">
      <c r="B91" s="8" t="s">
        <v>3769</v>
      </c>
      <c r="C91" s="33" t="s">
        <v>684</v>
      </c>
      <c r="D91" s="8" t="s">
        <v>3705</v>
      </c>
      <c r="E91" s="135" t="str">
        <f>HYPERLINK("https://youtu.be/88PIj8rD8VY","channel 1")</f>
        <v>channel 1</v>
      </c>
    </row>
    <row r="92">
      <c r="B92" s="8" t="s">
        <v>4055</v>
      </c>
      <c r="C92" s="33" t="s">
        <v>42</v>
      </c>
      <c r="D92" s="8" t="s">
        <v>1449</v>
      </c>
      <c r="E92" s="11" t="str">
        <f>HYPERLINK("https://youtu.be/sJfyxIYr9kg","channel 2")</f>
        <v>channel 2</v>
      </c>
    </row>
    <row r="93">
      <c r="B93" s="8" t="s">
        <v>2437</v>
      </c>
      <c r="C93" s="33" t="s">
        <v>276</v>
      </c>
      <c r="D93" s="8" t="s">
        <v>3769</v>
      </c>
      <c r="E93" s="135" t="str">
        <f>HYPERLINK("https://youtu.be/88PIj8rD8VY?t=1198","channel 1")</f>
        <v>channel 1</v>
      </c>
    </row>
    <row r="94">
      <c r="B94" s="8" t="s">
        <v>4055</v>
      </c>
      <c r="C94" s="33" t="s">
        <v>886</v>
      </c>
      <c r="D94" s="8" t="s">
        <v>3705</v>
      </c>
      <c r="E94" s="11" t="str">
        <f>HYPERLINK("https://youtu.be/sJfyxIYr9kg?t=768","channel 2")</f>
        <v>channel 2</v>
      </c>
    </row>
    <row r="95">
      <c r="B95" s="8" t="s">
        <v>2437</v>
      </c>
      <c r="C95" s="33" t="s">
        <v>435</v>
      </c>
      <c r="D95" s="8" t="s">
        <v>1449</v>
      </c>
      <c r="E95" s="135" t="str">
        <f>HYPERLINK("https://youtu.be/88PIj8rD8VY?t=2188","channel 1")</f>
        <v>channel 1</v>
      </c>
    </row>
    <row r="96">
      <c r="B96" s="8" t="s">
        <v>4055</v>
      </c>
      <c r="C96" s="33" t="s">
        <v>16</v>
      </c>
      <c r="D96" s="8" t="s">
        <v>3769</v>
      </c>
      <c r="E96" s="11" t="str">
        <f>HYPERLINK("https://youtu.be/sJfyxIYr9kg?t=1652","channel 2")</f>
        <v>channel 2</v>
      </c>
    </row>
    <row r="97">
      <c r="B97" s="8" t="s">
        <v>2437</v>
      </c>
      <c r="C97" s="33" t="s">
        <v>217</v>
      </c>
      <c r="D97" s="8" t="s">
        <v>3705</v>
      </c>
      <c r="E97" s="135" t="str">
        <f>HYPERLINK("https://youtu.be/88PIj8rD8VY?t=3135","channel 1")</f>
        <v>channel 1</v>
      </c>
    </row>
    <row r="98">
      <c r="B98" s="8" t="s">
        <v>1449</v>
      </c>
      <c r="C98" s="33" t="s">
        <v>197</v>
      </c>
      <c r="D98" s="8" t="s">
        <v>3769</v>
      </c>
      <c r="E98" s="11" t="str">
        <f>HYPERLINK("https://youtu.be/sJfyxIYr9kg?t=2583","channel 2")</f>
        <v>channel 2</v>
      </c>
    </row>
    <row r="99">
      <c r="B99" s="8" t="s">
        <v>2437</v>
      </c>
      <c r="C99" s="33" t="s">
        <v>216</v>
      </c>
      <c r="D99" s="8" t="s">
        <v>4055</v>
      </c>
      <c r="E99" s="135" t="str">
        <f>HYPERLINK("https://youtu.be/88PIj8rD8VY?t=4060","channel 1")</f>
        <v>channel 1</v>
      </c>
    </row>
    <row r="100">
      <c r="B100" s="8" t="s">
        <v>1449</v>
      </c>
      <c r="C100" s="33" t="s">
        <v>25</v>
      </c>
      <c r="D100" s="8" t="s">
        <v>3705</v>
      </c>
      <c r="E100" s="11" t="str">
        <f>HYPERLINK("https://youtu.be/sJfyxIYr9kg?t=3560","channel 2")</f>
        <v>channel 2</v>
      </c>
    </row>
    <row r="101">
      <c r="B101" s="8" t="s">
        <v>3705</v>
      </c>
      <c r="C101" s="33" t="s">
        <v>217</v>
      </c>
      <c r="D101" s="8" t="s">
        <v>3769</v>
      </c>
      <c r="E101" s="135" t="str">
        <f>HYPERLINK("https://youtu.be/88PIj8rD8VY?t=4933","channel 1")</f>
        <v>channel 1</v>
      </c>
    </row>
    <row r="102">
      <c r="B102" s="8" t="s">
        <v>1449</v>
      </c>
      <c r="C102" s="33" t="s">
        <v>197</v>
      </c>
      <c r="D102" s="8" t="s">
        <v>4055</v>
      </c>
      <c r="E102" s="11" t="str">
        <f>HYPERLINK("https://youtu.be/sJfyxIYr9kg?t=4445","channel 2")</f>
        <v>channel 2</v>
      </c>
    </row>
    <row r="103">
      <c r="B103" s="8" t="s">
        <v>3769</v>
      </c>
      <c r="C103" s="33" t="s">
        <v>526</v>
      </c>
      <c r="D103" s="8" t="s">
        <v>2437</v>
      </c>
      <c r="E103" s="135" t="str">
        <f>HYPERLINK("https://youtu.be/88PIj8rD8VY?t=5860","channel 1")</f>
        <v>channel 1</v>
      </c>
    </row>
    <row r="104">
      <c r="B104" s="8" t="s">
        <v>3705</v>
      </c>
      <c r="C104" s="33" t="s">
        <v>286</v>
      </c>
      <c r="D104" s="8" t="s">
        <v>4055</v>
      </c>
      <c r="E104" s="11" t="str">
        <f>HYPERLINK("https://youtu.be/sJfyxIYr9kg?t=5384","channel 2")</f>
        <v>channel 2</v>
      </c>
    </row>
    <row r="105">
      <c r="B105" s="8" t="s">
        <v>1449</v>
      </c>
      <c r="C105" s="33" t="s">
        <v>249</v>
      </c>
      <c r="D105" s="8" t="s">
        <v>2437</v>
      </c>
      <c r="E105" s="135" t="str">
        <f>HYPERLINK("https://youtu.be/88PIj8rD8VY?t=6840","channel 1")</f>
        <v>channel 1</v>
      </c>
    </row>
    <row r="106">
      <c r="B106" s="8" t="s">
        <v>3769</v>
      </c>
      <c r="C106" s="33" t="s">
        <v>11</v>
      </c>
      <c r="D106" s="8" t="s">
        <v>4055</v>
      </c>
      <c r="E106" s="11" t="str">
        <f>HYPERLINK("https://youtu.be/sJfyxIYr9kg?t=6330","channel 2")</f>
        <v>channel 2</v>
      </c>
    </row>
    <row r="107">
      <c r="B107" s="8" t="s">
        <v>3705</v>
      </c>
      <c r="C107" s="33" t="s">
        <v>251</v>
      </c>
      <c r="D107" s="8" t="s">
        <v>2437</v>
      </c>
      <c r="E107" s="135" t="str">
        <f>HYPERLINK("https://youtu.be/88PIj8rD8VY?t=7807","channel 1")</f>
        <v>channel 1</v>
      </c>
    </row>
    <row r="108">
      <c r="B108" s="8" t="s">
        <v>3769</v>
      </c>
      <c r="C108" s="33" t="s">
        <v>67</v>
      </c>
      <c r="D108" s="8" t="s">
        <v>1449</v>
      </c>
      <c r="E108" s="11" t="str">
        <f>HYPERLINK("https://youtu.be/sJfyxIYr9kg?t=7277","channel 2")</f>
        <v>channel 2</v>
      </c>
    </row>
    <row r="109">
      <c r="B109" s="8" t="s">
        <v>4055</v>
      </c>
      <c r="C109" s="33" t="s">
        <v>52</v>
      </c>
      <c r="D109" s="8" t="s">
        <v>2437</v>
      </c>
      <c r="E109" s="135" t="str">
        <f>HYPERLINK("https://youtu.be/88PIj8rD8VY?t=8770","channel 1")</f>
        <v>channel 1</v>
      </c>
    </row>
    <row r="110">
      <c r="B110" s="8" t="s">
        <v>3705</v>
      </c>
      <c r="C110" s="33" t="s">
        <v>22</v>
      </c>
      <c r="D110" s="8" t="s">
        <v>1449</v>
      </c>
      <c r="E110" s="11" t="str">
        <f>HYPERLINK("https://youtu.be/sJfyxIYr9kg?t=8246","channel 2")</f>
        <v>channel 2</v>
      </c>
    </row>
    <row r="111">
      <c r="B111" s="72" t="s">
        <v>2939</v>
      </c>
      <c r="C111" s="2"/>
      <c r="D111" s="3"/>
      <c r="E111" s="138"/>
    </row>
    <row r="112">
      <c r="B112" s="35" t="s">
        <v>2</v>
      </c>
      <c r="C112" s="35" t="s">
        <v>3</v>
      </c>
      <c r="D112" s="35" t="s">
        <v>4</v>
      </c>
      <c r="E112" s="16" t="s">
        <v>5</v>
      </c>
    </row>
    <row r="113">
      <c r="B113" s="8" t="s">
        <v>3999</v>
      </c>
      <c r="C113" s="33" t="s">
        <v>426</v>
      </c>
      <c r="D113" s="8" t="s">
        <v>4056</v>
      </c>
      <c r="E113" s="135" t="str">
        <f>HYPERLINK("https://youtu.be/Eb91_Q6jvTY","channel 1")</f>
        <v>channel 1</v>
      </c>
    </row>
    <row r="114">
      <c r="B114" s="8" t="s">
        <v>4057</v>
      </c>
      <c r="C114" s="33" t="s">
        <v>544</v>
      </c>
      <c r="D114" s="8" t="s">
        <v>1931</v>
      </c>
      <c r="E114" s="11" t="str">
        <f>HYPERLINK("https://youtu.be/vejvwYnmAB0","channel 2")</f>
        <v>channel 2</v>
      </c>
    </row>
    <row r="115">
      <c r="B115" s="8" t="s">
        <v>2829</v>
      </c>
      <c r="C115" s="33" t="s">
        <v>289</v>
      </c>
      <c r="D115" s="8" t="s">
        <v>3999</v>
      </c>
      <c r="E115" s="135" t="str">
        <f>HYPERLINK("https://youtu.be/Eb91_Q6jvTY?t=941","channel 1")</f>
        <v>channel 1</v>
      </c>
    </row>
    <row r="116">
      <c r="B116" s="8" t="s">
        <v>4057</v>
      </c>
      <c r="C116" s="33" t="s">
        <v>828</v>
      </c>
      <c r="D116" s="8" t="s">
        <v>4056</v>
      </c>
      <c r="E116" s="11" t="str">
        <f>HYPERLINK("https://youtu.be/vejvwYnmAB0?t=957","channel 2")</f>
        <v>channel 2</v>
      </c>
    </row>
    <row r="117">
      <c r="B117" s="8" t="s">
        <v>2829</v>
      </c>
      <c r="C117" s="33" t="s">
        <v>187</v>
      </c>
      <c r="D117" s="8" t="s">
        <v>1931</v>
      </c>
      <c r="E117" s="135" t="str">
        <f>HYPERLINK("https://youtu.be/Eb91_Q6jvTY?t=1883","channel 1")</f>
        <v>channel 1</v>
      </c>
    </row>
    <row r="118">
      <c r="B118" s="8" t="s">
        <v>4057</v>
      </c>
      <c r="C118" s="33" t="s">
        <v>87</v>
      </c>
      <c r="D118" s="8" t="s">
        <v>3999</v>
      </c>
      <c r="E118" s="11" t="str">
        <f>HYPERLINK("https://youtu.be/vejvwYnmAB0?t=1729","channel 2")</f>
        <v>channel 2</v>
      </c>
    </row>
    <row r="119">
      <c r="B119" s="8" t="s">
        <v>2829</v>
      </c>
      <c r="C119" s="33" t="s">
        <v>337</v>
      </c>
      <c r="D119" s="8" t="s">
        <v>4056</v>
      </c>
      <c r="E119" s="135" t="str">
        <f>HYPERLINK("https://youtu.be/Eb91_Q6jvTY?t=2832","channel 1")</f>
        <v>channel 1</v>
      </c>
    </row>
    <row r="120">
      <c r="B120" s="8" t="s">
        <v>1931</v>
      </c>
      <c r="C120" s="33" t="s">
        <v>232</v>
      </c>
      <c r="D120" s="8" t="s">
        <v>3999</v>
      </c>
      <c r="E120" s="11" t="str">
        <f>HYPERLINK("https://youtu.be/vejvwYnmAB0?t=2678","channel 2")</f>
        <v>channel 2</v>
      </c>
    </row>
    <row r="121">
      <c r="B121" s="8" t="s">
        <v>2829</v>
      </c>
      <c r="C121" s="33" t="s">
        <v>1622</v>
      </c>
      <c r="D121" s="8" t="s">
        <v>4057</v>
      </c>
      <c r="E121" s="135" t="str">
        <f>HYPERLINK("https://youtu.be/Eb91_Q6jvTY?t=3694","channel 1")</f>
        <v>channel 1</v>
      </c>
    </row>
    <row r="122">
      <c r="B122" s="8" t="s">
        <v>1931</v>
      </c>
      <c r="C122" s="33" t="s">
        <v>190</v>
      </c>
      <c r="D122" s="8" t="s">
        <v>4056</v>
      </c>
      <c r="E122" s="11" t="str">
        <f>HYPERLINK("https://youtu.be/vejvwYnmAB0?t=3659","channel 2")</f>
        <v>channel 2</v>
      </c>
    </row>
    <row r="123">
      <c r="B123" s="8" t="s">
        <v>4056</v>
      </c>
      <c r="C123" s="33" t="s">
        <v>446</v>
      </c>
      <c r="D123" s="8" t="s">
        <v>3999</v>
      </c>
      <c r="E123" s="135" t="str">
        <f>HYPERLINK("https://youtu.be/Eb91_Q6jvTY?t=4595","channel 1")</f>
        <v>channel 1</v>
      </c>
    </row>
    <row r="124">
      <c r="B124" s="8" t="s">
        <v>1931</v>
      </c>
      <c r="C124" s="33" t="s">
        <v>1428</v>
      </c>
      <c r="D124" s="8" t="s">
        <v>4057</v>
      </c>
      <c r="E124" s="11" t="str">
        <f>HYPERLINK("https://youtu.be/vejvwYnmAB0?t=4508","channel 2")</f>
        <v>channel 2</v>
      </c>
    </row>
    <row r="125">
      <c r="B125" s="8" t="s">
        <v>3999</v>
      </c>
      <c r="C125" s="33" t="s">
        <v>544</v>
      </c>
      <c r="D125" s="8" t="s">
        <v>2829</v>
      </c>
      <c r="E125" s="135" t="str">
        <f>HYPERLINK("https://youtu.be/Eb91_Q6jvTY?t=5505","channel 1")</f>
        <v>channel 1</v>
      </c>
    </row>
    <row r="126">
      <c r="B126" s="8" t="s">
        <v>4056</v>
      </c>
      <c r="C126" s="33" t="s">
        <v>4058</v>
      </c>
      <c r="D126" s="8" t="s">
        <v>4057</v>
      </c>
      <c r="E126" s="11" t="str">
        <f>HYPERLINK("https://youtu.be/vejvwYnmAB0?t=5411","channel 2")</f>
        <v>channel 2</v>
      </c>
    </row>
    <row r="127">
      <c r="B127" s="8" t="s">
        <v>1931</v>
      </c>
      <c r="C127" s="33" t="s">
        <v>43</v>
      </c>
      <c r="D127" s="8" t="s">
        <v>2829</v>
      </c>
      <c r="E127" s="135" t="str">
        <f>HYPERLINK("https://youtu.be/Eb91_Q6jvTY?t=6414","channel 1")</f>
        <v>channel 1</v>
      </c>
    </row>
    <row r="128">
      <c r="B128" s="8" t="s">
        <v>3999</v>
      </c>
      <c r="C128" s="33" t="s">
        <v>83</v>
      </c>
      <c r="D128" s="8" t="s">
        <v>4057</v>
      </c>
      <c r="E128" s="11" t="str">
        <f>HYPERLINK("https://youtu.be/vejvwYnmAB0?t=6384","channel 2")</f>
        <v>channel 2</v>
      </c>
    </row>
    <row r="129">
      <c r="B129" s="8" t="s">
        <v>4056</v>
      </c>
      <c r="C129" s="33" t="s">
        <v>380</v>
      </c>
      <c r="D129" s="8" t="s">
        <v>2829</v>
      </c>
      <c r="E129" s="135" t="str">
        <f>HYPERLINK("https://youtu.be/Eb91_Q6jvTY?t=7371","channel 1")</f>
        <v>channel 1</v>
      </c>
    </row>
    <row r="130">
      <c r="B130" s="8" t="s">
        <v>3999</v>
      </c>
      <c r="C130" s="33" t="s">
        <v>42</v>
      </c>
      <c r="D130" s="8" t="s">
        <v>1931</v>
      </c>
      <c r="E130" s="11" t="str">
        <f>HYPERLINK("https://youtu.be/vejvwYnmAB0?t=7403","channel 2")</f>
        <v>channel 2</v>
      </c>
    </row>
    <row r="131">
      <c r="B131" s="8" t="s">
        <v>4057</v>
      </c>
      <c r="C131" s="33" t="s">
        <v>24</v>
      </c>
      <c r="D131" s="8" t="s">
        <v>2829</v>
      </c>
      <c r="E131" s="135" t="str">
        <f>HYPERLINK("https://youtu.be/Eb91_Q6jvTY?t=8273","channel 1")</f>
        <v>channel 1</v>
      </c>
    </row>
    <row r="132">
      <c r="B132" s="8" t="s">
        <v>4056</v>
      </c>
      <c r="C132" s="33" t="s">
        <v>52</v>
      </c>
      <c r="D132" s="8" t="s">
        <v>1931</v>
      </c>
      <c r="E132" s="11" t="str">
        <f>HYPERLINK("https://youtu.be/vejvwYnmAB0?t=8314","channel 2")</f>
        <v>channel 2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7"/>
      <c r="B1" s="72" t="s">
        <v>1659</v>
      </c>
      <c r="C1" s="2"/>
      <c r="D1" s="3"/>
      <c r="E1" s="134"/>
    </row>
    <row r="2">
      <c r="A2" s="118"/>
      <c r="B2" s="35" t="s">
        <v>2</v>
      </c>
      <c r="C2" s="35" t="s">
        <v>3</v>
      </c>
      <c r="D2" s="35" t="s">
        <v>4</v>
      </c>
      <c r="E2" s="6" t="s">
        <v>5</v>
      </c>
    </row>
    <row r="3">
      <c r="A3" s="118"/>
      <c r="B3" s="8" t="s">
        <v>4059</v>
      </c>
      <c r="C3" s="33" t="s">
        <v>80</v>
      </c>
      <c r="D3" s="8" t="s">
        <v>10</v>
      </c>
      <c r="E3" s="135" t="str">
        <f>HYPERLINK("https://youtu.be/MQ5e9uybjJo","channel 1")</f>
        <v>channel 1</v>
      </c>
    </row>
    <row r="4">
      <c r="A4" s="118"/>
      <c r="B4" s="8" t="s">
        <v>3776</v>
      </c>
      <c r="C4" s="33" t="s">
        <v>2959</v>
      </c>
      <c r="D4" s="8" t="s">
        <v>3839</v>
      </c>
      <c r="E4" s="11" t="str">
        <f>HYPERLINK("https://youtu.be/DrTty5Iir_o","channel 2")</f>
        <v>channel 2</v>
      </c>
    </row>
    <row r="5">
      <c r="A5" s="118"/>
      <c r="B5" s="8" t="s">
        <v>1629</v>
      </c>
      <c r="C5" s="33" t="s">
        <v>197</v>
      </c>
      <c r="D5" s="8" t="s">
        <v>4059</v>
      </c>
      <c r="E5" s="135" t="str">
        <f>HYPERLINK("https://youtu.be/MQ5e9uybjJo?t=947","channel 1")</f>
        <v>channel 1</v>
      </c>
    </row>
    <row r="6">
      <c r="A6" s="118"/>
      <c r="B6" s="8" t="s">
        <v>3776</v>
      </c>
      <c r="C6" s="33" t="s">
        <v>270</v>
      </c>
      <c r="D6" s="8" t="s">
        <v>10</v>
      </c>
      <c r="E6" s="11" t="str">
        <f>HYPERLINK("https://youtu.be/DrTty5Iir_o?t=1007","channel 2")</f>
        <v>channel 2</v>
      </c>
    </row>
    <row r="7">
      <c r="A7" s="118"/>
      <c r="B7" s="8" t="s">
        <v>1629</v>
      </c>
      <c r="C7" s="33" t="s">
        <v>47</v>
      </c>
      <c r="D7" s="8" t="s">
        <v>3839</v>
      </c>
      <c r="E7" s="135" t="str">
        <f>HYPERLINK("https://youtu.be/MQ5e9uybjJo?t=1857","channel 1")</f>
        <v>channel 1</v>
      </c>
    </row>
    <row r="8">
      <c r="A8" s="118"/>
      <c r="B8" s="8" t="s">
        <v>3776</v>
      </c>
      <c r="C8" s="33" t="s">
        <v>203</v>
      </c>
      <c r="D8" s="8" t="s">
        <v>4059</v>
      </c>
      <c r="E8" s="11" t="str">
        <f>HYPERLINK("https://youtu.be/DrTty5Iir_o?t=1866","channel 2")</f>
        <v>channel 2</v>
      </c>
    </row>
    <row r="9">
      <c r="A9" s="118"/>
      <c r="B9" s="8" t="s">
        <v>1629</v>
      </c>
      <c r="C9" s="33" t="s">
        <v>260</v>
      </c>
      <c r="D9" s="8" t="s">
        <v>10</v>
      </c>
      <c r="E9" s="135" t="str">
        <f>HYPERLINK("https://youtu.be/MQ5e9uybjJo?t=2794","channel 1")</f>
        <v>channel 1</v>
      </c>
    </row>
    <row r="10">
      <c r="A10" s="118"/>
      <c r="B10" s="8" t="s">
        <v>3839</v>
      </c>
      <c r="C10" s="33" t="s">
        <v>212</v>
      </c>
      <c r="D10" s="8" t="s">
        <v>4059</v>
      </c>
      <c r="E10" s="11" t="str">
        <f>HYPERLINK("https://youtu.be/DrTty5Iir_o?t=2777","channel 2")</f>
        <v>channel 2</v>
      </c>
    </row>
    <row r="11">
      <c r="A11" s="118"/>
      <c r="B11" s="8" t="s">
        <v>1629</v>
      </c>
      <c r="C11" s="33" t="s">
        <v>217</v>
      </c>
      <c r="D11" s="8" t="s">
        <v>3776</v>
      </c>
      <c r="E11" s="135" t="str">
        <f>HYPERLINK("https://youtu.be/MQ5e9uybjJo?t=3695","channel 1")</f>
        <v>channel 1</v>
      </c>
    </row>
    <row r="12">
      <c r="A12" s="118"/>
      <c r="B12" s="8" t="s">
        <v>3839</v>
      </c>
      <c r="C12" s="33" t="s">
        <v>4060</v>
      </c>
      <c r="D12" s="8" t="s">
        <v>10</v>
      </c>
      <c r="E12" s="11" t="str">
        <f>HYPERLINK("https://youtu.be/DrTty5Iir_o?t=3701","channel 2")</f>
        <v>channel 2</v>
      </c>
    </row>
    <row r="13">
      <c r="A13" s="118"/>
      <c r="B13" s="8" t="s">
        <v>10</v>
      </c>
      <c r="C13" s="33" t="s">
        <v>212</v>
      </c>
      <c r="D13" s="8" t="s">
        <v>4059</v>
      </c>
      <c r="E13" s="135" t="str">
        <f>HYPERLINK("https://youtu.be/MQ5e9uybjJo?t=4635","channel 1")</f>
        <v>channel 1</v>
      </c>
    </row>
    <row r="14">
      <c r="A14" s="118"/>
      <c r="B14" s="8" t="s">
        <v>3839</v>
      </c>
      <c r="C14" s="33" t="s">
        <v>353</v>
      </c>
      <c r="D14" s="8" t="s">
        <v>3776</v>
      </c>
      <c r="E14" s="11" t="str">
        <f>HYPERLINK("https://youtu.be/DrTty5Iir_o?t=4586","channel 2")</f>
        <v>channel 2</v>
      </c>
    </row>
    <row r="15">
      <c r="A15" s="118"/>
      <c r="B15" s="8" t="s">
        <v>4059</v>
      </c>
      <c r="C15" s="33" t="s">
        <v>426</v>
      </c>
      <c r="D15" s="8" t="s">
        <v>1629</v>
      </c>
      <c r="E15" s="135" t="str">
        <f>HYPERLINK("https://youtu.be/MQ5e9uybjJo?t=5651","channel 1")</f>
        <v>channel 1</v>
      </c>
    </row>
    <row r="16">
      <c r="A16" s="118"/>
      <c r="B16" s="8" t="s">
        <v>10</v>
      </c>
      <c r="C16" s="33" t="s">
        <v>203</v>
      </c>
      <c r="D16" s="8" t="s">
        <v>3776</v>
      </c>
      <c r="E16" s="11" t="str">
        <f>HYPERLINK("https://youtu.be/DrTty5Iir_o?t=5599","channel 2")</f>
        <v>channel 2</v>
      </c>
    </row>
    <row r="17">
      <c r="A17" s="118"/>
      <c r="B17" s="8" t="s">
        <v>3839</v>
      </c>
      <c r="C17" s="33" t="s">
        <v>72</v>
      </c>
      <c r="D17" s="8" t="s">
        <v>1629</v>
      </c>
      <c r="E17" s="135" t="str">
        <f>HYPERLINK("https://youtu.be/MQ5e9uybjJo?t=6521","channel 1")</f>
        <v>channel 1</v>
      </c>
    </row>
    <row r="18">
      <c r="A18" s="118"/>
      <c r="B18" s="8" t="s">
        <v>4059</v>
      </c>
      <c r="C18" s="33" t="s">
        <v>43</v>
      </c>
      <c r="D18" s="8" t="s">
        <v>3776</v>
      </c>
      <c r="E18" s="11" t="str">
        <f>HYPERLINK("https://youtu.be/DrTty5Iir_o?t=6479","channel 2")</f>
        <v>channel 2</v>
      </c>
    </row>
    <row r="19">
      <c r="A19" s="118"/>
      <c r="B19" s="8" t="s">
        <v>10</v>
      </c>
      <c r="C19" s="33" t="s">
        <v>302</v>
      </c>
      <c r="D19" s="8" t="s">
        <v>1629</v>
      </c>
      <c r="E19" s="135" t="str">
        <f>HYPERLINK("https://youtu.be/MQ5e9uybjJo?t=7467","channel 1")</f>
        <v>channel 1</v>
      </c>
    </row>
    <row r="20">
      <c r="A20" s="118"/>
      <c r="B20" s="8" t="s">
        <v>4059</v>
      </c>
      <c r="C20" s="33" t="s">
        <v>83</v>
      </c>
      <c r="D20" s="8" t="s">
        <v>3839</v>
      </c>
      <c r="E20" s="11" t="str">
        <f>HYPERLINK("https://youtu.be/DrTty5Iir_o?t=7355","channel 2")</f>
        <v>channel 2</v>
      </c>
    </row>
    <row r="21">
      <c r="A21" s="118"/>
      <c r="B21" s="8" t="s">
        <v>3776</v>
      </c>
      <c r="C21" s="33" t="s">
        <v>72</v>
      </c>
      <c r="D21" s="8" t="s">
        <v>1629</v>
      </c>
      <c r="E21" s="135" t="str">
        <f>HYPERLINK("https://youtu.be/MQ5e9uybjJo?t=8415","channel 1")</f>
        <v>channel 1</v>
      </c>
    </row>
    <row r="22">
      <c r="A22" s="118"/>
      <c r="B22" s="8" t="s">
        <v>10</v>
      </c>
      <c r="C22" s="33" t="s">
        <v>2707</v>
      </c>
      <c r="D22" s="8" t="s">
        <v>3839</v>
      </c>
      <c r="E22" s="11" t="str">
        <f>HYPERLINK("https://youtu.be/DrTty5Iir_o?t=7355","channel 2")</f>
        <v>channel 2</v>
      </c>
    </row>
    <row r="23">
      <c r="A23" s="118"/>
      <c r="B23" s="72" t="s">
        <v>2099</v>
      </c>
      <c r="C23" s="2"/>
      <c r="D23" s="3"/>
      <c r="E23" s="134"/>
    </row>
    <row r="24">
      <c r="A24" s="118"/>
      <c r="B24" s="35" t="s">
        <v>2</v>
      </c>
      <c r="C24" s="35" t="s">
        <v>3</v>
      </c>
      <c r="D24" s="35" t="s">
        <v>4</v>
      </c>
      <c r="E24" s="6" t="s">
        <v>5</v>
      </c>
    </row>
    <row r="25">
      <c r="A25" s="118"/>
      <c r="B25" s="8" t="s">
        <v>2545</v>
      </c>
      <c r="C25" s="33" t="s">
        <v>47</v>
      </c>
      <c r="D25" s="8" t="s">
        <v>4061</v>
      </c>
      <c r="E25" s="135" t="str">
        <f>HYPERLINK("https://youtu.be/BYquzyroDCY","channel 1")</f>
        <v>channel 1</v>
      </c>
    </row>
    <row r="26">
      <c r="A26" s="118"/>
      <c r="B26" s="8" t="s">
        <v>4062</v>
      </c>
      <c r="C26" s="33" t="s">
        <v>362</v>
      </c>
      <c r="D26" s="8" t="s">
        <v>4063</v>
      </c>
      <c r="E26" s="11" t="str">
        <f>HYPERLINK("https://youtu.be/Z7bqxf8lB4o","channel 2")</f>
        <v>channel 2</v>
      </c>
    </row>
    <row r="27">
      <c r="A27" s="118"/>
      <c r="B27" s="8" t="s">
        <v>3067</v>
      </c>
      <c r="C27" s="33" t="s">
        <v>289</v>
      </c>
      <c r="D27" s="8" t="s">
        <v>2545</v>
      </c>
      <c r="E27" s="135" t="str">
        <f>HYPERLINK("https://youtu.be/BYquzyroDCY?t=959","channel 1")</f>
        <v>channel 1</v>
      </c>
    </row>
    <row r="28">
      <c r="A28" s="118"/>
      <c r="B28" s="8" t="s">
        <v>4062</v>
      </c>
      <c r="C28" s="33" t="s">
        <v>38</v>
      </c>
      <c r="D28" s="8" t="s">
        <v>4061</v>
      </c>
      <c r="E28" s="11" t="str">
        <f>HYPERLINK("https://youtu.be/p0e-_8lBIgc","channel 2")</f>
        <v>channel 2</v>
      </c>
    </row>
    <row r="29">
      <c r="A29" s="118"/>
      <c r="B29" s="8" t="s">
        <v>3067</v>
      </c>
      <c r="C29" s="33" t="s">
        <v>285</v>
      </c>
      <c r="D29" s="8" t="s">
        <v>4063</v>
      </c>
      <c r="E29" s="135" t="str">
        <f>HYPERLINK("https://youtu.be/BYquzyroDCY?t=1850","channel 1")</f>
        <v>channel 1</v>
      </c>
    </row>
    <row r="30">
      <c r="A30" s="118"/>
      <c r="B30" s="8" t="s">
        <v>4062</v>
      </c>
      <c r="C30" s="33" t="s">
        <v>14</v>
      </c>
      <c r="D30" s="8" t="s">
        <v>2545</v>
      </c>
      <c r="E30" s="11" t="str">
        <f>HYPERLINK("https://www.youtube.com/watch?v=Z7bqxf8lB4o&amp;feature=youtu.be&amp;t=1911","channel 2")</f>
        <v>channel 2</v>
      </c>
    </row>
    <row r="31">
      <c r="A31" s="118"/>
      <c r="B31" s="8" t="s">
        <v>3067</v>
      </c>
      <c r="C31" s="33" t="s">
        <v>194</v>
      </c>
      <c r="D31" s="8" t="s">
        <v>4061</v>
      </c>
      <c r="E31" s="135" t="str">
        <f>HYPERLINK("https://youtu.be/BYquzyroDCY?t=2826","channel 1")</f>
        <v>channel 1</v>
      </c>
    </row>
    <row r="32">
      <c r="A32" s="118"/>
      <c r="B32" s="8" t="s">
        <v>4063</v>
      </c>
      <c r="C32" s="33" t="s">
        <v>66</v>
      </c>
      <c r="D32" s="8" t="s">
        <v>2545</v>
      </c>
      <c r="E32" s="11" t="str">
        <f>HYPERLINK("https://www.youtube.com/watch?v=Z7bqxf8lB4o&amp;feature=youtu.be&amp;t=2803","channel 2")</f>
        <v>channel 2</v>
      </c>
    </row>
    <row r="33">
      <c r="A33" s="118"/>
      <c r="B33" s="8" t="s">
        <v>3067</v>
      </c>
      <c r="C33" s="33" t="s">
        <v>319</v>
      </c>
      <c r="D33" s="8" t="s">
        <v>4062</v>
      </c>
      <c r="E33" s="135" t="str">
        <f>HYPERLINK("https://youtu.be/BYquzyroDCY?t=3752","channel 1")</f>
        <v>channel 1</v>
      </c>
    </row>
    <row r="34">
      <c r="A34" s="118"/>
      <c r="B34" s="8" t="s">
        <v>4063</v>
      </c>
      <c r="C34" s="33" t="s">
        <v>19</v>
      </c>
      <c r="D34" s="8" t="s">
        <v>4061</v>
      </c>
      <c r="E34" s="11" t="str">
        <f>HYPERLINK("https://www.youtube.com/watch?v=Z7bqxf8lB4o&amp;feature=youtu.be&amp;t=3763","channel 2")</f>
        <v>channel 2</v>
      </c>
    </row>
    <row r="35">
      <c r="A35" s="118"/>
      <c r="B35" s="8" t="s">
        <v>4061</v>
      </c>
      <c r="C35" s="33" t="s">
        <v>251</v>
      </c>
      <c r="D35" s="8" t="s">
        <v>2545</v>
      </c>
      <c r="E35" s="135" t="str">
        <f>HYPERLINK("https://youtu.be/BYquzyroDCY?t=4664","channel 1")</f>
        <v>channel 1</v>
      </c>
    </row>
    <row r="36">
      <c r="A36" s="118"/>
      <c r="B36" s="8" t="s">
        <v>4063</v>
      </c>
      <c r="C36" s="33" t="s">
        <v>4058</v>
      </c>
      <c r="D36" s="8" t="s">
        <v>4062</v>
      </c>
      <c r="E36" s="11" t="str">
        <f>HYPERLINK("https://www.youtube.com/watch?v=Z7bqxf8lB4o&amp;feature=youtu.be&amp;t=4719","channel 2")</f>
        <v>channel 2</v>
      </c>
    </row>
    <row r="37">
      <c r="A37" s="118"/>
      <c r="B37" s="8" t="s">
        <v>2545</v>
      </c>
      <c r="C37" s="33" t="s">
        <v>68</v>
      </c>
      <c r="D37" s="8" t="s">
        <v>3067</v>
      </c>
      <c r="E37" s="135" t="str">
        <f>HYPERLINK("https://youtu.be/BYquzyroDCY?t=5602","channel 1")</f>
        <v>channel 1</v>
      </c>
    </row>
    <row r="38">
      <c r="A38" s="118"/>
      <c r="B38" s="8" t="s">
        <v>4061</v>
      </c>
      <c r="C38" s="33" t="s">
        <v>190</v>
      </c>
      <c r="D38" s="8" t="s">
        <v>4062</v>
      </c>
      <c r="E38" s="11" t="str">
        <f>HYPERLINK("https://youtu.be/Z7bqxf8lB4o?t=5708","channel 2")</f>
        <v>channel 2</v>
      </c>
    </row>
    <row r="39">
      <c r="A39" s="118"/>
      <c r="B39" s="8" t="s">
        <v>4063</v>
      </c>
      <c r="C39" s="35" t="s">
        <v>195</v>
      </c>
      <c r="D39" s="8" t="s">
        <v>3067</v>
      </c>
      <c r="E39" s="135" t="str">
        <f>HYPERLINK("https://youtu.be/BYquzyroDCY?t=6478","channel 1")</f>
        <v>channel 1</v>
      </c>
    </row>
    <row r="40">
      <c r="A40" s="118"/>
      <c r="B40" s="8" t="s">
        <v>2545</v>
      </c>
      <c r="C40" s="33" t="s">
        <v>270</v>
      </c>
      <c r="D40" s="8" t="s">
        <v>4062</v>
      </c>
      <c r="E40" s="11" t="str">
        <f>HYPERLINK("https://youtu.be/Z7bqxf8lB4o?t=6663","channel 2")</f>
        <v>channel 2</v>
      </c>
    </row>
    <row r="41">
      <c r="A41" s="118"/>
      <c r="B41" s="8" t="s">
        <v>4061</v>
      </c>
      <c r="C41" s="33" t="s">
        <v>793</v>
      </c>
      <c r="D41" s="8" t="s">
        <v>3067</v>
      </c>
      <c r="E41" s="135" t="str">
        <f>HYPERLINK("https://youtu.be/BYquzyroDCY?t=7432","channel 1")</f>
        <v>channel 1</v>
      </c>
    </row>
    <row r="42">
      <c r="A42" s="118"/>
      <c r="B42" s="8" t="s">
        <v>2545</v>
      </c>
      <c r="C42" s="33" t="s">
        <v>950</v>
      </c>
      <c r="D42" s="8" t="s">
        <v>4063</v>
      </c>
      <c r="E42" s="11" t="str">
        <f>HYPERLINK("https://youtu.be/Z7bqxf8lB4o?t=7574","channel 2")</f>
        <v>channel 2</v>
      </c>
    </row>
    <row r="43">
      <c r="A43" s="118"/>
      <c r="B43" s="8" t="s">
        <v>4062</v>
      </c>
      <c r="C43" s="33" t="s">
        <v>17</v>
      </c>
      <c r="D43" s="8" t="s">
        <v>3067</v>
      </c>
      <c r="E43" s="135" t="str">
        <f>HYPERLINK("https://youtu.be/BYquzyroDCY?t=8335","channel 1")</f>
        <v>channel 1</v>
      </c>
    </row>
    <row r="44">
      <c r="A44" s="118"/>
      <c r="B44" s="8" t="s">
        <v>4061</v>
      </c>
      <c r="C44" s="33" t="s">
        <v>68</v>
      </c>
      <c r="D44" s="8" t="s">
        <v>4063</v>
      </c>
      <c r="E44" s="11" t="str">
        <f>HYPERLINK("https://youtu.be/Z7bqxf8lB4o?t=8481","channel 2")</f>
        <v>channel 2</v>
      </c>
    </row>
    <row r="45">
      <c r="A45" s="118"/>
      <c r="B45" s="72" t="s">
        <v>4064</v>
      </c>
      <c r="C45" s="2"/>
      <c r="D45" s="3"/>
      <c r="E45" s="134"/>
    </row>
    <row r="46">
      <c r="A46" s="118"/>
      <c r="B46" s="35" t="s">
        <v>2</v>
      </c>
      <c r="C46" s="35" t="s">
        <v>3</v>
      </c>
      <c r="D46" s="35" t="s">
        <v>4</v>
      </c>
      <c r="E46" s="6" t="s">
        <v>5</v>
      </c>
    </row>
    <row r="47">
      <c r="A47" s="118"/>
      <c r="B47" s="8" t="s">
        <v>4065</v>
      </c>
      <c r="C47" s="33" t="s">
        <v>620</v>
      </c>
      <c r="D47" s="8" t="s">
        <v>4066</v>
      </c>
      <c r="E47" s="135" t="str">
        <f>HYPERLINK("https://youtu.be/PJ1Tam59QKk","channel 1")</f>
        <v>channel 1</v>
      </c>
    </row>
    <row r="48">
      <c r="A48" s="118"/>
      <c r="B48" s="8" t="s">
        <v>3352</v>
      </c>
      <c r="C48" s="33" t="s">
        <v>566</v>
      </c>
      <c r="D48" s="8" t="s">
        <v>4067</v>
      </c>
      <c r="E48" s="11" t="str">
        <f>HYPERLINK("https://youtu.be/p0e-_8lBIgc","channel 2")</f>
        <v>channel 2</v>
      </c>
    </row>
    <row r="49">
      <c r="A49" s="118"/>
      <c r="B49" s="8" t="s">
        <v>4068</v>
      </c>
      <c r="C49" s="33" t="s">
        <v>11</v>
      </c>
      <c r="D49" s="8" t="s">
        <v>4065</v>
      </c>
      <c r="E49" s="135" t="str">
        <f>HYPERLINK("https://youtu.be/PJ1Tam59QKk?t=1669","channel 1")</f>
        <v>channel 1</v>
      </c>
    </row>
    <row r="50">
      <c r="A50" s="118"/>
      <c r="B50" s="8" t="s">
        <v>3352</v>
      </c>
      <c r="C50" s="33" t="s">
        <v>22</v>
      </c>
      <c r="D50" s="8" t="s">
        <v>4066</v>
      </c>
      <c r="E50" s="11" t="str">
        <f>HYPERLINK("https://youtu.be/p0e-_8lBIgc?t=3212","channel 2")</f>
        <v>channel 2</v>
      </c>
    </row>
    <row r="51">
      <c r="A51" s="118"/>
      <c r="B51" s="8" t="s">
        <v>4068</v>
      </c>
      <c r="C51" s="33" t="s">
        <v>31</v>
      </c>
      <c r="D51" s="8" t="s">
        <v>4067</v>
      </c>
      <c r="E51" s="135" t="str">
        <f>HYPERLINK("https://youtu.be/PJ1Tam59QKk?t=2613","channel 1")</f>
        <v>channel 1</v>
      </c>
    </row>
    <row r="52">
      <c r="A52" s="118"/>
      <c r="B52" s="8" t="s">
        <v>3352</v>
      </c>
      <c r="C52" s="33" t="s">
        <v>45</v>
      </c>
      <c r="D52" s="8" t="s">
        <v>4065</v>
      </c>
      <c r="E52" s="11" t="str">
        <f>HYPERLINK("https://youtu.be/p0e-_8lBIgc?t=4146","channel 2")</f>
        <v>channel 2</v>
      </c>
    </row>
    <row r="53">
      <c r="A53" s="118"/>
      <c r="B53" s="8" t="s">
        <v>4068</v>
      </c>
      <c r="C53" s="33" t="s">
        <v>22</v>
      </c>
      <c r="D53" s="8" t="s">
        <v>4066</v>
      </c>
      <c r="E53" s="135" t="str">
        <f>HYPERLINK("https://youtu.be/PJ1Tam59QKk?t=3578","channel 1")</f>
        <v>channel 1</v>
      </c>
    </row>
    <row r="54">
      <c r="A54" s="118"/>
      <c r="B54" s="8" t="s">
        <v>4067</v>
      </c>
      <c r="C54" s="33" t="s">
        <v>78</v>
      </c>
      <c r="D54" s="8" t="s">
        <v>4065</v>
      </c>
      <c r="E54" s="11" t="str">
        <f>HYPERLINK("https://youtu.be/p0e-_8lBIgc?t=5136","channel 2")</f>
        <v>channel 2</v>
      </c>
    </row>
    <row r="55">
      <c r="A55" s="118"/>
      <c r="B55" s="8" t="s">
        <v>4068</v>
      </c>
      <c r="C55" s="33" t="s">
        <v>306</v>
      </c>
      <c r="D55" s="8" t="s">
        <v>3352</v>
      </c>
      <c r="E55" s="135" t="str">
        <f>HYPERLINK("https://youtu.be/PJ1Tam59QKk?t=4501","channel 1")</f>
        <v>channel 1</v>
      </c>
    </row>
    <row r="56">
      <c r="A56" s="118"/>
      <c r="B56" s="8" t="s">
        <v>4067</v>
      </c>
      <c r="C56" s="33" t="s">
        <v>802</v>
      </c>
      <c r="D56" s="8" t="s">
        <v>4066</v>
      </c>
      <c r="E56" s="11" t="str">
        <f>HYPERLINK("https://youtu.be/p0e-_8lBIgc?t=6072","channel 2")</f>
        <v>channel 2</v>
      </c>
    </row>
    <row r="57">
      <c r="A57" s="118"/>
      <c r="B57" s="8" t="s">
        <v>4066</v>
      </c>
      <c r="C57" s="33" t="s">
        <v>295</v>
      </c>
      <c r="D57" s="8" t="s">
        <v>4065</v>
      </c>
      <c r="E57" s="135" t="str">
        <f>HYPERLINK("https://youtu.be/PJ1Tam59QKk?t=5412","channel 1")</f>
        <v>channel 1</v>
      </c>
    </row>
    <row r="58">
      <c r="A58" s="118"/>
      <c r="B58" s="8" t="s">
        <v>4067</v>
      </c>
      <c r="C58" s="33" t="s">
        <v>354</v>
      </c>
      <c r="D58" s="8" t="s">
        <v>3352</v>
      </c>
      <c r="E58" s="11" t="str">
        <f>HYPERLINK("https://youtu.be/p0e-_8lBIgc?t=7035","channel 2")</f>
        <v>channel 2</v>
      </c>
    </row>
    <row r="59">
      <c r="A59" s="118"/>
      <c r="B59" s="8" t="s">
        <v>4065</v>
      </c>
      <c r="C59" s="57" t="s">
        <v>449</v>
      </c>
      <c r="D59" s="8" t="s">
        <v>4068</v>
      </c>
      <c r="E59" s="141" t="s">
        <v>9</v>
      </c>
    </row>
    <row r="60">
      <c r="A60" s="118"/>
      <c r="B60" s="8" t="s">
        <v>4066</v>
      </c>
      <c r="C60" s="57" t="s">
        <v>449</v>
      </c>
      <c r="D60" s="8" t="s">
        <v>3352</v>
      </c>
      <c r="E60" s="102" t="s">
        <v>13</v>
      </c>
    </row>
    <row r="61">
      <c r="A61" s="118"/>
      <c r="B61" s="8" t="s">
        <v>4067</v>
      </c>
      <c r="C61" s="57" t="s">
        <v>449</v>
      </c>
      <c r="D61" s="8" t="s">
        <v>4068</v>
      </c>
      <c r="E61" s="141" t="s">
        <v>9</v>
      </c>
    </row>
    <row r="62">
      <c r="A62" s="118"/>
      <c r="B62" s="8" t="s">
        <v>4065</v>
      </c>
      <c r="C62" s="57" t="s">
        <v>449</v>
      </c>
      <c r="D62" s="8" t="s">
        <v>3352</v>
      </c>
      <c r="E62" s="102" t="s">
        <v>13</v>
      </c>
    </row>
    <row r="63">
      <c r="A63" s="118"/>
      <c r="B63" s="8" t="s">
        <v>4066</v>
      </c>
      <c r="C63" s="57" t="s">
        <v>449</v>
      </c>
      <c r="D63" s="8" t="s">
        <v>4068</v>
      </c>
      <c r="E63" s="141" t="s">
        <v>9</v>
      </c>
    </row>
    <row r="64">
      <c r="A64" s="118"/>
      <c r="B64" s="8" t="s">
        <v>4065</v>
      </c>
      <c r="C64" s="57" t="s">
        <v>449</v>
      </c>
      <c r="D64" s="8" t="s">
        <v>4067</v>
      </c>
      <c r="E64" s="102" t="s">
        <v>13</v>
      </c>
    </row>
    <row r="65">
      <c r="A65" s="118"/>
      <c r="B65" s="8" t="s">
        <v>3352</v>
      </c>
      <c r="C65" s="57" t="s">
        <v>449</v>
      </c>
      <c r="D65" s="8" t="s">
        <v>4068</v>
      </c>
      <c r="E65" s="141" t="s">
        <v>9</v>
      </c>
    </row>
    <row r="66">
      <c r="A66" s="118"/>
      <c r="B66" s="8" t="s">
        <v>4066</v>
      </c>
      <c r="C66" s="57" t="s">
        <v>449</v>
      </c>
      <c r="D66" s="8" t="s">
        <v>4067</v>
      </c>
      <c r="E66" s="102" t="s">
        <v>13</v>
      </c>
    </row>
    <row r="67">
      <c r="A67" s="118"/>
      <c r="B67" s="72" t="s">
        <v>1435</v>
      </c>
      <c r="C67" s="2"/>
      <c r="D67" s="3"/>
      <c r="E67" s="138"/>
    </row>
    <row r="68">
      <c r="A68" s="118"/>
      <c r="B68" s="35" t="s">
        <v>2</v>
      </c>
      <c r="C68" s="35" t="s">
        <v>3</v>
      </c>
      <c r="D68" s="35" t="s">
        <v>4</v>
      </c>
      <c r="E68" s="16" t="s">
        <v>5</v>
      </c>
    </row>
    <row r="69">
      <c r="A69" s="118"/>
      <c r="B69" s="8" t="s">
        <v>4054</v>
      </c>
      <c r="C69" s="33" t="s">
        <v>286</v>
      </c>
      <c r="D69" s="8" t="s">
        <v>1729</v>
      </c>
      <c r="E69" s="135" t="str">
        <f>HYPERLINK("https://youtu.be/zlKmJqit2fY","channel 1")</f>
        <v>channel 1</v>
      </c>
    </row>
    <row r="70">
      <c r="A70" s="118"/>
      <c r="B70" s="8" t="s">
        <v>3964</v>
      </c>
      <c r="C70" s="33" t="s">
        <v>212</v>
      </c>
      <c r="D70" s="8" t="s">
        <v>4069</v>
      </c>
      <c r="E70" s="11" t="str">
        <f>HYPERLINK("https://youtu.be/GmoMCbFn1G4","channel 2")</f>
        <v>channel 2</v>
      </c>
    </row>
    <row r="71">
      <c r="A71" s="118"/>
      <c r="B71" s="8" t="s">
        <v>1182</v>
      </c>
      <c r="C71" s="33" t="s">
        <v>733</v>
      </c>
      <c r="D71" s="8" t="s">
        <v>4054</v>
      </c>
      <c r="E71" s="135" t="str">
        <f>HYPERLINK("https://youtu.be/zlKmJqit2fY?t=996","channel 1")</f>
        <v>channel 1</v>
      </c>
    </row>
    <row r="72">
      <c r="A72" s="118"/>
      <c r="B72" s="8" t="s">
        <v>3964</v>
      </c>
      <c r="C72" s="33" t="s">
        <v>14</v>
      </c>
      <c r="D72" s="8" t="s">
        <v>1729</v>
      </c>
      <c r="E72" s="11" t="str">
        <f>HYPERLINK("https://youtu.be/GmoMCbFn1G4?t=1072","channel 2")</f>
        <v>channel 2</v>
      </c>
    </row>
    <row r="73">
      <c r="A73" s="118"/>
      <c r="B73" s="8" t="s">
        <v>1182</v>
      </c>
      <c r="C73" s="33" t="s">
        <v>48</v>
      </c>
      <c r="D73" s="8" t="s">
        <v>4069</v>
      </c>
      <c r="E73" s="135" t="str">
        <f>HYPERLINK("https://youtu.be/zlKmJqit2fY?t=1941","channel 1")</f>
        <v>channel 1</v>
      </c>
    </row>
    <row r="74">
      <c r="A74" s="118"/>
      <c r="B74" s="8" t="s">
        <v>3964</v>
      </c>
      <c r="C74" s="33" t="s">
        <v>67</v>
      </c>
      <c r="D74" s="8" t="s">
        <v>4054</v>
      </c>
      <c r="E74" s="11" t="str">
        <f>HYPERLINK("https://youtu.be/GmoMCbFn1G4?t=1964","channel 2")</f>
        <v>channel 2</v>
      </c>
    </row>
    <row r="75">
      <c r="A75" s="118"/>
      <c r="B75" s="8" t="s">
        <v>1182</v>
      </c>
      <c r="C75" s="33" t="s">
        <v>1168</v>
      </c>
      <c r="D75" s="8" t="s">
        <v>1729</v>
      </c>
      <c r="E75" s="135" t="str">
        <f>HYPERLINK("https://youtu.be/zlKmJqit2fY?t=2935","channel 1")</f>
        <v>channel 1</v>
      </c>
    </row>
    <row r="76">
      <c r="A76" s="118"/>
      <c r="B76" s="8" t="s">
        <v>4069</v>
      </c>
      <c r="C76" s="33" t="s">
        <v>55</v>
      </c>
      <c r="D76" s="8" t="s">
        <v>4054</v>
      </c>
      <c r="E76" s="11" t="str">
        <f>HYPERLINK("https://youtu.be/GmoMCbFn1G4?t=2938","channel 2")</f>
        <v>channel 2</v>
      </c>
    </row>
    <row r="77">
      <c r="A77" s="118"/>
      <c r="B77" s="8" t="s">
        <v>1182</v>
      </c>
      <c r="C77" s="33" t="s">
        <v>31</v>
      </c>
      <c r="D77" s="8" t="s">
        <v>3964</v>
      </c>
      <c r="E77" s="135" t="str">
        <f>HYPERLINK("https://youtu.be/zlKmJqit2fY?t=3900","channel 1")</f>
        <v>channel 1</v>
      </c>
    </row>
    <row r="78">
      <c r="A78" s="118"/>
      <c r="B78" s="8" t="s">
        <v>4069</v>
      </c>
      <c r="C78" s="33" t="s">
        <v>2874</v>
      </c>
      <c r="D78" s="8" t="s">
        <v>1729</v>
      </c>
      <c r="E78" s="11" t="str">
        <f>HYPERLINK("https://youtu.be/GmoMCbFn1G4?t=3853","channel 2")</f>
        <v>channel 2</v>
      </c>
    </row>
    <row r="79">
      <c r="A79" s="118"/>
      <c r="B79" s="8" t="s">
        <v>1729</v>
      </c>
      <c r="C79" s="33" t="s">
        <v>20</v>
      </c>
      <c r="D79" s="8" t="s">
        <v>4054</v>
      </c>
      <c r="E79" s="135" t="str">
        <f>HYPERLINK("https://youtu.be/zlKmJqit2fY?t=4818","channel 1")</f>
        <v>channel 1</v>
      </c>
    </row>
    <row r="80">
      <c r="A80" s="118"/>
      <c r="B80" s="8" t="s">
        <v>4069</v>
      </c>
      <c r="C80" s="33" t="s">
        <v>20</v>
      </c>
      <c r="D80" s="8" t="s">
        <v>3964</v>
      </c>
      <c r="E80" s="11" t="str">
        <f>HYPERLINK("https://youtu.be/GmoMCbFn1G4?t=4827","channel 2")</f>
        <v>channel 2</v>
      </c>
    </row>
    <row r="81">
      <c r="A81" s="118"/>
      <c r="B81" s="8" t="s">
        <v>4054</v>
      </c>
      <c r="C81" s="33" t="s">
        <v>19</v>
      </c>
      <c r="D81" s="8" t="s">
        <v>1182</v>
      </c>
      <c r="E81" s="135" t="str">
        <f>HYPERLINK("https://youtu.be/zlKmJqit2fY?t=5750","channel 1")</f>
        <v>channel 1</v>
      </c>
    </row>
    <row r="82">
      <c r="A82" s="118"/>
      <c r="B82" s="8" t="s">
        <v>1729</v>
      </c>
      <c r="C82" s="33" t="s">
        <v>1310</v>
      </c>
      <c r="D82" s="8" t="s">
        <v>3964</v>
      </c>
      <c r="E82" s="11" t="str">
        <f>HYPERLINK("https://youtu.be/GmoMCbFn1G4?t=5826","channel 2")</f>
        <v>channel 2</v>
      </c>
    </row>
    <row r="83">
      <c r="A83" s="118"/>
      <c r="B83" s="8" t="s">
        <v>4069</v>
      </c>
      <c r="C83" s="33" t="s">
        <v>24</v>
      </c>
      <c r="D83" s="8" t="s">
        <v>1182</v>
      </c>
      <c r="E83" s="135" t="str">
        <f>HYPERLINK("https://youtu.be/zlKmJqit2fY?t=6730","channel 1")</f>
        <v>channel 1</v>
      </c>
    </row>
    <row r="84">
      <c r="A84" s="118"/>
      <c r="B84" s="8" t="s">
        <v>4054</v>
      </c>
      <c r="C84" s="33" t="s">
        <v>7</v>
      </c>
      <c r="D84" s="8" t="s">
        <v>3964</v>
      </c>
      <c r="E84" s="11" t="str">
        <f>HYPERLINK("https://youtu.be/GmoMCbFn1G4?t=6808","channel 2")</f>
        <v>channel 2</v>
      </c>
    </row>
    <row r="85">
      <c r="A85" s="118"/>
      <c r="B85" s="8" t="s">
        <v>1729</v>
      </c>
      <c r="C85" s="33" t="s">
        <v>7</v>
      </c>
      <c r="D85" s="8" t="s">
        <v>1182</v>
      </c>
      <c r="E85" s="135" t="str">
        <f>HYPERLINK("https://youtu.be/zlKmJqit2fY?t=7674","channel 1")</f>
        <v>channel 1</v>
      </c>
    </row>
    <row r="86">
      <c r="A86" s="118"/>
      <c r="B86" s="8" t="s">
        <v>4054</v>
      </c>
      <c r="C86" s="33" t="s">
        <v>88</v>
      </c>
      <c r="D86" s="8" t="s">
        <v>4069</v>
      </c>
      <c r="E86" s="11" t="str">
        <f>HYPERLINK("https://youtu.be/GmoMCbFn1G4?t=7707","channel 2")</f>
        <v>channel 2</v>
      </c>
    </row>
    <row r="87">
      <c r="A87" s="118"/>
      <c r="B87" s="8" t="s">
        <v>3964</v>
      </c>
      <c r="C87" s="33" t="s">
        <v>950</v>
      </c>
      <c r="D87" s="8" t="s">
        <v>1182</v>
      </c>
      <c r="E87" s="135" t="str">
        <f>HYPERLINK("https://youtu.be/zlKmJqit2fY?t=8687","channel 1")</f>
        <v>channel 1</v>
      </c>
    </row>
    <row r="88">
      <c r="A88" s="122"/>
      <c r="B88" s="8" t="s">
        <v>1729</v>
      </c>
      <c r="C88" s="33" t="s">
        <v>1381</v>
      </c>
      <c r="D88" s="8" t="s">
        <v>4069</v>
      </c>
      <c r="E88" s="11" t="str">
        <f>HYPERLINK("https://youtu.be/GmoMCbFn1G4?t=8689","channel 2")</f>
        <v>channel 2</v>
      </c>
    </row>
    <row r="89">
      <c r="B89" s="72" t="s">
        <v>2575</v>
      </c>
      <c r="C89" s="2"/>
      <c r="D89" s="3"/>
      <c r="E89" s="138"/>
    </row>
    <row r="90">
      <c r="B90" s="35" t="s">
        <v>2</v>
      </c>
      <c r="C90" s="35" t="s">
        <v>3</v>
      </c>
      <c r="D90" s="35" t="s">
        <v>4</v>
      </c>
      <c r="E90" s="16" t="s">
        <v>5</v>
      </c>
    </row>
    <row r="91">
      <c r="B91" s="8" t="s">
        <v>4070</v>
      </c>
      <c r="C91" s="33" t="s">
        <v>270</v>
      </c>
      <c r="D91" s="8" t="s">
        <v>4071</v>
      </c>
      <c r="E91" s="135" t="str">
        <f>HYPERLINK("https://youtu.be/2VKV_uos8RE","channel 1")</f>
        <v>channel 1</v>
      </c>
    </row>
    <row r="92">
      <c r="B92" s="8" t="s">
        <v>4072</v>
      </c>
      <c r="C92" s="33" t="s">
        <v>43</v>
      </c>
      <c r="D92" s="8" t="s">
        <v>2307</v>
      </c>
      <c r="E92" s="11" t="str">
        <f>HYPERLINK("https://youtu.be/otCtV0nZoyQ","channel 2")</f>
        <v>channel 2</v>
      </c>
    </row>
    <row r="93">
      <c r="B93" s="8" t="s">
        <v>4073</v>
      </c>
      <c r="C93" s="33" t="s">
        <v>193</v>
      </c>
      <c r="D93" s="8" t="s">
        <v>4070</v>
      </c>
      <c r="E93" s="135" t="str">
        <f>HYPERLINK("https://youtu.be/2VKV_uos8RE?t=876","channel 1")</f>
        <v>channel 1</v>
      </c>
    </row>
    <row r="94">
      <c r="B94" s="8" t="s">
        <v>4072</v>
      </c>
      <c r="C94" s="33" t="s">
        <v>201</v>
      </c>
      <c r="D94" s="8" t="s">
        <v>4071</v>
      </c>
      <c r="E94" s="11" t="str">
        <f>HYPERLINK("https://youtu.be/otCtV0nZoyQ?t=910","channel 2")</f>
        <v>channel 2</v>
      </c>
    </row>
    <row r="95">
      <c r="B95" s="8" t="s">
        <v>4073</v>
      </c>
      <c r="C95" s="33" t="s">
        <v>270</v>
      </c>
      <c r="D95" s="8" t="s">
        <v>2307</v>
      </c>
      <c r="E95" s="135" t="str">
        <f>HYPERLINK("https://youtu.be/2VKV_uos8RE?t=1908","channel 1")</f>
        <v>channel 1</v>
      </c>
    </row>
    <row r="96">
      <c r="B96" s="8" t="s">
        <v>4072</v>
      </c>
      <c r="C96" s="33" t="s">
        <v>270</v>
      </c>
      <c r="D96" s="8" t="s">
        <v>4070</v>
      </c>
      <c r="E96" s="11" t="str">
        <f>HYPERLINK("https://youtu.be/otCtV0nZoyQ?t=1811","channel 2")</f>
        <v>channel 2</v>
      </c>
    </row>
    <row r="97">
      <c r="B97" s="8" t="s">
        <v>4073</v>
      </c>
      <c r="C97" s="33" t="s">
        <v>22</v>
      </c>
      <c r="D97" s="8" t="s">
        <v>4071</v>
      </c>
      <c r="E97" s="135" t="str">
        <f>HYPERLINK("https://youtu.be/2VKV_uos8RE?t=2890","channel 1")</f>
        <v>channel 1</v>
      </c>
    </row>
    <row r="98">
      <c r="B98" s="8" t="s">
        <v>2307</v>
      </c>
      <c r="C98" s="33" t="s">
        <v>66</v>
      </c>
      <c r="D98" s="8" t="s">
        <v>4070</v>
      </c>
      <c r="E98" s="11" t="str">
        <f>HYPERLINK("https://youtu.be/otCtV0nZoyQ?t=2852","channel 2")</f>
        <v>channel 2</v>
      </c>
    </row>
    <row r="99">
      <c r="B99" s="8" t="s">
        <v>4073</v>
      </c>
      <c r="C99" s="33" t="s">
        <v>62</v>
      </c>
      <c r="D99" s="8" t="s">
        <v>4072</v>
      </c>
      <c r="E99" s="135" t="str">
        <f>HYPERLINK("https://youtu.be/2VKV_uos8RE?t=3860","channel 1")</f>
        <v>channel 1</v>
      </c>
    </row>
    <row r="100">
      <c r="B100" s="8" t="s">
        <v>2307</v>
      </c>
      <c r="C100" s="33" t="s">
        <v>195</v>
      </c>
      <c r="D100" s="8" t="s">
        <v>4071</v>
      </c>
      <c r="E100" s="11" t="str">
        <f>HYPERLINK("https://youtu.be/otCtV0nZoyQ?t=3787","channel 2")</f>
        <v>channel 2</v>
      </c>
    </row>
    <row r="101">
      <c r="B101" s="8" t="s">
        <v>4071</v>
      </c>
      <c r="C101" s="33" t="s">
        <v>196</v>
      </c>
      <c r="D101" s="8" t="s">
        <v>4070</v>
      </c>
      <c r="E101" s="135" t="str">
        <f>HYPERLINK("https://youtu.be/2VKV_uos8RE?t=4782","channel 1")</f>
        <v>channel 1</v>
      </c>
    </row>
    <row r="102">
      <c r="B102" s="8" t="s">
        <v>2307</v>
      </c>
      <c r="C102" s="33" t="s">
        <v>215</v>
      </c>
      <c r="D102" s="8" t="s">
        <v>4072</v>
      </c>
      <c r="E102" s="11" t="str">
        <f>HYPERLINK("https://youtu.be/otCtV0nZoyQ?t=4700","channel 2")</f>
        <v>channel 2</v>
      </c>
    </row>
    <row r="103">
      <c r="B103" s="8" t="s">
        <v>4070</v>
      </c>
      <c r="C103" s="33" t="s">
        <v>286</v>
      </c>
      <c r="D103" s="8" t="s">
        <v>4073</v>
      </c>
      <c r="E103" s="135" t="str">
        <f>HYPERLINK("https://youtu.be/2VKV_uos8RE?t=5734","channel 1")</f>
        <v>channel 1</v>
      </c>
    </row>
    <row r="104">
      <c r="B104" s="8" t="s">
        <v>4071</v>
      </c>
      <c r="C104" s="33" t="s">
        <v>2983</v>
      </c>
      <c r="D104" s="8" t="s">
        <v>4072</v>
      </c>
      <c r="E104" s="11" t="str">
        <f>HYPERLINK("https://youtu.be/otCtV0nZoyQ?t=5718","channel 2")</f>
        <v>channel 2</v>
      </c>
    </row>
    <row r="105">
      <c r="B105" s="8" t="s">
        <v>2307</v>
      </c>
      <c r="C105" s="33" t="s">
        <v>216</v>
      </c>
      <c r="D105" s="8" t="s">
        <v>4073</v>
      </c>
      <c r="E105" s="135" t="str">
        <f>HYPERLINK("https://youtu.be/2VKV_uos8RE?t=6726","channel 1")</f>
        <v>channel 1</v>
      </c>
    </row>
    <row r="106">
      <c r="B106" s="8" t="s">
        <v>4070</v>
      </c>
      <c r="C106" s="33" t="s">
        <v>306</v>
      </c>
      <c r="D106" s="8" t="s">
        <v>4072</v>
      </c>
      <c r="E106" s="11" t="str">
        <f>HYPERLINK("https://youtu.be/otCtV0nZoyQ?t=6636","channel 2")</f>
        <v>channel 2</v>
      </c>
    </row>
    <row r="107">
      <c r="B107" s="8" t="s">
        <v>4071</v>
      </c>
      <c r="C107" s="33" t="s">
        <v>11</v>
      </c>
      <c r="D107" s="8" t="s">
        <v>4073</v>
      </c>
      <c r="E107" s="135" t="str">
        <f>HYPERLINK("https://youtu.be/2VKV_uos8RE?t=7730","channel 1")</f>
        <v>channel 1</v>
      </c>
    </row>
    <row r="108">
      <c r="B108" s="8" t="s">
        <v>4070</v>
      </c>
      <c r="C108" s="33" t="s">
        <v>58</v>
      </c>
      <c r="D108" s="8" t="s">
        <v>2307</v>
      </c>
      <c r="E108" s="11" t="str">
        <f>HYPERLINK("https://youtu.be/otCtV0nZoyQ?t=7730","channel 2")</f>
        <v>channel 2</v>
      </c>
    </row>
    <row r="109">
      <c r="B109" s="8" t="s">
        <v>4072</v>
      </c>
      <c r="C109" s="33" t="s">
        <v>19</v>
      </c>
      <c r="D109" s="8" t="s">
        <v>4073</v>
      </c>
      <c r="E109" s="135" t="str">
        <f>HYPERLINK("https://youtu.be/2VKV_uos8RE?t=8714","channel 1")</f>
        <v>channel 1</v>
      </c>
    </row>
    <row r="110">
      <c r="B110" s="8" t="s">
        <v>4071</v>
      </c>
      <c r="C110" s="33" t="s">
        <v>62</v>
      </c>
      <c r="D110" s="8" t="s">
        <v>2307</v>
      </c>
      <c r="E110" s="11" t="str">
        <f>HYPERLINK("https://youtu.be/otCtV0nZoyQ?t=8707","channel 2")</f>
        <v>channel 2</v>
      </c>
    </row>
    <row r="111">
      <c r="B111" s="72" t="s">
        <v>2464</v>
      </c>
      <c r="C111" s="2"/>
      <c r="D111" s="3"/>
      <c r="E111" s="138"/>
    </row>
    <row r="112">
      <c r="B112" s="35" t="s">
        <v>2</v>
      </c>
      <c r="C112" s="35" t="s">
        <v>3</v>
      </c>
      <c r="D112" s="35" t="s">
        <v>4</v>
      </c>
      <c r="E112" s="16" t="s">
        <v>5</v>
      </c>
    </row>
    <row r="113">
      <c r="B113" s="8" t="s">
        <v>4074</v>
      </c>
      <c r="C113" s="33" t="s">
        <v>41</v>
      </c>
      <c r="D113" s="8" t="s">
        <v>4075</v>
      </c>
      <c r="E113" s="135" t="str">
        <f>HYPERLINK("https://youtu.be/U4nl3MKDt20","channel 1")</f>
        <v>channel 1</v>
      </c>
    </row>
    <row r="114">
      <c r="B114" s="8" t="s">
        <v>3471</v>
      </c>
      <c r="C114" s="33" t="s">
        <v>338</v>
      </c>
      <c r="D114" s="8" t="s">
        <v>1449</v>
      </c>
      <c r="E114" s="11" t="str">
        <f>HYPERLINK("https://youtu.be/PYcUYiHQHkg","channel 2")</f>
        <v>channel 2</v>
      </c>
    </row>
    <row r="115">
      <c r="B115" s="8" t="s">
        <v>4076</v>
      </c>
      <c r="C115" s="33" t="s">
        <v>25</v>
      </c>
      <c r="D115" s="8" t="s">
        <v>4074</v>
      </c>
      <c r="E115" s="135" t="str">
        <f>HYPERLINK("https://youtu.be/U4nl3MKDt20?t=1148","channel 1")</f>
        <v>channel 1</v>
      </c>
    </row>
    <row r="116">
      <c r="B116" s="8" t="s">
        <v>3471</v>
      </c>
      <c r="C116" s="33" t="s">
        <v>726</v>
      </c>
      <c r="D116" s="8" t="s">
        <v>4075</v>
      </c>
      <c r="E116" s="11" t="str">
        <f>HYPERLINK("https://youtu.be/PYcUYiHQHkg?t=389","channel 2")</f>
        <v>channel 2</v>
      </c>
    </row>
    <row r="117">
      <c r="B117" s="8" t="s">
        <v>4076</v>
      </c>
      <c r="C117" s="33" t="s">
        <v>62</v>
      </c>
      <c r="D117" s="8" t="s">
        <v>1449</v>
      </c>
      <c r="E117" s="135" t="str">
        <f>HYPERLINK("https://youtu.be/U4nl3MKDt20?t=2213","channel 1")</f>
        <v>channel 1</v>
      </c>
    </row>
    <row r="118">
      <c r="B118" s="8" t="s">
        <v>3471</v>
      </c>
      <c r="C118" s="33" t="s">
        <v>14</v>
      </c>
      <c r="D118" s="8" t="s">
        <v>4074</v>
      </c>
      <c r="E118" s="11" t="str">
        <f>HYPERLINK("https://youtu.be/PYcUYiHQHkg?t=1483","channel 2")</f>
        <v>channel 2</v>
      </c>
    </row>
    <row r="119">
      <c r="B119" s="8" t="s">
        <v>4076</v>
      </c>
      <c r="C119" s="33" t="s">
        <v>52</v>
      </c>
      <c r="D119" s="8" t="s">
        <v>4075</v>
      </c>
      <c r="E119" s="135" t="str">
        <f>HYPERLINK("https://youtu.be/U4nl3MKDt20?t=3234","channel 1")</f>
        <v>channel 1</v>
      </c>
    </row>
    <row r="120">
      <c r="B120" s="8" t="s">
        <v>1449</v>
      </c>
      <c r="C120" s="33" t="s">
        <v>26</v>
      </c>
      <c r="D120" s="8" t="s">
        <v>4074</v>
      </c>
      <c r="E120" s="11" t="str">
        <f>HYPERLINK("https://youtu.be/PYcUYiHQHkg?t=2601","channel 2")</f>
        <v>channel 2</v>
      </c>
    </row>
    <row r="121">
      <c r="B121" s="8" t="s">
        <v>4076</v>
      </c>
      <c r="C121" s="33" t="s">
        <v>25</v>
      </c>
      <c r="D121" s="8" t="s">
        <v>3471</v>
      </c>
      <c r="E121" s="135" t="str">
        <f>HYPERLINK("https://youtu.be/U4nl3MKDt20?t=4260","channel 1")</f>
        <v>channel 1</v>
      </c>
    </row>
    <row r="122">
      <c r="B122" s="8" t="s">
        <v>1449</v>
      </c>
      <c r="C122" s="33" t="s">
        <v>218</v>
      </c>
      <c r="D122" s="8" t="s">
        <v>4075</v>
      </c>
      <c r="E122" s="11" t="str">
        <f>HYPERLINK("https://youtu.be/PYcUYiHQHkg?t=3621","channel 2")</f>
        <v>channel 2</v>
      </c>
    </row>
    <row r="123">
      <c r="B123" s="8" t="s">
        <v>4075</v>
      </c>
      <c r="C123" s="33" t="s">
        <v>43</v>
      </c>
      <c r="D123" s="8" t="s">
        <v>4074</v>
      </c>
      <c r="E123" s="135" t="str">
        <f>HYPERLINK("https://youtu.be/U4nl3MKDt20?t=5211","channel 1")</f>
        <v>channel 1</v>
      </c>
    </row>
    <row r="124">
      <c r="B124" s="8" t="s">
        <v>1449</v>
      </c>
      <c r="C124" s="33" t="s">
        <v>719</v>
      </c>
      <c r="D124" s="8" t="s">
        <v>3471</v>
      </c>
      <c r="E124" s="11" t="str">
        <f>HYPERLINK("https://youtu.be/PYcUYiHQHkg?t=4559","channel 2")</f>
        <v>channel 2</v>
      </c>
    </row>
    <row r="125">
      <c r="B125" s="8" t="s">
        <v>4074</v>
      </c>
      <c r="C125" s="33" t="s">
        <v>190</v>
      </c>
      <c r="D125" s="8" t="s">
        <v>4076</v>
      </c>
      <c r="E125" s="135" t="str">
        <f>HYPERLINK("https://youtu.be/U4nl3MKDt20?t=6209","channel 1")</f>
        <v>channel 1</v>
      </c>
    </row>
    <row r="126">
      <c r="B126" s="8" t="s">
        <v>4075</v>
      </c>
      <c r="C126" s="33" t="s">
        <v>797</v>
      </c>
      <c r="D126" s="8" t="s">
        <v>3471</v>
      </c>
      <c r="E126" s="11" t="str">
        <f>HYPERLINK("https://youtu.be/PYcUYiHQHkg?t=5509","channel 2")</f>
        <v>channel 2</v>
      </c>
    </row>
    <row r="127">
      <c r="B127" s="8" t="s">
        <v>1449</v>
      </c>
      <c r="C127" s="33" t="s">
        <v>285</v>
      </c>
      <c r="D127" s="8" t="s">
        <v>4076</v>
      </c>
      <c r="E127" s="135" t="str">
        <f>HYPERLINK("https://youtu.be/U4nl3MKDt20?t=7256","channel 1")</f>
        <v>channel 1</v>
      </c>
    </row>
    <row r="128">
      <c r="B128" s="8" t="s">
        <v>4074</v>
      </c>
      <c r="C128" s="33" t="s">
        <v>1068</v>
      </c>
      <c r="D128" s="8" t="s">
        <v>3471</v>
      </c>
      <c r="E128" s="11" t="str">
        <f>HYPERLINK("https://youtu.be/PYcUYiHQHkg?t=6500","channel 2")</f>
        <v>channel 2</v>
      </c>
    </row>
    <row r="129">
      <c r="B129" s="8" t="s">
        <v>4075</v>
      </c>
      <c r="C129" s="33" t="s">
        <v>319</v>
      </c>
      <c r="D129" s="8" t="s">
        <v>4076</v>
      </c>
      <c r="E129" s="135" t="str">
        <f>HYPERLINK("https://youtu.be/U4nl3MKDt20?t=8231","channel 1")</f>
        <v>channel 1</v>
      </c>
    </row>
    <row r="130">
      <c r="B130" s="8" t="s">
        <v>4074</v>
      </c>
      <c r="C130" s="33" t="s">
        <v>294</v>
      </c>
      <c r="D130" s="8" t="s">
        <v>1449</v>
      </c>
      <c r="E130" s="11" t="str">
        <f>HYPERLINK("https://youtu.be/PYcUYiHQHkg?t=7479","channel 2")</f>
        <v>channel 2</v>
      </c>
    </row>
    <row r="131">
      <c r="B131" s="8" t="s">
        <v>3471</v>
      </c>
      <c r="C131" s="33" t="s">
        <v>218</v>
      </c>
      <c r="D131" s="8" t="s">
        <v>4076</v>
      </c>
      <c r="E131" s="135" t="str">
        <f>HYPERLINK("https://youtu.be/U4nl3MKDt20?t=9192","channel 1")</f>
        <v>channel 1</v>
      </c>
    </row>
    <row r="132">
      <c r="B132" s="8" t="s">
        <v>4075</v>
      </c>
      <c r="C132" s="33" t="s">
        <v>38</v>
      </c>
      <c r="D132" s="8" t="s">
        <v>1449</v>
      </c>
      <c r="E132" s="11" t="str">
        <f>HYPERLINK("https://youtu.be/PYcUYiHQHkg?t=8504","channel 2")</f>
        <v>channel 2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7"/>
      <c r="B1" s="72" t="s">
        <v>2154</v>
      </c>
      <c r="C1" s="2"/>
      <c r="D1" s="3"/>
      <c r="E1" s="134"/>
    </row>
    <row r="2">
      <c r="A2" s="118"/>
      <c r="B2" s="35" t="s">
        <v>2</v>
      </c>
      <c r="C2" s="35" t="s">
        <v>3</v>
      </c>
      <c r="D2" s="35" t="s">
        <v>4</v>
      </c>
      <c r="E2" s="6" t="s">
        <v>5</v>
      </c>
    </row>
    <row r="3">
      <c r="A3" s="118"/>
      <c r="B3" s="8" t="s">
        <v>1541</v>
      </c>
      <c r="C3" s="33" t="s">
        <v>413</v>
      </c>
      <c r="D3" s="8" t="s">
        <v>3527</v>
      </c>
      <c r="E3" s="135" t="str">
        <f>HYPERLINK("https://youtu.be/s7LAQRtQ8II","channel 1")</f>
        <v>channel 1</v>
      </c>
    </row>
    <row r="4">
      <c r="A4" s="118"/>
      <c r="B4" s="8" t="s">
        <v>105</v>
      </c>
      <c r="C4" s="33" t="s">
        <v>426</v>
      </c>
      <c r="D4" s="8" t="s">
        <v>4077</v>
      </c>
      <c r="E4" s="11" t="str">
        <f>HYPERLINK("https://www.youtube.com/watch?v=RpnpO4-ELAQ","channel 2")</f>
        <v>channel 2</v>
      </c>
    </row>
    <row r="5">
      <c r="A5" s="118"/>
      <c r="B5" s="8" t="s">
        <v>4078</v>
      </c>
      <c r="C5" s="33" t="s">
        <v>68</v>
      </c>
      <c r="D5" s="8" t="s">
        <v>1541</v>
      </c>
      <c r="E5" s="135" t="str">
        <f>HYPERLINK("https://youtu.be/O7nvA-CSpnc","channel 1")</f>
        <v>channel 1</v>
      </c>
    </row>
    <row r="6">
      <c r="A6" s="118"/>
      <c r="B6" s="8" t="s">
        <v>105</v>
      </c>
      <c r="C6" s="33" t="s">
        <v>284</v>
      </c>
      <c r="D6" s="8" t="s">
        <v>3527</v>
      </c>
      <c r="E6" s="11" t="str">
        <f>HYPERLINK("https://www.youtube.com/watch?v=g3VeAWmJaSg","channel 2")</f>
        <v>channel 2</v>
      </c>
    </row>
    <row r="7">
      <c r="A7" s="118"/>
      <c r="B7" s="8" t="s">
        <v>4078</v>
      </c>
      <c r="C7" s="33" t="s">
        <v>412</v>
      </c>
      <c r="D7" s="8" t="s">
        <v>4077</v>
      </c>
      <c r="E7" s="135" t="str">
        <f>HYPERLINK("https://youtu.be/4uATkH9BBhQ","channel 1")</f>
        <v>channel 1</v>
      </c>
    </row>
    <row r="8">
      <c r="A8" s="118"/>
      <c r="B8" s="8" t="s">
        <v>105</v>
      </c>
      <c r="C8" s="33" t="s">
        <v>67</v>
      </c>
      <c r="D8" s="8" t="s">
        <v>1541</v>
      </c>
      <c r="E8" s="11" t="str">
        <f>HYPERLINK("https://www.youtube.com/watch?v=Sas_dr7wFaw","channel 2")</f>
        <v>channel 2</v>
      </c>
    </row>
    <row r="9">
      <c r="A9" s="118"/>
      <c r="B9" s="8" t="s">
        <v>4078</v>
      </c>
      <c r="C9" s="33" t="s">
        <v>71</v>
      </c>
      <c r="D9" s="8" t="s">
        <v>3527</v>
      </c>
      <c r="E9" s="135" t="str">
        <f>HYPERLINK("https://youtu.be/zOApIpHBm8M","channel 1")</f>
        <v>channel 1</v>
      </c>
    </row>
    <row r="10">
      <c r="A10" s="118"/>
      <c r="B10" s="8" t="s">
        <v>4077</v>
      </c>
      <c r="C10" s="33" t="s">
        <v>62</v>
      </c>
      <c r="D10" s="8" t="s">
        <v>1541</v>
      </c>
      <c r="E10" s="11" t="str">
        <f>HYPERLINK("https://www.youtube.com/watch?v=pQpHyiHPgD4","channel 2")</f>
        <v>channel 2</v>
      </c>
    </row>
    <row r="11">
      <c r="A11" s="118"/>
      <c r="B11" s="8" t="s">
        <v>4078</v>
      </c>
      <c r="C11" s="33" t="s">
        <v>260</v>
      </c>
      <c r="D11" s="8" t="s">
        <v>105</v>
      </c>
      <c r="E11" s="135" t="str">
        <f>HYPERLINK("https://youtu.be/rz6RbXJbzBI","channel 1")</f>
        <v>channel 1</v>
      </c>
    </row>
    <row r="12">
      <c r="A12" s="118"/>
      <c r="B12" s="8" t="s">
        <v>4077</v>
      </c>
      <c r="C12" s="33" t="s">
        <v>82</v>
      </c>
      <c r="D12" s="8" t="s">
        <v>3527</v>
      </c>
      <c r="E12" s="11" t="str">
        <f>HYPERLINK("https://www.youtube.com/watch?v=5sWpeG8zlyg","channel 2")</f>
        <v>channel 2</v>
      </c>
    </row>
    <row r="13">
      <c r="A13" s="118"/>
      <c r="B13" s="8" t="s">
        <v>3527</v>
      </c>
      <c r="C13" s="33" t="s">
        <v>426</v>
      </c>
      <c r="D13" s="8" t="s">
        <v>1541</v>
      </c>
      <c r="E13" s="135" t="str">
        <f>HYPERLINK("https://youtu.be/oHUVfGVA3kM","channel 1")</f>
        <v>channel 1</v>
      </c>
    </row>
    <row r="14">
      <c r="A14" s="118"/>
      <c r="B14" s="8" t="s">
        <v>4077</v>
      </c>
      <c r="C14" s="33" t="s">
        <v>64</v>
      </c>
      <c r="D14" s="8" t="s">
        <v>105</v>
      </c>
      <c r="E14" s="11" t="str">
        <f>HYPERLINK("https://www.youtube.com/watch?v=86G7rEMz-UM","channel 2")</f>
        <v>channel 2</v>
      </c>
    </row>
    <row r="15">
      <c r="A15" s="118"/>
      <c r="B15" s="8" t="s">
        <v>1541</v>
      </c>
      <c r="C15" s="33" t="s">
        <v>31</v>
      </c>
      <c r="D15" s="8" t="s">
        <v>4078</v>
      </c>
      <c r="E15" s="135" t="str">
        <f>HYPERLINK("https://youtu.be/ynEG65cb0lA","channel 1")</f>
        <v>channel 1</v>
      </c>
    </row>
    <row r="16">
      <c r="A16" s="118"/>
      <c r="B16" s="8" t="s">
        <v>3527</v>
      </c>
      <c r="C16" s="33" t="s">
        <v>16</v>
      </c>
      <c r="D16" s="8" t="s">
        <v>105</v>
      </c>
      <c r="E16" s="11" t="str">
        <f>HYPERLINK("https://youtu.be/AqR7KX3W92c","channel 2")</f>
        <v>channel 2</v>
      </c>
    </row>
    <row r="17">
      <c r="A17" s="118"/>
      <c r="B17" s="8" t="s">
        <v>4077</v>
      </c>
      <c r="C17" s="33" t="s">
        <v>43</v>
      </c>
      <c r="D17" s="8" t="s">
        <v>4078</v>
      </c>
      <c r="E17" s="135" t="str">
        <f>HYPERLINK("https://youtu.be/Usv5vI2R3tA","channel 1")</f>
        <v>channel 1</v>
      </c>
    </row>
    <row r="18">
      <c r="A18" s="118"/>
      <c r="B18" s="8" t="s">
        <v>1541</v>
      </c>
      <c r="C18" s="33" t="s">
        <v>81</v>
      </c>
      <c r="D18" s="8" t="s">
        <v>105</v>
      </c>
      <c r="E18" s="11" t="str">
        <f>HYPERLINK("https://youtu.be/Br9gqNXDcjg","channel 2")</f>
        <v>channel 2</v>
      </c>
    </row>
    <row r="19">
      <c r="A19" s="118"/>
      <c r="B19" s="8" t="s">
        <v>3527</v>
      </c>
      <c r="C19" s="33" t="s">
        <v>544</v>
      </c>
      <c r="D19" s="8" t="s">
        <v>4078</v>
      </c>
      <c r="E19" s="135" t="str">
        <f>HYPERLINK("https://youtu.be/C4qUdr6eRrU","channel 1")</f>
        <v>channel 1</v>
      </c>
    </row>
    <row r="20">
      <c r="A20" s="118"/>
      <c r="B20" s="8" t="s">
        <v>1541</v>
      </c>
      <c r="C20" s="33" t="s">
        <v>81</v>
      </c>
      <c r="D20" s="8" t="s">
        <v>4077</v>
      </c>
      <c r="E20" s="11" t="str">
        <f>HYPERLINK("https://youtu.be/3umzBBFqJ2E","channel 2")</f>
        <v>channel 2</v>
      </c>
    </row>
    <row r="21">
      <c r="A21" s="118"/>
      <c r="B21" s="8" t="s">
        <v>105</v>
      </c>
      <c r="C21" s="33" t="s">
        <v>62</v>
      </c>
      <c r="D21" s="8" t="s">
        <v>4078</v>
      </c>
      <c r="E21" s="135" t="str">
        <f>HYPERLINK("https://youtu.be/gmVJHPk1qA0","channel 1")</f>
        <v>channel 1</v>
      </c>
    </row>
    <row r="22">
      <c r="A22" s="118"/>
      <c r="B22" s="8" t="s">
        <v>3527</v>
      </c>
      <c r="C22" s="33" t="s">
        <v>240</v>
      </c>
      <c r="D22" s="8" t="s">
        <v>4077</v>
      </c>
      <c r="E22" s="11" t="str">
        <f>HYPERLINK("https://youtu.be/5Kef6ebRxDw","channel 2")</f>
        <v>channel 2</v>
      </c>
    </row>
    <row r="23">
      <c r="A23" s="118"/>
      <c r="B23" s="72" t="s">
        <v>3946</v>
      </c>
      <c r="C23" s="2"/>
      <c r="D23" s="3"/>
      <c r="E23" s="134"/>
    </row>
    <row r="24">
      <c r="A24" s="118"/>
      <c r="B24" s="35" t="s">
        <v>2</v>
      </c>
      <c r="C24" s="35" t="s">
        <v>3</v>
      </c>
      <c r="D24" s="35" t="s">
        <v>4</v>
      </c>
      <c r="E24" s="6" t="s">
        <v>5</v>
      </c>
    </row>
    <row r="25">
      <c r="A25" s="118"/>
      <c r="B25" s="8" t="s">
        <v>3948</v>
      </c>
      <c r="C25" s="33" t="s">
        <v>951</v>
      </c>
      <c r="D25" s="8" t="s">
        <v>4079</v>
      </c>
      <c r="E25" s="135" t="str">
        <f>HYPERLINK("https://youtu.be/5JNya7NnrhI","channel 1")</f>
        <v>channel 1</v>
      </c>
    </row>
    <row r="26">
      <c r="A26" s="118"/>
      <c r="B26" s="8" t="s">
        <v>4080</v>
      </c>
      <c r="C26" s="33" t="s">
        <v>352</v>
      </c>
      <c r="D26" s="8" t="s">
        <v>2901</v>
      </c>
      <c r="E26" s="11" t="str">
        <f>HYPERLINK("https://youtu.be/YE1SNUCUgJY","channel 2")</f>
        <v>channel 2</v>
      </c>
    </row>
    <row r="27">
      <c r="A27" s="118"/>
      <c r="B27" s="8" t="s">
        <v>586</v>
      </c>
      <c r="C27" s="33" t="s">
        <v>87</v>
      </c>
      <c r="D27" s="8" t="s">
        <v>3948</v>
      </c>
      <c r="E27" s="135" t="str">
        <f>HYPERLINK("https://youtu.be/5JNya7NnrhI?t=1001","channel 1")</f>
        <v>channel 1</v>
      </c>
    </row>
    <row r="28">
      <c r="A28" s="118"/>
      <c r="B28" s="8" t="s">
        <v>4080</v>
      </c>
      <c r="C28" s="33" t="s">
        <v>390</v>
      </c>
      <c r="D28" s="8" t="s">
        <v>4079</v>
      </c>
      <c r="E28" s="11" t="str">
        <f>HYPERLINK("https://youtu.be/YE1SNUCUgJY?t=1027","channel 2")</f>
        <v>channel 2</v>
      </c>
    </row>
    <row r="29">
      <c r="A29" s="118"/>
      <c r="B29" s="8" t="s">
        <v>586</v>
      </c>
      <c r="C29" s="33" t="s">
        <v>195</v>
      </c>
      <c r="D29" s="8" t="s">
        <v>2901</v>
      </c>
      <c r="E29" s="135" t="str">
        <f>HYPERLINK("https://youtu.be/5JNya7NnrhI?t=1932","channel 1")</f>
        <v>channel 1</v>
      </c>
    </row>
    <row r="30">
      <c r="A30" s="118"/>
      <c r="B30" s="8" t="s">
        <v>4080</v>
      </c>
      <c r="C30" s="33" t="s">
        <v>62</v>
      </c>
      <c r="D30" s="8" t="s">
        <v>3948</v>
      </c>
      <c r="E30" s="11" t="str">
        <f>HYPERLINK("https://youtu.be/YE1SNUCUgJY?t=1929","channel 2")</f>
        <v>channel 2</v>
      </c>
    </row>
    <row r="31">
      <c r="A31" s="118"/>
      <c r="B31" s="8" t="s">
        <v>586</v>
      </c>
      <c r="C31" s="33" t="s">
        <v>260</v>
      </c>
      <c r="D31" s="8" t="s">
        <v>4079</v>
      </c>
      <c r="E31" s="135" t="str">
        <f>HYPERLINK("https://youtu.be/5JNya7NnrhI?t=2865","channel 1")</f>
        <v>channel 1</v>
      </c>
    </row>
    <row r="32">
      <c r="A32" s="118"/>
      <c r="B32" s="8" t="s">
        <v>2901</v>
      </c>
      <c r="C32" s="33" t="s">
        <v>190</v>
      </c>
      <c r="D32" s="8" t="s">
        <v>3948</v>
      </c>
      <c r="E32" s="11" t="str">
        <f>HYPERLINK("https://youtu.be/YE1SNUCUgJY?t=2873","channel 2")</f>
        <v>channel 2</v>
      </c>
    </row>
    <row r="33">
      <c r="A33" s="118"/>
      <c r="B33" s="8" t="s">
        <v>586</v>
      </c>
      <c r="C33" s="33" t="s">
        <v>197</v>
      </c>
      <c r="D33" s="8" t="s">
        <v>4080</v>
      </c>
      <c r="E33" s="135" t="str">
        <f>HYPERLINK("https://youtu.be/5JNya7NnrhI?t=3795","channel 1")</f>
        <v>channel 1</v>
      </c>
    </row>
    <row r="34">
      <c r="A34" s="118"/>
      <c r="B34" s="8" t="s">
        <v>2901</v>
      </c>
      <c r="C34" s="33" t="s">
        <v>325</v>
      </c>
      <c r="D34" s="8" t="s">
        <v>4079</v>
      </c>
      <c r="E34" s="11" t="str">
        <f>HYPERLINK("https://youtu.be/YE1SNUCUgJY?t=3814","channel 2")</f>
        <v>channel 2</v>
      </c>
    </row>
    <row r="35">
      <c r="A35" s="118"/>
      <c r="B35" s="8" t="s">
        <v>4079</v>
      </c>
      <c r="C35" s="33" t="s">
        <v>726</v>
      </c>
      <c r="D35" s="8" t="s">
        <v>3948</v>
      </c>
      <c r="E35" s="135" t="str">
        <f>HYPERLINK("https://youtu.be/5JNya7NnrhI?t=4733","channel 1")</f>
        <v>channel 1</v>
      </c>
    </row>
    <row r="36">
      <c r="A36" s="118"/>
      <c r="B36" s="8" t="s">
        <v>2901</v>
      </c>
      <c r="C36" s="33" t="s">
        <v>293</v>
      </c>
      <c r="D36" s="8" t="s">
        <v>4080</v>
      </c>
      <c r="E36" s="11" t="str">
        <f>HYPERLINK("https://youtu.be/YE1SNUCUgJY?t=4762","channel 2")</f>
        <v>channel 2</v>
      </c>
    </row>
    <row r="37">
      <c r="A37" s="118"/>
      <c r="B37" s="8" t="s">
        <v>3948</v>
      </c>
      <c r="C37" s="33" t="s">
        <v>22</v>
      </c>
      <c r="D37" s="8" t="s">
        <v>586</v>
      </c>
      <c r="E37" s="135" t="str">
        <f>HYPERLINK("https://youtu.be/5JNya7NnrhI?t=5703","channel 1")</f>
        <v>channel 1</v>
      </c>
    </row>
    <row r="38">
      <c r="A38" s="118"/>
      <c r="B38" s="8" t="s">
        <v>4079</v>
      </c>
      <c r="C38" s="33" t="s">
        <v>260</v>
      </c>
      <c r="D38" s="8" t="s">
        <v>4080</v>
      </c>
      <c r="E38" s="11" t="str">
        <f>HYPERLINK("https://youtu.be/YE1SNUCUgJY?t=5698","channel 2")</f>
        <v>channel 2</v>
      </c>
    </row>
    <row r="39">
      <c r="A39" s="118"/>
      <c r="B39" s="8" t="s">
        <v>2901</v>
      </c>
      <c r="C39" s="35" t="s">
        <v>193</v>
      </c>
      <c r="D39" s="8" t="s">
        <v>586</v>
      </c>
      <c r="E39" s="135" t="str">
        <f>HYPERLINK("https://youtu.be/5JNya7NnrhI?t=6649","channel 1")</f>
        <v>channel 1</v>
      </c>
    </row>
    <row r="40">
      <c r="A40" s="118"/>
      <c r="B40" s="8" t="s">
        <v>3948</v>
      </c>
      <c r="C40" s="33" t="s">
        <v>217</v>
      </c>
      <c r="D40" s="8" t="s">
        <v>4080</v>
      </c>
      <c r="E40" s="11" t="str">
        <f>HYPERLINK("https://youtu.be/YE1SNUCUgJY?t=6639","channel 2")</f>
        <v>channel 2</v>
      </c>
    </row>
    <row r="41">
      <c r="A41" s="118"/>
      <c r="B41" s="8" t="s">
        <v>4079</v>
      </c>
      <c r="C41" s="33" t="s">
        <v>426</v>
      </c>
      <c r="D41" s="8" t="s">
        <v>586</v>
      </c>
      <c r="E41" s="135" t="str">
        <f>HYPERLINK("https://youtu.be/5JNya7NnrhI?t=7580","channel 1")</f>
        <v>channel 1</v>
      </c>
    </row>
    <row r="42">
      <c r="A42" s="118"/>
      <c r="B42" s="8" t="s">
        <v>3948</v>
      </c>
      <c r="C42" s="33" t="s">
        <v>22</v>
      </c>
      <c r="D42" s="8" t="s">
        <v>2901</v>
      </c>
      <c r="E42" s="11" t="str">
        <f>HYPERLINK("https://youtu.be/YE1SNUCUgJY?t=7552","channel 2")</f>
        <v>channel 2</v>
      </c>
    </row>
    <row r="43">
      <c r="A43" s="118"/>
      <c r="B43" s="8" t="s">
        <v>4080</v>
      </c>
      <c r="C43" s="33" t="s">
        <v>308</v>
      </c>
      <c r="D43" s="8" t="s">
        <v>586</v>
      </c>
      <c r="E43" s="135" t="str">
        <f>HYPERLINK("https://youtu.be/5JNya7NnrhI?t=8478","channel 1")</f>
        <v>channel 1</v>
      </c>
    </row>
    <row r="44">
      <c r="A44" s="118"/>
      <c r="B44" s="8" t="s">
        <v>4079</v>
      </c>
      <c r="C44" s="33" t="s">
        <v>62</v>
      </c>
      <c r="D44" s="8" t="s">
        <v>2901</v>
      </c>
      <c r="E44" s="11" t="str">
        <f>HYPERLINK("https://youtu.be/YE1SNUCUgJY?t=8514","channel 2")</f>
        <v>channel 2</v>
      </c>
    </row>
    <row r="45">
      <c r="A45" s="118"/>
      <c r="B45" s="72" t="s">
        <v>4064</v>
      </c>
      <c r="C45" s="2"/>
      <c r="D45" s="3"/>
      <c r="E45" s="134"/>
    </row>
    <row r="46">
      <c r="A46" s="118"/>
      <c r="B46" s="35" t="s">
        <v>2</v>
      </c>
      <c r="C46" s="35" t="s">
        <v>3</v>
      </c>
      <c r="D46" s="35" t="s">
        <v>4</v>
      </c>
      <c r="E46" s="6" t="s">
        <v>5</v>
      </c>
    </row>
    <row r="47">
      <c r="A47" s="118"/>
      <c r="B47" s="8" t="s">
        <v>2167</v>
      </c>
      <c r="C47" s="33" t="s">
        <v>25</v>
      </c>
      <c r="D47" s="8" t="s">
        <v>3878</v>
      </c>
      <c r="E47" s="135" t="str">
        <f>HYPERLINK("https://youtu.be/FDBCxqloXHo","channel 1")</f>
        <v>channel 1</v>
      </c>
    </row>
    <row r="48">
      <c r="A48" s="118"/>
      <c r="B48" s="8" t="s">
        <v>4081</v>
      </c>
      <c r="C48" s="33" t="s">
        <v>218</v>
      </c>
      <c r="D48" s="8" t="s">
        <v>4082</v>
      </c>
      <c r="E48" s="11" t="str">
        <f>HYPERLINK("https://youtu.be/d1jHsS2-KmQ","channel 2")</f>
        <v>channel 2</v>
      </c>
    </row>
    <row r="49">
      <c r="A49" s="118"/>
      <c r="B49" s="8" t="s">
        <v>4083</v>
      </c>
      <c r="C49" s="33" t="s">
        <v>14</v>
      </c>
      <c r="D49" s="8" t="s">
        <v>2167</v>
      </c>
      <c r="E49" s="135" t="str">
        <f>HYPERLINK("https://youtu.be/FDBCxqloXHo?t=1083","channel 1")</f>
        <v>channel 1</v>
      </c>
    </row>
    <row r="50">
      <c r="A50" s="118"/>
      <c r="B50" s="8" t="s">
        <v>4081</v>
      </c>
      <c r="C50" s="33" t="s">
        <v>7</v>
      </c>
      <c r="D50" s="8" t="s">
        <v>3878</v>
      </c>
      <c r="E50" s="11" t="str">
        <f>HYPERLINK("https://youtu.be/d1jHsS2-KmQ?t=1172","channel 2")</f>
        <v>channel 2</v>
      </c>
    </row>
    <row r="51">
      <c r="A51" s="118"/>
      <c r="B51" s="8" t="s">
        <v>4083</v>
      </c>
      <c r="C51" s="33" t="s">
        <v>389</v>
      </c>
      <c r="D51" s="8" t="s">
        <v>4082</v>
      </c>
      <c r="E51" s="135" t="str">
        <f>HYPERLINK("https://youtu.be/FDBCxqloXHo?t=2084","channel 1")</f>
        <v>channel 1</v>
      </c>
    </row>
    <row r="52">
      <c r="A52" s="118"/>
      <c r="B52" s="8" t="s">
        <v>4081</v>
      </c>
      <c r="C52" s="33" t="s">
        <v>16</v>
      </c>
      <c r="D52" s="8" t="s">
        <v>2167</v>
      </c>
      <c r="E52" s="11" t="str">
        <f>HYPERLINK("https://youtu.be/d1jHsS2-KmQ?t=2170","channel 2")</f>
        <v>channel 2</v>
      </c>
    </row>
    <row r="53">
      <c r="A53" s="118"/>
      <c r="B53" s="8" t="s">
        <v>4083</v>
      </c>
      <c r="C53" s="33" t="s">
        <v>197</v>
      </c>
      <c r="D53" s="8" t="s">
        <v>3878</v>
      </c>
      <c r="E53" s="135" t="str">
        <f>HYPERLINK("https://youtu.be/FDBCxqloXHo?t=3042","channel 1")</f>
        <v>channel 1</v>
      </c>
    </row>
    <row r="54">
      <c r="A54" s="118"/>
      <c r="B54" s="8" t="s">
        <v>4082</v>
      </c>
      <c r="C54" s="33" t="s">
        <v>62</v>
      </c>
      <c r="D54" s="8" t="s">
        <v>2167</v>
      </c>
      <c r="E54" s="11" t="str">
        <f>HYPERLINK("https://youtu.be/d1jHsS2-KmQ?t=3130","channel 2")</f>
        <v>channel 2</v>
      </c>
    </row>
    <row r="55">
      <c r="A55" s="118"/>
      <c r="B55" s="8" t="s">
        <v>4083</v>
      </c>
      <c r="C55" s="33" t="s">
        <v>64</v>
      </c>
      <c r="D55" s="8" t="s">
        <v>4081</v>
      </c>
      <c r="E55" s="135" t="str">
        <f>HYPERLINK("https://youtu.be/FDBCxqloXHo?t=4010","channel 1")</f>
        <v>channel 1</v>
      </c>
    </row>
    <row r="56">
      <c r="A56" s="118"/>
      <c r="B56" s="8" t="s">
        <v>4082</v>
      </c>
      <c r="C56" s="33" t="s">
        <v>41</v>
      </c>
      <c r="D56" s="8" t="s">
        <v>3878</v>
      </c>
      <c r="E56" s="11" t="str">
        <f>HYPERLINK("https://youtu.be/d1jHsS2-KmQ?t=4031","channel 2")</f>
        <v>channel 2</v>
      </c>
    </row>
    <row r="57">
      <c r="A57" s="118"/>
      <c r="B57" s="8" t="s">
        <v>3878</v>
      </c>
      <c r="C57" s="33" t="s">
        <v>81</v>
      </c>
      <c r="D57" s="8" t="s">
        <v>2167</v>
      </c>
      <c r="E57" s="135" t="str">
        <f>HYPERLINK("https://youtu.be/FDBCxqloXHo?t=4968","channel 1")</f>
        <v>channel 1</v>
      </c>
    </row>
    <row r="58">
      <c r="A58" s="118"/>
      <c r="B58" s="8" t="s">
        <v>4082</v>
      </c>
      <c r="C58" s="33" t="s">
        <v>68</v>
      </c>
      <c r="D58" s="8" t="s">
        <v>4081</v>
      </c>
      <c r="E58" s="11" t="str">
        <f>HYPERLINK("https://youtu.be/d1jHsS2-KmQ?t=4976","channel 2")</f>
        <v>channel 2</v>
      </c>
    </row>
    <row r="59">
      <c r="A59" s="118"/>
      <c r="B59" s="8" t="s">
        <v>2167</v>
      </c>
      <c r="C59" s="33" t="s">
        <v>41</v>
      </c>
      <c r="D59" s="8" t="s">
        <v>4083</v>
      </c>
      <c r="E59" s="135" t="str">
        <f>HYPERLINK("https://youtu.be/FDBCxqloXHo?t=5983","channel 1")</f>
        <v>channel 1</v>
      </c>
    </row>
    <row r="60">
      <c r="A60" s="118"/>
      <c r="B60" s="8" t="s">
        <v>3878</v>
      </c>
      <c r="C60" s="33" t="s">
        <v>18</v>
      </c>
      <c r="D60" s="8" t="s">
        <v>4081</v>
      </c>
      <c r="E60" s="11" t="str">
        <f>HYPERLINK("https://youtu.be/d1jHsS2-KmQ?t=6067","channel 2")</f>
        <v>channel 2</v>
      </c>
    </row>
    <row r="61">
      <c r="A61" s="118"/>
      <c r="B61" s="8" t="s">
        <v>4082</v>
      </c>
      <c r="C61" s="33" t="s">
        <v>43</v>
      </c>
      <c r="D61" s="8" t="s">
        <v>4083</v>
      </c>
      <c r="E61" s="135" t="str">
        <f>HYPERLINK("https://youtu.be/FDBCxqloXHo?t=6899","channel 1")</f>
        <v>channel 1</v>
      </c>
    </row>
    <row r="62">
      <c r="A62" s="118"/>
      <c r="B62" s="8" t="s">
        <v>2167</v>
      </c>
      <c r="C62" s="35" t="s">
        <v>72</v>
      </c>
      <c r="D62" s="8" t="s">
        <v>4081</v>
      </c>
      <c r="E62" s="11" t="str">
        <f>HYPERLINK("https://youtu.be/d1jHsS2-KmQ?t=6983","channel 2")</f>
        <v>channel 2</v>
      </c>
    </row>
    <row r="63">
      <c r="A63" s="118"/>
      <c r="B63" s="8" t="s">
        <v>3878</v>
      </c>
      <c r="C63" s="33" t="s">
        <v>193</v>
      </c>
      <c r="D63" s="8" t="s">
        <v>4083</v>
      </c>
      <c r="E63" s="135" t="str">
        <f>HYPERLINK("https://youtu.be/FDBCxqloXHo?t=7812","channel 1")</f>
        <v>channel 1</v>
      </c>
    </row>
    <row r="64">
      <c r="A64" s="118"/>
      <c r="B64" s="8" t="s">
        <v>2167</v>
      </c>
      <c r="C64" s="33" t="s">
        <v>71</v>
      </c>
      <c r="D64" s="8" t="s">
        <v>4082</v>
      </c>
      <c r="E64" s="11" t="str">
        <f>HYPERLINK("https://youtu.be/d1jHsS2-KmQ?t=7990","channel 2")</f>
        <v>channel 2</v>
      </c>
    </row>
    <row r="65">
      <c r="A65" s="118"/>
      <c r="B65" s="8" t="s">
        <v>4081</v>
      </c>
      <c r="C65" s="33" t="s">
        <v>1094</v>
      </c>
      <c r="D65" s="8" t="s">
        <v>4083</v>
      </c>
      <c r="E65" s="135" t="str">
        <f>HYPERLINK("https://youtu.be/FDBCxqloXHo?t=8761","channel 1")</f>
        <v>channel 1</v>
      </c>
    </row>
    <row r="66">
      <c r="A66" s="118"/>
      <c r="B66" s="8" t="s">
        <v>3878</v>
      </c>
      <c r="C66" s="33" t="s">
        <v>66</v>
      </c>
      <c r="D66" s="8" t="s">
        <v>4082</v>
      </c>
      <c r="E66" s="11" t="str">
        <f>HYPERLINK("https://youtu.be/d1jHsS2-KmQ?t=8864","channel 2")</f>
        <v>channel 2</v>
      </c>
    </row>
    <row r="67">
      <c r="A67" s="118"/>
      <c r="B67" s="72" t="s">
        <v>1435</v>
      </c>
      <c r="C67" s="2"/>
      <c r="D67" s="3"/>
      <c r="E67" s="138"/>
    </row>
    <row r="68">
      <c r="A68" s="118"/>
      <c r="B68" s="35" t="s">
        <v>2</v>
      </c>
      <c r="C68" s="35" t="s">
        <v>3</v>
      </c>
      <c r="D68" s="35" t="s">
        <v>4</v>
      </c>
      <c r="E68" s="16" t="s">
        <v>5</v>
      </c>
    </row>
    <row r="69">
      <c r="A69" s="118"/>
      <c r="B69" s="8" t="s">
        <v>4084</v>
      </c>
      <c r="C69" s="33" t="s">
        <v>196</v>
      </c>
      <c r="D69" s="8" t="s">
        <v>4085</v>
      </c>
      <c r="E69" s="135" t="str">
        <f>HYPERLINK("https://youtu.be/8LYk_DHO-fs","channel 1")</f>
        <v>channel 1</v>
      </c>
    </row>
    <row r="70">
      <c r="A70" s="118"/>
      <c r="B70" s="8" t="s">
        <v>3777</v>
      </c>
      <c r="C70" s="33" t="s">
        <v>196</v>
      </c>
      <c r="D70" s="8" t="s">
        <v>921</v>
      </c>
      <c r="E70" s="11" t="str">
        <f>HYPERLINK("https://youtu.be/7SHPYyLpJBw","channel 2")</f>
        <v>channel 2</v>
      </c>
    </row>
    <row r="71">
      <c r="A71" s="118"/>
      <c r="B71" s="8" t="s">
        <v>1791</v>
      </c>
      <c r="C71" s="33" t="s">
        <v>413</v>
      </c>
      <c r="D71" s="8" t="s">
        <v>4084</v>
      </c>
      <c r="E71" s="135" t="str">
        <f>HYPERLINK("https://youtu.be/8LYk_DHO-fs?t=941","channel 1")</f>
        <v>channel 1</v>
      </c>
    </row>
    <row r="72">
      <c r="A72" s="118"/>
      <c r="B72" s="8" t="s">
        <v>3777</v>
      </c>
      <c r="C72" s="33" t="s">
        <v>238</v>
      </c>
      <c r="D72" s="8" t="s">
        <v>4085</v>
      </c>
      <c r="E72" s="11" t="str">
        <f>HYPERLINK("https://youtu.be/7SHPYyLpJBw?t=927","channel 2")</f>
        <v>channel 2</v>
      </c>
    </row>
    <row r="73">
      <c r="A73" s="118"/>
      <c r="B73" s="8" t="s">
        <v>1791</v>
      </c>
      <c r="C73" s="33" t="s">
        <v>87</v>
      </c>
      <c r="D73" s="8" t="s">
        <v>921</v>
      </c>
      <c r="E73" s="135" t="str">
        <f>HYPERLINK("https://youtu.be/8LYk_DHO-fs?t=1848","channel 1")</f>
        <v>channel 1</v>
      </c>
    </row>
    <row r="74">
      <c r="A74" s="118"/>
      <c r="B74" s="8" t="s">
        <v>3777</v>
      </c>
      <c r="C74" s="33" t="s">
        <v>21</v>
      </c>
      <c r="D74" s="8" t="s">
        <v>4084</v>
      </c>
      <c r="E74" s="11" t="str">
        <f>HYPERLINK("https://youtu.be/7SHPYyLpJBw?t=1907","channel 2")</f>
        <v>channel 2</v>
      </c>
    </row>
    <row r="75">
      <c r="A75" s="118"/>
      <c r="B75" s="8" t="s">
        <v>1791</v>
      </c>
      <c r="C75" s="33" t="s">
        <v>22</v>
      </c>
      <c r="D75" s="8" t="s">
        <v>4085</v>
      </c>
      <c r="E75" s="135" t="str">
        <f>HYPERLINK("https://youtu.be/8LYk_DHO-fs?t=2830","channel 1")</f>
        <v>channel 1</v>
      </c>
    </row>
    <row r="76">
      <c r="A76" s="118"/>
      <c r="B76" s="8" t="s">
        <v>921</v>
      </c>
      <c r="C76" s="33" t="s">
        <v>19</v>
      </c>
      <c r="D76" s="8" t="s">
        <v>4084</v>
      </c>
      <c r="E76" s="11" t="str">
        <f>HYPERLINK("https://youtu.be/7SHPYyLpJBw?t=2958","channel 2")</f>
        <v>channel 2</v>
      </c>
    </row>
    <row r="77">
      <c r="A77" s="118"/>
      <c r="B77" s="8" t="s">
        <v>1791</v>
      </c>
      <c r="C77" s="33" t="s">
        <v>1025</v>
      </c>
      <c r="D77" s="8" t="s">
        <v>3777</v>
      </c>
      <c r="E77" s="135" t="str">
        <f>HYPERLINK("https://youtu.be/8LYk_DHO-fs?t=3768","channel 1")</f>
        <v>channel 1</v>
      </c>
    </row>
    <row r="78">
      <c r="A78" s="118"/>
      <c r="B78" s="8" t="s">
        <v>921</v>
      </c>
      <c r="C78" s="33" t="s">
        <v>218</v>
      </c>
      <c r="D78" s="8" t="s">
        <v>4085</v>
      </c>
      <c r="E78" s="11" t="str">
        <f>HYPERLINK("https://youtu.be/7SHPYyLpJBw?t=3859","channel 2")</f>
        <v>channel 2</v>
      </c>
    </row>
    <row r="79">
      <c r="A79" s="118"/>
      <c r="B79" s="8" t="s">
        <v>4085</v>
      </c>
      <c r="C79" s="33" t="s">
        <v>88</v>
      </c>
      <c r="D79" s="8" t="s">
        <v>4084</v>
      </c>
      <c r="E79" s="135" t="str">
        <f>HYPERLINK("https://youtu.be/8LYk_DHO-fs?t=4820","channel 1")</f>
        <v>channel 1</v>
      </c>
    </row>
    <row r="80">
      <c r="A80" s="118"/>
      <c r="B80" s="8" t="s">
        <v>921</v>
      </c>
      <c r="C80" s="33" t="s">
        <v>68</v>
      </c>
      <c r="D80" s="8" t="s">
        <v>3777</v>
      </c>
      <c r="E80" s="11" t="str">
        <f>HYPERLINK("https://youtu.be/7SHPYyLpJBw?t=4770","channel 2")</f>
        <v>channel 2</v>
      </c>
    </row>
    <row r="81">
      <c r="A81" s="118"/>
      <c r="B81" s="8" t="s">
        <v>4084</v>
      </c>
      <c r="C81" s="33" t="s">
        <v>578</v>
      </c>
      <c r="D81" s="8" t="s">
        <v>1791</v>
      </c>
      <c r="E81" s="135" t="str">
        <f>HYPERLINK("https://youtu.be/8LYk_DHO-fs?t=5720","channel 1")</f>
        <v>channel 1</v>
      </c>
    </row>
    <row r="82">
      <c r="A82" s="118"/>
      <c r="B82" s="8" t="s">
        <v>4085</v>
      </c>
      <c r="C82" s="33" t="s">
        <v>55</v>
      </c>
      <c r="D82" s="8" t="s">
        <v>3777</v>
      </c>
      <c r="E82" s="11" t="str">
        <f>HYPERLINK("https://youtu.be/7SHPYyLpJBw?t=5727","channel 2")</f>
        <v>channel 2</v>
      </c>
    </row>
    <row r="83">
      <c r="A83" s="118"/>
      <c r="B83" s="8" t="s">
        <v>921</v>
      </c>
      <c r="C83" s="33" t="s">
        <v>62</v>
      </c>
      <c r="D83" s="8" t="s">
        <v>1791</v>
      </c>
      <c r="E83" s="135" t="str">
        <f>HYPERLINK("https://youtu.be/8LYk_DHO-fs?t=6646","channel 1")</f>
        <v>channel 1</v>
      </c>
    </row>
    <row r="84">
      <c r="A84" s="118"/>
      <c r="B84" s="8" t="s">
        <v>4084</v>
      </c>
      <c r="C84" s="33" t="s">
        <v>78</v>
      </c>
      <c r="D84" s="8" t="s">
        <v>3777</v>
      </c>
      <c r="E84" s="11" t="str">
        <f>HYPERLINK("https://youtu.be/7SHPYyLpJBw?t=6708","channel 2")</f>
        <v>channel 2</v>
      </c>
    </row>
    <row r="85">
      <c r="A85" s="118"/>
      <c r="B85" s="8" t="s">
        <v>4085</v>
      </c>
      <c r="C85" s="33" t="s">
        <v>218</v>
      </c>
      <c r="D85" s="8" t="s">
        <v>1791</v>
      </c>
      <c r="E85" s="135" t="str">
        <f>HYPERLINK("https://youtu.be/8LYk_DHO-fs?t=7505","channel 1")</f>
        <v>channel 1</v>
      </c>
    </row>
    <row r="86">
      <c r="A86" s="118"/>
      <c r="B86" s="8" t="s">
        <v>4084</v>
      </c>
      <c r="C86" s="33" t="s">
        <v>218</v>
      </c>
      <c r="D86" s="8" t="s">
        <v>921</v>
      </c>
      <c r="E86" s="11" t="str">
        <f>HYPERLINK("https://youtu.be/7SHPYyLpJBw?t=7686","channel 2")</f>
        <v>channel 2</v>
      </c>
    </row>
    <row r="87">
      <c r="A87" s="118"/>
      <c r="B87" s="8" t="s">
        <v>3777</v>
      </c>
      <c r="C87" s="33" t="s">
        <v>336</v>
      </c>
      <c r="D87" s="8" t="s">
        <v>1791</v>
      </c>
      <c r="E87" s="135" t="str">
        <f>HYPERLINK("https://youtu.be/8LYk_DHO-fs?t=8404","channel 1")</f>
        <v>channel 1</v>
      </c>
    </row>
    <row r="88">
      <c r="A88" s="122"/>
      <c r="B88" s="8" t="s">
        <v>4085</v>
      </c>
      <c r="C88" s="33" t="s">
        <v>22</v>
      </c>
      <c r="D88" s="8" t="s">
        <v>921</v>
      </c>
      <c r="E88" s="11" t="str">
        <f>HYPERLINK("https://youtu.be/7SHPYyLpJBw?t=8593","channel 2")</f>
        <v>channel 2</v>
      </c>
    </row>
    <row r="89">
      <c r="B89" s="72" t="s">
        <v>1441</v>
      </c>
      <c r="C89" s="2"/>
      <c r="D89" s="3"/>
      <c r="E89" s="138"/>
    </row>
    <row r="90">
      <c r="B90" s="35" t="s">
        <v>2</v>
      </c>
      <c r="C90" s="35" t="s">
        <v>3</v>
      </c>
      <c r="D90" s="35" t="s">
        <v>4</v>
      </c>
      <c r="E90" s="16" t="s">
        <v>5</v>
      </c>
    </row>
    <row r="91">
      <c r="B91" s="8" t="s">
        <v>4086</v>
      </c>
      <c r="C91" s="33" t="s">
        <v>286</v>
      </c>
      <c r="D91" s="8" t="s">
        <v>4071</v>
      </c>
      <c r="E91" s="135" t="str">
        <f>HYPERLINK("https://youtu.be/c0s5EatGHIc","channel 1")</f>
        <v>channel 1</v>
      </c>
    </row>
    <row r="92">
      <c r="B92" s="8" t="s">
        <v>3963</v>
      </c>
      <c r="C92" s="33" t="s">
        <v>291</v>
      </c>
      <c r="D92" s="8" t="s">
        <v>1601</v>
      </c>
      <c r="E92" s="11" t="str">
        <f>HYPERLINK("https://youtu.be/pe78QkrrK5o","channel 2")</f>
        <v>channel 2</v>
      </c>
    </row>
    <row r="93">
      <c r="B93" s="8" t="s">
        <v>4087</v>
      </c>
      <c r="C93" s="33" t="s">
        <v>578</v>
      </c>
      <c r="D93" s="8" t="s">
        <v>4086</v>
      </c>
      <c r="E93" s="135" t="str">
        <f>HYPERLINK("https://youtu.be/c0s5EatGHIc?t=928","channel 1")</f>
        <v>channel 1</v>
      </c>
    </row>
    <row r="94">
      <c r="B94" s="8" t="s">
        <v>3963</v>
      </c>
      <c r="C94" s="33" t="s">
        <v>936</v>
      </c>
      <c r="D94" s="8" t="s">
        <v>4071</v>
      </c>
      <c r="E94" s="11" t="str">
        <f>HYPERLINK("https://youtu.be/pe78QkrrK5o?t=964","channel 2")</f>
        <v>channel 2</v>
      </c>
    </row>
    <row r="95">
      <c r="B95" s="8" t="s">
        <v>4087</v>
      </c>
      <c r="C95" s="33" t="s">
        <v>67</v>
      </c>
      <c r="D95" s="8" t="s">
        <v>1601</v>
      </c>
      <c r="E95" s="135" t="str">
        <f>HYPERLINK("https://youtu.be/c0s5EatGHIc","channel 1")</f>
        <v>channel 1</v>
      </c>
    </row>
    <row r="96">
      <c r="B96" s="8" t="s">
        <v>3963</v>
      </c>
      <c r="C96" s="33" t="s">
        <v>42</v>
      </c>
      <c r="D96" s="8" t="s">
        <v>4086</v>
      </c>
      <c r="E96" s="11" t="str">
        <f>HYPERLINK("https://youtu.be/pe78QkrrK5o?t=1926","channel 2")</f>
        <v>channel 2</v>
      </c>
    </row>
    <row r="97">
      <c r="B97" s="8" t="s">
        <v>4087</v>
      </c>
      <c r="C97" s="33" t="s">
        <v>857</v>
      </c>
      <c r="D97" s="8" t="s">
        <v>4071</v>
      </c>
      <c r="E97" s="135" t="str">
        <f>HYPERLINK("https://youtu.be/c0s5EatGHIc","channel 1")</f>
        <v>channel 1</v>
      </c>
    </row>
    <row r="98">
      <c r="B98" s="8" t="s">
        <v>1601</v>
      </c>
      <c r="C98" s="33" t="s">
        <v>4088</v>
      </c>
      <c r="D98" s="8" t="s">
        <v>4086</v>
      </c>
      <c r="E98" s="11" t="str">
        <f>HYPERLINK("https://youtu.be/pe78QkrrK5o?t=2881","channel 2")</f>
        <v>channel 2</v>
      </c>
    </row>
    <row r="99">
      <c r="B99" s="8" t="s">
        <v>4087</v>
      </c>
      <c r="C99" s="33" t="s">
        <v>48</v>
      </c>
      <c r="D99" s="8" t="s">
        <v>3963</v>
      </c>
      <c r="E99" s="135" t="str">
        <f>HYPERLINK("https://youtu.be/c0s5EatGHIc?t=3773","channel 1")</f>
        <v>channel 1</v>
      </c>
    </row>
    <row r="100">
      <c r="B100" s="8" t="s">
        <v>1601</v>
      </c>
      <c r="C100" s="33" t="s">
        <v>194</v>
      </c>
      <c r="D100" s="8" t="s">
        <v>4071</v>
      </c>
      <c r="E100" s="11" t="str">
        <f>HYPERLINK("https://youtu.be/pe78QkrrK5o?t=3840","channel 2")</f>
        <v>channel 2</v>
      </c>
    </row>
    <row r="101">
      <c r="B101" s="8" t="s">
        <v>4071</v>
      </c>
      <c r="C101" s="33" t="s">
        <v>601</v>
      </c>
      <c r="D101" s="8" t="s">
        <v>4086</v>
      </c>
      <c r="E101" s="135" t="str">
        <f>HYPERLINK("https://youtu.be/c0s5EatGHIc?t=4761","channel 1")</f>
        <v>channel 1</v>
      </c>
    </row>
    <row r="102">
      <c r="B102" s="8" t="s">
        <v>1601</v>
      </c>
      <c r="C102" s="33" t="s">
        <v>289</v>
      </c>
      <c r="D102" s="8" t="s">
        <v>3963</v>
      </c>
      <c r="E102" s="11" t="str">
        <f>HYPERLINK("https://youtu.be/pe78QkrrK5o?t=4787","channel 2")</f>
        <v>channel 2</v>
      </c>
    </row>
    <row r="103">
      <c r="B103" s="8" t="s">
        <v>4086</v>
      </c>
      <c r="C103" s="33" t="s">
        <v>578</v>
      </c>
      <c r="D103" s="8" t="s">
        <v>4087</v>
      </c>
      <c r="E103" s="135" t="str">
        <f>HYPERLINK("https://youtu.be/c0s5EatGHIc?t=5715","channel 1")</f>
        <v>channel 1</v>
      </c>
    </row>
    <row r="104">
      <c r="B104" s="8" t="s">
        <v>4071</v>
      </c>
      <c r="C104" s="33" t="s">
        <v>201</v>
      </c>
      <c r="D104" s="8" t="s">
        <v>3963</v>
      </c>
      <c r="E104" s="11" t="str">
        <f>HYPERLINK("https://youtu.be/pe78QkrrK5o?t=5721","channel 2")</f>
        <v>channel 2</v>
      </c>
    </row>
    <row r="105">
      <c r="B105" s="8" t="s">
        <v>1601</v>
      </c>
      <c r="C105" s="33" t="s">
        <v>282</v>
      </c>
      <c r="D105" s="8" t="s">
        <v>4087</v>
      </c>
      <c r="E105" s="135" t="str">
        <f>HYPERLINK("https://youtu.be/c0s5EatGHIc?t=6701","channel 1")</f>
        <v>channel 1</v>
      </c>
    </row>
    <row r="106">
      <c r="B106" s="8" t="s">
        <v>4086</v>
      </c>
      <c r="C106" s="33" t="s">
        <v>87</v>
      </c>
      <c r="D106" s="8" t="s">
        <v>3963</v>
      </c>
      <c r="E106" s="11" t="str">
        <f>HYPERLINK("https://youtu.be/pe78QkrrK5o?t=6740","channel 2")</f>
        <v>channel 2</v>
      </c>
    </row>
    <row r="107">
      <c r="B107" s="8" t="s">
        <v>4071</v>
      </c>
      <c r="C107" s="33" t="s">
        <v>259</v>
      </c>
      <c r="D107" s="8" t="s">
        <v>4087</v>
      </c>
      <c r="E107" s="135" t="str">
        <f>HYPERLINK("https://youtu.be/c0s5EatGHIc?t=7660","channel 1")</f>
        <v>channel 1</v>
      </c>
    </row>
    <row r="108">
      <c r="B108" s="8" t="s">
        <v>4086</v>
      </c>
      <c r="C108" s="33" t="s">
        <v>72</v>
      </c>
      <c r="D108" s="8" t="s">
        <v>1601</v>
      </c>
      <c r="E108" s="11" t="str">
        <f>HYPERLINK("https://youtu.be/pe78QkrrK5o?t=7718","channel 2")</f>
        <v>channel 2</v>
      </c>
    </row>
    <row r="109">
      <c r="B109" s="8" t="s">
        <v>3963</v>
      </c>
      <c r="C109" s="33" t="s">
        <v>827</v>
      </c>
      <c r="D109" s="8" t="s">
        <v>4087</v>
      </c>
      <c r="E109" s="135" t="str">
        <f>HYPERLINK("https://youtu.be/c0s5EatGHIc?t=8593","channel 1")</f>
        <v>channel 1</v>
      </c>
    </row>
    <row r="110">
      <c r="B110" s="8" t="s">
        <v>4071</v>
      </c>
      <c r="C110" s="33" t="s">
        <v>201</v>
      </c>
      <c r="D110" s="8" t="s">
        <v>1601</v>
      </c>
      <c r="E110" s="11" t="str">
        <f>HYPERLINK("https://youtu.be/pe78QkrrK5o?t=8649","channel 2")</f>
        <v>channel 2</v>
      </c>
    </row>
    <row r="111">
      <c r="B111" s="72" t="s">
        <v>2069</v>
      </c>
      <c r="C111" s="2"/>
      <c r="D111" s="3"/>
      <c r="E111" s="138"/>
    </row>
    <row r="112">
      <c r="B112" s="35" t="s">
        <v>2</v>
      </c>
      <c r="C112" s="35" t="s">
        <v>3</v>
      </c>
      <c r="D112" s="35" t="s">
        <v>4</v>
      </c>
      <c r="E112" s="16" t="s">
        <v>5</v>
      </c>
    </row>
    <row r="113">
      <c r="B113" s="8" t="s">
        <v>3635</v>
      </c>
      <c r="C113" s="33" t="s">
        <v>80</v>
      </c>
      <c r="D113" s="8" t="s">
        <v>3547</v>
      </c>
      <c r="E113" s="135" t="str">
        <f>HYPERLINK("https://youtu.be/5pqNkgi7HIA","channel 1")</f>
        <v>channel 1</v>
      </c>
    </row>
    <row r="114">
      <c r="B114" s="8" t="s">
        <v>4089</v>
      </c>
      <c r="C114" s="33" t="s">
        <v>193</v>
      </c>
      <c r="D114" s="8" t="s">
        <v>1293</v>
      </c>
      <c r="E114" s="11" t="str">
        <f>HYPERLINK("https://youtu.be/dSDS-4K5_FU","channel 2")</f>
        <v>channel 2</v>
      </c>
    </row>
    <row r="115">
      <c r="B115" s="8" t="s">
        <v>4090</v>
      </c>
      <c r="C115" s="33" t="s">
        <v>35</v>
      </c>
      <c r="D115" s="8" t="s">
        <v>3635</v>
      </c>
      <c r="E115" s="135" t="str">
        <f>HYPERLINK("https://youtu.be/5pqNkgi7HIA?t=997","channel 1")</f>
        <v>channel 1</v>
      </c>
    </row>
    <row r="116">
      <c r="B116" s="8" t="s">
        <v>4089</v>
      </c>
      <c r="C116" s="33" t="s">
        <v>426</v>
      </c>
      <c r="D116" s="8" t="s">
        <v>3547</v>
      </c>
      <c r="E116" s="11" t="str">
        <f>HYPERLINK("https://youtu.be/dSDS-4K5_FU?t=1079","channel 2")</f>
        <v>channel 2</v>
      </c>
    </row>
    <row r="117">
      <c r="B117" s="8" t="s">
        <v>4090</v>
      </c>
      <c r="C117" s="33" t="s">
        <v>11</v>
      </c>
      <c r="D117" s="8" t="s">
        <v>1293</v>
      </c>
      <c r="E117" s="135" t="str">
        <f>HYPERLINK("https://youtu.be/5pqNkgi7HIA?t=1979","channel 1")</f>
        <v>channel 1</v>
      </c>
    </row>
    <row r="118">
      <c r="B118" s="8" t="s">
        <v>4089</v>
      </c>
      <c r="C118" s="33" t="s">
        <v>2459</v>
      </c>
      <c r="D118" s="8" t="s">
        <v>3635</v>
      </c>
      <c r="E118" s="11" t="str">
        <f>HYPERLINK("https://youtu.be/dSDS-4K5_FU?t=1992","channel 2")</f>
        <v>channel 2</v>
      </c>
    </row>
    <row r="119">
      <c r="B119" s="8" t="s">
        <v>4090</v>
      </c>
      <c r="C119" s="33" t="s">
        <v>1381</v>
      </c>
      <c r="D119" s="8" t="s">
        <v>3547</v>
      </c>
      <c r="E119" s="135" t="str">
        <f>HYPERLINK("https://youtu.be/5pqNkgi7HIA?t=2918","channel 1")</f>
        <v>channel 1</v>
      </c>
    </row>
    <row r="120">
      <c r="B120" s="8" t="s">
        <v>1293</v>
      </c>
      <c r="C120" s="33" t="s">
        <v>215</v>
      </c>
      <c r="D120" s="8" t="s">
        <v>3635</v>
      </c>
      <c r="E120" s="11" t="str">
        <f>HYPERLINK("https://youtu.be/dSDS-4K5_FU?t=2995","channel 2")</f>
        <v>channel 2</v>
      </c>
    </row>
    <row r="121">
      <c r="B121" s="8" t="s">
        <v>4090</v>
      </c>
      <c r="C121" s="33" t="s">
        <v>1425</v>
      </c>
      <c r="D121" s="8" t="s">
        <v>4089</v>
      </c>
      <c r="E121" s="135" t="str">
        <f>HYPERLINK("https://youtu.be/5pqNkgi7HIA?t=3938","channel 1")</f>
        <v>channel 1</v>
      </c>
    </row>
    <row r="122">
      <c r="B122" s="8" t="s">
        <v>1293</v>
      </c>
      <c r="C122" s="33" t="s">
        <v>278</v>
      </c>
      <c r="D122" s="8" t="s">
        <v>3547</v>
      </c>
      <c r="E122" s="11" t="str">
        <f>HYPERLINK("https://youtu.be/dSDS-4K5_FU?t=3913","channel 2")</f>
        <v>channel 2</v>
      </c>
    </row>
    <row r="123">
      <c r="B123" s="8" t="s">
        <v>3547</v>
      </c>
      <c r="C123" s="33" t="s">
        <v>951</v>
      </c>
      <c r="D123" s="8" t="s">
        <v>3635</v>
      </c>
      <c r="E123" s="135" t="str">
        <f>HYPERLINK("https://youtu.be/5pqNkgi7HIA?t=4979","channel 1")</f>
        <v>channel 1</v>
      </c>
    </row>
    <row r="124">
      <c r="B124" s="8" t="s">
        <v>1293</v>
      </c>
      <c r="C124" s="33" t="s">
        <v>446</v>
      </c>
      <c r="D124" s="8" t="s">
        <v>4089</v>
      </c>
      <c r="E124" s="11" t="str">
        <f>HYPERLINK("https://youtu.be/dSDS-4K5_FU?t=4905","channel 2")</f>
        <v>channel 2</v>
      </c>
    </row>
    <row r="125">
      <c r="B125" s="8" t="s">
        <v>3635</v>
      </c>
      <c r="C125" s="33" t="s">
        <v>4091</v>
      </c>
      <c r="D125" s="8" t="s">
        <v>4090</v>
      </c>
      <c r="E125" s="135" t="str">
        <f>HYPERLINK("https://youtu.be/5pqNkgi7HIA?t=5916","channel 1")</f>
        <v>channel 1</v>
      </c>
    </row>
    <row r="126">
      <c r="B126" s="8" t="s">
        <v>3547</v>
      </c>
      <c r="C126" s="33" t="s">
        <v>78</v>
      </c>
      <c r="D126" s="8" t="s">
        <v>4089</v>
      </c>
      <c r="E126" s="11" t="str">
        <f>HYPERLINK("https://youtu.be/dSDS-4K5_FU?t=5870","channel 2")</f>
        <v>channel 2</v>
      </c>
    </row>
    <row r="127">
      <c r="B127" s="8" t="s">
        <v>1293</v>
      </c>
      <c r="C127" s="33" t="s">
        <v>20</v>
      </c>
      <c r="D127" s="8" t="s">
        <v>4090</v>
      </c>
      <c r="E127" s="135" t="str">
        <f>HYPERLINK("https://youtu.be/5pqNkgi7HIA?t=6949","channel 1")</f>
        <v>channel 1</v>
      </c>
    </row>
    <row r="128">
      <c r="B128" s="8" t="s">
        <v>3635</v>
      </c>
      <c r="C128" s="33" t="s">
        <v>72</v>
      </c>
      <c r="D128" s="8" t="s">
        <v>4089</v>
      </c>
      <c r="E128" s="11" t="str">
        <f>HYPERLINK("https://youtu.be/dSDS-4K5_FU?t=6846","channel 2")</f>
        <v>channel 2</v>
      </c>
    </row>
    <row r="129">
      <c r="B129" s="8" t="s">
        <v>3547</v>
      </c>
      <c r="C129" s="33" t="s">
        <v>416</v>
      </c>
      <c r="D129" s="8" t="s">
        <v>4090</v>
      </c>
      <c r="E129" s="135" t="str">
        <f>HYPERLINK("https://youtu.be/5pqNkgi7HIA?t=7850","channel 1")</f>
        <v>channel 1</v>
      </c>
    </row>
    <row r="130">
      <c r="B130" s="8" t="s">
        <v>3635</v>
      </c>
      <c r="C130" s="33" t="s">
        <v>726</v>
      </c>
      <c r="D130" s="8" t="s">
        <v>1293</v>
      </c>
      <c r="E130" s="11" t="str">
        <f>HYPERLINK("https://youtu.be/dSDS-4K5_FU?t=7810","channel 2")</f>
        <v>channel 2</v>
      </c>
    </row>
    <row r="131">
      <c r="B131" s="8" t="s">
        <v>4089</v>
      </c>
      <c r="C131" s="33" t="s">
        <v>241</v>
      </c>
      <c r="D131" s="8" t="s">
        <v>4090</v>
      </c>
      <c r="E131" s="135" t="str">
        <f>HYPERLINK("https://youtu.be/5pqNkgi7HIA?t=8808","channel 1")</f>
        <v>channel 1</v>
      </c>
    </row>
    <row r="132">
      <c r="B132" s="8" t="s">
        <v>3547</v>
      </c>
      <c r="C132" s="33" t="s">
        <v>22</v>
      </c>
      <c r="D132" s="8" t="s">
        <v>1293</v>
      </c>
      <c r="E132" s="11" t="str">
        <f>HYPERLINK("https://youtu.be/dSDS-4K5_FU?t=8777","channel 2")</f>
        <v>channel 2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7"/>
      <c r="B1" s="72" t="s">
        <v>2154</v>
      </c>
      <c r="C1" s="2"/>
      <c r="D1" s="3"/>
      <c r="E1" s="134"/>
    </row>
    <row r="2">
      <c r="A2" s="118"/>
      <c r="B2" s="35" t="s">
        <v>2</v>
      </c>
      <c r="C2" s="35" t="s">
        <v>3</v>
      </c>
      <c r="D2" s="35" t="s">
        <v>4</v>
      </c>
      <c r="E2" s="6" t="s">
        <v>5</v>
      </c>
    </row>
    <row r="3">
      <c r="A3" s="118"/>
      <c r="B3" s="8" t="s">
        <v>3708</v>
      </c>
      <c r="C3" s="33" t="s">
        <v>238</v>
      </c>
      <c r="D3" s="8" t="s">
        <v>2156</v>
      </c>
      <c r="E3" s="135" t="str">
        <f>HYPERLINK("https://youtu.be/JXuaVunAl8o","channel 1")</f>
        <v>channel 1</v>
      </c>
    </row>
    <row r="4">
      <c r="A4" s="118"/>
      <c r="B4" s="8" t="s">
        <v>3557</v>
      </c>
      <c r="C4" s="33" t="s">
        <v>19</v>
      </c>
      <c r="D4" s="8" t="s">
        <v>2053</v>
      </c>
      <c r="E4" s="11" t="str">
        <f>HYPERLINK("https://youtu.be/xH7GoS8GLUo","channel 2")</f>
        <v>channel 2</v>
      </c>
    </row>
    <row r="5">
      <c r="A5" s="118"/>
      <c r="B5" s="8" t="s">
        <v>3945</v>
      </c>
      <c r="C5" s="33" t="s">
        <v>31</v>
      </c>
      <c r="D5" s="8" t="s">
        <v>3708</v>
      </c>
      <c r="E5" s="135" t="str">
        <f>HYPERLINK("https://youtu.be/SjlUUbCfANM","channel 1")</f>
        <v>channel 1</v>
      </c>
    </row>
    <row r="6">
      <c r="A6" s="118"/>
      <c r="B6" s="8" t="s">
        <v>3557</v>
      </c>
      <c r="C6" s="33" t="s">
        <v>190</v>
      </c>
      <c r="D6" s="8" t="s">
        <v>2156</v>
      </c>
      <c r="E6" s="11" t="str">
        <f>HYPERLINK("https://youtu.be/smTo_JGLumg","channel 2")</f>
        <v>channel 2</v>
      </c>
    </row>
    <row r="7">
      <c r="A7" s="118"/>
      <c r="B7" s="8" t="s">
        <v>3945</v>
      </c>
      <c r="C7" s="33" t="s">
        <v>64</v>
      </c>
      <c r="D7" s="8" t="s">
        <v>2053</v>
      </c>
      <c r="E7" s="135" t="str">
        <f>HYPERLINK("https://youtu.be/cmDrB_vgVSU","channel 1")</f>
        <v>channel 1</v>
      </c>
    </row>
    <row r="8">
      <c r="A8" s="118"/>
      <c r="B8" s="8" t="s">
        <v>3557</v>
      </c>
      <c r="C8" s="33" t="s">
        <v>320</v>
      </c>
      <c r="D8" s="8" t="s">
        <v>3708</v>
      </c>
      <c r="E8" s="11" t="str">
        <f>HYPERLINK("https://youtu.be/irdNt6RpZlM","channel 2")</f>
        <v>channel 2</v>
      </c>
    </row>
    <row r="9">
      <c r="A9" s="118"/>
      <c r="B9" s="8" t="s">
        <v>3945</v>
      </c>
      <c r="C9" s="33" t="s">
        <v>218</v>
      </c>
      <c r="D9" s="8" t="s">
        <v>2156</v>
      </c>
      <c r="E9" s="135" t="str">
        <f>HYPERLINK("https://youtu.be/sROlNQuKp-4","channel 1")</f>
        <v>channel 1</v>
      </c>
    </row>
    <row r="10">
      <c r="A10" s="118"/>
      <c r="B10" s="8" t="s">
        <v>2053</v>
      </c>
      <c r="C10" s="33" t="s">
        <v>64</v>
      </c>
      <c r="D10" s="8" t="s">
        <v>3708</v>
      </c>
      <c r="E10" s="11" t="str">
        <f>HYPERLINK("https://youtu.be/RYwjsJc_oBk","channel 2")</f>
        <v>channel 2</v>
      </c>
    </row>
    <row r="11">
      <c r="A11" s="118"/>
      <c r="B11" s="8" t="s">
        <v>3945</v>
      </c>
      <c r="C11" s="33" t="s">
        <v>71</v>
      </c>
      <c r="D11" s="8" t="s">
        <v>3557</v>
      </c>
      <c r="E11" s="135" t="str">
        <f>HYPERLINK("https://youtu.be/gFmFP67r_2o","channel 1")</f>
        <v>channel 1</v>
      </c>
    </row>
    <row r="12">
      <c r="A12" s="118"/>
      <c r="B12" s="8" t="s">
        <v>2053</v>
      </c>
      <c r="C12" s="33" t="s">
        <v>72</v>
      </c>
      <c r="D12" s="8" t="s">
        <v>2156</v>
      </c>
      <c r="E12" s="11" t="str">
        <f>HYPERLINK("https://youtu.be/5Hq5pzEfVGo","channel 2")</f>
        <v>channel 2</v>
      </c>
    </row>
    <row r="13">
      <c r="A13" s="118"/>
      <c r="B13" s="8" t="s">
        <v>2156</v>
      </c>
      <c r="C13" s="33" t="s">
        <v>293</v>
      </c>
      <c r="D13" s="8" t="s">
        <v>3708</v>
      </c>
      <c r="E13" s="135" t="str">
        <f>HYPERLINK("https://youtu.be/qp3KMQMabRc","channel 1")</f>
        <v>channel 1</v>
      </c>
    </row>
    <row r="14">
      <c r="A14" s="118"/>
      <c r="B14" s="8" t="s">
        <v>2053</v>
      </c>
      <c r="C14" s="33" t="s">
        <v>428</v>
      </c>
      <c r="D14" s="8" t="s">
        <v>3557</v>
      </c>
      <c r="E14" s="11" t="str">
        <f>HYPERLINK("https://youtu.be/CZyZ1Avftkc","channel 2")</f>
        <v>channel 2</v>
      </c>
    </row>
    <row r="15">
      <c r="A15" s="118"/>
      <c r="B15" s="8" t="s">
        <v>3708</v>
      </c>
      <c r="C15" s="33" t="s">
        <v>244</v>
      </c>
      <c r="D15" s="8" t="s">
        <v>3945</v>
      </c>
      <c r="E15" s="135" t="str">
        <f>HYPERLINK("https://youtu.be/Dajq1YTcVmo","channel 1")</f>
        <v>channel 1</v>
      </c>
    </row>
    <row r="16">
      <c r="A16" s="118"/>
      <c r="B16" s="8" t="s">
        <v>2156</v>
      </c>
      <c r="C16" s="33" t="s">
        <v>82</v>
      </c>
      <c r="D16" s="8" t="s">
        <v>3557</v>
      </c>
      <c r="E16" s="11" t="str">
        <f>HYPERLINK("https://youtu.be/gvkaP2OlFnY","channel 2")</f>
        <v>channel 2</v>
      </c>
    </row>
    <row r="17">
      <c r="A17" s="118"/>
      <c r="B17" s="8" t="s">
        <v>2053</v>
      </c>
      <c r="C17" s="33" t="s">
        <v>240</v>
      </c>
      <c r="D17" s="8" t="s">
        <v>3945</v>
      </c>
      <c r="E17" s="135" t="str">
        <f>HYPERLINK("https://youtu.be/93VfSuOFSVQ","channel 1")</f>
        <v>channel 1</v>
      </c>
    </row>
    <row r="18">
      <c r="A18" s="118"/>
      <c r="B18" s="8" t="s">
        <v>3708</v>
      </c>
      <c r="C18" s="33" t="s">
        <v>7</v>
      </c>
      <c r="D18" s="8" t="s">
        <v>3557</v>
      </c>
      <c r="E18" s="11" t="str">
        <f>HYPERLINK("https://youtu.be/_dUIBokuy9U","channel 2")</f>
        <v>channel 2</v>
      </c>
    </row>
    <row r="19">
      <c r="A19" s="118"/>
      <c r="B19" s="8" t="s">
        <v>2156</v>
      </c>
      <c r="C19" s="33" t="s">
        <v>25</v>
      </c>
      <c r="D19" s="8" t="s">
        <v>3945</v>
      </c>
      <c r="E19" s="135" t="str">
        <f>HYPERLINK("https://youtu.be/7dGaYycY__0","channel 1")</f>
        <v>channel 1</v>
      </c>
    </row>
    <row r="20">
      <c r="A20" s="118"/>
      <c r="B20" s="8" t="s">
        <v>3708</v>
      </c>
      <c r="C20" s="33" t="s">
        <v>43</v>
      </c>
      <c r="D20" s="8" t="s">
        <v>2053</v>
      </c>
      <c r="E20" s="11" t="str">
        <f>HYPERLINK("https://youtu.be/P8y0XysRFsQ","channel 2")</f>
        <v>channel 2</v>
      </c>
    </row>
    <row r="21">
      <c r="A21" s="118"/>
      <c r="B21" s="8" t="s">
        <v>3557</v>
      </c>
      <c r="C21" s="33" t="s">
        <v>62</v>
      </c>
      <c r="D21" s="8" t="s">
        <v>3945</v>
      </c>
      <c r="E21" s="135" t="str">
        <f>HYPERLINK("https://youtu.be/XUcNE66aPpM","channel 1")</f>
        <v>channel 1</v>
      </c>
    </row>
    <row r="22">
      <c r="A22" s="118"/>
      <c r="B22" s="8" t="s">
        <v>2156</v>
      </c>
      <c r="C22" s="33" t="s">
        <v>55</v>
      </c>
      <c r="D22" s="8" t="s">
        <v>2053</v>
      </c>
      <c r="E22" s="11" t="str">
        <f>HYPERLINK("https://youtu.be/9qn5N48aDMg","channel 2")</f>
        <v>channel 2</v>
      </c>
    </row>
    <row r="23">
      <c r="A23" s="118"/>
      <c r="B23" s="72" t="s">
        <v>1664</v>
      </c>
      <c r="C23" s="2"/>
      <c r="D23" s="3"/>
      <c r="E23" s="134"/>
    </row>
    <row r="24">
      <c r="A24" s="118"/>
      <c r="B24" s="35" t="s">
        <v>2</v>
      </c>
      <c r="C24" s="35" t="s">
        <v>3</v>
      </c>
      <c r="D24" s="35" t="s">
        <v>4</v>
      </c>
      <c r="E24" s="6" t="s">
        <v>5</v>
      </c>
    </row>
    <row r="25">
      <c r="A25" s="118"/>
      <c r="B25" s="8" t="s">
        <v>4092</v>
      </c>
      <c r="C25" s="33" t="s">
        <v>218</v>
      </c>
      <c r="D25" s="8" t="s">
        <v>4093</v>
      </c>
      <c r="E25" s="135" t="str">
        <f>HYPERLINK("https://youtu.be/7cb3ylybZow","channel 1")</f>
        <v>channel 1</v>
      </c>
    </row>
    <row r="26">
      <c r="A26" s="118"/>
      <c r="B26" s="8" t="s">
        <v>4094</v>
      </c>
      <c r="C26" s="33" t="s">
        <v>21</v>
      </c>
      <c r="D26" s="8" t="s">
        <v>3081</v>
      </c>
      <c r="E26" s="11" t="str">
        <f>HYPERLINK("https://youtu.be/ztRiE4qtdpk","channel 2")</f>
        <v>channel 2</v>
      </c>
    </row>
    <row r="27">
      <c r="A27" s="118"/>
      <c r="B27" s="8" t="s">
        <v>4095</v>
      </c>
      <c r="C27" s="33" t="s">
        <v>699</v>
      </c>
      <c r="D27" s="8" t="s">
        <v>4092</v>
      </c>
      <c r="E27" s="135" t="str">
        <f>HYPERLINK("https://youtu.be/edtkc6SSlKY","channel 1")</f>
        <v>channel 1</v>
      </c>
    </row>
    <row r="28">
      <c r="A28" s="118"/>
      <c r="B28" s="8" t="s">
        <v>4094</v>
      </c>
      <c r="C28" s="33" t="s">
        <v>426</v>
      </c>
      <c r="D28" s="8" t="s">
        <v>4093</v>
      </c>
      <c r="E28" s="11" t="str">
        <f>HYPERLINK("https://youtu.be/Nujw2cOlbgY","channel 2")</f>
        <v>channel 2</v>
      </c>
    </row>
    <row r="29">
      <c r="A29" s="118"/>
      <c r="B29" s="8" t="s">
        <v>4095</v>
      </c>
      <c r="C29" s="33" t="s">
        <v>270</v>
      </c>
      <c r="D29" s="8" t="s">
        <v>3081</v>
      </c>
      <c r="E29" s="135" t="str">
        <f>HYPERLINK("https://youtu.be/aElK0G9MGNg","channel 1")</f>
        <v>channel 1</v>
      </c>
    </row>
    <row r="30">
      <c r="A30" s="118"/>
      <c r="B30" s="8" t="s">
        <v>4094</v>
      </c>
      <c r="C30" s="33" t="s">
        <v>699</v>
      </c>
      <c r="D30" s="8" t="s">
        <v>4092</v>
      </c>
      <c r="E30" s="11" t="str">
        <f>HYPERLINK("https://youtu.be/mXZLrsWFNR4","channel 2")</f>
        <v>channel 2</v>
      </c>
    </row>
    <row r="31">
      <c r="A31" s="118"/>
      <c r="B31" s="8" t="s">
        <v>4095</v>
      </c>
      <c r="C31" s="33" t="s">
        <v>28</v>
      </c>
      <c r="D31" s="8" t="s">
        <v>4093</v>
      </c>
      <c r="E31" s="135" t="str">
        <f>HYPERLINK("https://youtu.be/8KRwPDSyTBA","channel 1")</f>
        <v>channel 1</v>
      </c>
    </row>
    <row r="32">
      <c r="A32" s="118"/>
      <c r="B32" s="8" t="s">
        <v>3081</v>
      </c>
      <c r="C32" s="33" t="s">
        <v>11</v>
      </c>
      <c r="D32" s="8" t="s">
        <v>4092</v>
      </c>
      <c r="E32" s="11" t="str">
        <f>HYPERLINK("https://youtu.be/gTc6avxZ2-E","channel 2")</f>
        <v>channel 2</v>
      </c>
    </row>
    <row r="33">
      <c r="A33" s="118"/>
      <c r="B33" s="8" t="s">
        <v>4095</v>
      </c>
      <c r="C33" s="33" t="s">
        <v>20</v>
      </c>
      <c r="D33" s="8" t="s">
        <v>4094</v>
      </c>
      <c r="E33" s="135" t="str">
        <f>HYPERLINK("https://youtu.be/8gJtF50WTrs","channel 1")</f>
        <v>channel 1</v>
      </c>
    </row>
    <row r="34">
      <c r="A34" s="118"/>
      <c r="B34" s="8" t="s">
        <v>3081</v>
      </c>
      <c r="C34" s="33" t="s">
        <v>16</v>
      </c>
      <c r="D34" s="8" t="s">
        <v>4093</v>
      </c>
      <c r="E34" s="11" t="str">
        <f>HYPERLINK("https://youtu.be/_0mnPNfvBw8","channel 2")</f>
        <v>channel 2</v>
      </c>
    </row>
    <row r="35">
      <c r="A35" s="118"/>
      <c r="B35" s="8" t="s">
        <v>4093</v>
      </c>
      <c r="C35" s="33" t="s">
        <v>81</v>
      </c>
      <c r="D35" s="8" t="s">
        <v>4092</v>
      </c>
      <c r="E35" s="135" t="str">
        <f>HYPERLINK("https://youtu.be/V2XRIOzy2KY","channel 1")</f>
        <v>channel 1</v>
      </c>
    </row>
    <row r="36">
      <c r="A36" s="118"/>
      <c r="B36" s="8" t="s">
        <v>3081</v>
      </c>
      <c r="C36" s="33" t="s">
        <v>88</v>
      </c>
      <c r="D36" s="8" t="s">
        <v>4094</v>
      </c>
      <c r="E36" s="11" t="str">
        <f>HYPERLINK("https://youtu.be/yvMCiK69Auc","channel 2")</f>
        <v>channel 2</v>
      </c>
    </row>
    <row r="37">
      <c r="A37" s="118"/>
      <c r="B37" s="8" t="s">
        <v>4092</v>
      </c>
      <c r="C37" s="33" t="s">
        <v>194</v>
      </c>
      <c r="D37" s="8" t="s">
        <v>4095</v>
      </c>
      <c r="E37" s="135" t="str">
        <f>HYPERLINK("https://youtu.be/WXSnD15T5fw","channel 1")</f>
        <v>channel 1</v>
      </c>
    </row>
    <row r="38">
      <c r="A38" s="118"/>
      <c r="B38" s="8" t="s">
        <v>4093</v>
      </c>
      <c r="C38" s="33" t="s">
        <v>306</v>
      </c>
      <c r="D38" s="8" t="s">
        <v>4094</v>
      </c>
      <c r="E38" s="11" t="str">
        <f>HYPERLINK("https://youtu.be/oql5u0m95o0","channel 2")</f>
        <v>channel 2</v>
      </c>
    </row>
    <row r="39">
      <c r="A39" s="118"/>
      <c r="B39" s="8" t="s">
        <v>3081</v>
      </c>
      <c r="C39" s="35" t="s">
        <v>68</v>
      </c>
      <c r="D39" s="8" t="s">
        <v>4095</v>
      </c>
      <c r="E39" s="135" t="str">
        <f>HYPERLINK("https://youtu.be/QjqULYdk6-M","channel 1")</f>
        <v>channel 1</v>
      </c>
    </row>
    <row r="40">
      <c r="A40" s="118"/>
      <c r="B40" s="8" t="s">
        <v>4092</v>
      </c>
      <c r="C40" s="33" t="s">
        <v>194</v>
      </c>
      <c r="D40" s="8" t="s">
        <v>4094</v>
      </c>
      <c r="E40" s="11" t="str">
        <f>HYPERLINK("https://youtu.be/iaAekN1Kv8Y","channel 2")</f>
        <v>channel 2</v>
      </c>
    </row>
    <row r="41">
      <c r="A41" s="118"/>
      <c r="B41" s="8" t="s">
        <v>4093</v>
      </c>
      <c r="C41" s="33" t="s">
        <v>197</v>
      </c>
      <c r="D41" s="8" t="s">
        <v>4095</v>
      </c>
      <c r="E41" s="135" t="str">
        <f>HYPERLINK("https://youtu.be/nlFj_gnI40Y","channel 1")</f>
        <v>channel 1</v>
      </c>
    </row>
    <row r="42">
      <c r="A42" s="118"/>
      <c r="B42" s="8" t="s">
        <v>4092</v>
      </c>
      <c r="C42" s="33" t="s">
        <v>88</v>
      </c>
      <c r="D42" s="8" t="s">
        <v>3081</v>
      </c>
      <c r="E42" s="11" t="str">
        <f>HYPERLINK("https://youtu.be/GVRbHe4s2Zk","channel 2")</f>
        <v>channel 2</v>
      </c>
    </row>
    <row r="43">
      <c r="A43" s="118"/>
      <c r="B43" s="8" t="s">
        <v>4094</v>
      </c>
      <c r="C43" s="33" t="s">
        <v>190</v>
      </c>
      <c r="D43" s="8" t="s">
        <v>4095</v>
      </c>
      <c r="E43" s="135" t="str">
        <f>HYPERLINK("https://youtu.be/i1ob1_SJda8","channel 1")</f>
        <v>channel 1</v>
      </c>
    </row>
    <row r="44">
      <c r="A44" s="118"/>
      <c r="B44" s="8" t="s">
        <v>4093</v>
      </c>
      <c r="C44" s="33" t="s">
        <v>78</v>
      </c>
      <c r="D44" s="8" t="s">
        <v>3081</v>
      </c>
      <c r="E44" s="11" t="str">
        <f>HYPERLINK("https://youtu.be/-nzlYB_vrNY","channel 2")</f>
        <v>channel 2</v>
      </c>
    </row>
    <row r="45">
      <c r="A45" s="118"/>
      <c r="B45" s="72" t="s">
        <v>4096</v>
      </c>
      <c r="C45" s="2"/>
      <c r="D45" s="3"/>
      <c r="E45" s="134"/>
    </row>
    <row r="46">
      <c r="A46" s="118"/>
      <c r="B46" s="35" t="s">
        <v>2</v>
      </c>
      <c r="C46" s="35" t="s">
        <v>3</v>
      </c>
      <c r="D46" s="35" t="s">
        <v>4</v>
      </c>
      <c r="E46" s="6" t="s">
        <v>5</v>
      </c>
    </row>
    <row r="47">
      <c r="A47" s="118"/>
      <c r="B47" s="8" t="s">
        <v>1779</v>
      </c>
      <c r="C47" s="33" t="s">
        <v>18</v>
      </c>
      <c r="D47" s="8" t="s">
        <v>1295</v>
      </c>
      <c r="E47" s="135" t="str">
        <f>HYPERLINK("https://youtu.be/NmjM8TNNhVM","channel 1")</f>
        <v>channel 1</v>
      </c>
    </row>
    <row r="48">
      <c r="A48" s="118"/>
      <c r="B48" s="8" t="s">
        <v>3703</v>
      </c>
      <c r="C48" s="33" t="s">
        <v>87</v>
      </c>
      <c r="D48" s="8" t="s">
        <v>3976</v>
      </c>
      <c r="E48" s="11" t="str">
        <f>HYPERLINK("https://youtu.be/u-lZsKJHIMM","channel 2")</f>
        <v>channel 2</v>
      </c>
    </row>
    <row r="49">
      <c r="A49" s="118"/>
      <c r="B49" s="8" t="s">
        <v>4097</v>
      </c>
      <c r="C49" s="33" t="s">
        <v>27</v>
      </c>
      <c r="D49" s="8" t="s">
        <v>1779</v>
      </c>
      <c r="E49" s="135" t="str">
        <f>HYPERLINK("https://youtu.be/Ak4k5K5cQxo","channel 1")</f>
        <v>channel 1</v>
      </c>
    </row>
    <row r="50">
      <c r="A50" s="118"/>
      <c r="B50" s="8" t="s">
        <v>3703</v>
      </c>
      <c r="C50" s="33" t="s">
        <v>22</v>
      </c>
      <c r="D50" s="8" t="s">
        <v>1295</v>
      </c>
      <c r="E50" s="11" t="str">
        <f>HYPERLINK("https://youtu.be/DBGGU_VLg9Y","channel 2")</f>
        <v>channel 2</v>
      </c>
    </row>
    <row r="51">
      <c r="A51" s="118"/>
      <c r="B51" s="8" t="s">
        <v>4097</v>
      </c>
      <c r="C51" s="33" t="s">
        <v>22</v>
      </c>
      <c r="D51" s="8" t="s">
        <v>3976</v>
      </c>
      <c r="E51" s="135" t="str">
        <f>HYPERLINK("https://youtu.be/Y03t_z6ouCY","channel 1")</f>
        <v>channel 1</v>
      </c>
    </row>
    <row r="52">
      <c r="A52" s="118"/>
      <c r="B52" s="8" t="s">
        <v>3703</v>
      </c>
      <c r="C52" s="33" t="s">
        <v>190</v>
      </c>
      <c r="D52" s="8" t="s">
        <v>1779</v>
      </c>
      <c r="E52" s="11" t="str">
        <f>HYPERLINK("https://youtu.be/PtL4ZxJLhUY","channel 2")</f>
        <v>channel 2</v>
      </c>
    </row>
    <row r="53">
      <c r="A53" s="118"/>
      <c r="B53" s="8" t="s">
        <v>4097</v>
      </c>
      <c r="C53" s="33" t="s">
        <v>239</v>
      </c>
      <c r="D53" s="8" t="s">
        <v>1295</v>
      </c>
      <c r="E53" s="135" t="str">
        <f>HYPERLINK("https://youtu.be/GFna5ublqzo","channel 1")</f>
        <v>channel 1</v>
      </c>
    </row>
    <row r="54">
      <c r="A54" s="118"/>
      <c r="B54" s="8" t="s">
        <v>3976</v>
      </c>
      <c r="C54" s="33" t="s">
        <v>193</v>
      </c>
      <c r="D54" s="8" t="s">
        <v>1779</v>
      </c>
      <c r="E54" s="11" t="str">
        <f>HYPERLINK("https://youtu.be/GVnU1wGVDuc","channel 2")</f>
        <v>channel 2</v>
      </c>
    </row>
    <row r="55">
      <c r="A55" s="118"/>
      <c r="B55" s="8" t="s">
        <v>4097</v>
      </c>
      <c r="C55" s="33" t="s">
        <v>19</v>
      </c>
      <c r="D55" s="8" t="s">
        <v>3703</v>
      </c>
      <c r="E55" s="135" t="str">
        <f>HYPERLINK("https://youtu.be/0QVXemoSxBw","channel 1")</f>
        <v>channel 1</v>
      </c>
    </row>
    <row r="56">
      <c r="A56" s="118"/>
      <c r="B56" s="8" t="s">
        <v>3976</v>
      </c>
      <c r="C56" s="33" t="s">
        <v>11</v>
      </c>
      <c r="D56" s="8" t="s">
        <v>1295</v>
      </c>
      <c r="E56" s="11" t="str">
        <f>HYPERLINK("https://youtu.be/tfQtS_dwIq0","channel 2")</f>
        <v>channel 2</v>
      </c>
    </row>
    <row r="57">
      <c r="A57" s="118"/>
      <c r="B57" s="8" t="s">
        <v>1295</v>
      </c>
      <c r="C57" s="33" t="s">
        <v>67</v>
      </c>
      <c r="D57" s="8" t="s">
        <v>1779</v>
      </c>
      <c r="E57" s="135" t="str">
        <f>HYPERLINK("https://youtu.be/UrjoGL00_Qg","channel 1")</f>
        <v>channel 1</v>
      </c>
    </row>
    <row r="58">
      <c r="A58" s="118"/>
      <c r="B58" s="8" t="s">
        <v>3976</v>
      </c>
      <c r="C58" s="33" t="s">
        <v>87</v>
      </c>
      <c r="D58" s="8" t="s">
        <v>3703</v>
      </c>
      <c r="E58" s="11" t="str">
        <f>HYPERLINK("https://youtu.be/h0HaEdToyGE","channel 2")</f>
        <v>channel 2</v>
      </c>
    </row>
    <row r="59">
      <c r="A59" s="118"/>
      <c r="B59" s="8" t="s">
        <v>1779</v>
      </c>
      <c r="C59" s="33" t="s">
        <v>260</v>
      </c>
      <c r="D59" s="8" t="s">
        <v>4097</v>
      </c>
      <c r="E59" s="135" t="str">
        <f>HYPERLINK("https://youtu.be/n2J453aVHn4","channel 1")</f>
        <v>channel 1</v>
      </c>
    </row>
    <row r="60">
      <c r="A60" s="118"/>
      <c r="B60" s="8" t="s">
        <v>1295</v>
      </c>
      <c r="C60" s="33" t="s">
        <v>722</v>
      </c>
      <c r="D60" s="8" t="s">
        <v>3703</v>
      </c>
      <c r="E60" s="11" t="str">
        <f>HYPERLINK("https://youtu.be/zF7gfOMLDr4","channel 2")</f>
        <v>channel 2</v>
      </c>
    </row>
    <row r="61">
      <c r="A61" s="118"/>
      <c r="B61" s="8" t="s">
        <v>3976</v>
      </c>
      <c r="C61" s="33" t="s">
        <v>195</v>
      </c>
      <c r="D61" s="8" t="s">
        <v>4097</v>
      </c>
      <c r="E61" s="135" t="str">
        <f>HYPERLINK("https://youtu.be/kwRzeY-z3fs","channel 1")</f>
        <v>channel 1</v>
      </c>
    </row>
    <row r="62">
      <c r="A62" s="118"/>
      <c r="B62" s="8" t="s">
        <v>1779</v>
      </c>
      <c r="C62" s="35" t="s">
        <v>66</v>
      </c>
      <c r="D62" s="8" t="s">
        <v>3703</v>
      </c>
      <c r="E62" s="11" t="str">
        <f>HYPERLINK("https://youtu.be/sQuXq5vvCpM","channel 2")</f>
        <v>channel 2</v>
      </c>
    </row>
    <row r="63">
      <c r="A63" s="118"/>
      <c r="B63" s="8" t="s">
        <v>1295</v>
      </c>
      <c r="C63" s="33" t="s">
        <v>190</v>
      </c>
      <c r="D63" s="8" t="s">
        <v>4097</v>
      </c>
      <c r="E63" s="135" t="str">
        <f>HYPERLINK("https://youtu.be/V9gMmtLLUQI","channel 1")</f>
        <v>channel 1</v>
      </c>
    </row>
    <row r="64">
      <c r="A64" s="118"/>
      <c r="B64" s="8" t="s">
        <v>1779</v>
      </c>
      <c r="C64" s="33" t="s">
        <v>82</v>
      </c>
      <c r="D64" s="8" t="s">
        <v>3976</v>
      </c>
      <c r="E64" s="11" t="str">
        <f>HYPERLINK("https://youtu.be/FvBY2Ew4Ir0","channel 2")</f>
        <v>channel 2</v>
      </c>
    </row>
    <row r="65">
      <c r="A65" s="118"/>
      <c r="B65" s="8" t="s">
        <v>3703</v>
      </c>
      <c r="C65" s="33" t="s">
        <v>362</v>
      </c>
      <c r="D65" s="8" t="s">
        <v>4097</v>
      </c>
      <c r="E65" s="135" t="str">
        <f>HYPERLINK("https://youtu.be/x1n_AabMKJc","channel 1")</f>
        <v>channel 1</v>
      </c>
    </row>
    <row r="66">
      <c r="A66" s="118"/>
      <c r="B66" s="8" t="s">
        <v>1295</v>
      </c>
      <c r="C66" s="33" t="s">
        <v>82</v>
      </c>
      <c r="D66" s="8" t="s">
        <v>3976</v>
      </c>
      <c r="E66" s="11" t="str">
        <f>HYPERLINK("https://youtu.be/Kf9gbjv8cj8","channel 2")</f>
        <v>channel 2</v>
      </c>
    </row>
    <row r="67">
      <c r="A67" s="118"/>
      <c r="B67" s="72" t="s">
        <v>2560</v>
      </c>
      <c r="C67" s="2"/>
      <c r="D67" s="3"/>
      <c r="E67" s="138"/>
    </row>
    <row r="68">
      <c r="A68" s="118"/>
      <c r="B68" s="35" t="s">
        <v>2</v>
      </c>
      <c r="C68" s="35" t="s">
        <v>3</v>
      </c>
      <c r="D68" s="35" t="s">
        <v>4</v>
      </c>
      <c r="E68" s="16" t="s">
        <v>5</v>
      </c>
    </row>
    <row r="69">
      <c r="A69" s="118"/>
      <c r="B69" s="8" t="s">
        <v>4098</v>
      </c>
      <c r="C69" s="33" t="s">
        <v>319</v>
      </c>
      <c r="D69" s="8" t="s">
        <v>4099</v>
      </c>
      <c r="E69" s="135" t="str">
        <f>HYPERLINK("https://youtu.be/OFF4sWxFoss","channel 1")</f>
        <v>channel 1</v>
      </c>
    </row>
    <row r="70">
      <c r="A70" s="118"/>
      <c r="B70" s="8" t="s">
        <v>4100</v>
      </c>
      <c r="C70" s="33" t="s">
        <v>22</v>
      </c>
      <c r="D70" s="8" t="s">
        <v>2593</v>
      </c>
      <c r="E70" s="11" t="str">
        <f>HYPERLINK("https://youtu.be/EVZZN6JGPX0","channel 2")</f>
        <v>channel 2</v>
      </c>
    </row>
    <row r="71">
      <c r="A71" s="118"/>
      <c r="B71" s="8" t="s">
        <v>4101</v>
      </c>
      <c r="C71" s="33" t="s">
        <v>190</v>
      </c>
      <c r="D71" s="8" t="s">
        <v>4098</v>
      </c>
      <c r="E71" s="135" t="str">
        <f>HYPERLINK("https://youtu.be/--jE56eGFLw","channel 1")</f>
        <v>channel 1</v>
      </c>
    </row>
    <row r="72">
      <c r="A72" s="118"/>
      <c r="B72" s="8" t="s">
        <v>4100</v>
      </c>
      <c r="C72" s="33" t="s">
        <v>509</v>
      </c>
      <c r="D72" s="8" t="s">
        <v>4099</v>
      </c>
      <c r="E72" s="11" t="str">
        <f>HYPERLINK("https://youtu.be/UJj6vSbbQQU","channel 2")</f>
        <v>channel 2</v>
      </c>
    </row>
    <row r="73">
      <c r="A73" s="118"/>
      <c r="B73" s="8" t="s">
        <v>4101</v>
      </c>
      <c r="C73" s="33" t="s">
        <v>43</v>
      </c>
      <c r="D73" s="8" t="s">
        <v>2593</v>
      </c>
      <c r="E73" s="135" t="str">
        <f>HYPERLINK("https://youtu.be/6bKZwJ9WUCc","channel 1")</f>
        <v>channel 1</v>
      </c>
    </row>
    <row r="74">
      <c r="A74" s="118"/>
      <c r="B74" s="8" t="s">
        <v>4100</v>
      </c>
      <c r="C74" s="33" t="s">
        <v>201</v>
      </c>
      <c r="D74" s="8" t="s">
        <v>4098</v>
      </c>
      <c r="E74" s="11" t="str">
        <f>HYPERLINK("https://youtu.be/KNWHor5_hDY","channel 2")</f>
        <v>channel 2</v>
      </c>
    </row>
    <row r="75">
      <c r="A75" s="118"/>
      <c r="B75" s="8" t="s">
        <v>4101</v>
      </c>
      <c r="C75" s="33" t="s">
        <v>87</v>
      </c>
      <c r="D75" s="8" t="s">
        <v>4099</v>
      </c>
      <c r="E75" s="135" t="str">
        <f>HYPERLINK("https://youtu.be/7fBWcZDKn8k","channel 1")</f>
        <v>channel 1</v>
      </c>
    </row>
    <row r="76">
      <c r="A76" s="118"/>
      <c r="B76" s="8" t="s">
        <v>2593</v>
      </c>
      <c r="C76" s="33" t="s">
        <v>43</v>
      </c>
      <c r="D76" s="8" t="s">
        <v>4098</v>
      </c>
      <c r="E76" s="11" t="str">
        <f>HYPERLINK("https://youtu.be/QhxAAAl9w2Y","channel 2")</f>
        <v>channel 2</v>
      </c>
    </row>
    <row r="77">
      <c r="A77" s="118"/>
      <c r="B77" s="8" t="s">
        <v>4101</v>
      </c>
      <c r="C77" s="33" t="s">
        <v>190</v>
      </c>
      <c r="D77" s="8" t="s">
        <v>4100</v>
      </c>
      <c r="E77" s="135" t="str">
        <f>HYPERLINK("https://youtu.be/44JmGHH8ekU","channel 1")</f>
        <v>channel 1</v>
      </c>
    </row>
    <row r="78">
      <c r="A78" s="118"/>
      <c r="B78" s="8" t="s">
        <v>2593</v>
      </c>
      <c r="C78" s="33" t="s">
        <v>22</v>
      </c>
      <c r="D78" s="8" t="s">
        <v>4099</v>
      </c>
      <c r="E78" s="11" t="str">
        <f>HYPERLINK("https://youtu.be/zcO6P5HNVEs","channel 2")</f>
        <v>channel 2</v>
      </c>
    </row>
    <row r="79">
      <c r="A79" s="118"/>
      <c r="B79" s="8" t="s">
        <v>4099</v>
      </c>
      <c r="C79" s="33" t="s">
        <v>43</v>
      </c>
      <c r="D79" s="8" t="s">
        <v>4098</v>
      </c>
      <c r="E79" s="135" t="str">
        <f>HYPERLINK("https://youtu.be/rnOlevzCCz0","channel 1")</f>
        <v>channel 1</v>
      </c>
    </row>
    <row r="80">
      <c r="A80" s="118"/>
      <c r="B80" s="8" t="s">
        <v>2593</v>
      </c>
      <c r="C80" s="33" t="s">
        <v>62</v>
      </c>
      <c r="D80" s="8" t="s">
        <v>4100</v>
      </c>
      <c r="E80" s="11" t="str">
        <f>HYPERLINK("https://youtu.be/eGkCh_lV0w0","channel 2")</f>
        <v>channel 2</v>
      </c>
    </row>
    <row r="81">
      <c r="A81" s="118"/>
      <c r="B81" s="8" t="s">
        <v>4098</v>
      </c>
      <c r="C81" s="33" t="s">
        <v>20</v>
      </c>
      <c r="D81" s="8" t="s">
        <v>4101</v>
      </c>
      <c r="E81" s="135" t="str">
        <f>HYPERLINK("https://youtu.be/plLr-bi7rqY","channel 1")</f>
        <v>channel 1</v>
      </c>
    </row>
    <row r="82">
      <c r="A82" s="118"/>
      <c r="B82" s="8" t="s">
        <v>4099</v>
      </c>
      <c r="C82" s="33" t="s">
        <v>243</v>
      </c>
      <c r="D82" s="8" t="s">
        <v>4100</v>
      </c>
      <c r="E82" s="11" t="str">
        <f>HYPERLINK("https://youtu.be/2VapEOMz7MI","channel 2")</f>
        <v>channel 2</v>
      </c>
    </row>
    <row r="83">
      <c r="A83" s="118"/>
      <c r="B83" s="8" t="s">
        <v>2593</v>
      </c>
      <c r="C83" s="33" t="s">
        <v>197</v>
      </c>
      <c r="D83" s="8" t="s">
        <v>4101</v>
      </c>
      <c r="E83" s="135" t="str">
        <f>HYPERLINK("https://youtu.be/6qdh4UM4bcE","channel 1")</f>
        <v>channel 1</v>
      </c>
    </row>
    <row r="84">
      <c r="A84" s="118"/>
      <c r="B84" s="8" t="s">
        <v>4098</v>
      </c>
      <c r="C84" s="33" t="s">
        <v>196</v>
      </c>
      <c r="D84" s="8" t="s">
        <v>4100</v>
      </c>
      <c r="E84" s="11" t="str">
        <f>HYPERLINK("https://youtu.be/_vfhNLeB2ds","channel 2")</f>
        <v>channel 2</v>
      </c>
    </row>
    <row r="85">
      <c r="A85" s="118"/>
      <c r="B85" s="8" t="s">
        <v>4099</v>
      </c>
      <c r="C85" s="33" t="s">
        <v>201</v>
      </c>
      <c r="D85" s="8" t="s">
        <v>4101</v>
      </c>
      <c r="E85" s="135" t="str">
        <f>HYPERLINK("https://youtu.be/9_OKtSXsYOA","channel 1")</f>
        <v>channel 1</v>
      </c>
    </row>
    <row r="86">
      <c r="A86" s="118"/>
      <c r="B86" s="8" t="s">
        <v>4098</v>
      </c>
      <c r="C86" s="33" t="s">
        <v>22</v>
      </c>
      <c r="D86" s="8" t="s">
        <v>2593</v>
      </c>
      <c r="E86" s="11" t="str">
        <f>HYPERLINK("https://youtu.be/4QMIlmm4wx0","channel 2")</f>
        <v>channel 2</v>
      </c>
    </row>
    <row r="87">
      <c r="A87" s="118"/>
      <c r="B87" s="8" t="s">
        <v>4100</v>
      </c>
      <c r="C87" s="33" t="s">
        <v>444</v>
      </c>
      <c r="D87" s="8" t="s">
        <v>4101</v>
      </c>
      <c r="E87" s="135" t="str">
        <f>HYPERLINK("https://youtu.be/K5bd2SEjRWM","channel 1")</f>
        <v>channel 1</v>
      </c>
    </row>
    <row r="88">
      <c r="A88" s="122"/>
      <c r="B88" s="8" t="s">
        <v>4099</v>
      </c>
      <c r="C88" s="33" t="s">
        <v>196</v>
      </c>
      <c r="D88" s="8" t="s">
        <v>2593</v>
      </c>
      <c r="E88" s="11" t="str">
        <f>HYPERLINK("https://youtu.be/sk0SguQ2ouw","channel 2")</f>
        <v>channel 2</v>
      </c>
    </row>
    <row r="89">
      <c r="B89" s="72" t="s">
        <v>2661</v>
      </c>
      <c r="C89" s="2"/>
      <c r="D89" s="3"/>
      <c r="E89" s="138"/>
    </row>
    <row r="90">
      <c r="B90" s="35" t="s">
        <v>2</v>
      </c>
      <c r="C90" s="35" t="s">
        <v>3</v>
      </c>
      <c r="D90" s="35" t="s">
        <v>4</v>
      </c>
      <c r="E90" s="16" t="s">
        <v>5</v>
      </c>
    </row>
    <row r="91">
      <c r="B91" s="8" t="s">
        <v>3537</v>
      </c>
      <c r="C91" s="33" t="s">
        <v>11</v>
      </c>
      <c r="D91" s="8" t="s">
        <v>4102</v>
      </c>
      <c r="E91" s="135" t="str">
        <f>HYPERLINK("https://youtu.be/K4JeGVe1wj8","channel 1")</f>
        <v>channel 1</v>
      </c>
    </row>
    <row r="92">
      <c r="B92" s="8" t="s">
        <v>3995</v>
      </c>
      <c r="C92" s="33" t="s">
        <v>465</v>
      </c>
      <c r="D92" s="8" t="s">
        <v>4103</v>
      </c>
      <c r="E92" s="11" t="str">
        <f>HYPERLINK("https://youtu.be/Zc7oUOjVZ3c","channel 2")</f>
        <v>channel 2</v>
      </c>
    </row>
    <row r="93">
      <c r="B93" s="8" t="s">
        <v>1920</v>
      </c>
      <c r="C93" s="33" t="s">
        <v>2800</v>
      </c>
      <c r="D93" s="8" t="s">
        <v>3537</v>
      </c>
      <c r="E93" s="135" t="str">
        <f>HYPERLINK("https://youtu.be/sI249XfDgnk","channel 1")</f>
        <v>channel 1</v>
      </c>
    </row>
    <row r="94">
      <c r="B94" s="8" t="s">
        <v>3995</v>
      </c>
      <c r="C94" s="33" t="s">
        <v>41</v>
      </c>
      <c r="D94" s="8" t="s">
        <v>4102</v>
      </c>
      <c r="E94" s="11" t="str">
        <f>HYPERLINK("https://youtu.be/gSewnIGg8f8","channel 2")</f>
        <v>channel 2</v>
      </c>
    </row>
    <row r="95">
      <c r="B95" s="8" t="s">
        <v>1920</v>
      </c>
      <c r="C95" s="33" t="s">
        <v>217</v>
      </c>
      <c r="D95" s="8" t="s">
        <v>4103</v>
      </c>
      <c r="E95" s="135" t="str">
        <f>HYPERLINK("https://youtu.be/1Xnv2dLnPwc","channel 1")</f>
        <v>channel 1</v>
      </c>
    </row>
    <row r="96">
      <c r="B96" s="8" t="s">
        <v>3995</v>
      </c>
      <c r="C96" s="33" t="s">
        <v>19</v>
      </c>
      <c r="D96" s="8" t="s">
        <v>3537</v>
      </c>
      <c r="E96" s="11" t="str">
        <f>HYPERLINK("https://youtu.be/vjEHgAQEAtM","channel 2")</f>
        <v>channel 2</v>
      </c>
    </row>
    <row r="97">
      <c r="B97" s="8" t="s">
        <v>1920</v>
      </c>
      <c r="C97" s="33" t="s">
        <v>488</v>
      </c>
      <c r="D97" s="8" t="s">
        <v>4102</v>
      </c>
      <c r="E97" s="135" t="str">
        <f>HYPERLINK("https://youtu.be/qpYVeqNLQVs","channel 1")</f>
        <v>channel 1</v>
      </c>
    </row>
    <row r="98">
      <c r="B98" s="8" t="s">
        <v>4103</v>
      </c>
      <c r="C98" s="33" t="s">
        <v>293</v>
      </c>
      <c r="D98" s="8" t="s">
        <v>3537</v>
      </c>
      <c r="E98" s="11" t="str">
        <f>HYPERLINK("https://youtu.be/uLx1hyCapu8","channel 2")</f>
        <v>channel 2</v>
      </c>
    </row>
    <row r="99">
      <c r="B99" s="8" t="s">
        <v>1920</v>
      </c>
      <c r="C99" s="33" t="s">
        <v>22</v>
      </c>
      <c r="D99" s="8" t="s">
        <v>3995</v>
      </c>
      <c r="E99" s="135" t="str">
        <f>HYPERLINK("https://youtu.be/Q1BKq0igUpc","channel 1")</f>
        <v>channel 1</v>
      </c>
    </row>
    <row r="100">
      <c r="B100" s="8" t="s">
        <v>4103</v>
      </c>
      <c r="C100" s="33" t="s">
        <v>82</v>
      </c>
      <c r="D100" s="8" t="s">
        <v>4102</v>
      </c>
      <c r="E100" s="11" t="str">
        <f>HYPERLINK("https://youtu.be/KGoD5roHBIE","channel 2")</f>
        <v>channel 2</v>
      </c>
    </row>
    <row r="101">
      <c r="B101" s="8" t="s">
        <v>4102</v>
      </c>
      <c r="C101" s="33" t="s">
        <v>1091</v>
      </c>
      <c r="D101" s="8" t="s">
        <v>3537</v>
      </c>
      <c r="E101" s="135" t="str">
        <f>HYPERLINK("https://youtu.be/sW9GIcBP1cM","channel 1")</f>
        <v>channel 1</v>
      </c>
    </row>
    <row r="102">
      <c r="B102" s="8" t="s">
        <v>4103</v>
      </c>
      <c r="C102" s="33" t="s">
        <v>62</v>
      </c>
      <c r="D102" s="8" t="s">
        <v>3995</v>
      </c>
      <c r="E102" s="11" t="str">
        <f>HYPERLINK("https://youtu.be/gkbX7Q6yw8g","channel 2")</f>
        <v>channel 2</v>
      </c>
    </row>
    <row r="103">
      <c r="B103" s="8" t="s">
        <v>3537</v>
      </c>
      <c r="C103" s="33" t="s">
        <v>42</v>
      </c>
      <c r="D103" s="8" t="s">
        <v>1920</v>
      </c>
      <c r="E103" s="135" t="str">
        <f>HYPERLINK("https://youtu.be/bPXxqghqukM","channel 1")</f>
        <v>channel 1</v>
      </c>
    </row>
    <row r="104">
      <c r="B104" s="8" t="s">
        <v>4102</v>
      </c>
      <c r="C104" s="33" t="s">
        <v>66</v>
      </c>
      <c r="D104" s="8" t="s">
        <v>3995</v>
      </c>
      <c r="E104" s="11" t="str">
        <f>HYPERLINK("https://youtu.be/qu3KxfIc2as","channel 2")</f>
        <v>channel 2</v>
      </c>
    </row>
    <row r="105">
      <c r="B105" s="8" t="s">
        <v>4103</v>
      </c>
      <c r="C105" s="33" t="s">
        <v>814</v>
      </c>
      <c r="D105" s="8" t="s">
        <v>1920</v>
      </c>
      <c r="E105" s="135" t="str">
        <f>HYPERLINK("https://youtu.be/NU7DMWccMiY","channel 1")</f>
        <v>channel 1</v>
      </c>
    </row>
    <row r="106">
      <c r="B106" s="8" t="s">
        <v>3537</v>
      </c>
      <c r="C106" s="33" t="s">
        <v>69</v>
      </c>
      <c r="D106" s="8" t="s">
        <v>3995</v>
      </c>
      <c r="E106" s="11" t="str">
        <f>HYPERLINK("https://youtu.be/6opngDaihzA","channel 2")</f>
        <v>channel 2</v>
      </c>
    </row>
    <row r="107">
      <c r="B107" s="8" t="s">
        <v>4102</v>
      </c>
      <c r="C107" s="33" t="s">
        <v>25</v>
      </c>
      <c r="D107" s="8" t="s">
        <v>1920</v>
      </c>
      <c r="E107" s="135" t="str">
        <f>HYPERLINK("https://youtu.be/d8VrDSu7rOY","channel 1")</f>
        <v>channel 1</v>
      </c>
    </row>
    <row r="108">
      <c r="B108" s="8" t="s">
        <v>3537</v>
      </c>
      <c r="C108" s="33" t="s">
        <v>1831</v>
      </c>
      <c r="D108" s="8" t="s">
        <v>4103</v>
      </c>
      <c r="E108" s="11" t="str">
        <f>HYPERLINK("https://youtu.be/5X8esm6XWxk","channel 2")</f>
        <v>channel 2</v>
      </c>
    </row>
    <row r="109">
      <c r="B109" s="8" t="s">
        <v>3995</v>
      </c>
      <c r="C109" s="33" t="s">
        <v>52</v>
      </c>
      <c r="D109" s="8" t="s">
        <v>1920</v>
      </c>
      <c r="E109" s="135" t="str">
        <f>HYPERLINK("https://youtu.be/5JLZJeyK3zc","channel 1")</f>
        <v>channel 1</v>
      </c>
    </row>
    <row r="110">
      <c r="B110" s="8" t="s">
        <v>4102</v>
      </c>
      <c r="C110" s="33" t="s">
        <v>260</v>
      </c>
      <c r="D110" s="8" t="s">
        <v>4103</v>
      </c>
      <c r="E110" s="11" t="str">
        <f>HYPERLINK("https://youtu.be/4NWlQxhNzdg","channel 2")</f>
        <v>channel 2</v>
      </c>
    </row>
    <row r="111">
      <c r="B111" s="72" t="s">
        <v>2200</v>
      </c>
      <c r="C111" s="2"/>
      <c r="D111" s="3"/>
      <c r="E111" s="138"/>
    </row>
    <row r="112">
      <c r="B112" s="35" t="s">
        <v>2</v>
      </c>
      <c r="C112" s="35" t="s">
        <v>3</v>
      </c>
      <c r="D112" s="35" t="s">
        <v>4</v>
      </c>
      <c r="E112" s="16" t="s">
        <v>5</v>
      </c>
    </row>
    <row r="113">
      <c r="B113" s="8" t="s">
        <v>3848</v>
      </c>
      <c r="C113" s="33" t="s">
        <v>325</v>
      </c>
      <c r="D113" s="8" t="s">
        <v>3533</v>
      </c>
      <c r="E113" s="135" t="str">
        <f>HYPERLINK("https://youtu.be/3beiZGN0R80","channel 1")</f>
        <v>channel 1</v>
      </c>
    </row>
    <row r="114">
      <c r="B114" s="8" t="s">
        <v>4104</v>
      </c>
      <c r="C114" s="33" t="s">
        <v>501</v>
      </c>
      <c r="D114" s="8" t="s">
        <v>4105</v>
      </c>
      <c r="E114" s="11" t="str">
        <f>HYPERLINK("https://youtu.be/3-rT9VA62o4","channel 2")</f>
        <v>channel 2</v>
      </c>
    </row>
    <row r="115">
      <c r="B115" s="8" t="s">
        <v>1371</v>
      </c>
      <c r="C115" s="33" t="s">
        <v>20</v>
      </c>
      <c r="D115" s="8" t="s">
        <v>3848</v>
      </c>
      <c r="E115" s="135" t="str">
        <f>HYPERLINK("https://youtu.be/CdloY1hneJU","channel 1")</f>
        <v>channel 1</v>
      </c>
    </row>
    <row r="116">
      <c r="B116" s="8" t="s">
        <v>4104</v>
      </c>
      <c r="C116" s="33" t="s">
        <v>17</v>
      </c>
      <c r="D116" s="8" t="s">
        <v>3533</v>
      </c>
      <c r="E116" s="11" t="str">
        <f>HYPERLINK("https://youtu.be/VDuGFeN3c0E","channel 2")</f>
        <v>channel 2</v>
      </c>
    </row>
    <row r="117">
      <c r="B117" s="8" t="s">
        <v>1371</v>
      </c>
      <c r="C117" s="33" t="s">
        <v>389</v>
      </c>
      <c r="D117" s="8" t="s">
        <v>4105</v>
      </c>
      <c r="E117" s="135" t="str">
        <f>HYPERLINK("https://youtu.be/uKGt1Pz1AdU","channel 1")</f>
        <v>channel 1</v>
      </c>
    </row>
    <row r="118">
      <c r="B118" s="8" t="s">
        <v>4104</v>
      </c>
      <c r="C118" s="33" t="s">
        <v>19</v>
      </c>
      <c r="D118" s="8" t="s">
        <v>3848</v>
      </c>
      <c r="E118" s="11" t="str">
        <f>HYPERLINK("https://youtu.be/1dKHdQ2FNVY","channel 2")</f>
        <v>channel 2</v>
      </c>
    </row>
    <row r="119">
      <c r="B119" s="8" t="s">
        <v>1371</v>
      </c>
      <c r="C119" s="33" t="s">
        <v>82</v>
      </c>
      <c r="D119" s="8" t="s">
        <v>3533</v>
      </c>
      <c r="E119" s="135" t="str">
        <f>HYPERLINK("https://youtu.be/fWWCnvTs6Ws","channel 1")</f>
        <v>channel 1</v>
      </c>
    </row>
    <row r="120">
      <c r="B120" s="8" t="s">
        <v>4105</v>
      </c>
      <c r="C120" s="33" t="s">
        <v>403</v>
      </c>
      <c r="D120" s="8" t="s">
        <v>3848</v>
      </c>
      <c r="E120" s="11" t="str">
        <f>HYPERLINK("https://youtu.be/vPOZWFyYJqE","channel 2")</f>
        <v>channel 2</v>
      </c>
    </row>
    <row r="121">
      <c r="B121" s="8" t="s">
        <v>1371</v>
      </c>
      <c r="C121" s="33" t="s">
        <v>11</v>
      </c>
      <c r="D121" s="8" t="s">
        <v>4104</v>
      </c>
      <c r="E121" s="135" t="str">
        <f>HYPERLINK("https://youtu.be/-4qwB0zHRQ4","channel 1")</f>
        <v>channel 1</v>
      </c>
    </row>
    <row r="122">
      <c r="B122" s="8" t="s">
        <v>4105</v>
      </c>
      <c r="C122" s="33" t="s">
        <v>3855</v>
      </c>
      <c r="D122" s="8" t="s">
        <v>3533</v>
      </c>
      <c r="E122" s="11" t="str">
        <f>HYPERLINK("https://youtu.be/2trj0fw7eP4","channel 2")</f>
        <v>channel 2</v>
      </c>
    </row>
    <row r="123">
      <c r="B123" s="8" t="s">
        <v>3533</v>
      </c>
      <c r="C123" s="33" t="s">
        <v>226</v>
      </c>
      <c r="D123" s="8" t="s">
        <v>3848</v>
      </c>
      <c r="E123" s="135" t="str">
        <f>HYPERLINK("https://youtu.be/qBPOYYu2pRA","channel 1")</f>
        <v>channel 1</v>
      </c>
    </row>
    <row r="124">
      <c r="B124" s="8" t="s">
        <v>4105</v>
      </c>
      <c r="C124" s="33" t="s">
        <v>78</v>
      </c>
      <c r="D124" s="8" t="s">
        <v>4104</v>
      </c>
      <c r="E124" s="11" t="str">
        <f>HYPERLINK("https://youtu.be/_AmbcDK2RGg","channel 2")</f>
        <v>channel 2</v>
      </c>
    </row>
    <row r="125">
      <c r="B125" s="8" t="s">
        <v>3848</v>
      </c>
      <c r="C125" s="33" t="s">
        <v>249</v>
      </c>
      <c r="D125" s="8" t="s">
        <v>1371</v>
      </c>
      <c r="E125" s="135" t="str">
        <f>HYPERLINK("https://youtu.be/6GtRBnrbg4Y","channel 1")</f>
        <v>channel 1</v>
      </c>
    </row>
    <row r="126">
      <c r="B126" s="8" t="s">
        <v>3533</v>
      </c>
      <c r="C126" s="33" t="s">
        <v>533</v>
      </c>
      <c r="D126" s="8" t="s">
        <v>4104</v>
      </c>
      <c r="E126" s="11" t="str">
        <f>HYPERLINK("https://youtu.be/7cU94iPey1o","channel 2")</f>
        <v>channel 2</v>
      </c>
    </row>
    <row r="127">
      <c r="B127" s="8" t="s">
        <v>4105</v>
      </c>
      <c r="C127" s="33" t="s">
        <v>544</v>
      </c>
      <c r="D127" s="8" t="s">
        <v>1371</v>
      </c>
      <c r="E127" s="135" t="str">
        <f>HYPERLINK("https://youtu.be/zPFPcDeWG-A","channel 1")</f>
        <v>channel 1</v>
      </c>
    </row>
    <row r="128">
      <c r="B128" s="8" t="s">
        <v>3848</v>
      </c>
      <c r="C128" s="33" t="s">
        <v>25</v>
      </c>
      <c r="D128" s="8" t="s">
        <v>4104</v>
      </c>
      <c r="E128" s="11" t="str">
        <f>HYPERLINK("https://youtu.be/VCa28CGMAhA","channel 2")</f>
        <v>channel 2</v>
      </c>
    </row>
    <row r="129">
      <c r="B129" s="8" t="s">
        <v>3533</v>
      </c>
      <c r="C129" s="33" t="s">
        <v>62</v>
      </c>
      <c r="D129" s="8" t="s">
        <v>1371</v>
      </c>
      <c r="E129" s="135" t="str">
        <f>HYPERLINK("https://youtu.be/O9h_qmJV5jU","channel 1")</f>
        <v>channel 1</v>
      </c>
    </row>
    <row r="130">
      <c r="B130" s="8" t="s">
        <v>3848</v>
      </c>
      <c r="C130" s="33" t="s">
        <v>4106</v>
      </c>
      <c r="D130" s="8" t="s">
        <v>4105</v>
      </c>
      <c r="E130" s="11" t="str">
        <f>HYPERLINK("https://www.youtube.com/watch?v=snFaupThJgw","channel 2")</f>
        <v>channel 2</v>
      </c>
    </row>
    <row r="131">
      <c r="B131" s="8" t="s">
        <v>4104</v>
      </c>
      <c r="C131" s="33" t="s">
        <v>43</v>
      </c>
      <c r="D131" s="8" t="s">
        <v>1371</v>
      </c>
      <c r="E131" s="135" t="str">
        <f>HYPERLINK("https://youtu.be/tfsHXnSAKvQ","channel 1")</f>
        <v>channel 1</v>
      </c>
    </row>
    <row r="132">
      <c r="B132" s="8" t="s">
        <v>3533</v>
      </c>
      <c r="C132" s="33" t="s">
        <v>55</v>
      </c>
      <c r="D132" s="8" t="s">
        <v>4105</v>
      </c>
      <c r="E132" s="11" t="str">
        <f>HYPERLINK("https://www.youtube.com/watch?v=RdphBVlc7ew","channel 2")</f>
        <v>channel 2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7"/>
      <c r="B1" s="72" t="s">
        <v>2790</v>
      </c>
      <c r="C1" s="2"/>
      <c r="D1" s="3"/>
      <c r="E1" s="134"/>
    </row>
    <row r="2">
      <c r="A2" s="118"/>
      <c r="B2" s="35" t="s">
        <v>2</v>
      </c>
      <c r="C2" s="35" t="s">
        <v>3</v>
      </c>
      <c r="D2" s="35" t="s">
        <v>4</v>
      </c>
      <c r="E2" s="6" t="s">
        <v>5</v>
      </c>
    </row>
    <row r="3">
      <c r="A3" s="118"/>
      <c r="B3" s="8" t="s">
        <v>3133</v>
      </c>
      <c r="C3" s="33" t="s">
        <v>201</v>
      </c>
      <c r="D3" s="8" t="s">
        <v>292</v>
      </c>
      <c r="E3" s="135" t="str">
        <f>HYPERLINK("https://youtu.be/xs7YF0VMChQ","channel 1")</f>
        <v>channel 1</v>
      </c>
    </row>
    <row r="4">
      <c r="A4" s="118"/>
      <c r="B4" s="8" t="s">
        <v>4107</v>
      </c>
      <c r="C4" s="33" t="s">
        <v>243</v>
      </c>
      <c r="D4" s="8" t="s">
        <v>4108</v>
      </c>
      <c r="E4" s="11" t="str">
        <f>HYPERLINK("https://youtu.be/1JXepVJOlFI","channel 2")</f>
        <v>channel 2</v>
      </c>
    </row>
    <row r="5">
      <c r="A5" s="118"/>
      <c r="B5" s="8" t="s">
        <v>4109</v>
      </c>
      <c r="C5" s="33" t="s">
        <v>25</v>
      </c>
      <c r="D5" s="8" t="s">
        <v>3133</v>
      </c>
      <c r="E5" s="146" t="str">
        <f>HYPERLINK("https://youtu.be/q2djOKeCNa4","channel 1")</f>
        <v>channel 1</v>
      </c>
    </row>
    <row r="6">
      <c r="A6" s="118"/>
      <c r="B6" s="8" t="s">
        <v>4107</v>
      </c>
      <c r="C6" s="33" t="s">
        <v>67</v>
      </c>
      <c r="D6" s="8" t="s">
        <v>292</v>
      </c>
      <c r="E6" s="11" t="str">
        <f>HYPERLINK("https://youtu.be/x8F3lOql5kA","channel 2")</f>
        <v>channel 2</v>
      </c>
    </row>
    <row r="7">
      <c r="A7" s="118"/>
      <c r="B7" s="8" t="s">
        <v>4109</v>
      </c>
      <c r="C7" s="33" t="s">
        <v>72</v>
      </c>
      <c r="D7" s="8" t="s">
        <v>4108</v>
      </c>
      <c r="E7" s="135" t="str">
        <f>HYPERLINK("https://youtu.be/hCW5HqDpucM","channel 1")</f>
        <v>channel 1</v>
      </c>
    </row>
    <row r="8">
      <c r="A8" s="118"/>
      <c r="B8" s="8" t="s">
        <v>4107</v>
      </c>
      <c r="C8" s="33" t="s">
        <v>699</v>
      </c>
      <c r="D8" s="8" t="s">
        <v>3133</v>
      </c>
      <c r="E8" s="11" t="str">
        <f>HYPERLINK("https://youtu.be/gLOQ6Kls17s","channel 2")</f>
        <v>channel 2</v>
      </c>
    </row>
    <row r="9">
      <c r="A9" s="118"/>
      <c r="B9" s="8" t="s">
        <v>4109</v>
      </c>
      <c r="C9" s="33" t="s">
        <v>196</v>
      </c>
      <c r="D9" s="8" t="s">
        <v>292</v>
      </c>
      <c r="E9" s="146" t="str">
        <f>HYPERLINK("https://youtu.be/vxNfXIkWYD0","channel 1")</f>
        <v>channel 1</v>
      </c>
    </row>
    <row r="10">
      <c r="A10" s="118"/>
      <c r="B10" s="8" t="s">
        <v>4108</v>
      </c>
      <c r="C10" s="33" t="s">
        <v>197</v>
      </c>
      <c r="D10" s="8" t="s">
        <v>3133</v>
      </c>
      <c r="E10" s="11" t="str">
        <f>HYPERLINK("https://youtu.be/_oCXuFzTpzM","channel 2")</f>
        <v>channel 2</v>
      </c>
    </row>
    <row r="11">
      <c r="A11" s="118"/>
      <c r="B11" s="8" t="s">
        <v>4109</v>
      </c>
      <c r="C11" s="33" t="s">
        <v>45</v>
      </c>
      <c r="D11" s="8" t="s">
        <v>4107</v>
      </c>
      <c r="E11" s="135" t="str">
        <f>HYPERLINK("https://youtu.be/-iRNc50aMHQ","channel 1")</f>
        <v>channel 1</v>
      </c>
    </row>
    <row r="12">
      <c r="A12" s="118"/>
      <c r="B12" s="8" t="s">
        <v>4108</v>
      </c>
      <c r="C12" s="33" t="s">
        <v>197</v>
      </c>
      <c r="D12" s="8" t="s">
        <v>292</v>
      </c>
      <c r="E12" s="11" t="str">
        <f>HYPERLINK("https://youtu.be/BlVzgfDyQYY","channel 2")</f>
        <v>channel 2</v>
      </c>
    </row>
    <row r="13">
      <c r="A13" s="118"/>
      <c r="B13" s="8" t="s">
        <v>292</v>
      </c>
      <c r="C13" s="33" t="s">
        <v>17</v>
      </c>
      <c r="D13" s="8" t="s">
        <v>3133</v>
      </c>
      <c r="E13" s="146" t="str">
        <f>HYPERLINK("https://youtu.be/7SvAjVv_NCA","channel 1")</f>
        <v>channel 1</v>
      </c>
    </row>
    <row r="14">
      <c r="A14" s="118"/>
      <c r="B14" s="8" t="s">
        <v>4108</v>
      </c>
      <c r="C14" s="33" t="s">
        <v>1937</v>
      </c>
      <c r="D14" s="8" t="s">
        <v>4107</v>
      </c>
      <c r="E14" s="11" t="str">
        <f>HYPERLINK("https://youtu.be/9JcE4cUI-5A","channel 2")</f>
        <v>channel 2</v>
      </c>
    </row>
    <row r="15">
      <c r="A15" s="118"/>
      <c r="B15" s="8" t="s">
        <v>3133</v>
      </c>
      <c r="C15" s="33" t="s">
        <v>52</v>
      </c>
      <c r="D15" s="8" t="s">
        <v>4109</v>
      </c>
      <c r="E15" s="135" t="str">
        <f>HYPERLINK("https://youtu.be/JXVN0UAVuiY","channel 1")</f>
        <v>channel 1</v>
      </c>
    </row>
    <row r="16">
      <c r="A16" s="118"/>
      <c r="B16" s="8" t="s">
        <v>292</v>
      </c>
      <c r="C16" s="33" t="s">
        <v>81</v>
      </c>
      <c r="D16" s="8" t="s">
        <v>4107</v>
      </c>
      <c r="E16" s="11" t="str">
        <f>HYPERLINK("https://youtu.be/GifT_U61CU0","channel 2")</f>
        <v>channel 2</v>
      </c>
    </row>
    <row r="17">
      <c r="A17" s="118"/>
      <c r="B17" s="8" t="s">
        <v>4108</v>
      </c>
      <c r="C17" s="33" t="s">
        <v>25</v>
      </c>
      <c r="D17" s="8" t="s">
        <v>4109</v>
      </c>
      <c r="E17" s="146" t="str">
        <f>HYPERLINK("https://youtu.be/J0Mravty90I","channel 1")</f>
        <v>channel 1</v>
      </c>
    </row>
    <row r="18">
      <c r="A18" s="118"/>
      <c r="B18" s="8" t="s">
        <v>3133</v>
      </c>
      <c r="C18" s="33" t="s">
        <v>239</v>
      </c>
      <c r="D18" s="8" t="s">
        <v>4107</v>
      </c>
      <c r="E18" s="11" t="str">
        <f>HYPERLINK("https://youtu.be/hvCTnwS_Sp4","channel 2")</f>
        <v>channel 2</v>
      </c>
    </row>
    <row r="19">
      <c r="A19" s="118"/>
      <c r="B19" s="8" t="s">
        <v>292</v>
      </c>
      <c r="C19" s="33" t="s">
        <v>218</v>
      </c>
      <c r="D19" s="8" t="s">
        <v>4109</v>
      </c>
      <c r="E19" s="135" t="str">
        <f>HYPERLINK("https://youtu.be/oC73eClZmCI","channel 1")</f>
        <v>channel 1</v>
      </c>
    </row>
    <row r="20">
      <c r="A20" s="118"/>
      <c r="B20" s="8" t="s">
        <v>3133</v>
      </c>
      <c r="C20" s="33" t="s">
        <v>190</v>
      </c>
      <c r="D20" s="8" t="s">
        <v>4108</v>
      </c>
      <c r="E20" s="11" t="str">
        <f>HYPERLINK("https://youtu.be/8RqkwRV-Eyk","channel 2")</f>
        <v>channel 2</v>
      </c>
    </row>
    <row r="21">
      <c r="A21" s="118"/>
      <c r="B21" s="8" t="s">
        <v>4107</v>
      </c>
      <c r="C21" s="33" t="s">
        <v>545</v>
      </c>
      <c r="D21" s="8" t="s">
        <v>4109</v>
      </c>
      <c r="E21" s="146" t="str">
        <f>HYPERLINK("https://youtu.be/iIm0DMvTxO0","channel 1")</f>
        <v>channel 1</v>
      </c>
    </row>
    <row r="22">
      <c r="A22" s="118"/>
      <c r="B22" s="8" t="s">
        <v>292</v>
      </c>
      <c r="C22" s="33" t="s">
        <v>16</v>
      </c>
      <c r="D22" s="8" t="s">
        <v>4108</v>
      </c>
      <c r="E22" s="11" t="str">
        <f>HYPERLINK("https://youtu.be/1LSzIPfNU0g","channel 2")</f>
        <v>channel 2</v>
      </c>
    </row>
    <row r="23">
      <c r="A23" s="118"/>
      <c r="B23" s="72" t="s">
        <v>4110</v>
      </c>
      <c r="C23" s="2"/>
      <c r="D23" s="3"/>
      <c r="E23" s="134"/>
    </row>
    <row r="24">
      <c r="A24" s="118"/>
      <c r="B24" s="35" t="s">
        <v>2</v>
      </c>
      <c r="C24" s="35" t="s">
        <v>3</v>
      </c>
      <c r="D24" s="35" t="s">
        <v>4</v>
      </c>
      <c r="E24" s="6" t="s">
        <v>5</v>
      </c>
    </row>
    <row r="25">
      <c r="A25" s="118"/>
      <c r="B25" s="8" t="s">
        <v>4111</v>
      </c>
      <c r="C25" s="33" t="s">
        <v>63</v>
      </c>
      <c r="D25" s="8" t="s">
        <v>4112</v>
      </c>
      <c r="E25" s="135" t="str">
        <f>HYPERLINK("https://youtu.be/u5tWJ8_mMic","channel 1")</f>
        <v>channel 1</v>
      </c>
    </row>
    <row r="26">
      <c r="A26" s="118"/>
      <c r="B26" s="8" t="s">
        <v>3635</v>
      </c>
      <c r="C26" s="33" t="s">
        <v>544</v>
      </c>
      <c r="D26" s="8" t="s">
        <v>1869</v>
      </c>
      <c r="E26" s="11" t="str">
        <f>HYPERLINK("https://youtu.be/rgM5JUtq9wk","channel 2")</f>
        <v>channel 2</v>
      </c>
    </row>
    <row r="27">
      <c r="A27" s="118"/>
      <c r="B27" s="8" t="s">
        <v>3886</v>
      </c>
      <c r="C27" s="33" t="s">
        <v>197</v>
      </c>
      <c r="D27" s="8" t="s">
        <v>4111</v>
      </c>
      <c r="E27" s="146" t="str">
        <f>HYPERLINK("https://youtu.be/jYNR-MG-FDE","channel 1")</f>
        <v>channel 1</v>
      </c>
    </row>
    <row r="28">
      <c r="A28" s="118"/>
      <c r="B28" s="8" t="s">
        <v>3635</v>
      </c>
      <c r="C28" s="33" t="s">
        <v>19</v>
      </c>
      <c r="D28" s="8" t="s">
        <v>4112</v>
      </c>
      <c r="E28" s="11" t="str">
        <f>HYPERLINK("https://youtu.be/1bosot7ijxA","channel 2")</f>
        <v>channel 2</v>
      </c>
    </row>
    <row r="29">
      <c r="A29" s="118"/>
      <c r="B29" s="8" t="s">
        <v>3886</v>
      </c>
      <c r="C29" s="33" t="s">
        <v>193</v>
      </c>
      <c r="D29" s="8" t="s">
        <v>1869</v>
      </c>
      <c r="E29" s="135" t="str">
        <f>HYPERLINK("https://youtu.be/8dNVMcPalGQ","channel 1")</f>
        <v>channel 1</v>
      </c>
    </row>
    <row r="30">
      <c r="A30" s="118"/>
      <c r="B30" s="8" t="s">
        <v>3635</v>
      </c>
      <c r="C30" s="33" t="s">
        <v>853</v>
      </c>
      <c r="D30" s="8" t="s">
        <v>4111</v>
      </c>
      <c r="E30" s="11" t="str">
        <f>HYPERLINK("https://youtu.be/ZwuJO72LYpE","channel 2")</f>
        <v>channel 2</v>
      </c>
    </row>
    <row r="31">
      <c r="A31" s="118"/>
      <c r="B31" s="8" t="s">
        <v>3886</v>
      </c>
      <c r="C31" s="33" t="s">
        <v>7</v>
      </c>
      <c r="D31" s="8" t="s">
        <v>4112</v>
      </c>
      <c r="E31" s="146" t="str">
        <f>HYPERLINK("https://youtu.be/v7FjquMaZdM","channel 1")</f>
        <v>channel 1</v>
      </c>
    </row>
    <row r="32">
      <c r="A32" s="118"/>
      <c r="B32" s="8" t="s">
        <v>1869</v>
      </c>
      <c r="C32" s="33" t="s">
        <v>412</v>
      </c>
      <c r="D32" s="8" t="s">
        <v>4111</v>
      </c>
      <c r="E32" s="11" t="str">
        <f>HYPERLINK("https://youtu.be/wBd0YQHnQVE","channel 2")</f>
        <v>channel 2</v>
      </c>
    </row>
    <row r="33">
      <c r="A33" s="118"/>
      <c r="B33" s="8" t="s">
        <v>3886</v>
      </c>
      <c r="C33" s="33" t="s">
        <v>20</v>
      </c>
      <c r="D33" s="8" t="s">
        <v>3635</v>
      </c>
      <c r="E33" s="135" t="str">
        <f>HYPERLINK("https://youtu.be/-6fKyjYSAgQ","channel 1")</f>
        <v>channel 1</v>
      </c>
    </row>
    <row r="34">
      <c r="A34" s="118"/>
      <c r="B34" s="8" t="s">
        <v>1869</v>
      </c>
      <c r="C34" s="33" t="s">
        <v>47</v>
      </c>
      <c r="D34" s="8" t="s">
        <v>4112</v>
      </c>
      <c r="E34" s="11" t="str">
        <f>HYPERLINK("https://youtu.be/hNRQxUgDZGA","channel 2")</f>
        <v>channel 2</v>
      </c>
    </row>
    <row r="35">
      <c r="A35" s="118"/>
      <c r="B35" s="8" t="s">
        <v>4112</v>
      </c>
      <c r="C35" s="33" t="s">
        <v>14</v>
      </c>
      <c r="D35" s="8" t="s">
        <v>4111</v>
      </c>
      <c r="E35" s="146" t="str">
        <f>HYPERLINK("https://youtu.be/0QU_qB-aOgE","channel 1")</f>
        <v>channel 1</v>
      </c>
    </row>
    <row r="36">
      <c r="A36" s="118"/>
      <c r="B36" s="8" t="s">
        <v>1869</v>
      </c>
      <c r="C36" s="33" t="s">
        <v>260</v>
      </c>
      <c r="D36" s="8" t="s">
        <v>3635</v>
      </c>
      <c r="E36" s="11" t="str">
        <f>HYPERLINK("https://youtu.be/oJ_NCgVYmtM","channel 2")</f>
        <v>channel 2</v>
      </c>
    </row>
    <row r="37">
      <c r="A37" s="118"/>
      <c r="B37" s="8" t="s">
        <v>4111</v>
      </c>
      <c r="C37" s="33" t="s">
        <v>11</v>
      </c>
      <c r="D37" s="8" t="s">
        <v>3886</v>
      </c>
      <c r="E37" s="135" t="str">
        <f>HYPERLINK("https://youtu.be/Xq22gGPWqj8","channel 1")</f>
        <v>channel 1</v>
      </c>
    </row>
    <row r="38">
      <c r="A38" s="118"/>
      <c r="B38" s="8" t="s">
        <v>4112</v>
      </c>
      <c r="C38" s="33" t="s">
        <v>4113</v>
      </c>
      <c r="D38" s="8" t="s">
        <v>3635</v>
      </c>
      <c r="E38" s="11" t="str">
        <f>HYPERLINK("https://youtu.be/kvMbKF8yXpg","channel 2")</f>
        <v>channel 2</v>
      </c>
    </row>
    <row r="39">
      <c r="A39" s="118"/>
      <c r="B39" s="8" t="s">
        <v>1869</v>
      </c>
      <c r="C39" s="35" t="s">
        <v>215</v>
      </c>
      <c r="D39" s="8" t="s">
        <v>3886</v>
      </c>
      <c r="E39" s="146" t="str">
        <f>HYPERLINK("https://youtu.be/rr3o3m6-2RY","channel 1")</f>
        <v>channel 1</v>
      </c>
    </row>
    <row r="40">
      <c r="A40" s="118"/>
      <c r="B40" s="8" t="s">
        <v>4111</v>
      </c>
      <c r="C40" s="33" t="s">
        <v>260</v>
      </c>
      <c r="D40" s="8" t="s">
        <v>3635</v>
      </c>
      <c r="E40" s="11" t="str">
        <f>HYPERLINK("https://youtu.be/x_8mYVex2gQ","channel 2")</f>
        <v>channel 2</v>
      </c>
    </row>
    <row r="41">
      <c r="A41" s="118"/>
      <c r="B41" s="8" t="s">
        <v>4112</v>
      </c>
      <c r="C41" s="33" t="s">
        <v>43</v>
      </c>
      <c r="D41" s="8" t="s">
        <v>3886</v>
      </c>
      <c r="E41" s="135" t="str">
        <f>HYPERLINK("https://youtu.be/H9517pfECes","channel 1")</f>
        <v>channel 1</v>
      </c>
    </row>
    <row r="42">
      <c r="A42" s="118"/>
      <c r="B42" s="8" t="s">
        <v>4111</v>
      </c>
      <c r="C42" s="33" t="s">
        <v>726</v>
      </c>
      <c r="D42" s="8" t="s">
        <v>1869</v>
      </c>
      <c r="E42" s="11" t="str">
        <f>HYPERLINK("https://youtu.be/rKSwtazTcv8","channel 2")</f>
        <v>channel 2</v>
      </c>
    </row>
    <row r="43">
      <c r="A43" s="118"/>
      <c r="B43" s="8" t="s">
        <v>3635</v>
      </c>
      <c r="C43" s="33" t="s">
        <v>286</v>
      </c>
      <c r="D43" s="8" t="s">
        <v>3886</v>
      </c>
      <c r="E43" s="146" t="str">
        <f>HYPERLINK("https://youtu.be/9U6OZ-mHG30","channel 1")</f>
        <v>channel 1</v>
      </c>
    </row>
    <row r="44">
      <c r="A44" s="118"/>
      <c r="B44" s="8" t="s">
        <v>4112</v>
      </c>
      <c r="C44" s="33" t="s">
        <v>238</v>
      </c>
      <c r="D44" s="8" t="s">
        <v>1869</v>
      </c>
      <c r="E44" s="11" t="str">
        <f>HYPERLINK("https://youtu.be/k_3twbUCDTQ","channel 2")</f>
        <v>channel 2</v>
      </c>
    </row>
    <row r="45">
      <c r="A45" s="118"/>
      <c r="B45" s="72" t="s">
        <v>4114</v>
      </c>
      <c r="C45" s="2"/>
      <c r="D45" s="3"/>
      <c r="E45" s="134"/>
    </row>
    <row r="46">
      <c r="A46" s="118"/>
      <c r="B46" s="35" t="s">
        <v>2</v>
      </c>
      <c r="C46" s="35" t="s">
        <v>3</v>
      </c>
      <c r="D46" s="35" t="s">
        <v>4</v>
      </c>
      <c r="E46" s="6" t="s">
        <v>5</v>
      </c>
    </row>
    <row r="47">
      <c r="A47" s="118"/>
      <c r="B47" s="8" t="s">
        <v>3709</v>
      </c>
      <c r="C47" s="33" t="s">
        <v>2784</v>
      </c>
      <c r="D47" s="8" t="s">
        <v>2042</v>
      </c>
      <c r="E47" s="135" t="str">
        <f>HYPERLINK("https://youtu.be/q9Hwa3pDJqY","channel 1")</f>
        <v>channel 1</v>
      </c>
    </row>
    <row r="48">
      <c r="A48" s="118"/>
      <c r="B48" s="8" t="s">
        <v>1779</v>
      </c>
      <c r="C48" s="33" t="s">
        <v>22</v>
      </c>
      <c r="D48" s="8" t="s">
        <v>2440</v>
      </c>
      <c r="E48" s="11" t="str">
        <f>HYPERLINK("https://youtu.be/F4z54xT8qdU","channel 2")</f>
        <v>channel 2</v>
      </c>
    </row>
    <row r="49">
      <c r="A49" s="118"/>
      <c r="B49" s="8" t="s">
        <v>4115</v>
      </c>
      <c r="C49" s="33" t="s">
        <v>472</v>
      </c>
      <c r="D49" s="8" t="s">
        <v>3709</v>
      </c>
      <c r="E49" s="146" t="str">
        <f>HYPERLINK("https://youtu.be/rtUB9jprqAk","channel 1")</f>
        <v>channel 1</v>
      </c>
    </row>
    <row r="50">
      <c r="A50" s="118"/>
      <c r="B50" s="8" t="s">
        <v>1779</v>
      </c>
      <c r="C50" s="33" t="s">
        <v>22</v>
      </c>
      <c r="D50" s="8" t="s">
        <v>2042</v>
      </c>
      <c r="E50" s="11" t="str">
        <f>HYPERLINK("https://youtu.be/6nAYZ9cpVcU","channel 2")</f>
        <v>channel 2</v>
      </c>
    </row>
    <row r="51">
      <c r="A51" s="118"/>
      <c r="B51" s="8" t="s">
        <v>4115</v>
      </c>
      <c r="C51" s="33" t="s">
        <v>87</v>
      </c>
      <c r="D51" s="8" t="s">
        <v>2440</v>
      </c>
      <c r="E51" s="135" t="str">
        <f>HYPERLINK("https://youtu.be/qcd931KLwYw","channel 1")</f>
        <v>channel 1</v>
      </c>
    </row>
    <row r="52">
      <c r="A52" s="118"/>
      <c r="B52" s="8" t="s">
        <v>1779</v>
      </c>
      <c r="C52" s="33" t="s">
        <v>197</v>
      </c>
      <c r="D52" s="8" t="s">
        <v>3709</v>
      </c>
      <c r="E52" s="11" t="str">
        <f>HYPERLINK("https://youtu.be/D4xfkr0JUQE","channel 2")</f>
        <v>channel 2</v>
      </c>
    </row>
    <row r="53">
      <c r="A53" s="118"/>
      <c r="B53" s="8" t="s">
        <v>4115</v>
      </c>
      <c r="C53" s="33" t="s">
        <v>250</v>
      </c>
      <c r="D53" s="8" t="s">
        <v>2042</v>
      </c>
      <c r="E53" s="135" t="str">
        <f>HYPERLINK("https://youtu.be/Af6fdYQERNE","channel 1")</f>
        <v>channel 1</v>
      </c>
    </row>
    <row r="54">
      <c r="A54" s="118"/>
      <c r="B54" s="8" t="s">
        <v>2440</v>
      </c>
      <c r="C54" s="33" t="s">
        <v>802</v>
      </c>
      <c r="D54" s="8" t="s">
        <v>3709</v>
      </c>
      <c r="E54" s="11" t="str">
        <f>HYPERLINK("https://youtu.be/CDFhxuoBq_g","channel 2")</f>
        <v>channel 2</v>
      </c>
    </row>
    <row r="55">
      <c r="A55" s="118"/>
      <c r="B55" s="8" t="s">
        <v>4115</v>
      </c>
      <c r="C55" s="33" t="s">
        <v>365</v>
      </c>
      <c r="D55" s="8" t="s">
        <v>1779</v>
      </c>
      <c r="E55" s="135" t="str">
        <f>HYPERLINK("https://youtu.be/76Sr66L3Q2M","channel 1")</f>
        <v>channel 1</v>
      </c>
    </row>
    <row r="56">
      <c r="A56" s="118"/>
      <c r="B56" s="8" t="s">
        <v>2440</v>
      </c>
      <c r="C56" s="33" t="s">
        <v>260</v>
      </c>
      <c r="D56" s="8" t="s">
        <v>2042</v>
      </c>
      <c r="E56" s="11" t="str">
        <f>HYPERLINK("https://youtu.be/d6qjcQgloxI","channel 2")</f>
        <v>channel 2</v>
      </c>
    </row>
    <row r="57">
      <c r="A57" s="118"/>
      <c r="B57" s="8" t="s">
        <v>2042</v>
      </c>
      <c r="C57" s="33" t="s">
        <v>68</v>
      </c>
      <c r="D57" s="8" t="s">
        <v>3709</v>
      </c>
      <c r="E57" s="146" t="str">
        <f>HYPERLINK("https://youtu.be/TGIo7-BG3Xg","channel 1")</f>
        <v>channel 1</v>
      </c>
    </row>
    <row r="58">
      <c r="A58" s="118"/>
      <c r="B58" s="8" t="s">
        <v>2440</v>
      </c>
      <c r="C58" s="33" t="s">
        <v>201</v>
      </c>
      <c r="D58" s="8" t="s">
        <v>1779</v>
      </c>
      <c r="E58" s="11" t="str">
        <f>HYPERLINK("https://youtu.be/4pdbROoyMoQ","channel 2")</f>
        <v>channel 2</v>
      </c>
    </row>
    <row r="59">
      <c r="A59" s="118"/>
      <c r="B59" s="8" t="s">
        <v>3709</v>
      </c>
      <c r="C59" s="33" t="s">
        <v>16</v>
      </c>
      <c r="D59" s="8" t="s">
        <v>4115</v>
      </c>
      <c r="E59" s="135" t="str">
        <f>HYPERLINK("https://youtu.be/TTIdB7cJMUo","channel 1")</f>
        <v>channel 1</v>
      </c>
    </row>
    <row r="60">
      <c r="A60" s="118"/>
      <c r="B60" s="8" t="s">
        <v>2042</v>
      </c>
      <c r="C60" s="33" t="s">
        <v>196</v>
      </c>
      <c r="D60" s="8" t="s">
        <v>1779</v>
      </c>
      <c r="E60" s="11" t="str">
        <f>HYPERLINK("https://youtu.be/PDq0vmTb-WU","channel 2")</f>
        <v>channel 2</v>
      </c>
    </row>
    <row r="61">
      <c r="A61" s="118"/>
      <c r="B61" s="8" t="s">
        <v>2440</v>
      </c>
      <c r="C61" s="33" t="s">
        <v>320</v>
      </c>
      <c r="D61" s="8" t="s">
        <v>4115</v>
      </c>
      <c r="E61" s="146" t="str">
        <f>HYPERLINK("https://youtu.be/qQ4ywXp-JnM","channel 1")</f>
        <v>channel 1</v>
      </c>
    </row>
    <row r="62">
      <c r="A62" s="118"/>
      <c r="B62" s="8" t="s">
        <v>3709</v>
      </c>
      <c r="C62" s="35" t="s">
        <v>16</v>
      </c>
      <c r="D62" s="8" t="s">
        <v>1779</v>
      </c>
      <c r="E62" s="11" t="str">
        <f>HYPERLINK("https://youtu.be/U3gWpn8GFpA","channel 2")</f>
        <v>channel 2</v>
      </c>
    </row>
    <row r="63">
      <c r="A63" s="118"/>
      <c r="B63" s="8" t="s">
        <v>2042</v>
      </c>
      <c r="C63" s="33" t="s">
        <v>218</v>
      </c>
      <c r="D63" s="8" t="s">
        <v>4115</v>
      </c>
      <c r="E63" s="135" t="str">
        <f>HYPERLINK("https://youtu.be/0p4t7UEOkEg","channel 1")</f>
        <v>channel 1</v>
      </c>
    </row>
    <row r="64">
      <c r="A64" s="118"/>
      <c r="B64" s="8" t="s">
        <v>3709</v>
      </c>
      <c r="C64" s="33" t="s">
        <v>260</v>
      </c>
      <c r="D64" s="8" t="s">
        <v>2440</v>
      </c>
      <c r="E64" s="11" t="str">
        <f>HYPERLINK("https://youtu.be/5ni6uUZabI0","channel 2")</f>
        <v>channel 2</v>
      </c>
    </row>
    <row r="65">
      <c r="A65" s="118"/>
      <c r="B65" s="8" t="s">
        <v>1779</v>
      </c>
      <c r="C65" s="33" t="s">
        <v>220</v>
      </c>
      <c r="D65" s="8" t="s">
        <v>4115</v>
      </c>
      <c r="E65" s="146" t="str">
        <f>HYPERLINK("https://youtu.be/CBVJK1YJTpY","channel 1")</f>
        <v>channel 1</v>
      </c>
    </row>
    <row r="66">
      <c r="A66" s="118"/>
      <c r="B66" s="8" t="s">
        <v>2042</v>
      </c>
      <c r="C66" s="33" t="s">
        <v>190</v>
      </c>
      <c r="D66" s="8" t="s">
        <v>2440</v>
      </c>
      <c r="E66" s="11" t="str">
        <f>HYPERLINK("https://youtu.be/Go71Q6qsPhc","channel 2")</f>
        <v>channel 2</v>
      </c>
    </row>
    <row r="67">
      <c r="A67" s="118"/>
      <c r="B67" s="72" t="s">
        <v>2923</v>
      </c>
      <c r="C67" s="2"/>
      <c r="D67" s="3"/>
      <c r="E67" s="138"/>
    </row>
    <row r="68">
      <c r="A68" s="118"/>
      <c r="B68" s="35" t="s">
        <v>2</v>
      </c>
      <c r="C68" s="35" t="s">
        <v>3</v>
      </c>
      <c r="D68" s="35" t="s">
        <v>4</v>
      </c>
      <c r="E68" s="16" t="s">
        <v>5</v>
      </c>
    </row>
    <row r="69">
      <c r="A69" s="118"/>
      <c r="B69" s="8" t="s">
        <v>3763</v>
      </c>
      <c r="C69" s="33" t="s">
        <v>285</v>
      </c>
      <c r="D69" s="8" t="s">
        <v>1423</v>
      </c>
      <c r="E69" s="135" t="str">
        <f>HYPERLINK("https://youtu.be/iZX0tvt79ds","channel 1")</f>
        <v>channel 1</v>
      </c>
    </row>
    <row r="70">
      <c r="A70" s="118"/>
      <c r="B70" s="8" t="s">
        <v>4116</v>
      </c>
      <c r="C70" s="33" t="s">
        <v>22</v>
      </c>
      <c r="D70" s="8" t="s">
        <v>2132</v>
      </c>
      <c r="E70" s="11" t="str">
        <f>HYPERLINK("https://youtu.be/owyheOM6A38","channel 2")</f>
        <v>channel 2</v>
      </c>
    </row>
    <row r="71">
      <c r="A71" s="118"/>
      <c r="B71" s="8" t="s">
        <v>4117</v>
      </c>
      <c r="C71" s="33" t="s">
        <v>352</v>
      </c>
      <c r="D71" s="8" t="s">
        <v>3763</v>
      </c>
      <c r="E71" s="146" t="str">
        <f>HYPERLINK("https://youtu.be/Spdoth2Px2c","channel 1")</f>
        <v>channel 1</v>
      </c>
    </row>
    <row r="72">
      <c r="A72" s="118"/>
      <c r="B72" s="8" t="s">
        <v>4116</v>
      </c>
      <c r="C72" s="33" t="s">
        <v>319</v>
      </c>
      <c r="D72" s="8" t="s">
        <v>1423</v>
      </c>
      <c r="E72" s="11" t="str">
        <f>HYPERLINK("https://youtu.be/e3fvFiDtgio","channel 2")</f>
        <v>channel 2</v>
      </c>
    </row>
    <row r="73">
      <c r="A73" s="118"/>
      <c r="B73" s="8" t="s">
        <v>4117</v>
      </c>
      <c r="C73" s="33" t="s">
        <v>249</v>
      </c>
      <c r="D73" s="8" t="s">
        <v>2132</v>
      </c>
      <c r="E73" s="146" t="str">
        <f>HYPERLINK("https://youtu.be/mIy1y0EK4SI","channel 1")</f>
        <v>channel 1</v>
      </c>
    </row>
    <row r="74">
      <c r="A74" s="118"/>
      <c r="B74" s="8" t="s">
        <v>4116</v>
      </c>
      <c r="C74" s="33" t="s">
        <v>289</v>
      </c>
      <c r="D74" s="8" t="s">
        <v>3763</v>
      </c>
      <c r="E74" s="11" t="str">
        <f>HYPERLINK("https://youtu.be/VzRuFR_Z82I","channel 2")</f>
        <v>channel 2</v>
      </c>
    </row>
    <row r="75">
      <c r="A75" s="118"/>
      <c r="B75" s="8" t="s">
        <v>4117</v>
      </c>
      <c r="C75" s="33" t="s">
        <v>71</v>
      </c>
      <c r="D75" s="8" t="s">
        <v>1423</v>
      </c>
      <c r="E75" s="146" t="str">
        <f>HYPERLINK("https://youtu.be/xyO4e7C6wx0","channel 1")</f>
        <v>channel 1</v>
      </c>
    </row>
    <row r="76">
      <c r="A76" s="118"/>
      <c r="B76" s="8" t="s">
        <v>2132</v>
      </c>
      <c r="C76" s="33" t="s">
        <v>48</v>
      </c>
      <c r="D76" s="8" t="s">
        <v>3763</v>
      </c>
      <c r="E76" s="11" t="str">
        <f>HYPERLINK("https://youtu.be/N2yHUfnQ22Q","channel 2")</f>
        <v>channel 2</v>
      </c>
    </row>
    <row r="77">
      <c r="A77" s="118"/>
      <c r="B77" s="8" t="s">
        <v>4117</v>
      </c>
      <c r="C77" s="33" t="s">
        <v>270</v>
      </c>
      <c r="D77" s="8" t="s">
        <v>4116</v>
      </c>
      <c r="E77" s="135" t="str">
        <f>HYPERLINK("https://youtu.be/KHML8BcSChc","channel 1")</f>
        <v>channel 1</v>
      </c>
    </row>
    <row r="78">
      <c r="A78" s="118"/>
      <c r="B78" s="8" t="s">
        <v>2132</v>
      </c>
      <c r="C78" s="33" t="s">
        <v>66</v>
      </c>
      <c r="D78" s="8" t="s">
        <v>1423</v>
      </c>
      <c r="E78" s="11" t="str">
        <f>HYPERLINK("https://youtu.be/f0xMUP1Mgqw","channel 2")</f>
        <v>channel 2</v>
      </c>
    </row>
    <row r="79">
      <c r="A79" s="118"/>
      <c r="B79" s="8" t="s">
        <v>1423</v>
      </c>
      <c r="C79" s="33" t="s">
        <v>337</v>
      </c>
      <c r="D79" s="8" t="s">
        <v>3763</v>
      </c>
      <c r="E79" s="146" t="str">
        <f>HYPERLINK("https://youtu.be/HdBYhThKqjU","channel 1")</f>
        <v>channel 1</v>
      </c>
    </row>
    <row r="80">
      <c r="A80" s="118"/>
      <c r="B80" s="8" t="s">
        <v>2132</v>
      </c>
      <c r="C80" s="33" t="s">
        <v>426</v>
      </c>
      <c r="D80" s="8" t="s">
        <v>4116</v>
      </c>
      <c r="E80" s="11" t="str">
        <f>HYPERLINK("https://youtu.be/H1HdFkgtMd0","channel 2")</f>
        <v>channel 2</v>
      </c>
    </row>
    <row r="81">
      <c r="A81" s="118"/>
      <c r="B81" s="8" t="s">
        <v>3763</v>
      </c>
      <c r="C81" s="33" t="s">
        <v>494</v>
      </c>
      <c r="D81" s="8" t="s">
        <v>4117</v>
      </c>
      <c r="E81" s="135" t="str">
        <f>HYPERLINK("https://youtu.be/rvEvvvmDxuI","channel 1")</f>
        <v>channel 1</v>
      </c>
    </row>
    <row r="82">
      <c r="A82" s="118"/>
      <c r="B82" s="8" t="s">
        <v>1423</v>
      </c>
      <c r="C82" s="33" t="s">
        <v>68</v>
      </c>
      <c r="D82" s="8" t="s">
        <v>4116</v>
      </c>
      <c r="E82" s="11" t="str">
        <f>HYPERLINK("https://youtu.be/JqP6gywiw5s","channel 2")</f>
        <v>channel 2</v>
      </c>
    </row>
    <row r="83">
      <c r="A83" s="118"/>
      <c r="B83" s="8" t="s">
        <v>2132</v>
      </c>
      <c r="C83" s="33" t="s">
        <v>305</v>
      </c>
      <c r="D83" s="8" t="s">
        <v>4117</v>
      </c>
      <c r="E83" s="135" t="str">
        <f>HYPERLINK("https://youtu.be/72OpRF_Qf7Y","channel 1")</f>
        <v>channel 1</v>
      </c>
    </row>
    <row r="84">
      <c r="A84" s="118"/>
      <c r="B84" s="8" t="s">
        <v>3763</v>
      </c>
      <c r="C84" s="33" t="s">
        <v>286</v>
      </c>
      <c r="D84" s="8" t="s">
        <v>4116</v>
      </c>
      <c r="E84" s="11" t="str">
        <f>HYPERLINK("https://youtu.be/-GYnLCqDU1s","channel 2")</f>
        <v>channel 2</v>
      </c>
    </row>
    <row r="85">
      <c r="A85" s="118"/>
      <c r="B85" s="8" t="s">
        <v>1423</v>
      </c>
      <c r="C85" s="33" t="s">
        <v>218</v>
      </c>
      <c r="D85" s="8" t="s">
        <v>4117</v>
      </c>
      <c r="E85" s="135" t="str">
        <f>HYPERLINK("https://youtu.be/y3aH8JGOOI0","channel 1")</f>
        <v>channel 1</v>
      </c>
    </row>
    <row r="86">
      <c r="A86" s="118"/>
      <c r="B86" s="8" t="s">
        <v>3763</v>
      </c>
      <c r="C86" s="33" t="s">
        <v>47</v>
      </c>
      <c r="D86" s="8" t="s">
        <v>2132</v>
      </c>
      <c r="E86" s="11" t="str">
        <f>HYPERLINK("https://youtu.be/IUHjLLpVDy0","channel 2")</f>
        <v>channel 2</v>
      </c>
    </row>
    <row r="87">
      <c r="A87" s="118"/>
      <c r="B87" s="8" t="s">
        <v>4116</v>
      </c>
      <c r="C87" s="33" t="s">
        <v>413</v>
      </c>
      <c r="D87" s="8" t="s">
        <v>4117</v>
      </c>
      <c r="E87" s="135" t="str">
        <f>HYPERLINK("https://youtu.be/e1I9y3nB7d4","channel 1")</f>
        <v>channel 1</v>
      </c>
    </row>
    <row r="88">
      <c r="A88" s="122"/>
      <c r="B88" s="8" t="s">
        <v>1423</v>
      </c>
      <c r="C88" s="33" t="s">
        <v>291</v>
      </c>
      <c r="D88" s="8" t="s">
        <v>2132</v>
      </c>
      <c r="E88" s="11" t="str">
        <f>HYPERLINK("https://youtu.be/g1KPX_tdLls","channel 2")</f>
        <v>channel 2</v>
      </c>
    </row>
    <row r="89">
      <c r="B89" s="148"/>
      <c r="C89" s="148"/>
      <c r="D89" s="148"/>
      <c r="E89" s="149"/>
    </row>
    <row r="90">
      <c r="B90" s="148"/>
      <c r="C90" s="148"/>
      <c r="D90" s="148"/>
      <c r="E90" s="149"/>
    </row>
    <row r="91">
      <c r="B91" s="148"/>
      <c r="C91" s="148"/>
      <c r="D91" s="148"/>
      <c r="E91" s="149"/>
    </row>
    <row r="92">
      <c r="B92" s="148"/>
      <c r="C92" s="148"/>
      <c r="D92" s="148"/>
      <c r="E92" s="149"/>
    </row>
    <row r="93">
      <c r="B93" s="148"/>
      <c r="C93" s="148"/>
      <c r="D93" s="148"/>
      <c r="E93" s="149"/>
    </row>
    <row r="94">
      <c r="B94" s="148"/>
      <c r="C94" s="148"/>
      <c r="D94" s="148"/>
      <c r="E94" s="149"/>
    </row>
    <row r="95">
      <c r="B95" s="148"/>
      <c r="C95" s="148"/>
      <c r="D95" s="148"/>
      <c r="E95" s="149"/>
    </row>
    <row r="96">
      <c r="B96" s="148"/>
      <c r="C96" s="148"/>
      <c r="D96" s="148"/>
      <c r="E96" s="149"/>
    </row>
    <row r="97">
      <c r="B97" s="148"/>
      <c r="C97" s="148"/>
      <c r="D97" s="148"/>
      <c r="E97" s="149"/>
    </row>
    <row r="98">
      <c r="B98" s="148"/>
      <c r="C98" s="148"/>
      <c r="D98" s="148"/>
      <c r="E98" s="149"/>
    </row>
    <row r="99">
      <c r="B99" s="148"/>
      <c r="C99" s="148"/>
      <c r="D99" s="148"/>
      <c r="E99" s="149"/>
    </row>
    <row r="100">
      <c r="B100" s="148"/>
      <c r="C100" s="148"/>
      <c r="D100" s="148"/>
      <c r="E100" s="149"/>
    </row>
    <row r="101">
      <c r="B101" s="148"/>
      <c r="C101" s="148"/>
      <c r="D101" s="148"/>
      <c r="E101" s="149"/>
    </row>
    <row r="102">
      <c r="B102" s="148"/>
      <c r="C102" s="148"/>
      <c r="D102" s="148"/>
      <c r="E102" s="149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7"/>
      <c r="B1" s="72" t="s">
        <v>2370</v>
      </c>
      <c r="C1" s="2"/>
      <c r="D1" s="3"/>
      <c r="E1" s="134"/>
    </row>
    <row r="2">
      <c r="A2" s="118"/>
      <c r="B2" s="35" t="s">
        <v>2</v>
      </c>
      <c r="C2" s="35" t="s">
        <v>3</v>
      </c>
      <c r="D2" s="35" t="s">
        <v>4</v>
      </c>
      <c r="E2" s="6" t="s">
        <v>5</v>
      </c>
    </row>
    <row r="3">
      <c r="A3" s="118"/>
      <c r="B3" s="8" t="s">
        <v>3870</v>
      </c>
      <c r="C3" s="33" t="s">
        <v>793</v>
      </c>
      <c r="D3" s="8" t="s">
        <v>3742</v>
      </c>
      <c r="E3" s="135" t="str">
        <f>HYPERLINK("https://youtu.be/Eb3xLGu7KHc","channel 1")</f>
        <v>channel 1</v>
      </c>
    </row>
    <row r="4">
      <c r="A4" s="118"/>
      <c r="B4" s="8" t="s">
        <v>1790</v>
      </c>
      <c r="C4" s="33" t="s">
        <v>68</v>
      </c>
      <c r="D4" s="8" t="s">
        <v>3185</v>
      </c>
      <c r="E4" s="11" t="str">
        <f>HYPERLINK("https://youtu.be/zFDijpJbuQg","channel 2")</f>
        <v>channel 2</v>
      </c>
    </row>
    <row r="5">
      <c r="A5" s="118"/>
      <c r="B5" s="8" t="s">
        <v>3635</v>
      </c>
      <c r="C5" s="33" t="s">
        <v>239</v>
      </c>
      <c r="D5" s="8" t="s">
        <v>3870</v>
      </c>
      <c r="E5" s="146" t="str">
        <f>HYPERLINK("https://youtu.be/dxPSYdx4Slw","channel 1")</f>
        <v>channel 1</v>
      </c>
    </row>
    <row r="6">
      <c r="A6" s="118"/>
      <c r="B6" s="8" t="s">
        <v>1790</v>
      </c>
      <c r="C6" s="33" t="s">
        <v>291</v>
      </c>
      <c r="D6" s="8" t="s">
        <v>3742</v>
      </c>
      <c r="E6" s="11" t="str">
        <f>HYPERLINK("https://youtu.be/T8YE8TYhd4Y","channel 2")</f>
        <v>channel 2</v>
      </c>
    </row>
    <row r="7">
      <c r="A7" s="118"/>
      <c r="B7" s="8" t="s">
        <v>3635</v>
      </c>
      <c r="C7" s="33" t="s">
        <v>936</v>
      </c>
      <c r="D7" s="8" t="s">
        <v>3185</v>
      </c>
      <c r="E7" s="135" t="str">
        <f>HYPERLINK("https://youtu.be/inbyx4FL3Gc","channel 1")</f>
        <v>channel 1</v>
      </c>
    </row>
    <row r="8">
      <c r="A8" s="118"/>
      <c r="B8" s="8" t="s">
        <v>1790</v>
      </c>
      <c r="C8" s="33" t="s">
        <v>190</v>
      </c>
      <c r="D8" s="8" t="s">
        <v>3870</v>
      </c>
      <c r="E8" s="11" t="str">
        <f>HYPERLINK("https://youtu.be/sOoBYA8hlik","channel 2")</f>
        <v>channel 2</v>
      </c>
    </row>
    <row r="9">
      <c r="A9" s="118"/>
      <c r="B9" s="8" t="s">
        <v>3635</v>
      </c>
      <c r="C9" s="33" t="s">
        <v>72</v>
      </c>
      <c r="D9" s="8" t="s">
        <v>3742</v>
      </c>
      <c r="E9" s="146" t="str">
        <f>HYPERLINK("https://youtu.be/hlfGMJUSqbU","channel 1")</f>
        <v>channel 1</v>
      </c>
    </row>
    <row r="10">
      <c r="A10" s="118"/>
      <c r="B10" s="8" t="s">
        <v>3185</v>
      </c>
      <c r="C10" s="33" t="s">
        <v>7</v>
      </c>
      <c r="D10" s="8" t="s">
        <v>3870</v>
      </c>
      <c r="E10" s="11" t="str">
        <f>HYPERLINK("https://youtu.be/n-LiT0AL3Yw","channel 2")</f>
        <v>channel 2</v>
      </c>
    </row>
    <row r="11">
      <c r="A11" s="118"/>
      <c r="B11" s="8" t="s">
        <v>3635</v>
      </c>
      <c r="C11" s="33" t="s">
        <v>58</v>
      </c>
      <c r="D11" s="8" t="s">
        <v>1790</v>
      </c>
      <c r="E11" s="135" t="str">
        <f>HYPERLINK("https://youtu.be/3xMobFjmhbI","channel 1")</f>
        <v>channel 1</v>
      </c>
    </row>
    <row r="12">
      <c r="A12" s="118"/>
      <c r="B12" s="8" t="s">
        <v>3185</v>
      </c>
      <c r="C12" s="33" t="s">
        <v>190</v>
      </c>
      <c r="D12" s="8" t="s">
        <v>3742</v>
      </c>
      <c r="E12" s="11" t="str">
        <f>HYPERLINK("https://youtu.be/LwBI8MXS0PY","channel 2")</f>
        <v>channel 2</v>
      </c>
    </row>
    <row r="13">
      <c r="A13" s="118"/>
      <c r="B13" s="8" t="s">
        <v>3742</v>
      </c>
      <c r="C13" s="33" t="s">
        <v>444</v>
      </c>
      <c r="D13" s="8" t="s">
        <v>3870</v>
      </c>
      <c r="E13" s="146" t="str">
        <f>HYPERLINK("https://youtu.be/55UbqimGty8","channel 1")</f>
        <v>channel 1</v>
      </c>
    </row>
    <row r="14">
      <c r="A14" s="118"/>
      <c r="B14" s="8" t="s">
        <v>3185</v>
      </c>
      <c r="C14" s="33" t="s">
        <v>45</v>
      </c>
      <c r="D14" s="8" t="s">
        <v>1790</v>
      </c>
      <c r="E14" s="11" t="str">
        <f>HYPERLINK("https://youtu.be/5d2r3f9kikI","channel 2")</f>
        <v>channel 2</v>
      </c>
    </row>
    <row r="15">
      <c r="A15" s="118"/>
      <c r="B15" s="8" t="s">
        <v>3870</v>
      </c>
      <c r="C15" s="33" t="s">
        <v>88</v>
      </c>
      <c r="D15" s="8" t="s">
        <v>3635</v>
      </c>
      <c r="E15" s="135" t="str">
        <f>HYPERLINK("https://youtu.be/3IHC2C0-cK8","channel 1")</f>
        <v>channel 1</v>
      </c>
    </row>
    <row r="16">
      <c r="A16" s="118"/>
      <c r="B16" s="8" t="s">
        <v>3742</v>
      </c>
      <c r="C16" s="33" t="s">
        <v>19</v>
      </c>
      <c r="D16" s="8" t="s">
        <v>1790</v>
      </c>
      <c r="E16" s="11" t="str">
        <f>HYPERLINK("https://youtu.be/GLUTCxnhDzw","channel 2")</f>
        <v>channel 2</v>
      </c>
    </row>
    <row r="17">
      <c r="A17" s="118"/>
      <c r="B17" s="8" t="s">
        <v>3185</v>
      </c>
      <c r="C17" s="33" t="s">
        <v>267</v>
      </c>
      <c r="D17" s="8" t="s">
        <v>3635</v>
      </c>
      <c r="E17" s="146" t="str">
        <f>HYPERLINK("https://youtu.be/EqWavO2hEbg","channel 1")</f>
        <v>channel 1</v>
      </c>
    </row>
    <row r="18">
      <c r="A18" s="118"/>
      <c r="B18" s="8" t="s">
        <v>3870</v>
      </c>
      <c r="C18" s="33" t="s">
        <v>273</v>
      </c>
      <c r="D18" s="8" t="s">
        <v>1790</v>
      </c>
      <c r="E18" s="11" t="str">
        <f>HYPERLINK("https://youtu.be/3bdiqQQjYd0","channel 2")</f>
        <v>channel 2</v>
      </c>
    </row>
    <row r="19">
      <c r="A19" s="118"/>
      <c r="B19" s="8" t="s">
        <v>3742</v>
      </c>
      <c r="C19" s="33" t="s">
        <v>285</v>
      </c>
      <c r="D19" s="8" t="s">
        <v>3635</v>
      </c>
      <c r="E19" s="135" t="str">
        <f>HYPERLINK("https://youtu.be/pzLxX2VL8Ls","channel 1")</f>
        <v>channel 1</v>
      </c>
    </row>
    <row r="20">
      <c r="A20" s="118"/>
      <c r="B20" s="8" t="s">
        <v>3870</v>
      </c>
      <c r="C20" s="33" t="s">
        <v>354</v>
      </c>
      <c r="D20" s="8" t="s">
        <v>3185</v>
      </c>
      <c r="E20" s="11" t="str">
        <f>HYPERLINK("https://youtu.be/3IOqGSmER10","channel 2")</f>
        <v>channel 2</v>
      </c>
    </row>
    <row r="21">
      <c r="A21" s="118"/>
      <c r="B21" s="8" t="s">
        <v>1790</v>
      </c>
      <c r="C21" s="33" t="s">
        <v>88</v>
      </c>
      <c r="D21" s="8" t="s">
        <v>3635</v>
      </c>
      <c r="E21" s="146" t="str">
        <f>HYPERLINK("https://youtu.be/Hwq_uEuLudU","channel 1")</f>
        <v>channel 1</v>
      </c>
    </row>
    <row r="22">
      <c r="A22" s="118"/>
      <c r="B22" s="8" t="s">
        <v>3742</v>
      </c>
      <c r="C22" s="33" t="s">
        <v>289</v>
      </c>
      <c r="D22" s="8" t="s">
        <v>3185</v>
      </c>
      <c r="E22" s="11" t="str">
        <f>HYPERLINK("https://youtu.be/repCSTdhi60","channel 2")</f>
        <v>channel 2</v>
      </c>
    </row>
    <row r="23">
      <c r="A23" s="118"/>
      <c r="B23" s="72" t="s">
        <v>2160</v>
      </c>
      <c r="C23" s="2"/>
      <c r="D23" s="3"/>
      <c r="E23" s="134"/>
    </row>
    <row r="24">
      <c r="A24" s="118"/>
      <c r="B24" s="35" t="s">
        <v>2</v>
      </c>
      <c r="C24" s="35" t="s">
        <v>3</v>
      </c>
      <c r="D24" s="35" t="s">
        <v>4</v>
      </c>
      <c r="E24" s="6" t="s">
        <v>5</v>
      </c>
    </row>
    <row r="25">
      <c r="A25" s="118"/>
      <c r="B25" s="8" t="s">
        <v>3886</v>
      </c>
      <c r="C25" s="33" t="s">
        <v>726</v>
      </c>
      <c r="D25" s="8" t="s">
        <v>2247</v>
      </c>
      <c r="E25" s="135" t="str">
        <f>HYPERLINK("https://youtu.be/0AzgtYSoqyI","channel 1")</f>
        <v>channel 1</v>
      </c>
    </row>
    <row r="26">
      <c r="A26" s="118"/>
      <c r="B26" s="8" t="s">
        <v>785</v>
      </c>
      <c r="C26" s="33" t="s">
        <v>11</v>
      </c>
      <c r="D26" s="8" t="s">
        <v>3626</v>
      </c>
      <c r="E26" s="11" t="str">
        <f>HYPERLINK("https://youtu.be/XPxDGOcg8k8","channel 2")</f>
        <v>channel 2</v>
      </c>
    </row>
    <row r="27">
      <c r="A27" s="118"/>
      <c r="B27" s="8" t="s">
        <v>4118</v>
      </c>
      <c r="C27" s="33" t="s">
        <v>24</v>
      </c>
      <c r="D27" s="8" t="s">
        <v>3886</v>
      </c>
      <c r="E27" s="146" t="str">
        <f>HYPERLINK("https://youtu.be/vXRbDgp5hZg","channel 1")</f>
        <v>channel 1</v>
      </c>
    </row>
    <row r="28">
      <c r="A28" s="118"/>
      <c r="B28" s="8" t="s">
        <v>785</v>
      </c>
      <c r="C28" s="33" t="s">
        <v>684</v>
      </c>
      <c r="D28" s="8" t="s">
        <v>2247</v>
      </c>
      <c r="E28" s="11" t="str">
        <f>HYPERLINK("https://youtu.be/WAK4TBHKAR8","channel 2")</f>
        <v>channel 2</v>
      </c>
    </row>
    <row r="29">
      <c r="A29" s="118"/>
      <c r="B29" s="8" t="s">
        <v>4118</v>
      </c>
      <c r="C29" s="33" t="s">
        <v>243</v>
      </c>
      <c r="D29" s="8" t="s">
        <v>3626</v>
      </c>
      <c r="E29" s="135" t="str">
        <f>HYPERLINK("https://youtu.be/UjfBuU2njn0","channel 1")</f>
        <v>channel 1</v>
      </c>
    </row>
    <row r="30">
      <c r="A30" s="118"/>
      <c r="B30" s="8" t="s">
        <v>785</v>
      </c>
      <c r="C30" s="33" t="s">
        <v>260</v>
      </c>
      <c r="D30" s="8" t="s">
        <v>3886</v>
      </c>
      <c r="E30" s="11" t="str">
        <f>HYPERLINK("https://youtu.be/YRZyWDwqbkQ","channel 2")</f>
        <v>channel 2</v>
      </c>
    </row>
    <row r="31">
      <c r="A31" s="118"/>
      <c r="B31" s="8" t="s">
        <v>4118</v>
      </c>
      <c r="C31" s="33" t="s">
        <v>190</v>
      </c>
      <c r="D31" s="8" t="s">
        <v>2247</v>
      </c>
      <c r="E31" s="146" t="str">
        <f>HYPERLINK("https://youtu.be/yITs3NwWavM","channel 1")</f>
        <v>channel 1</v>
      </c>
    </row>
    <row r="32">
      <c r="A32" s="118"/>
      <c r="B32" s="8" t="s">
        <v>3626</v>
      </c>
      <c r="C32" s="33" t="s">
        <v>370</v>
      </c>
      <c r="D32" s="8" t="s">
        <v>3886</v>
      </c>
      <c r="E32" s="11" t="str">
        <f>HYPERLINK("https://youtu.be/6v-S5VJyys0","channel 2")</f>
        <v>channel 2</v>
      </c>
    </row>
    <row r="33">
      <c r="A33" s="118"/>
      <c r="B33" s="8" t="s">
        <v>4118</v>
      </c>
      <c r="C33" s="33" t="s">
        <v>412</v>
      </c>
      <c r="D33" s="8" t="s">
        <v>785</v>
      </c>
      <c r="E33" s="135" t="str">
        <f>HYPERLINK("https://youtu.be/vofsrwrYFSQ","channel 1")</f>
        <v>channel 1</v>
      </c>
    </row>
    <row r="34">
      <c r="A34" s="118"/>
      <c r="B34" s="8" t="s">
        <v>3626</v>
      </c>
      <c r="C34" s="33" t="s">
        <v>338</v>
      </c>
      <c r="D34" s="8" t="s">
        <v>2247</v>
      </c>
      <c r="E34" s="11" t="str">
        <f>HYPERLINK("https://youtu.be/WcbNmzLMlPY","channel 2")</f>
        <v>channel 2</v>
      </c>
    </row>
    <row r="35">
      <c r="A35" s="118"/>
      <c r="B35" s="8" t="s">
        <v>2247</v>
      </c>
      <c r="C35" s="33" t="s">
        <v>197</v>
      </c>
      <c r="D35" s="8" t="s">
        <v>3886</v>
      </c>
      <c r="E35" s="146" t="str">
        <f>HYPERLINK("https://youtu.be/-ehbp0J1YNo","channel 1")</f>
        <v>channel 1</v>
      </c>
    </row>
    <row r="36">
      <c r="A36" s="118"/>
      <c r="B36" s="8" t="s">
        <v>3626</v>
      </c>
      <c r="C36" s="33" t="s">
        <v>218</v>
      </c>
      <c r="D36" s="8" t="s">
        <v>785</v>
      </c>
      <c r="E36" s="11" t="str">
        <f>HYPERLINK("https://youtu.be/LLat60KODEk","channel 2")</f>
        <v>channel 2</v>
      </c>
    </row>
    <row r="37">
      <c r="A37" s="118"/>
      <c r="B37" s="8" t="s">
        <v>3886</v>
      </c>
      <c r="C37" s="33" t="s">
        <v>570</v>
      </c>
      <c r="D37" s="8" t="s">
        <v>4118</v>
      </c>
      <c r="E37" s="135" t="str">
        <f>HYPERLINK("https://youtu.be/nlAVhaFzp5s","channel 1")</f>
        <v>channel 1</v>
      </c>
    </row>
    <row r="38">
      <c r="A38" s="118"/>
      <c r="B38" s="8" t="s">
        <v>2247</v>
      </c>
      <c r="C38" s="33" t="s">
        <v>197</v>
      </c>
      <c r="D38" s="8" t="s">
        <v>785</v>
      </c>
      <c r="E38" s="11" t="str">
        <f>HYPERLINK("https://youtu.be/8kiskZyKcfQ","channel 2")</f>
        <v>channel 2</v>
      </c>
    </row>
    <row r="39">
      <c r="A39" s="118"/>
      <c r="B39" s="8" t="s">
        <v>3626</v>
      </c>
      <c r="C39" s="35" t="s">
        <v>1728</v>
      </c>
      <c r="D39" s="8" t="s">
        <v>4118</v>
      </c>
      <c r="E39" s="146" t="str">
        <f>HYPERLINK("https://youtu.be/5RT6G9c167A","channel 1")</f>
        <v>channel 1</v>
      </c>
    </row>
    <row r="40">
      <c r="A40" s="118"/>
      <c r="B40" s="8" t="s">
        <v>3886</v>
      </c>
      <c r="C40" s="33" t="s">
        <v>243</v>
      </c>
      <c r="D40" s="8" t="s">
        <v>785</v>
      </c>
      <c r="E40" s="11" t="str">
        <f>HYPERLINK("https://youtu.be/HBnNFGsm7QQ","channel 2")</f>
        <v>channel 2</v>
      </c>
    </row>
    <row r="41">
      <c r="A41" s="118"/>
      <c r="B41" s="8" t="s">
        <v>2247</v>
      </c>
      <c r="C41" s="33" t="s">
        <v>217</v>
      </c>
      <c r="D41" s="8" t="s">
        <v>4118</v>
      </c>
      <c r="E41" s="135" t="str">
        <f>HYPERLINK("https://youtu.be/5-zdldYPotE","channel 1")</f>
        <v>channel 1</v>
      </c>
    </row>
    <row r="42">
      <c r="A42" s="118"/>
      <c r="B42" s="8" t="s">
        <v>3886</v>
      </c>
      <c r="C42" s="33" t="s">
        <v>244</v>
      </c>
      <c r="D42" s="8" t="s">
        <v>3626</v>
      </c>
      <c r="E42" s="11" t="str">
        <f>HYPERLINK("https://youtu.be/OsG3aB8IlLA","channel 2")</f>
        <v>channel 2</v>
      </c>
    </row>
    <row r="43">
      <c r="A43" s="118"/>
      <c r="B43" s="8" t="s">
        <v>785</v>
      </c>
      <c r="C43" s="33" t="s">
        <v>35</v>
      </c>
      <c r="D43" s="8" t="s">
        <v>4118</v>
      </c>
      <c r="E43" s="146" t="str">
        <f>HYPERLINK("https://youtu.be/yJ8zNmrk6qQ","channel 1")</f>
        <v>channel 1</v>
      </c>
    </row>
    <row r="44">
      <c r="A44" s="118"/>
      <c r="B44" s="8" t="s">
        <v>2247</v>
      </c>
      <c r="C44" s="33" t="s">
        <v>201</v>
      </c>
      <c r="D44" s="8" t="s">
        <v>3626</v>
      </c>
      <c r="E44" s="11" t="str">
        <f>HYPERLINK("https://youtu.be/mX7YnrM-qEU","channel 2")</f>
        <v>channel 2</v>
      </c>
    </row>
    <row r="45">
      <c r="A45" s="118"/>
      <c r="B45" s="72" t="s">
        <v>2041</v>
      </c>
      <c r="C45" s="2"/>
      <c r="D45" s="3"/>
      <c r="E45" s="134"/>
    </row>
    <row r="46">
      <c r="A46" s="118"/>
      <c r="B46" s="35" t="s">
        <v>2</v>
      </c>
      <c r="C46" s="35" t="s">
        <v>3</v>
      </c>
      <c r="D46" s="35" t="s">
        <v>4</v>
      </c>
      <c r="E46" s="6" t="s">
        <v>5</v>
      </c>
    </row>
    <row r="47">
      <c r="A47" s="118"/>
      <c r="B47" s="8" t="s">
        <v>4119</v>
      </c>
      <c r="C47" s="33" t="s">
        <v>19</v>
      </c>
      <c r="D47" s="8" t="s">
        <v>4120</v>
      </c>
      <c r="E47" s="135" t="str">
        <f>HYPERLINK("https://youtu.be/E05zQcbDHhs","channel 1")</f>
        <v>channel 1</v>
      </c>
    </row>
    <row r="48">
      <c r="A48" s="118"/>
      <c r="B48" s="8" t="s">
        <v>3778</v>
      </c>
      <c r="C48" s="33" t="s">
        <v>196</v>
      </c>
      <c r="D48" s="8" t="s">
        <v>2108</v>
      </c>
      <c r="E48" s="11" t="str">
        <f>HYPERLINK("https://youtu.be/WJSOKNVtt74","channel 2")</f>
        <v>channel 2</v>
      </c>
    </row>
    <row r="49">
      <c r="A49" s="118"/>
      <c r="B49" s="8" t="s">
        <v>1037</v>
      </c>
      <c r="C49" s="33" t="s">
        <v>81</v>
      </c>
      <c r="D49" s="8" t="s">
        <v>4119</v>
      </c>
      <c r="E49" s="146" t="str">
        <f>HYPERLINK("https://youtu.be/zu-eStCsM5U","channel 1")</f>
        <v>channel 1</v>
      </c>
    </row>
    <row r="50">
      <c r="A50" s="118"/>
      <c r="B50" s="8" t="s">
        <v>3778</v>
      </c>
      <c r="C50" s="33" t="s">
        <v>197</v>
      </c>
      <c r="D50" s="8" t="s">
        <v>4120</v>
      </c>
      <c r="E50" s="11" t="str">
        <f>HYPERLINK("https://youtu.be/rcLm1iiWJaM","channel 2")</f>
        <v>channel 2</v>
      </c>
    </row>
    <row r="51">
      <c r="A51" s="118"/>
      <c r="B51" s="8" t="s">
        <v>1037</v>
      </c>
      <c r="C51" s="33" t="s">
        <v>81</v>
      </c>
      <c r="D51" s="8" t="s">
        <v>2108</v>
      </c>
      <c r="E51" s="135" t="str">
        <f>HYPERLINK("https://youtu.be/jZTbNAgMwuk","channel 1")</f>
        <v>channel 1</v>
      </c>
    </row>
    <row r="52">
      <c r="A52" s="118"/>
      <c r="B52" s="8" t="s">
        <v>3778</v>
      </c>
      <c r="C52" s="33" t="s">
        <v>370</v>
      </c>
      <c r="D52" s="8" t="s">
        <v>4119</v>
      </c>
      <c r="E52" s="11" t="str">
        <f>HYPERLINK("https://youtu.be/Ve5Wqw_gWUQ","channel 2")</f>
        <v>channel 2</v>
      </c>
    </row>
    <row r="53">
      <c r="A53" s="118"/>
      <c r="B53" s="8" t="s">
        <v>1037</v>
      </c>
      <c r="C53" s="33" t="s">
        <v>220</v>
      </c>
      <c r="D53" s="8" t="s">
        <v>4120</v>
      </c>
      <c r="E53" s="146" t="str">
        <f>HYPERLINK("https://youtu.be/4BUn4RFPL8s","channel 1")</f>
        <v>channel 1</v>
      </c>
    </row>
    <row r="54">
      <c r="A54" s="118"/>
      <c r="B54" s="8" t="s">
        <v>2108</v>
      </c>
      <c r="C54" s="33" t="s">
        <v>26</v>
      </c>
      <c r="D54" s="8" t="s">
        <v>4119</v>
      </c>
      <c r="E54" s="11" t="str">
        <f>HYPERLINK("https://youtu.be/J9S7mgFsKSc","channel 2")</f>
        <v>channel 2</v>
      </c>
    </row>
    <row r="55">
      <c r="A55" s="118"/>
      <c r="B55" s="8" t="s">
        <v>1037</v>
      </c>
      <c r="C55" s="33" t="s">
        <v>232</v>
      </c>
      <c r="D55" s="8" t="s">
        <v>3778</v>
      </c>
      <c r="E55" s="135" t="str">
        <f>HYPERLINK("https://youtu.be/XdTjCOfGCXY","channel 1")</f>
        <v>channel 1</v>
      </c>
    </row>
    <row r="56">
      <c r="A56" s="118"/>
      <c r="B56" s="8" t="s">
        <v>2108</v>
      </c>
      <c r="C56" s="33" t="s">
        <v>25</v>
      </c>
      <c r="D56" s="8" t="s">
        <v>4120</v>
      </c>
      <c r="E56" s="11" t="str">
        <f>HYPERLINK("https://youtu.be/pYO4Xeh7Pvg","channel 2")</f>
        <v>channel 2</v>
      </c>
    </row>
    <row r="57">
      <c r="A57" s="118"/>
      <c r="B57" s="8" t="s">
        <v>4120</v>
      </c>
      <c r="C57" s="33" t="s">
        <v>362</v>
      </c>
      <c r="D57" s="8" t="s">
        <v>4119</v>
      </c>
      <c r="E57" s="146" t="str">
        <f>HYPERLINK("https://youtu.be/nRT3PnoGQBU","channel 1")</f>
        <v>channel 1</v>
      </c>
    </row>
    <row r="58">
      <c r="A58" s="118"/>
      <c r="B58" s="8" t="s">
        <v>2108</v>
      </c>
      <c r="C58" s="33" t="s">
        <v>1068</v>
      </c>
      <c r="D58" s="8" t="s">
        <v>3778</v>
      </c>
      <c r="E58" s="11" t="str">
        <f>HYPERLINK("https://youtu.be/XiPIxPzuGL8","channel 2")</f>
        <v>channel 2</v>
      </c>
    </row>
    <row r="59">
      <c r="A59" s="118"/>
      <c r="B59" s="8" t="s">
        <v>4119</v>
      </c>
      <c r="C59" s="33" t="s">
        <v>190</v>
      </c>
      <c r="D59" s="8" t="s">
        <v>1037</v>
      </c>
      <c r="E59" s="135" t="str">
        <f>HYPERLINK("https://youtu.be/L77qvNQtAAg","channel 1")</f>
        <v>channel 1</v>
      </c>
    </row>
    <row r="60">
      <c r="A60" s="118"/>
      <c r="B60" s="8" t="s">
        <v>4120</v>
      </c>
      <c r="C60" s="33" t="s">
        <v>286</v>
      </c>
      <c r="D60" s="8" t="s">
        <v>3778</v>
      </c>
      <c r="E60" s="11" t="str">
        <f>HYPERLINK("https://youtu.be/kevLflmemPs","channel 2")</f>
        <v>channel 2</v>
      </c>
    </row>
    <row r="61">
      <c r="A61" s="118"/>
      <c r="B61" s="8" t="s">
        <v>2108</v>
      </c>
      <c r="C61" s="33" t="s">
        <v>43</v>
      </c>
      <c r="D61" s="8" t="s">
        <v>1037</v>
      </c>
      <c r="E61" s="146" t="str">
        <f>HYPERLINK("https://youtu.be/Y1RG4P1omhM","channel 1")</f>
        <v>channel 1</v>
      </c>
    </row>
    <row r="62">
      <c r="A62" s="118"/>
      <c r="B62" s="8" t="s">
        <v>4119</v>
      </c>
      <c r="C62" s="35" t="s">
        <v>297</v>
      </c>
      <c r="D62" s="8" t="s">
        <v>3778</v>
      </c>
      <c r="E62" s="11" t="str">
        <f>HYPERLINK("https://youtu.be/azxmsKzMW8I","channel 2")</f>
        <v>channel 2</v>
      </c>
    </row>
    <row r="63">
      <c r="A63" s="118"/>
      <c r="B63" s="8" t="s">
        <v>4120</v>
      </c>
      <c r="C63" s="33" t="s">
        <v>555</v>
      </c>
      <c r="D63" s="8" t="s">
        <v>1037</v>
      </c>
      <c r="E63" s="135" t="str">
        <f>HYPERLINK("https://youtu.be/aFbAN7IxYmg","channel 1")</f>
        <v>channel 1</v>
      </c>
    </row>
    <row r="64">
      <c r="A64" s="118"/>
      <c r="B64" s="8" t="s">
        <v>4119</v>
      </c>
      <c r="C64" s="33" t="s">
        <v>87</v>
      </c>
      <c r="D64" s="8" t="s">
        <v>2108</v>
      </c>
      <c r="E64" s="11" t="str">
        <f>HYPERLINK("https://youtu.be/OFlBWVpNPvk","channel 2")</f>
        <v>channel 2</v>
      </c>
    </row>
    <row r="65">
      <c r="A65" s="118"/>
      <c r="B65" s="8" t="s">
        <v>3778</v>
      </c>
      <c r="C65" s="33" t="s">
        <v>68</v>
      </c>
      <c r="D65" s="8" t="s">
        <v>1037</v>
      </c>
      <c r="E65" s="146" t="str">
        <f>HYPERLINK("https://youtu.be/JCB3nTWQGI8","channel 1")</f>
        <v>channel 1</v>
      </c>
    </row>
    <row r="66">
      <c r="A66" s="118"/>
      <c r="B66" s="8" t="s">
        <v>4120</v>
      </c>
      <c r="C66" s="33" t="s">
        <v>190</v>
      </c>
      <c r="D66" s="8" t="s">
        <v>2108</v>
      </c>
      <c r="E66" s="11" t="str">
        <f>HYPERLINK("https://youtu.be/WQQrxFpB80Q","channel 2")</f>
        <v>channel 2</v>
      </c>
    </row>
    <row r="67">
      <c r="A67" s="118"/>
      <c r="B67" s="72" t="s">
        <v>2923</v>
      </c>
      <c r="C67" s="2"/>
      <c r="D67" s="3"/>
      <c r="E67" s="138"/>
    </row>
    <row r="68">
      <c r="A68" s="118"/>
      <c r="B68" s="35" t="s">
        <v>2</v>
      </c>
      <c r="C68" s="35" t="s">
        <v>3</v>
      </c>
      <c r="D68" s="35" t="s">
        <v>4</v>
      </c>
      <c r="E68" s="16" t="s">
        <v>5</v>
      </c>
    </row>
    <row r="69">
      <c r="A69" s="118"/>
      <c r="B69" s="8" t="s">
        <v>4121</v>
      </c>
      <c r="C69" s="33" t="s">
        <v>319</v>
      </c>
      <c r="D69" s="8" t="s">
        <v>3258</v>
      </c>
      <c r="E69" s="135" t="str">
        <f>HYPERLINK("https://youtu.be/PHZyoX7g_aA","channel 1")</f>
        <v>channel 1</v>
      </c>
    </row>
    <row r="70">
      <c r="A70" s="118"/>
      <c r="B70" s="8" t="s">
        <v>3152</v>
      </c>
      <c r="C70" s="33" t="s">
        <v>400</v>
      </c>
      <c r="D70" s="8" t="s">
        <v>1860</v>
      </c>
      <c r="E70" s="11" t="str">
        <f>HYPERLINK("https://youtu.be/8c2-MaLlrZ0","channel 2")</f>
        <v>channel 2</v>
      </c>
    </row>
    <row r="71">
      <c r="A71" s="118"/>
      <c r="B71" s="8" t="s">
        <v>4122</v>
      </c>
      <c r="C71" s="33" t="s">
        <v>370</v>
      </c>
      <c r="D71" s="8" t="s">
        <v>4121</v>
      </c>
      <c r="E71" s="146" t="str">
        <f>HYPERLINK("https://youtu.be/OHMRqn9FIYk","channel 1")</f>
        <v>channel 1</v>
      </c>
    </row>
    <row r="72">
      <c r="A72" s="118"/>
      <c r="B72" s="8" t="s">
        <v>3152</v>
      </c>
      <c r="C72" s="33" t="s">
        <v>1025</v>
      </c>
      <c r="D72" s="8" t="s">
        <v>3258</v>
      </c>
      <c r="E72" s="11" t="str">
        <f>HYPERLINK("https://youtu.be/7AKaRNgD0hs","channel 2")</f>
        <v>channel 2</v>
      </c>
    </row>
    <row r="73">
      <c r="A73" s="118"/>
      <c r="B73" s="8" t="s">
        <v>4122</v>
      </c>
      <c r="C73" s="33" t="s">
        <v>370</v>
      </c>
      <c r="D73" s="8" t="s">
        <v>1860</v>
      </c>
      <c r="E73" s="135" t="str">
        <f>HYPERLINK("https://youtu.be/C2iiNR7XUaA","channel 1")</f>
        <v>channel 1</v>
      </c>
    </row>
    <row r="74">
      <c r="A74" s="118"/>
      <c r="B74" s="8" t="s">
        <v>3152</v>
      </c>
      <c r="C74" s="33" t="s">
        <v>217</v>
      </c>
      <c r="D74" s="8" t="s">
        <v>4121</v>
      </c>
      <c r="E74" s="11" t="str">
        <f>HYPERLINK("https://youtu.be/lfJCKR0t690","channel 2")</f>
        <v>channel 2</v>
      </c>
    </row>
    <row r="75">
      <c r="A75" s="118"/>
      <c r="B75" s="8" t="s">
        <v>4122</v>
      </c>
      <c r="C75" s="33" t="s">
        <v>4123</v>
      </c>
      <c r="D75" s="8" t="s">
        <v>3258</v>
      </c>
      <c r="E75" s="146" t="str">
        <f>HYPERLINK("https://youtu.be/EZdoL16kwx8","channel 1")</f>
        <v>channel 1</v>
      </c>
    </row>
    <row r="76">
      <c r="A76" s="118"/>
      <c r="B76" s="8" t="s">
        <v>1860</v>
      </c>
      <c r="C76" s="33" t="s">
        <v>494</v>
      </c>
      <c r="D76" s="8" t="s">
        <v>4121</v>
      </c>
      <c r="E76" s="11" t="str">
        <f>HYPERLINK("https://youtu.be/O7jgxMN3iHw","channel 2")</f>
        <v>channel 2</v>
      </c>
    </row>
    <row r="77">
      <c r="A77" s="118"/>
      <c r="B77" s="8" t="s">
        <v>4122</v>
      </c>
      <c r="C77" s="33" t="s">
        <v>197</v>
      </c>
      <c r="D77" s="8" t="s">
        <v>3152</v>
      </c>
      <c r="E77" s="135" t="str">
        <f>HYPERLINK("https://youtu.be/gVXuVDw3Lys","channel 1")</f>
        <v>channel 1</v>
      </c>
    </row>
    <row r="78">
      <c r="A78" s="118"/>
      <c r="B78" s="8" t="s">
        <v>1860</v>
      </c>
      <c r="C78" s="33" t="s">
        <v>19</v>
      </c>
      <c r="D78" s="8" t="s">
        <v>3258</v>
      </c>
      <c r="E78" s="11" t="str">
        <f>HYPERLINK("https://youtu.be/hLYI1KCVTEQ","channel 2")</f>
        <v>channel 2</v>
      </c>
    </row>
    <row r="79">
      <c r="A79" s="118"/>
      <c r="B79" s="8" t="s">
        <v>3258</v>
      </c>
      <c r="C79" s="33" t="s">
        <v>45</v>
      </c>
      <c r="D79" s="8" t="s">
        <v>4121</v>
      </c>
      <c r="E79" s="146" t="str">
        <f>HYPERLINK("https://youtu.be/k7IupYWIk-s","channel 1")</f>
        <v>channel 1</v>
      </c>
    </row>
    <row r="80">
      <c r="A80" s="118"/>
      <c r="B80" s="8" t="s">
        <v>1860</v>
      </c>
      <c r="C80" s="33" t="s">
        <v>241</v>
      </c>
      <c r="D80" s="8" t="s">
        <v>3152</v>
      </c>
      <c r="E80" s="11" t="str">
        <f>HYPERLINK("https://youtu.be/fQOi14Wz1O4","channel 2")</f>
        <v>channel 2</v>
      </c>
    </row>
    <row r="81">
      <c r="A81" s="118"/>
      <c r="B81" s="8" t="s">
        <v>4121</v>
      </c>
      <c r="C81" s="33" t="s">
        <v>43</v>
      </c>
      <c r="D81" s="8" t="s">
        <v>4122</v>
      </c>
      <c r="E81" s="135" t="str">
        <f>HYPERLINK("https://youtu.be/u-Q_BMhN8Ug","channel 1")</f>
        <v>channel 1</v>
      </c>
    </row>
    <row r="82">
      <c r="A82" s="118"/>
      <c r="B82" s="8" t="s">
        <v>3258</v>
      </c>
      <c r="C82" s="33" t="s">
        <v>45</v>
      </c>
      <c r="D82" s="8" t="s">
        <v>3152</v>
      </c>
      <c r="E82" s="11" t="str">
        <f>HYPERLINK("https://youtu.be/sSECt23M0x8","channel 2")</f>
        <v>channel 2</v>
      </c>
    </row>
    <row r="83">
      <c r="A83" s="118"/>
      <c r="B83" s="8" t="s">
        <v>1860</v>
      </c>
      <c r="C83" s="33" t="s">
        <v>270</v>
      </c>
      <c r="D83" s="8" t="s">
        <v>4122</v>
      </c>
      <c r="E83" s="146" t="str">
        <f>HYPERLINK("https://youtu.be/PO27LMRsr8M","channel 1")</f>
        <v>channel 1</v>
      </c>
    </row>
    <row r="84">
      <c r="A84" s="118"/>
      <c r="B84" s="8" t="s">
        <v>4121</v>
      </c>
      <c r="C84" s="33" t="s">
        <v>251</v>
      </c>
      <c r="D84" s="8" t="s">
        <v>3152</v>
      </c>
      <c r="E84" s="11" t="str">
        <f>HYPERLINK("https://youtu.be/EG3AmZx8fTs","channel 2")</f>
        <v>channel 2</v>
      </c>
    </row>
    <row r="85">
      <c r="A85" s="118"/>
      <c r="B85" s="8" t="s">
        <v>3258</v>
      </c>
      <c r="C85" s="33" t="s">
        <v>542</v>
      </c>
      <c r="D85" s="8" t="s">
        <v>4122</v>
      </c>
      <c r="E85" s="135" t="str">
        <f>HYPERLINK("https://youtu.be/mk975sZh0WM","channel 1")</f>
        <v>channel 1</v>
      </c>
    </row>
    <row r="86">
      <c r="A86" s="118"/>
      <c r="B86" s="8" t="s">
        <v>4121</v>
      </c>
      <c r="C86" s="33" t="s">
        <v>81</v>
      </c>
      <c r="D86" s="8" t="s">
        <v>1860</v>
      </c>
      <c r="E86" s="11" t="str">
        <f>HYPERLINK("https://youtu.be/Z23CbutlLUw","channel 2")</f>
        <v>channel 2</v>
      </c>
    </row>
    <row r="87">
      <c r="A87" s="118"/>
      <c r="B87" s="8" t="s">
        <v>3152</v>
      </c>
      <c r="C87" s="33" t="s">
        <v>72</v>
      </c>
      <c r="D87" s="8" t="s">
        <v>4122</v>
      </c>
      <c r="E87" s="146" t="str">
        <f>HYPERLINK("https://youtu.be/JGQKOaXTCWw","channel 1")</f>
        <v>channel 1</v>
      </c>
    </row>
    <row r="88">
      <c r="A88" s="122"/>
      <c r="B88" s="8" t="s">
        <v>3258</v>
      </c>
      <c r="C88" s="33" t="s">
        <v>722</v>
      </c>
      <c r="D88" s="8" t="s">
        <v>1860</v>
      </c>
      <c r="E88" s="11" t="str">
        <f>HYPERLINK("https://youtu.be/nug7XymJ778","channel 2")</f>
        <v>channel 2</v>
      </c>
    </row>
    <row r="89">
      <c r="B89" s="148"/>
      <c r="C89" s="148"/>
      <c r="D89" s="148"/>
      <c r="E89" s="149"/>
    </row>
    <row r="90">
      <c r="B90" s="148"/>
      <c r="C90" s="148"/>
      <c r="D90" s="148"/>
      <c r="E90" s="149"/>
    </row>
    <row r="91">
      <c r="B91" s="148"/>
      <c r="C91" s="148"/>
      <c r="D91" s="148"/>
      <c r="E91" s="149"/>
    </row>
    <row r="92">
      <c r="B92" s="148"/>
      <c r="C92" s="148"/>
      <c r="D92" s="148"/>
      <c r="E92" s="149"/>
    </row>
    <row r="93">
      <c r="B93" s="148"/>
      <c r="C93" s="148"/>
      <c r="D93" s="148"/>
      <c r="E93" s="149"/>
    </row>
    <row r="94">
      <c r="B94" s="148"/>
      <c r="C94" s="148"/>
      <c r="D94" s="148"/>
      <c r="E94" s="149"/>
    </row>
    <row r="95">
      <c r="B95" s="148"/>
      <c r="C95" s="148"/>
      <c r="D95" s="148"/>
      <c r="E95" s="149"/>
    </row>
    <row r="96">
      <c r="B96" s="148"/>
      <c r="C96" s="148"/>
      <c r="D96" s="148"/>
      <c r="E96" s="149"/>
    </row>
    <row r="97">
      <c r="B97" s="148"/>
      <c r="C97" s="148"/>
      <c r="D97" s="148"/>
      <c r="E97" s="149"/>
    </row>
    <row r="98">
      <c r="B98" s="148"/>
      <c r="C98" s="148"/>
      <c r="D98" s="148"/>
      <c r="E98" s="149"/>
    </row>
    <row r="99">
      <c r="B99" s="148"/>
      <c r="C99" s="148"/>
      <c r="D99" s="148"/>
      <c r="E99" s="149"/>
    </row>
    <row r="100">
      <c r="B100" s="148"/>
      <c r="C100" s="148"/>
      <c r="D100" s="148"/>
      <c r="E100" s="149"/>
    </row>
    <row r="101">
      <c r="B101" s="148"/>
      <c r="C101" s="148"/>
      <c r="D101" s="148"/>
      <c r="E101" s="149"/>
    </row>
    <row r="102">
      <c r="B102" s="148"/>
      <c r="C102" s="148"/>
      <c r="D102" s="148"/>
      <c r="E102" s="149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0" t="s">
        <v>2154</v>
      </c>
      <c r="C1" s="151"/>
      <c r="D1" s="151"/>
      <c r="E1" s="152"/>
    </row>
    <row r="2">
      <c r="B2" s="153" t="s">
        <v>2</v>
      </c>
      <c r="C2" s="86" t="s">
        <v>3</v>
      </c>
      <c r="D2" s="154" t="s">
        <v>4</v>
      </c>
      <c r="E2" s="154" t="s">
        <v>5</v>
      </c>
    </row>
    <row r="3">
      <c r="B3" s="8" t="s">
        <v>3559</v>
      </c>
      <c r="C3" s="33" t="s">
        <v>578</v>
      </c>
      <c r="D3" s="8" t="s">
        <v>3096</v>
      </c>
      <c r="E3" s="135" t="str">
        <f>HYPERLINK("https://youtu.be/ur5ago5ZPEk","channel 1")</f>
        <v>channel 1</v>
      </c>
    </row>
    <row r="4">
      <c r="B4" s="8" t="s">
        <v>2704</v>
      </c>
      <c r="C4" s="155" t="s">
        <v>449</v>
      </c>
      <c r="D4" s="8" t="s">
        <v>3547</v>
      </c>
      <c r="E4" s="156" t="s">
        <v>13</v>
      </c>
    </row>
    <row r="5">
      <c r="B5" s="8" t="s">
        <v>1387</v>
      </c>
      <c r="C5" s="33" t="s">
        <v>197</v>
      </c>
      <c r="D5" s="8" t="s">
        <v>3559</v>
      </c>
      <c r="E5" s="135" t="str">
        <f>HYPERLINK("https://youtu.be/XLHKJnBEQSk","channel 1")</f>
        <v>channel 1</v>
      </c>
    </row>
    <row r="6">
      <c r="B6" s="8" t="s">
        <v>2704</v>
      </c>
      <c r="C6" s="155" t="s">
        <v>449</v>
      </c>
      <c r="D6" s="8" t="s">
        <v>3096</v>
      </c>
      <c r="E6" s="156" t="s">
        <v>13</v>
      </c>
    </row>
    <row r="7">
      <c r="B7" s="8" t="s">
        <v>1387</v>
      </c>
      <c r="C7" s="33" t="s">
        <v>81</v>
      </c>
      <c r="D7" s="8" t="s">
        <v>3547</v>
      </c>
      <c r="E7" s="135" t="str">
        <f>HYPERLINK("https://youtu.be/NV9gq_q4p7c","channel 1")</f>
        <v>channel 1</v>
      </c>
    </row>
    <row r="8">
      <c r="B8" s="8" t="s">
        <v>2704</v>
      </c>
      <c r="C8" s="155" t="s">
        <v>449</v>
      </c>
      <c r="D8" s="8" t="s">
        <v>3559</v>
      </c>
      <c r="E8" s="156" t="s">
        <v>13</v>
      </c>
    </row>
    <row r="9">
      <c r="B9" s="8" t="s">
        <v>1387</v>
      </c>
      <c r="C9" s="33" t="s">
        <v>18</v>
      </c>
      <c r="D9" s="8" t="s">
        <v>3096</v>
      </c>
      <c r="E9" s="135" t="str">
        <f>HYPERLINK("https://youtu.be/4dYv9t_WvVU","channel 1")</f>
        <v>channel 1</v>
      </c>
    </row>
    <row r="10">
      <c r="B10" s="8" t="s">
        <v>3547</v>
      </c>
      <c r="C10" s="33" t="s">
        <v>88</v>
      </c>
      <c r="D10" s="8" t="s">
        <v>3559</v>
      </c>
      <c r="E10" s="116" t="str">
        <f>HYPERLINK("https://youtu.be/tvr3KFDaNHw","channel 2")</f>
        <v>channel 2</v>
      </c>
    </row>
    <row r="11">
      <c r="B11" s="8" t="s">
        <v>1387</v>
      </c>
      <c r="C11" s="155" t="s">
        <v>449</v>
      </c>
      <c r="D11" s="8" t="s">
        <v>2704</v>
      </c>
      <c r="E11" s="141" t="s">
        <v>9</v>
      </c>
    </row>
    <row r="12">
      <c r="B12" s="8" t="s">
        <v>3547</v>
      </c>
      <c r="C12" s="33" t="s">
        <v>212</v>
      </c>
      <c r="D12" s="8" t="s">
        <v>3096</v>
      </c>
      <c r="E12" s="116" t="str">
        <f>HYPERLINK("https://youtu.be/8aTKp9Xu1Ls","channel 2")</f>
        <v>channel 2</v>
      </c>
    </row>
    <row r="13">
      <c r="B13" s="8" t="s">
        <v>3096</v>
      </c>
      <c r="C13" s="33" t="s">
        <v>55</v>
      </c>
      <c r="D13" s="8" t="s">
        <v>3559</v>
      </c>
      <c r="E13" s="135" t="str">
        <f>HYPERLINK("https://youtu.be/5y385hRb8dU","channel 1")</f>
        <v>channel 1</v>
      </c>
    </row>
    <row r="14">
      <c r="B14" s="8" t="s">
        <v>3547</v>
      </c>
      <c r="C14" s="155" t="s">
        <v>449</v>
      </c>
      <c r="D14" s="8" t="s">
        <v>2704</v>
      </c>
      <c r="E14" s="156" t="s">
        <v>13</v>
      </c>
    </row>
    <row r="15">
      <c r="B15" s="8" t="s">
        <v>3559</v>
      </c>
      <c r="C15" s="33" t="s">
        <v>42</v>
      </c>
      <c r="D15" s="8" t="s">
        <v>1387</v>
      </c>
      <c r="E15" s="135" t="str">
        <f>HYPERLINK("https://youtu.be/oJSpEnPWEjU","channel 1")</f>
        <v>channel 1</v>
      </c>
    </row>
    <row r="16">
      <c r="B16" s="8" t="s">
        <v>3096</v>
      </c>
      <c r="C16" s="155" t="s">
        <v>449</v>
      </c>
      <c r="D16" s="8" t="s">
        <v>2704</v>
      </c>
      <c r="E16" s="156" t="s">
        <v>13</v>
      </c>
    </row>
    <row r="17">
      <c r="B17" s="8" t="s">
        <v>3547</v>
      </c>
      <c r="C17" s="33" t="s">
        <v>62</v>
      </c>
      <c r="D17" s="8" t="s">
        <v>1387</v>
      </c>
      <c r="E17" s="135" t="str">
        <f>HYPERLINK("https://youtu.be/0_p9s51irVA","channel 1")</f>
        <v>channel 1</v>
      </c>
    </row>
    <row r="18">
      <c r="B18" s="8" t="s">
        <v>3559</v>
      </c>
      <c r="C18" s="155" t="s">
        <v>449</v>
      </c>
      <c r="D18" s="8" t="s">
        <v>2704</v>
      </c>
      <c r="E18" s="156" t="s">
        <v>13</v>
      </c>
    </row>
    <row r="19">
      <c r="B19" s="8" t="s">
        <v>3096</v>
      </c>
      <c r="C19" s="33" t="s">
        <v>68</v>
      </c>
      <c r="D19" s="8" t="s">
        <v>1387</v>
      </c>
      <c r="E19" s="135" t="str">
        <f>HYPERLINK("https://www.youtube.com/watch?v=kFTJ_Js7n8Y","channel 1")</f>
        <v>channel 1</v>
      </c>
    </row>
    <row r="20">
      <c r="B20" s="8" t="s">
        <v>3559</v>
      </c>
      <c r="C20" s="33" t="s">
        <v>196</v>
      </c>
      <c r="D20" s="8" t="s">
        <v>3547</v>
      </c>
      <c r="E20" s="116" t="str">
        <f>HYPERLINK("https://youtu.be/V3XE-JgnKjo","channel 2")</f>
        <v>channel 2</v>
      </c>
    </row>
    <row r="21">
      <c r="B21" s="8" t="s">
        <v>2704</v>
      </c>
      <c r="C21" s="155" t="s">
        <v>449</v>
      </c>
      <c r="D21" s="8" t="s">
        <v>1387</v>
      </c>
      <c r="E21" s="141" t="s">
        <v>9</v>
      </c>
    </row>
    <row r="22">
      <c r="B22" s="8" t="s">
        <v>3096</v>
      </c>
      <c r="C22" s="33" t="s">
        <v>72</v>
      </c>
      <c r="D22" s="8" t="s">
        <v>3547</v>
      </c>
      <c r="E22" s="116" t="str">
        <f>HYPERLINK("https://youtu.be/yWlPl9w7vnI","channel 2")</f>
        <v>channel 2</v>
      </c>
    </row>
    <row r="23">
      <c r="B23" s="150" t="s">
        <v>4124</v>
      </c>
      <c r="C23" s="151"/>
      <c r="D23" s="151"/>
      <c r="E23" s="152"/>
    </row>
    <row r="24">
      <c r="B24" s="153" t="s">
        <v>2</v>
      </c>
      <c r="C24" s="86" t="s">
        <v>3</v>
      </c>
      <c r="D24" s="154" t="s">
        <v>4</v>
      </c>
      <c r="E24" s="154" t="s">
        <v>5</v>
      </c>
    </row>
    <row r="25">
      <c r="B25" s="8" t="s">
        <v>3756</v>
      </c>
      <c r="C25" s="33" t="s">
        <v>48</v>
      </c>
      <c r="D25" s="8" t="s">
        <v>2593</v>
      </c>
      <c r="E25" s="135" t="str">
        <f>HYPERLINK("https://youtu.be/Kj0-hfaWCbI","channel 1")</f>
        <v>channel 1</v>
      </c>
    </row>
    <row r="26">
      <c r="B26" s="8" t="s">
        <v>3367</v>
      </c>
      <c r="C26" s="33" t="s">
        <v>72</v>
      </c>
      <c r="D26" s="8" t="s">
        <v>4125</v>
      </c>
      <c r="E26" s="116" t="str">
        <f>HYPERLINK("https://youtu.be/KDprXAbu9UE","channel 2")</f>
        <v>channel 2</v>
      </c>
    </row>
    <row r="27">
      <c r="B27" s="8" t="s">
        <v>4126</v>
      </c>
      <c r="C27" s="33" t="s">
        <v>217</v>
      </c>
      <c r="D27" s="8" t="s">
        <v>3756</v>
      </c>
      <c r="E27" s="135" t="str">
        <f>HYPERLINK("https://youtu.be/S3N8KDLY_qc","channel 1")</f>
        <v>channel 1</v>
      </c>
    </row>
    <row r="28">
      <c r="B28" s="8" t="s">
        <v>3367</v>
      </c>
      <c r="C28" s="33" t="s">
        <v>11</v>
      </c>
      <c r="D28" s="8" t="s">
        <v>2593</v>
      </c>
      <c r="E28" s="116" t="str">
        <f>HYPERLINK("https://youtu.be/p20YvOE7xRI","channel 2")</f>
        <v>channel 2</v>
      </c>
    </row>
    <row r="29">
      <c r="B29" s="8" t="s">
        <v>4126</v>
      </c>
      <c r="C29" s="33" t="s">
        <v>232</v>
      </c>
      <c r="D29" s="8" t="s">
        <v>4125</v>
      </c>
      <c r="E29" s="135" t="str">
        <f>HYPERLINK("https://youtu.be/9KBULKAiGCY","channel 1")</f>
        <v>channel 1</v>
      </c>
    </row>
    <row r="30">
      <c r="B30" s="8" t="s">
        <v>3367</v>
      </c>
      <c r="C30" s="33" t="s">
        <v>212</v>
      </c>
      <c r="D30" s="8" t="s">
        <v>3756</v>
      </c>
      <c r="E30" s="116" t="str">
        <f>HYPERLINK("https://youtu.be/ZNCzPMK7emQ","channel 2")</f>
        <v>channel 2</v>
      </c>
    </row>
    <row r="31">
      <c r="B31" s="8" t="s">
        <v>4126</v>
      </c>
      <c r="C31" s="33" t="s">
        <v>197</v>
      </c>
      <c r="D31" s="8" t="s">
        <v>2593</v>
      </c>
      <c r="E31" s="135" t="str">
        <f>HYPERLINK("https://youtu.be/ACbPOEvfpSs","channel 1")</f>
        <v>channel 1</v>
      </c>
    </row>
    <row r="32">
      <c r="B32" s="8" t="s">
        <v>4125</v>
      </c>
      <c r="C32" s="33" t="s">
        <v>389</v>
      </c>
      <c r="D32" s="8" t="s">
        <v>3756</v>
      </c>
      <c r="E32" s="116" t="str">
        <f>HYPERLINK("https://youtu.be/awVlb8jCHbw","channel 2")</f>
        <v>channel 2</v>
      </c>
    </row>
    <row r="33">
      <c r="B33" s="8" t="s">
        <v>4126</v>
      </c>
      <c r="C33" s="33" t="s">
        <v>4127</v>
      </c>
      <c r="D33" s="8" t="s">
        <v>3367</v>
      </c>
      <c r="E33" s="135" t="str">
        <f>HYPERLINK("https://youtu.be/g1J6lt9v7Lk","channel 1")</f>
        <v>channel 1</v>
      </c>
    </row>
    <row r="34">
      <c r="B34" s="8" t="s">
        <v>4125</v>
      </c>
      <c r="C34" s="33" t="s">
        <v>28</v>
      </c>
      <c r="D34" s="8" t="s">
        <v>2593</v>
      </c>
      <c r="E34" s="116" t="str">
        <f>HYPERLINK("https://youtu.be/5uguTrnGGaw","channel 2")</f>
        <v>channel 2</v>
      </c>
    </row>
    <row r="35">
      <c r="B35" s="8" t="s">
        <v>2593</v>
      </c>
      <c r="C35" s="33" t="s">
        <v>18</v>
      </c>
      <c r="D35" s="8" t="s">
        <v>3756</v>
      </c>
      <c r="E35" s="135" t="str">
        <f>HYPERLINK("https://youtu.be/m6TKW1WQlAk","channel 1")</f>
        <v>channel 1</v>
      </c>
    </row>
    <row r="36">
      <c r="B36" s="8" t="s">
        <v>4125</v>
      </c>
      <c r="C36" s="33" t="s">
        <v>64</v>
      </c>
      <c r="D36" s="8" t="s">
        <v>3367</v>
      </c>
      <c r="E36" s="116" t="str">
        <f>HYPERLINK("https://youtu.be/u-AI3_SzCXc","channel 2")</f>
        <v>channel 2</v>
      </c>
    </row>
    <row r="37">
      <c r="B37" s="8" t="s">
        <v>3756</v>
      </c>
      <c r="C37" s="33" t="s">
        <v>426</v>
      </c>
      <c r="D37" s="8" t="s">
        <v>4126</v>
      </c>
      <c r="E37" s="135" t="str">
        <f>HYPERLINK("https://youtu.be/sRFj9lZ-_n8","channel 1")</f>
        <v>channel 1</v>
      </c>
    </row>
    <row r="38">
      <c r="B38" s="8" t="s">
        <v>2593</v>
      </c>
      <c r="C38" s="33" t="s">
        <v>76</v>
      </c>
      <c r="D38" s="8" t="s">
        <v>3367</v>
      </c>
      <c r="E38" s="116" t="str">
        <f>HYPERLINK("https://youtu.be/W8eOiBfBa2w","channel 2")</f>
        <v>channel 2</v>
      </c>
    </row>
    <row r="39">
      <c r="B39" s="8" t="s">
        <v>4125</v>
      </c>
      <c r="C39" s="35" t="s">
        <v>291</v>
      </c>
      <c r="D39" s="8" t="s">
        <v>4126</v>
      </c>
      <c r="E39" s="135" t="str">
        <f>HYPERLINK("https://youtu.be/ZQRKQFyDZLo","channel 1")</f>
        <v>channel 1</v>
      </c>
    </row>
    <row r="40">
      <c r="B40" s="8" t="s">
        <v>3756</v>
      </c>
      <c r="C40" s="33" t="s">
        <v>362</v>
      </c>
      <c r="D40" s="8" t="s">
        <v>3367</v>
      </c>
      <c r="E40" s="116" t="str">
        <f>HYPERLINK("https://youtu.be/ox9czmGcyY8","channel 2")</f>
        <v>channel 2</v>
      </c>
    </row>
    <row r="41">
      <c r="B41" s="8" t="s">
        <v>2593</v>
      </c>
      <c r="C41" s="33" t="s">
        <v>62</v>
      </c>
      <c r="D41" s="8" t="s">
        <v>4126</v>
      </c>
      <c r="E41" s="135" t="str">
        <f>HYPERLINK("https://youtu.be/mNjQlThKSyc","channel 1")</f>
        <v>channel 1</v>
      </c>
    </row>
    <row r="42">
      <c r="B42" s="8" t="s">
        <v>3756</v>
      </c>
      <c r="C42" s="33" t="s">
        <v>62</v>
      </c>
      <c r="D42" s="8" t="s">
        <v>4125</v>
      </c>
      <c r="E42" s="116" t="str">
        <f>HYPERLINK("https://youtu.be/0nUm6yvkYmI","channel 2")</f>
        <v>channel 2</v>
      </c>
    </row>
    <row r="43">
      <c r="B43" s="8" t="s">
        <v>3367</v>
      </c>
      <c r="C43" s="33" t="s">
        <v>190</v>
      </c>
      <c r="D43" s="8" t="s">
        <v>4126</v>
      </c>
      <c r="E43" s="135" t="str">
        <f>HYPERLINK("https://youtu.be/YoptR8z7V2w","channel 1")</f>
        <v>channel 1</v>
      </c>
    </row>
    <row r="44">
      <c r="B44" s="8" t="s">
        <v>2593</v>
      </c>
      <c r="C44" s="33" t="s">
        <v>218</v>
      </c>
      <c r="D44" s="8" t="s">
        <v>4125</v>
      </c>
      <c r="E44" s="116" t="str">
        <f>HYPERLINK("https://youtu.be/2FU7IY1oGzA","channel 2")</f>
        <v>channel 2</v>
      </c>
    </row>
    <row r="45">
      <c r="B45" s="150" t="s">
        <v>2316</v>
      </c>
      <c r="C45" s="151"/>
      <c r="D45" s="151"/>
      <c r="E45" s="152"/>
    </row>
    <row r="46">
      <c r="B46" s="153" t="s">
        <v>2</v>
      </c>
      <c r="C46" s="86" t="s">
        <v>3</v>
      </c>
      <c r="D46" s="154" t="s">
        <v>4</v>
      </c>
      <c r="E46" s="154" t="s">
        <v>5</v>
      </c>
    </row>
    <row r="47">
      <c r="B47" s="8" t="s">
        <v>3632</v>
      </c>
      <c r="C47" s="33" t="s">
        <v>19</v>
      </c>
      <c r="D47" s="8" t="s">
        <v>675</v>
      </c>
      <c r="E47" s="135" t="str">
        <f>HYPERLINK("https://youtu.be/WKw1tRWV1fU","channel 1")</f>
        <v>channel 1</v>
      </c>
    </row>
    <row r="48">
      <c r="B48" s="8" t="s">
        <v>4128</v>
      </c>
      <c r="C48" s="33" t="s">
        <v>285</v>
      </c>
      <c r="D48" s="8" t="s">
        <v>4129</v>
      </c>
      <c r="E48" s="116" t="str">
        <f>HYPERLINK("https://youtu.be/a-qNZvRzhY4","channel 2")</f>
        <v>channel 2</v>
      </c>
    </row>
    <row r="49">
      <c r="B49" s="8" t="s">
        <v>3614</v>
      </c>
      <c r="C49" s="33" t="s">
        <v>218</v>
      </c>
      <c r="D49" s="8" t="s">
        <v>3632</v>
      </c>
      <c r="E49" s="135" t="str">
        <f>HYPERLINK("https://youtu.be/GvQmKTzZFTE","channel 1")</f>
        <v>channel 1</v>
      </c>
    </row>
    <row r="50">
      <c r="B50" s="8" t="s">
        <v>4128</v>
      </c>
      <c r="C50" s="33" t="s">
        <v>11</v>
      </c>
      <c r="D50" s="8" t="s">
        <v>675</v>
      </c>
      <c r="E50" s="116" t="str">
        <f>HYPERLINK("https://youtu.be/oeyqgU9KV4M","channel 2")</f>
        <v>channel 2</v>
      </c>
    </row>
    <row r="51">
      <c r="B51" s="8" t="s">
        <v>3614</v>
      </c>
      <c r="C51" s="33" t="s">
        <v>494</v>
      </c>
      <c r="D51" s="8" t="s">
        <v>4129</v>
      </c>
      <c r="E51" s="135" t="str">
        <f>HYPERLINK("https://youtu.be/r5CpvjQ3eaA","channel 1")</f>
        <v>channel 1</v>
      </c>
    </row>
    <row r="52">
      <c r="B52" s="8" t="s">
        <v>4128</v>
      </c>
      <c r="C52" s="33" t="s">
        <v>41</v>
      </c>
      <c r="D52" s="8" t="s">
        <v>3632</v>
      </c>
      <c r="E52" s="116" t="str">
        <f>HYPERLINK("https://youtu.be/6KTIar8n854","channel 2")</f>
        <v>channel 2</v>
      </c>
    </row>
    <row r="53">
      <c r="B53" s="8" t="s">
        <v>3614</v>
      </c>
      <c r="C53" s="33" t="s">
        <v>218</v>
      </c>
      <c r="D53" s="8" t="s">
        <v>675</v>
      </c>
      <c r="E53" s="135" t="str">
        <f>HYPERLINK("https://youtu.be/YaG7vcruIU4","channel 1")</f>
        <v>channel 1</v>
      </c>
    </row>
    <row r="54">
      <c r="B54" s="8" t="s">
        <v>4129</v>
      </c>
      <c r="C54" s="33" t="s">
        <v>208</v>
      </c>
      <c r="D54" s="8" t="s">
        <v>3632</v>
      </c>
      <c r="E54" s="116" t="str">
        <f>HYPERLINK("https://youtu.be/W8B3zjpnWQk","channel 2")</f>
        <v>channel 2</v>
      </c>
    </row>
    <row r="55">
      <c r="B55" s="8" t="s">
        <v>3614</v>
      </c>
      <c r="C55" s="33" t="s">
        <v>329</v>
      </c>
      <c r="D55" s="8" t="s">
        <v>4128</v>
      </c>
      <c r="E55" s="135" t="str">
        <f>HYPERLINK("https://youtu.be/PEJsgTN9QP4","channel 1")</f>
        <v>channel 1</v>
      </c>
    </row>
    <row r="56">
      <c r="B56" s="8" t="s">
        <v>4129</v>
      </c>
      <c r="C56" s="33" t="s">
        <v>43</v>
      </c>
      <c r="D56" s="8" t="s">
        <v>675</v>
      </c>
      <c r="E56" s="116" t="str">
        <f>HYPERLINK("https://youtu.be/LeZ9YrO7TAw","channel 2")</f>
        <v>channel 2</v>
      </c>
    </row>
    <row r="57">
      <c r="B57" s="8" t="s">
        <v>675</v>
      </c>
      <c r="C57" s="33" t="s">
        <v>912</v>
      </c>
      <c r="D57" s="8" t="s">
        <v>3632</v>
      </c>
      <c r="E57" s="135" t="str">
        <f>HYPERLINK("https://youtu.be/IKvrk0derG8","channel 1")</f>
        <v>channel 1</v>
      </c>
    </row>
    <row r="58">
      <c r="B58" s="8" t="s">
        <v>4129</v>
      </c>
      <c r="C58" s="33" t="s">
        <v>4130</v>
      </c>
      <c r="D58" s="8" t="s">
        <v>4128</v>
      </c>
      <c r="E58" s="116" t="str">
        <f>HYPERLINK("https://youtu.be/e9v7M0edkhs","channel 2")</f>
        <v>channel 2</v>
      </c>
    </row>
    <row r="59">
      <c r="B59" s="8" t="s">
        <v>3632</v>
      </c>
      <c r="C59" s="33" t="s">
        <v>27</v>
      </c>
      <c r="D59" s="8" t="s">
        <v>3614</v>
      </c>
      <c r="E59" s="135" t="str">
        <f>HYPERLINK("https://youtu.be/WYJP_Ss-XIk","channel 1")</f>
        <v>channel 1</v>
      </c>
    </row>
    <row r="60">
      <c r="B60" s="8" t="s">
        <v>675</v>
      </c>
      <c r="C60" s="33" t="s">
        <v>950</v>
      </c>
      <c r="D60" s="8" t="s">
        <v>4128</v>
      </c>
      <c r="E60" s="116" t="str">
        <f>HYPERLINK("https://youtu.be/J2dKZ8pdBkI","channel 2")</f>
        <v>channel 2</v>
      </c>
    </row>
    <row r="61">
      <c r="B61" s="8" t="s">
        <v>4129</v>
      </c>
      <c r="C61" s="33" t="s">
        <v>2596</v>
      </c>
      <c r="D61" s="8" t="s">
        <v>3614</v>
      </c>
      <c r="E61" s="135" t="str">
        <f>HYPERLINK("https://youtu.be/jitGlNXfvGE","channel 1")</f>
        <v>channel 1</v>
      </c>
    </row>
    <row r="62">
      <c r="B62" s="8" t="s">
        <v>3632</v>
      </c>
      <c r="C62" s="35" t="s">
        <v>509</v>
      </c>
      <c r="D62" s="8" t="s">
        <v>4128</v>
      </c>
      <c r="E62" s="116" t="str">
        <f>HYPERLINK("https://youtu.be/Sis3DEH5W5g","channel 2")</f>
        <v>channel 2</v>
      </c>
    </row>
    <row r="63">
      <c r="B63" s="8" t="s">
        <v>675</v>
      </c>
      <c r="C63" s="33" t="s">
        <v>21</v>
      </c>
      <c r="D63" s="8" t="s">
        <v>3614</v>
      </c>
      <c r="E63" s="135" t="str">
        <f>HYPERLINK("https://youtu.be/u_PeompwBmw","channel 1")</f>
        <v>channel 1</v>
      </c>
    </row>
    <row r="64">
      <c r="B64" s="8" t="s">
        <v>3632</v>
      </c>
      <c r="C64" s="33" t="s">
        <v>71</v>
      </c>
      <c r="D64" s="8" t="s">
        <v>4129</v>
      </c>
      <c r="E64" s="116" t="str">
        <f>HYPERLINK("https://youtu.be/02KQK_zHB4o","channel 2")</f>
        <v>channel 2</v>
      </c>
    </row>
    <row r="65">
      <c r="B65" s="8" t="s">
        <v>4128</v>
      </c>
      <c r="C65" s="33" t="s">
        <v>17</v>
      </c>
      <c r="D65" s="8" t="s">
        <v>3614</v>
      </c>
      <c r="E65" s="135" t="str">
        <f>HYPERLINK("https://youtu.be/ca85iCpk4O0","channel 1")</f>
        <v>channel 1</v>
      </c>
    </row>
    <row r="66">
      <c r="B66" s="8" t="s">
        <v>675</v>
      </c>
      <c r="C66" s="33" t="s">
        <v>321</v>
      </c>
      <c r="D66" s="8" t="s">
        <v>4129</v>
      </c>
      <c r="E66" s="116" t="str">
        <f>HYPERLINK("https://youtu.be/fwrAO3tANiE","channel 2")</f>
        <v>channel 2</v>
      </c>
    </row>
    <row r="67">
      <c r="B67" s="157" t="s">
        <v>2923</v>
      </c>
      <c r="C67" s="151"/>
      <c r="D67" s="151"/>
      <c r="E67" s="152"/>
    </row>
    <row r="68">
      <c r="B68" s="85" t="s">
        <v>2</v>
      </c>
      <c r="C68" s="86" t="s">
        <v>3</v>
      </c>
      <c r="D68" s="86" t="s">
        <v>4</v>
      </c>
      <c r="E68" s="86" t="s">
        <v>5</v>
      </c>
    </row>
    <row r="69">
      <c r="B69" s="8" t="s">
        <v>4131</v>
      </c>
      <c r="C69" s="33" t="s">
        <v>218</v>
      </c>
      <c r="D69" s="8" t="s">
        <v>2546</v>
      </c>
      <c r="E69" s="135" t="str">
        <f>HYPERLINK("https://youtu.be/MnocMf0Nz8A","channel 1")</f>
        <v>channel 1</v>
      </c>
    </row>
    <row r="70">
      <c r="B70" s="8" t="s">
        <v>4132</v>
      </c>
      <c r="C70" s="33" t="s">
        <v>362</v>
      </c>
      <c r="D70" s="8" t="s">
        <v>4133</v>
      </c>
      <c r="E70" s="116" t="str">
        <f>HYPERLINK("https://youtu.be/jbwB9G3x5j8","channel 2")</f>
        <v>channel 2</v>
      </c>
    </row>
    <row r="71">
      <c r="B71" s="8" t="s">
        <v>3712</v>
      </c>
      <c r="C71" s="33" t="s">
        <v>289</v>
      </c>
      <c r="D71" s="8" t="s">
        <v>4131</v>
      </c>
      <c r="E71" s="135" t="str">
        <f>HYPERLINK("https://youtu.be/9x8RSvFVPY8","channel 1")</f>
        <v>channel 1</v>
      </c>
    </row>
    <row r="72">
      <c r="B72" s="8" t="s">
        <v>4132</v>
      </c>
      <c r="C72" s="33" t="s">
        <v>338</v>
      </c>
      <c r="D72" s="8" t="s">
        <v>2546</v>
      </c>
      <c r="E72" s="116" t="str">
        <f>HYPERLINK("https://youtu.be/IZ64FgQebEY","channel 2")</f>
        <v>channel 2</v>
      </c>
    </row>
    <row r="73">
      <c r="B73" s="8" t="s">
        <v>3712</v>
      </c>
      <c r="C73" s="33" t="s">
        <v>857</v>
      </c>
      <c r="D73" s="8" t="s">
        <v>4133</v>
      </c>
      <c r="E73" s="135" t="str">
        <f>HYPERLINK("https://youtu.be/xjo16Ivdx6Y","channel 1")</f>
        <v>channel 1</v>
      </c>
    </row>
    <row r="74">
      <c r="B74" s="8" t="s">
        <v>4132</v>
      </c>
      <c r="C74" s="33" t="s">
        <v>78</v>
      </c>
      <c r="D74" s="8" t="s">
        <v>4131</v>
      </c>
      <c r="E74" s="116" t="str">
        <f>HYPERLINK("https://youtu.be/GWLjpr31eKY","channel 2")</f>
        <v>channel 2</v>
      </c>
    </row>
    <row r="75">
      <c r="B75" s="8" t="s">
        <v>3712</v>
      </c>
      <c r="C75" s="33" t="s">
        <v>190</v>
      </c>
      <c r="D75" s="8" t="s">
        <v>2546</v>
      </c>
      <c r="E75" s="135" t="str">
        <f>HYPERLINK("https://youtu.be/yZqK2rGSsrs","channel 1")</f>
        <v>channel 1</v>
      </c>
    </row>
    <row r="76">
      <c r="B76" s="8" t="s">
        <v>4133</v>
      </c>
      <c r="C76" s="33" t="s">
        <v>35</v>
      </c>
      <c r="D76" s="8" t="s">
        <v>4131</v>
      </c>
      <c r="E76" s="116" t="str">
        <f>HYPERLINK("https://youtu.be/FPPcAUdbPQU","channel 2")</f>
        <v>channel 2</v>
      </c>
    </row>
    <row r="77">
      <c r="B77" s="8" t="s">
        <v>3712</v>
      </c>
      <c r="C77" s="33" t="s">
        <v>88</v>
      </c>
      <c r="D77" s="8" t="s">
        <v>4132</v>
      </c>
      <c r="E77" s="135" t="str">
        <f>HYPERLINK("https://youtu.be/4G7lhDiJ1K4","channel 1")</f>
        <v>channel 1</v>
      </c>
    </row>
    <row r="78">
      <c r="B78" s="8" t="s">
        <v>4133</v>
      </c>
      <c r="C78" s="33" t="s">
        <v>7</v>
      </c>
      <c r="D78" s="8" t="s">
        <v>2546</v>
      </c>
      <c r="E78" s="116" t="str">
        <f>HYPERLINK("https://youtu.be/Q1Qpf4cmU40","channel 2")</f>
        <v>channel 2</v>
      </c>
    </row>
    <row r="79">
      <c r="B79" s="8" t="s">
        <v>2546</v>
      </c>
      <c r="C79" s="33" t="s">
        <v>17</v>
      </c>
      <c r="D79" s="8" t="s">
        <v>4131</v>
      </c>
      <c r="E79" s="135" t="str">
        <f>HYPERLINK("https://youtu.be/RnKwHX3gKlA","channel 1")</f>
        <v>channel 1</v>
      </c>
    </row>
    <row r="80">
      <c r="B80" s="8" t="s">
        <v>4133</v>
      </c>
      <c r="C80" s="33" t="s">
        <v>488</v>
      </c>
      <c r="D80" s="8" t="s">
        <v>4132</v>
      </c>
      <c r="E80" s="116" t="str">
        <f>HYPERLINK("https://youtu.be/tPZfC1ZfLhM","channel 2")</f>
        <v>channel 2</v>
      </c>
    </row>
    <row r="81">
      <c r="B81" s="8" t="s">
        <v>4131</v>
      </c>
      <c r="C81" s="33" t="s">
        <v>71</v>
      </c>
      <c r="D81" s="8" t="s">
        <v>3712</v>
      </c>
      <c r="E81" s="135" t="str">
        <f>HYPERLINK("https://youtu.be/NNb1RjuAl8U","channel 1")</f>
        <v>channel 1</v>
      </c>
    </row>
    <row r="82">
      <c r="B82" s="8" t="s">
        <v>2546</v>
      </c>
      <c r="C82" s="33" t="s">
        <v>65</v>
      </c>
      <c r="D82" s="8" t="s">
        <v>4132</v>
      </c>
      <c r="E82" s="116" t="str">
        <f>HYPERLINK("https://youtu.be/zHDoYUgGFqw","channel 2")</f>
        <v>channel 2</v>
      </c>
    </row>
    <row r="83">
      <c r="B83" s="8" t="s">
        <v>4133</v>
      </c>
      <c r="C83" s="33" t="s">
        <v>550</v>
      </c>
      <c r="D83" s="8" t="s">
        <v>3712</v>
      </c>
      <c r="E83" s="135" t="str">
        <f>HYPERLINK("https://youtu.be/z6V2emUSyg0","channel 1")</f>
        <v>channel 1</v>
      </c>
    </row>
    <row r="84">
      <c r="B84" s="8" t="s">
        <v>4131</v>
      </c>
      <c r="C84" s="33" t="s">
        <v>297</v>
      </c>
      <c r="D84" s="8" t="s">
        <v>4132</v>
      </c>
      <c r="E84" s="116" t="str">
        <f>HYPERLINK("https://youtu.be/9XPVIxZ3f4w","channel 2")</f>
        <v>channel 2</v>
      </c>
    </row>
    <row r="85">
      <c r="B85" s="8" t="s">
        <v>2546</v>
      </c>
      <c r="C85" s="33" t="s">
        <v>251</v>
      </c>
      <c r="D85" s="8" t="s">
        <v>3712</v>
      </c>
      <c r="E85" s="135" t="str">
        <f>HYPERLINK("https://youtu.be/fU46L6m_jxs","channel 1")</f>
        <v>channel 1</v>
      </c>
    </row>
    <row r="86">
      <c r="B86" s="8" t="s">
        <v>4131</v>
      </c>
      <c r="C86" s="33" t="s">
        <v>195</v>
      </c>
      <c r="D86" s="8" t="s">
        <v>4133</v>
      </c>
      <c r="E86" s="116" t="str">
        <f>HYPERLINK("https://youtu.be/C3JJgz1nI7w","channel 2")</f>
        <v>channel 2</v>
      </c>
    </row>
    <row r="87">
      <c r="B87" s="8" t="s">
        <v>4132</v>
      </c>
      <c r="C87" s="33" t="s">
        <v>302</v>
      </c>
      <c r="D87" s="8" t="s">
        <v>3712</v>
      </c>
      <c r="E87" s="135" t="str">
        <f>HYPERLINK("https://youtu.be/pUn7TBQMInI","channel 1")</f>
        <v>channel 1</v>
      </c>
    </row>
    <row r="88">
      <c r="B88" s="8" t="s">
        <v>2546</v>
      </c>
      <c r="C88" s="33" t="s">
        <v>21</v>
      </c>
      <c r="D88" s="8" t="s">
        <v>4133</v>
      </c>
      <c r="E88" s="116" t="str">
        <f>HYPERLINK("https://youtu.be/Lp5xPGdLpHU","channel 2")</f>
        <v>channel 2</v>
      </c>
    </row>
    <row r="89">
      <c r="B89" s="148"/>
      <c r="C89" s="148"/>
      <c r="D89" s="148"/>
      <c r="E89" s="149"/>
    </row>
    <row r="90">
      <c r="B90" s="148"/>
      <c r="C90" s="148"/>
      <c r="D90" s="148"/>
      <c r="E90" s="149"/>
    </row>
    <row r="91">
      <c r="B91" s="148"/>
      <c r="C91" s="148"/>
      <c r="D91" s="148"/>
      <c r="E91" s="149"/>
    </row>
    <row r="92">
      <c r="B92" s="148"/>
      <c r="C92" s="148"/>
      <c r="D92" s="148"/>
      <c r="E92" s="149"/>
    </row>
    <row r="93">
      <c r="B93" s="148"/>
      <c r="C93" s="148"/>
      <c r="D93" s="148"/>
      <c r="E93" s="149"/>
    </row>
    <row r="94">
      <c r="B94" s="148"/>
      <c r="C94" s="148"/>
      <c r="D94" s="148"/>
      <c r="E94" s="149"/>
    </row>
    <row r="95">
      <c r="B95" s="148"/>
      <c r="C95" s="148"/>
      <c r="D95" s="148"/>
      <c r="E95" s="149"/>
    </row>
    <row r="96">
      <c r="B96" s="148"/>
      <c r="C96" s="148"/>
      <c r="D96" s="148"/>
      <c r="E96" s="149"/>
    </row>
    <row r="97">
      <c r="B97" s="148"/>
      <c r="C97" s="148"/>
      <c r="D97" s="148"/>
      <c r="E97" s="149"/>
    </row>
    <row r="98">
      <c r="B98" s="148"/>
      <c r="C98" s="148"/>
      <c r="D98" s="148"/>
      <c r="E98" s="149"/>
    </row>
    <row r="99">
      <c r="B99" s="148"/>
      <c r="C99" s="148"/>
      <c r="D99" s="148"/>
      <c r="E99" s="149"/>
    </row>
    <row r="100">
      <c r="B100" s="148"/>
      <c r="C100" s="148"/>
      <c r="D100" s="148"/>
      <c r="E100" s="149"/>
    </row>
    <row r="101">
      <c r="B101" s="148"/>
      <c r="C101" s="148"/>
      <c r="D101" s="148"/>
      <c r="E101" s="149"/>
    </row>
    <row r="102">
      <c r="B102" s="148"/>
      <c r="C102" s="148"/>
      <c r="D102" s="148"/>
      <c r="E102" s="149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0" t="s">
        <v>1659</v>
      </c>
      <c r="C1" s="151"/>
      <c r="D1" s="151"/>
      <c r="E1" s="152"/>
    </row>
    <row r="2">
      <c r="B2" s="153" t="s">
        <v>2</v>
      </c>
      <c r="C2" s="86" t="s">
        <v>3</v>
      </c>
      <c r="D2" s="154" t="s">
        <v>4</v>
      </c>
      <c r="E2" s="154" t="s">
        <v>5</v>
      </c>
    </row>
    <row r="3">
      <c r="B3" s="8" t="s">
        <v>3833</v>
      </c>
      <c r="C3" s="33" t="s">
        <v>25</v>
      </c>
      <c r="D3" s="8" t="s">
        <v>4134</v>
      </c>
      <c r="E3" s="135" t="str">
        <f>HYPERLINK("https://youtu.be/h3FxEFnepS4","channel 1")</f>
        <v>channel 1</v>
      </c>
    </row>
    <row r="4">
      <c r="B4" s="8" t="s">
        <v>4135</v>
      </c>
      <c r="C4" s="33" t="s">
        <v>44</v>
      </c>
      <c r="D4" s="8" t="s">
        <v>4136</v>
      </c>
      <c r="E4" s="116" t="str">
        <f>HYPERLINK("https://youtu.be/KP8UCf4HoRE","channel 2")</f>
        <v>channel 2</v>
      </c>
    </row>
    <row r="5">
      <c r="B5" s="8" t="s">
        <v>4137</v>
      </c>
      <c r="C5" s="33" t="s">
        <v>370</v>
      </c>
      <c r="D5" s="8" t="s">
        <v>3833</v>
      </c>
      <c r="E5" s="135" t="str">
        <f>HYPERLINK("https://youtu.be/_95uhmHU298","channel 1")</f>
        <v>channel 1</v>
      </c>
    </row>
    <row r="6">
      <c r="B6" s="8" t="s">
        <v>4135</v>
      </c>
      <c r="C6" s="33" t="s">
        <v>260</v>
      </c>
      <c r="D6" s="8" t="s">
        <v>4134</v>
      </c>
      <c r="E6" s="116" t="str">
        <f>HYPERLINK("https://youtu.be/OCJdR8san2g","channel 2")</f>
        <v>channel 2</v>
      </c>
    </row>
    <row r="7">
      <c r="B7" s="8" t="s">
        <v>4137</v>
      </c>
      <c r="C7" s="33" t="s">
        <v>278</v>
      </c>
      <c r="D7" s="8" t="s">
        <v>4136</v>
      </c>
      <c r="E7" s="135" t="str">
        <f>HYPERLINK("https://youtu.be/-ykKLQGIBuM","channel 1")</f>
        <v>channel 1</v>
      </c>
    </row>
    <row r="8">
      <c r="B8" s="8" t="s">
        <v>4135</v>
      </c>
      <c r="C8" s="33" t="s">
        <v>201</v>
      </c>
      <c r="D8" s="8" t="s">
        <v>3833</v>
      </c>
      <c r="E8" s="116" t="str">
        <f>HYPERLINK("https://youtu.be/twLaDsbLLbA","channel 2")</f>
        <v>channel 2</v>
      </c>
    </row>
    <row r="9">
      <c r="B9" s="8" t="s">
        <v>4137</v>
      </c>
      <c r="C9" s="33" t="s">
        <v>414</v>
      </c>
      <c r="D9" s="8" t="s">
        <v>4134</v>
      </c>
      <c r="E9" s="135" t="str">
        <f>HYPERLINK("https://youtu.be/Fr5Uw9AqVCk","channel 1")</f>
        <v>channel 1</v>
      </c>
    </row>
    <row r="10">
      <c r="B10" s="8" t="s">
        <v>4136</v>
      </c>
      <c r="C10" s="33" t="s">
        <v>4138</v>
      </c>
      <c r="D10" s="8" t="s">
        <v>3833</v>
      </c>
      <c r="E10" s="116" t="str">
        <f>HYPERLINK("https://youtu.be/Yz04OqBchOA","channel 2")</f>
        <v>channel 2</v>
      </c>
    </row>
    <row r="11">
      <c r="B11" s="8" t="s">
        <v>4137</v>
      </c>
      <c r="C11" s="33" t="s">
        <v>984</v>
      </c>
      <c r="D11" s="8" t="s">
        <v>4135</v>
      </c>
      <c r="E11" s="135" t="str">
        <f>HYPERLINK("https://youtu.be/dXJ-Jozm4pE","channel 1")</f>
        <v>channel 1</v>
      </c>
    </row>
    <row r="12">
      <c r="B12" s="8" t="s">
        <v>4136</v>
      </c>
      <c r="C12" s="33" t="s">
        <v>329</v>
      </c>
      <c r="D12" s="8" t="s">
        <v>4134</v>
      </c>
      <c r="E12" s="116" t="str">
        <f>HYPERLINK("https://youtu.be/YSbABwP1CIU","channel 2")</f>
        <v>channel 2</v>
      </c>
    </row>
    <row r="13">
      <c r="B13" s="8" t="s">
        <v>4134</v>
      </c>
      <c r="C13" s="33" t="s">
        <v>25</v>
      </c>
      <c r="D13" s="8" t="s">
        <v>3833</v>
      </c>
      <c r="E13" s="135" t="str">
        <f>HYPERLINK("https://youtu.be/3GP4vMf5QrI","channel 1")</f>
        <v>channel 1</v>
      </c>
    </row>
    <row r="14">
      <c r="B14" s="8" t="s">
        <v>4136</v>
      </c>
      <c r="C14" s="33" t="s">
        <v>4139</v>
      </c>
      <c r="D14" s="8" t="s">
        <v>4135</v>
      </c>
      <c r="E14" s="116" t="str">
        <f>HYPERLINK("https://youtu.be/vWUUBw-TeeQ","channel 2")</f>
        <v>channel 2</v>
      </c>
    </row>
    <row r="15">
      <c r="B15" s="8" t="s">
        <v>3833</v>
      </c>
      <c r="C15" s="33" t="s">
        <v>906</v>
      </c>
      <c r="D15" s="8" t="s">
        <v>4137</v>
      </c>
      <c r="E15" s="135" t="str">
        <f>HYPERLINK("https://youtu.be/003SQjtMpYo","channel 1")</f>
        <v>channel 1</v>
      </c>
    </row>
    <row r="16">
      <c r="B16" s="8" t="s">
        <v>4134</v>
      </c>
      <c r="C16" s="33" t="s">
        <v>4140</v>
      </c>
      <c r="D16" s="8" t="s">
        <v>4135</v>
      </c>
      <c r="E16" s="116" t="str">
        <f>HYPERLINK("https://www.youtube.com/watch?v=OCJdR8san2g","channel 2")</f>
        <v>channel 2</v>
      </c>
    </row>
    <row r="17">
      <c r="B17" s="8" t="s">
        <v>4136</v>
      </c>
      <c r="C17" s="33" t="s">
        <v>285</v>
      </c>
      <c r="D17" s="8" t="s">
        <v>4137</v>
      </c>
      <c r="E17" s="135" t="str">
        <f>HYPERLINK("https://youtu.be/NOlbN5tU3A8","channel 1")</f>
        <v>channel 1</v>
      </c>
    </row>
    <row r="18">
      <c r="B18" s="8" t="s">
        <v>3833</v>
      </c>
      <c r="C18" s="33" t="s">
        <v>231</v>
      </c>
      <c r="D18" s="8" t="s">
        <v>4135</v>
      </c>
      <c r="E18" s="116" t="str">
        <f>HYPERLINK("https://youtu.be/IQlNQGF2fZY","channel 2")</f>
        <v>channel 2</v>
      </c>
    </row>
    <row r="19">
      <c r="B19" s="8" t="s">
        <v>4134</v>
      </c>
      <c r="C19" s="33" t="s">
        <v>797</v>
      </c>
      <c r="D19" s="8" t="s">
        <v>4137</v>
      </c>
      <c r="E19" s="135" t="str">
        <f>HYPERLINK("https://youtu.be/3dzzzmTYW3A","channel 1")</f>
        <v>channel 1</v>
      </c>
    </row>
    <row r="20">
      <c r="B20" s="8" t="s">
        <v>3833</v>
      </c>
      <c r="C20" s="33" t="s">
        <v>67</v>
      </c>
      <c r="D20" s="8" t="s">
        <v>4136</v>
      </c>
      <c r="E20" s="116" t="str">
        <f>HYPERLINK("https://youtu.be/ZYxlJWrC5JI","channel 2")</f>
        <v>channel 2</v>
      </c>
    </row>
    <row r="21">
      <c r="B21" s="8" t="s">
        <v>4135</v>
      </c>
      <c r="C21" s="33" t="s">
        <v>274</v>
      </c>
      <c r="D21" s="8" t="s">
        <v>4137</v>
      </c>
      <c r="E21" s="135" t="str">
        <f>HYPERLINK("https://youtu.be/NbxYyXY5Ytg","channel 1")</f>
        <v>channel 1</v>
      </c>
    </row>
    <row r="22">
      <c r="B22" s="8" t="s">
        <v>4134</v>
      </c>
      <c r="C22" s="33" t="s">
        <v>193</v>
      </c>
      <c r="D22" s="8" t="s">
        <v>4136</v>
      </c>
      <c r="E22" s="116" t="str">
        <f>HYPERLINK("https://youtu.be/Sa_QY6erlPc","channel 2")</f>
        <v>channel 2</v>
      </c>
    </row>
    <row r="23">
      <c r="B23" s="150" t="s">
        <v>2099</v>
      </c>
      <c r="C23" s="151"/>
      <c r="D23" s="151"/>
      <c r="E23" s="152"/>
    </row>
    <row r="24">
      <c r="B24" s="153" t="s">
        <v>2</v>
      </c>
      <c r="C24" s="86" t="s">
        <v>3</v>
      </c>
      <c r="D24" s="154" t="s">
        <v>4</v>
      </c>
      <c r="E24" s="154" t="s">
        <v>5</v>
      </c>
    </row>
    <row r="25">
      <c r="B25" s="8" t="s">
        <v>4141</v>
      </c>
      <c r="C25" s="33" t="s">
        <v>4142</v>
      </c>
      <c r="D25" s="8" t="s">
        <v>4143</v>
      </c>
      <c r="E25" s="135" t="str">
        <f>HYPERLINK("https://youtu.be/7NQJoVMRLqE","channel 1")</f>
        <v>channel 1</v>
      </c>
    </row>
    <row r="26">
      <c r="B26" s="8" t="s">
        <v>4144</v>
      </c>
      <c r="C26" s="33" t="s">
        <v>72</v>
      </c>
      <c r="D26" s="8" t="s">
        <v>4145</v>
      </c>
      <c r="E26" s="116" t="str">
        <f>HYPERLINK("https://youtu.be/Skac6LMjg3w","channel 2")</f>
        <v>channel 2</v>
      </c>
    </row>
    <row r="27">
      <c r="B27" s="8" t="s">
        <v>3694</v>
      </c>
      <c r="C27" s="33" t="s">
        <v>58</v>
      </c>
      <c r="D27" s="8" t="s">
        <v>4141</v>
      </c>
      <c r="E27" s="135" t="str">
        <f>HYPERLINK("https://youtu.be/rI6VrfmYk3I","channel 1")</f>
        <v>channel 1</v>
      </c>
    </row>
    <row r="28">
      <c r="B28" s="8" t="s">
        <v>4144</v>
      </c>
      <c r="C28" s="33" t="s">
        <v>338</v>
      </c>
      <c r="D28" s="8" t="s">
        <v>4143</v>
      </c>
      <c r="E28" s="116" t="str">
        <f>HYPERLINK("https://youtu.be/dTlz7_U609M","channel 2")</f>
        <v>channel 2</v>
      </c>
    </row>
    <row r="29">
      <c r="B29" s="8" t="s">
        <v>3694</v>
      </c>
      <c r="C29" s="33" t="s">
        <v>695</v>
      </c>
      <c r="D29" s="8" t="s">
        <v>4145</v>
      </c>
      <c r="E29" s="135" t="str">
        <f>HYPERLINK("https://youtu.be/4ZSG31rXOig","channel 1")</f>
        <v>channel 1</v>
      </c>
    </row>
    <row r="30">
      <c r="B30" s="8" t="s">
        <v>4144</v>
      </c>
      <c r="C30" s="33" t="s">
        <v>542</v>
      </c>
      <c r="D30" s="8" t="s">
        <v>4141</v>
      </c>
      <c r="E30" s="116" t="str">
        <f>HYPERLINK("https://youtu.be/0Hm6T3zZxdg","channel 2")</f>
        <v>channel 2</v>
      </c>
    </row>
    <row r="31">
      <c r="B31" s="8" t="s">
        <v>3694</v>
      </c>
      <c r="C31" s="33" t="s">
        <v>866</v>
      </c>
      <c r="D31" s="8" t="s">
        <v>4143</v>
      </c>
      <c r="E31" s="135" t="str">
        <f>HYPERLINK("https://youtu.be/izYsJxtNN3c","channel 1")</f>
        <v>channel 1</v>
      </c>
    </row>
    <row r="32">
      <c r="B32" s="8" t="s">
        <v>4145</v>
      </c>
      <c r="C32" s="33" t="s">
        <v>25</v>
      </c>
      <c r="D32" s="8" t="s">
        <v>4141</v>
      </c>
      <c r="E32" s="116" t="str">
        <f>HYPERLINK("https://youtu.be/OeRsu99q_Dw","channel 2")</f>
        <v>channel 2</v>
      </c>
    </row>
    <row r="33">
      <c r="B33" s="8" t="s">
        <v>3694</v>
      </c>
      <c r="C33" s="33" t="s">
        <v>306</v>
      </c>
      <c r="D33" s="8" t="s">
        <v>4144</v>
      </c>
      <c r="E33" s="135" t="str">
        <f>HYPERLINK("https://youtu.be/2MUtpvsPkUI","channel 1")</f>
        <v>channel 1</v>
      </c>
    </row>
    <row r="34">
      <c r="B34" s="8" t="s">
        <v>4145</v>
      </c>
      <c r="C34" s="33" t="s">
        <v>494</v>
      </c>
      <c r="D34" s="8" t="s">
        <v>4143</v>
      </c>
      <c r="E34" s="116" t="str">
        <f>HYPERLINK("https://youtu.be/AVmbSyNjOTU","channel 2")</f>
        <v>channel 2</v>
      </c>
    </row>
    <row r="35">
      <c r="B35" s="8" t="s">
        <v>4143</v>
      </c>
      <c r="C35" s="33" t="s">
        <v>11</v>
      </c>
      <c r="D35" s="8" t="s">
        <v>4141</v>
      </c>
      <c r="E35" s="135" t="str">
        <f>HYPERLINK("https://youtu.be/qwbDS2yyUUQ","channel 1")</f>
        <v>channel 1</v>
      </c>
    </row>
    <row r="36">
      <c r="B36" s="8" t="s">
        <v>4145</v>
      </c>
      <c r="C36" s="33" t="s">
        <v>217</v>
      </c>
      <c r="D36" s="8" t="s">
        <v>4144</v>
      </c>
      <c r="E36" s="116" t="str">
        <f>HYPERLINK("https://youtu.be/9o2o-oKbyUM","channel 2")</f>
        <v>channel 2</v>
      </c>
    </row>
    <row r="37">
      <c r="B37" s="8" t="s">
        <v>4141</v>
      </c>
      <c r="C37" s="33" t="s">
        <v>16</v>
      </c>
      <c r="D37" s="8" t="s">
        <v>3694</v>
      </c>
      <c r="E37" s="135" t="str">
        <f>HYPERLINK("https://youtu.be/i5rwaFoKToc","channel 1")</f>
        <v>channel 1</v>
      </c>
    </row>
    <row r="38">
      <c r="B38" s="8" t="s">
        <v>4143</v>
      </c>
      <c r="C38" s="33" t="s">
        <v>4146</v>
      </c>
      <c r="D38" s="8" t="s">
        <v>4144</v>
      </c>
      <c r="E38" s="116" t="str">
        <f>HYPERLINK("https://youtu.be/UR2CRXp2gtI","channel 2")</f>
        <v>channel 2</v>
      </c>
    </row>
    <row r="39">
      <c r="B39" s="8" t="s">
        <v>4145</v>
      </c>
      <c r="C39" s="35" t="s">
        <v>17</v>
      </c>
      <c r="D39" s="8" t="s">
        <v>3694</v>
      </c>
      <c r="E39" s="135" t="str">
        <f>HYPERLINK("https://youtu.be/TXkY1ajKLD8","channel 1")</f>
        <v>channel 1</v>
      </c>
    </row>
    <row r="40">
      <c r="B40" s="8" t="s">
        <v>4141</v>
      </c>
      <c r="C40" s="33" t="s">
        <v>289</v>
      </c>
      <c r="D40" s="8" t="s">
        <v>4144</v>
      </c>
      <c r="E40" s="116" t="str">
        <f>HYPERLINK("https://youtu.be/IsMgDkvMJ4I","channel 2")</f>
        <v>channel 2</v>
      </c>
    </row>
    <row r="41">
      <c r="B41" s="8" t="s">
        <v>4143</v>
      </c>
      <c r="C41" s="33" t="s">
        <v>428</v>
      </c>
      <c r="D41" s="8" t="s">
        <v>3694</v>
      </c>
      <c r="E41" s="135" t="str">
        <f>HYPERLINK("https://youtu.be/SK9oiAU8qZE","channel 1")</f>
        <v>channel 1</v>
      </c>
    </row>
    <row r="42">
      <c r="B42" s="8" t="s">
        <v>4141</v>
      </c>
      <c r="C42" s="33" t="s">
        <v>231</v>
      </c>
      <c r="D42" s="8" t="s">
        <v>4145</v>
      </c>
      <c r="E42" s="116" t="str">
        <f>HYPERLINK("https://youtu.be/ZrCFgfTgmcM","channel 2")</f>
        <v>channel 2</v>
      </c>
    </row>
    <row r="43">
      <c r="B43" s="8" t="s">
        <v>4144</v>
      </c>
      <c r="C43" s="33" t="s">
        <v>1291</v>
      </c>
      <c r="D43" s="8" t="s">
        <v>3694</v>
      </c>
      <c r="E43" s="135" t="str">
        <f>HYPERLINK("https://youtu.be/zcSjljqOivE","channel 1")</f>
        <v>channel 1</v>
      </c>
    </row>
    <row r="44">
      <c r="B44" s="8" t="s">
        <v>4143</v>
      </c>
      <c r="C44" s="33" t="s">
        <v>4147</v>
      </c>
      <c r="D44" s="8" t="s">
        <v>4145</v>
      </c>
      <c r="E44" s="116" t="str">
        <f>HYPERLINK("https://youtu.be/z_PY4kkx3us","channel 2")</f>
        <v>channel 2</v>
      </c>
    </row>
    <row r="45">
      <c r="B45" s="150" t="s">
        <v>3214</v>
      </c>
      <c r="C45" s="151"/>
      <c r="D45" s="151"/>
      <c r="E45" s="152"/>
    </row>
    <row r="46">
      <c r="B46" s="153" t="s">
        <v>2</v>
      </c>
      <c r="C46" s="86" t="s">
        <v>3</v>
      </c>
      <c r="D46" s="154" t="s">
        <v>4</v>
      </c>
      <c r="E46" s="154" t="s">
        <v>5</v>
      </c>
    </row>
    <row r="47">
      <c r="B47" s="8" t="s">
        <v>4148</v>
      </c>
      <c r="C47" s="33" t="s">
        <v>11</v>
      </c>
      <c r="D47" s="8" t="s">
        <v>4013</v>
      </c>
      <c r="E47" s="135" t="str">
        <f>HYPERLINK("https://youtu.be/WwFoJ1ThR9U","channel 1")</f>
        <v>channel 1</v>
      </c>
    </row>
    <row r="48">
      <c r="B48" s="8" t="s">
        <v>4149</v>
      </c>
      <c r="C48" s="33" t="s">
        <v>651</v>
      </c>
      <c r="D48" s="8" t="s">
        <v>4150</v>
      </c>
      <c r="E48" s="116" t="str">
        <f>HYPERLINK("https://youtu.be/pDQQZ29Jl20","channel 2")</f>
        <v>channel 2</v>
      </c>
    </row>
    <row r="49">
      <c r="B49" s="8" t="s">
        <v>4151</v>
      </c>
      <c r="C49" s="33" t="s">
        <v>23</v>
      </c>
      <c r="D49" s="8" t="s">
        <v>4148</v>
      </c>
      <c r="E49" s="135" t="str">
        <f>HYPERLINK("https://youtu.be/hF4AsLRJBJM","channel 1")</f>
        <v>channel 1</v>
      </c>
    </row>
    <row r="50">
      <c r="B50" s="8" t="s">
        <v>4149</v>
      </c>
      <c r="C50" s="33" t="s">
        <v>4152</v>
      </c>
      <c r="D50" s="8" t="s">
        <v>4013</v>
      </c>
      <c r="E50" s="116" t="str">
        <f>HYPERLINK("https://youtu.be/rdgl2DbMnOA","channel 2")</f>
        <v>channel 2</v>
      </c>
    </row>
    <row r="51">
      <c r="B51" s="8" t="s">
        <v>4151</v>
      </c>
      <c r="C51" s="33" t="s">
        <v>291</v>
      </c>
      <c r="D51" s="8" t="s">
        <v>4150</v>
      </c>
      <c r="E51" s="135" t="str">
        <f>HYPERLINK("https://youtu.be/eyp9kwvbtNo","channel 1")</f>
        <v>channel 1</v>
      </c>
    </row>
    <row r="52">
      <c r="B52" s="8" t="s">
        <v>4149</v>
      </c>
      <c r="C52" s="33" t="s">
        <v>201</v>
      </c>
      <c r="D52" s="8" t="s">
        <v>4148</v>
      </c>
      <c r="E52" s="116" t="str">
        <f>HYPERLINK("https://www.youtube.com/watch?v=4dOBTQKAkRE","channel 2")</f>
        <v>channel 2</v>
      </c>
    </row>
    <row r="53">
      <c r="B53" s="8" t="s">
        <v>4151</v>
      </c>
      <c r="C53" s="33" t="s">
        <v>64</v>
      </c>
      <c r="D53" s="8" t="s">
        <v>4013</v>
      </c>
      <c r="E53" s="135" t="str">
        <f>HYPERLINK("https://youtu.be/aKsAN3pFLns","channel 1")</f>
        <v>channel 1</v>
      </c>
    </row>
    <row r="54">
      <c r="B54" s="8" t="s">
        <v>4150</v>
      </c>
      <c r="C54" s="33" t="s">
        <v>390</v>
      </c>
      <c r="D54" s="8" t="s">
        <v>4148</v>
      </c>
      <c r="E54" s="116" t="str">
        <f>HYPERLINK("https://youtu.be/TFyTH80dCJg","channel 2")</f>
        <v>channel 2</v>
      </c>
    </row>
    <row r="55">
      <c r="B55" s="8" t="s">
        <v>4151</v>
      </c>
      <c r="C55" s="33" t="s">
        <v>16</v>
      </c>
      <c r="D55" s="8" t="s">
        <v>4149</v>
      </c>
      <c r="E55" s="135" t="str">
        <f>HYPERLINK("https://youtu.be/vMMMYXzAXns","channel 1")</f>
        <v>channel 1</v>
      </c>
    </row>
    <row r="56">
      <c r="B56" s="8" t="s">
        <v>4150</v>
      </c>
      <c r="C56" s="33" t="s">
        <v>488</v>
      </c>
      <c r="D56" s="8" t="s">
        <v>4013</v>
      </c>
      <c r="E56" s="116" t="str">
        <f>HYPERLINK("https://youtu.be/7WuSgwDbH8c","channel 2")</f>
        <v>channel 2</v>
      </c>
    </row>
    <row r="57">
      <c r="B57" s="8" t="s">
        <v>4013</v>
      </c>
      <c r="C57" s="33" t="s">
        <v>1045</v>
      </c>
      <c r="D57" s="8" t="s">
        <v>4148</v>
      </c>
      <c r="E57" s="135" t="str">
        <f>HYPERLINK("https://youtu.be/Mlyy7eJ_nSk","channel 1")</f>
        <v>channel 1</v>
      </c>
    </row>
    <row r="58">
      <c r="B58" s="8" t="s">
        <v>4150</v>
      </c>
      <c r="C58" s="33" t="s">
        <v>319</v>
      </c>
      <c r="D58" s="8" t="s">
        <v>4149</v>
      </c>
      <c r="E58" s="116" t="str">
        <f>HYPERLINK("https://youtu.be/GNho1DGS28A","channel 2")</f>
        <v>channel 2</v>
      </c>
    </row>
    <row r="59">
      <c r="B59" s="8" t="s">
        <v>4148</v>
      </c>
      <c r="C59" s="33" t="s">
        <v>196</v>
      </c>
      <c r="D59" s="8" t="s">
        <v>4151</v>
      </c>
      <c r="E59" s="135" t="str">
        <f>HYPERLINK("https://youtu.be/nUozYLNv5a0","channel 1")</f>
        <v>channel 1</v>
      </c>
    </row>
    <row r="60">
      <c r="B60" s="8" t="s">
        <v>4013</v>
      </c>
      <c r="C60" s="33" t="s">
        <v>699</v>
      </c>
      <c r="D60" s="8" t="s">
        <v>4149</v>
      </c>
      <c r="E60" s="116" t="str">
        <f>HYPERLINK("https://youtu.be/4diwiuubV8E","channel 2")</f>
        <v>channel 2</v>
      </c>
    </row>
    <row r="61">
      <c r="B61" s="8" t="s">
        <v>4150</v>
      </c>
      <c r="C61" s="33" t="s">
        <v>14</v>
      </c>
      <c r="D61" s="8" t="s">
        <v>4151</v>
      </c>
      <c r="E61" s="135" t="str">
        <f>HYPERLINK("https://youtu.be/OMJ4FZKkxYM","channel 1")</f>
        <v>channel 1</v>
      </c>
    </row>
    <row r="62">
      <c r="B62" s="8" t="s">
        <v>4148</v>
      </c>
      <c r="C62" s="35" t="s">
        <v>62</v>
      </c>
      <c r="D62" s="8" t="s">
        <v>4149</v>
      </c>
      <c r="E62" s="116" t="str">
        <f>HYPERLINK("https://youtu.be/MDlXUl0GvHw","channel 2")</f>
        <v>channel 2</v>
      </c>
    </row>
    <row r="63">
      <c r="B63" s="8" t="s">
        <v>4013</v>
      </c>
      <c r="C63" s="33" t="s">
        <v>28</v>
      </c>
      <c r="D63" s="8" t="s">
        <v>4151</v>
      </c>
      <c r="E63" s="135" t="str">
        <f>HYPERLINK("https://youtu.be/s9KZe6sGDBA","channel 1")</f>
        <v>channel 1</v>
      </c>
    </row>
    <row r="64">
      <c r="B64" s="8" t="s">
        <v>4148</v>
      </c>
      <c r="C64" s="33" t="s">
        <v>82</v>
      </c>
      <c r="D64" s="8" t="s">
        <v>4150</v>
      </c>
      <c r="E64" s="116" t="str">
        <f>HYPERLINK("https://youtu.be/8qqOuK8_aqI","channel 2")</f>
        <v>channel 2</v>
      </c>
    </row>
    <row r="65">
      <c r="B65" s="8" t="s">
        <v>4149</v>
      </c>
      <c r="C65" s="33" t="s">
        <v>4127</v>
      </c>
      <c r="D65" s="8" t="s">
        <v>4151</v>
      </c>
      <c r="E65" s="135" t="str">
        <f>HYPERLINK("https://youtu.be/oeB20UoAXck","channel 1")</f>
        <v>channel 1</v>
      </c>
    </row>
    <row r="66">
      <c r="B66" s="8" t="s">
        <v>4013</v>
      </c>
      <c r="C66" s="33" t="s">
        <v>239</v>
      </c>
      <c r="D66" s="8" t="s">
        <v>4150</v>
      </c>
      <c r="E66" s="116" t="str">
        <f>HYPERLINK("https://youtu.be/ObOz7_v1x8M","channel 2")</f>
        <v>channel 2</v>
      </c>
    </row>
    <row r="67">
      <c r="B67" s="158" t="s">
        <v>4153</v>
      </c>
      <c r="C67" s="151"/>
      <c r="D67" s="151"/>
      <c r="E67" s="152"/>
    </row>
    <row r="68">
      <c r="B68" s="85" t="s">
        <v>2</v>
      </c>
      <c r="C68" s="86" t="s">
        <v>3</v>
      </c>
      <c r="D68" s="86" t="s">
        <v>4</v>
      </c>
      <c r="E68" s="86" t="s">
        <v>5</v>
      </c>
    </row>
    <row r="69">
      <c r="B69" s="8" t="s">
        <v>4154</v>
      </c>
      <c r="C69" s="33" t="s">
        <v>357</v>
      </c>
      <c r="D69" s="8" t="s">
        <v>4155</v>
      </c>
      <c r="E69" s="135" t="str">
        <f>HYPERLINK("https://youtu.be/2OnODwTKe8M","channel 1")</f>
        <v>channel 1</v>
      </c>
    </row>
    <row r="70">
      <c r="B70" s="8" t="s">
        <v>4156</v>
      </c>
      <c r="C70" s="33" t="s">
        <v>556</v>
      </c>
      <c r="D70" s="8" t="s">
        <v>3377</v>
      </c>
      <c r="E70" s="116" t="str">
        <f>HYPERLINK("https://youtu.be/eg65NV3lCOU","channel 2")</f>
        <v>channel 2</v>
      </c>
    </row>
    <row r="71">
      <c r="B71" s="8" t="s">
        <v>4157</v>
      </c>
      <c r="C71" s="33" t="s">
        <v>72</v>
      </c>
      <c r="D71" s="8" t="s">
        <v>4154</v>
      </c>
      <c r="E71" s="135" t="str">
        <f>HYPERLINK("https://youtu.be/99eOq07XA1c","channel 1")</f>
        <v>channel 1</v>
      </c>
    </row>
    <row r="72">
      <c r="B72" s="8" t="s">
        <v>4156</v>
      </c>
      <c r="C72" s="33" t="s">
        <v>509</v>
      </c>
      <c r="D72" s="8" t="s">
        <v>4155</v>
      </c>
      <c r="E72" s="116" t="str">
        <f>HYPERLINK("https://youtu.be/4P8qds5oIx0","channel 2")</f>
        <v>channel 2</v>
      </c>
    </row>
    <row r="73">
      <c r="B73" s="8" t="s">
        <v>4157</v>
      </c>
      <c r="C73" s="33" t="s">
        <v>543</v>
      </c>
      <c r="D73" s="8" t="s">
        <v>3377</v>
      </c>
      <c r="E73" s="135" t="str">
        <f>HYPERLINK("https://youtu.be/M1rK6V60hEI","channel 1")</f>
        <v>channel 1</v>
      </c>
    </row>
    <row r="74">
      <c r="B74" s="8" t="s">
        <v>4156</v>
      </c>
      <c r="C74" s="33" t="s">
        <v>4158</v>
      </c>
      <c r="D74" s="8" t="s">
        <v>4154</v>
      </c>
      <c r="E74" s="116" t="str">
        <f>HYPERLINK("https://youtu.be/9QFhSpRFqj4","channel 2")</f>
        <v>channel 2</v>
      </c>
    </row>
    <row r="75">
      <c r="B75" s="8" t="s">
        <v>4157</v>
      </c>
      <c r="C75" s="33" t="s">
        <v>250</v>
      </c>
      <c r="D75" s="8" t="s">
        <v>4155</v>
      </c>
      <c r="E75" s="135" t="str">
        <f>HYPERLINK("https://youtu.be/-PxjCJBQ5ug","channel 1")</f>
        <v>channel 1</v>
      </c>
    </row>
    <row r="76">
      <c r="B76" s="8" t="s">
        <v>3377</v>
      </c>
      <c r="C76" s="33" t="s">
        <v>1342</v>
      </c>
      <c r="D76" s="8" t="s">
        <v>4154</v>
      </c>
      <c r="E76" s="116" t="str">
        <f>HYPERLINK("https://youtu.be/VEl7Bzq0uBo","channel 2")</f>
        <v>channel 2</v>
      </c>
    </row>
    <row r="77">
      <c r="B77" s="8" t="s">
        <v>4157</v>
      </c>
      <c r="C77" s="33" t="s">
        <v>196</v>
      </c>
      <c r="D77" s="8" t="s">
        <v>4156</v>
      </c>
      <c r="E77" s="135" t="str">
        <f>HYPERLINK("https://youtu.be/qmVLr_OqUXo","channel 1")</f>
        <v>channel 1</v>
      </c>
    </row>
    <row r="78">
      <c r="B78" s="8" t="s">
        <v>3377</v>
      </c>
      <c r="C78" s="33" t="s">
        <v>25</v>
      </c>
      <c r="D78" s="8" t="s">
        <v>4155</v>
      </c>
      <c r="E78" s="116" t="str">
        <f>HYPERLINK("https://youtu.be/6gazT1_-zg8","channel 2")</f>
        <v>channel 2</v>
      </c>
    </row>
    <row r="79">
      <c r="B79" s="8" t="s">
        <v>4155</v>
      </c>
      <c r="C79" s="33" t="s">
        <v>16</v>
      </c>
      <c r="D79" s="8" t="s">
        <v>4154</v>
      </c>
      <c r="E79" s="135" t="str">
        <f>HYPERLINK("https://youtu.be/-kZdENxiNmo","channel 1")</f>
        <v>channel 1</v>
      </c>
    </row>
    <row r="80">
      <c r="B80" s="8" t="s">
        <v>3377</v>
      </c>
      <c r="C80" s="33" t="s">
        <v>18</v>
      </c>
      <c r="D80" s="8" t="s">
        <v>4156</v>
      </c>
      <c r="E80" s="116" t="str">
        <f>HYPERLINK("https://youtu.be/OFrP-RZqgRs","channel 2")</f>
        <v>channel 2</v>
      </c>
    </row>
    <row r="81">
      <c r="B81" s="8" t="s">
        <v>4154</v>
      </c>
      <c r="C81" s="33" t="s">
        <v>72</v>
      </c>
      <c r="D81" s="8" t="s">
        <v>4157</v>
      </c>
      <c r="E81" s="135" t="str">
        <f>HYPERLINK("https://youtu.be/WmgzzTYvveU","channel 1")</f>
        <v>channel 1</v>
      </c>
    </row>
    <row r="82">
      <c r="B82" s="8" t="s">
        <v>4155</v>
      </c>
      <c r="C82" s="33" t="s">
        <v>14</v>
      </c>
      <c r="D82" s="8" t="s">
        <v>4156</v>
      </c>
      <c r="E82" s="116" t="str">
        <f>HYPERLINK("https://youtu.be/cvXEKApM8CY","channel 2")</f>
        <v>channel 2</v>
      </c>
    </row>
    <row r="83">
      <c r="B83" s="8" t="s">
        <v>3377</v>
      </c>
      <c r="C83" s="33" t="s">
        <v>218</v>
      </c>
      <c r="D83" s="8" t="s">
        <v>4157</v>
      </c>
      <c r="E83" s="135" t="str">
        <f>HYPERLINK("https://youtu.be/Ikc2xILA_zU","channel 1")</f>
        <v>channel 1</v>
      </c>
    </row>
    <row r="84">
      <c r="B84" s="8" t="s">
        <v>4154</v>
      </c>
      <c r="C84" s="33" t="s">
        <v>17</v>
      </c>
      <c r="D84" s="8" t="s">
        <v>4156</v>
      </c>
      <c r="E84" s="116" t="str">
        <f>HYPERLINK("https://www.youtube.com/watch?v=THBuC_RNTjQ&amp;feature=youtu.be","channel 2")</f>
        <v>channel 2</v>
      </c>
    </row>
    <row r="85">
      <c r="B85" s="8" t="s">
        <v>4155</v>
      </c>
      <c r="C85" s="33" t="s">
        <v>317</v>
      </c>
      <c r="D85" s="8" t="s">
        <v>4157</v>
      </c>
      <c r="E85" s="135" t="str">
        <f>HYPERLINK("https://youtu.be/vn2V9ubLJ14","channel 1")</f>
        <v>channel 1</v>
      </c>
    </row>
    <row r="86">
      <c r="B86" s="8" t="s">
        <v>4154</v>
      </c>
      <c r="C86" s="33" t="s">
        <v>41</v>
      </c>
      <c r="D86" s="8" t="s">
        <v>3377</v>
      </c>
      <c r="E86" s="116" t="str">
        <f>HYPERLINK("https://youtu.be/ZIbLqLBIIvE","channel 2")</f>
        <v>channel 2</v>
      </c>
    </row>
    <row r="87">
      <c r="B87" s="8" t="s">
        <v>4156</v>
      </c>
      <c r="C87" s="33" t="s">
        <v>24</v>
      </c>
      <c r="D87" s="8" t="s">
        <v>4157</v>
      </c>
      <c r="E87" s="135" t="str">
        <f>HYPERLINK("https://youtu.be/Z_AHFbbu2_c","channel 1")</f>
        <v>channel 1</v>
      </c>
    </row>
    <row r="88">
      <c r="B88" s="8" t="s">
        <v>4155</v>
      </c>
      <c r="C88" s="33" t="s">
        <v>249</v>
      </c>
      <c r="D88" s="8" t="s">
        <v>3377</v>
      </c>
      <c r="E88" s="116" t="str">
        <f>HYPERLINK("https://youtu.be/6wDyHoCI9Kg","channel 2")</f>
        <v>channel 2</v>
      </c>
    </row>
    <row r="89">
      <c r="B89" s="148"/>
      <c r="C89" s="148"/>
      <c r="D89" s="148"/>
      <c r="E89" s="149"/>
    </row>
    <row r="90">
      <c r="B90" s="148"/>
      <c r="C90" s="148"/>
      <c r="D90" s="148"/>
      <c r="E90" s="149"/>
    </row>
    <row r="91">
      <c r="B91" s="148"/>
      <c r="C91" s="148"/>
      <c r="D91" s="148"/>
      <c r="E91" s="149"/>
    </row>
    <row r="92">
      <c r="B92" s="148"/>
      <c r="C92" s="148"/>
      <c r="D92" s="148"/>
      <c r="E92" s="149"/>
    </row>
    <row r="93">
      <c r="B93" s="148"/>
      <c r="C93" s="148"/>
      <c r="D93" s="148"/>
      <c r="E93" s="149"/>
    </row>
    <row r="94">
      <c r="B94" s="148"/>
      <c r="C94" s="148"/>
      <c r="D94" s="148"/>
      <c r="E94" s="149"/>
    </row>
    <row r="95">
      <c r="B95" s="148"/>
      <c r="C95" s="148"/>
      <c r="D95" s="148"/>
      <c r="E95" s="149"/>
    </row>
    <row r="96">
      <c r="B96" s="148"/>
      <c r="C96" s="148"/>
      <c r="D96" s="148"/>
      <c r="E96" s="149"/>
    </row>
    <row r="97">
      <c r="B97" s="148"/>
      <c r="C97" s="148"/>
      <c r="D97" s="148"/>
      <c r="E97" s="149"/>
    </row>
    <row r="98">
      <c r="B98" s="148"/>
      <c r="C98" s="148"/>
      <c r="D98" s="148"/>
      <c r="E98" s="149"/>
    </row>
    <row r="99">
      <c r="B99" s="148"/>
      <c r="C99" s="148"/>
      <c r="D99" s="148"/>
      <c r="E99" s="149"/>
    </row>
    <row r="100">
      <c r="B100" s="148"/>
      <c r="C100" s="148"/>
      <c r="D100" s="148"/>
      <c r="E100" s="149"/>
    </row>
    <row r="101">
      <c r="B101" s="148"/>
      <c r="C101" s="148"/>
      <c r="D101" s="148"/>
      <c r="E101" s="149"/>
    </row>
    <row r="102">
      <c r="B102" s="148"/>
      <c r="C102" s="148"/>
      <c r="D102" s="148"/>
      <c r="E102" s="149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0" t="s">
        <v>1659</v>
      </c>
      <c r="C1" s="151"/>
      <c r="D1" s="151"/>
      <c r="E1" s="152"/>
    </row>
    <row r="2">
      <c r="B2" s="153" t="s">
        <v>2</v>
      </c>
      <c r="C2" s="86" t="s">
        <v>3</v>
      </c>
      <c r="D2" s="154" t="s">
        <v>4</v>
      </c>
      <c r="E2" s="154" t="s">
        <v>5</v>
      </c>
    </row>
    <row r="3">
      <c r="B3" s="8" t="s">
        <v>3999</v>
      </c>
      <c r="C3" s="33" t="s">
        <v>21</v>
      </c>
      <c r="D3" s="8" t="s">
        <v>4159</v>
      </c>
      <c r="E3" s="135" t="str">
        <f>HYPERLINK("https://youtu.be/bhTyVbsvZ58","channel 1")</f>
        <v>channel 1</v>
      </c>
    </row>
    <row r="4">
      <c r="B4" s="8" t="s">
        <v>3497</v>
      </c>
      <c r="C4" s="33" t="s">
        <v>906</v>
      </c>
      <c r="D4" s="8" t="s">
        <v>3478</v>
      </c>
      <c r="E4" s="116" t="str">
        <f>HYPERLINK("https://youtu.be/-wN2LWqSkxo","channel 2")</f>
        <v>channel 2</v>
      </c>
    </row>
    <row r="5">
      <c r="B5" s="8" t="s">
        <v>4160</v>
      </c>
      <c r="C5" s="33" t="s">
        <v>42</v>
      </c>
      <c r="D5" s="8" t="s">
        <v>3999</v>
      </c>
      <c r="E5" s="135" t="str">
        <f>HYPERLINK("https://youtu.be/63dlhQD7llg","channel 1")</f>
        <v>channel 1</v>
      </c>
    </row>
    <row r="6">
      <c r="B6" s="8" t="s">
        <v>3497</v>
      </c>
      <c r="C6" s="33" t="s">
        <v>212</v>
      </c>
      <c r="D6" s="8" t="s">
        <v>4159</v>
      </c>
      <c r="E6" s="116" t="str">
        <f>HYPERLINK("https://youtu.be/kNvNViwNnv0","channel 2")</f>
        <v>channel 2</v>
      </c>
    </row>
    <row r="7">
      <c r="B7" s="8" t="s">
        <v>4160</v>
      </c>
      <c r="C7" s="33" t="s">
        <v>193</v>
      </c>
      <c r="D7" s="8" t="s">
        <v>3478</v>
      </c>
      <c r="E7" s="135" t="str">
        <f>HYPERLINK("https://youtu.be/M6xsu6t1aj4","channel 1")</f>
        <v>channel 1</v>
      </c>
    </row>
    <row r="8">
      <c r="B8" s="8" t="s">
        <v>3497</v>
      </c>
      <c r="C8" s="33" t="s">
        <v>48</v>
      </c>
      <c r="D8" s="8" t="s">
        <v>3999</v>
      </c>
      <c r="E8" s="116" t="str">
        <f>HYPERLINK("https://youtu.be/d_QBqE3YMGI","channel 2")</f>
        <v>channel 2</v>
      </c>
    </row>
    <row r="9">
      <c r="B9" s="8" t="s">
        <v>4160</v>
      </c>
      <c r="C9" s="33" t="s">
        <v>251</v>
      </c>
      <c r="D9" s="8" t="s">
        <v>4159</v>
      </c>
      <c r="E9" s="135" t="str">
        <f>HYPERLINK("https://youtu.be/Ts8ETghsvL8","channel 1")</f>
        <v>channel 1</v>
      </c>
    </row>
    <row r="10">
      <c r="B10" s="8" t="s">
        <v>3478</v>
      </c>
      <c r="C10" s="33" t="s">
        <v>76</v>
      </c>
      <c r="D10" s="8" t="s">
        <v>3999</v>
      </c>
      <c r="E10" s="116" t="str">
        <f>HYPERLINK("https://youtu.be/Fxju3r5uvBI","channel 2")</f>
        <v>channel 2</v>
      </c>
    </row>
    <row r="11">
      <c r="B11" s="8" t="s">
        <v>4160</v>
      </c>
      <c r="C11" s="33" t="s">
        <v>83</v>
      </c>
      <c r="D11" s="8" t="s">
        <v>3497</v>
      </c>
      <c r="E11" s="135" t="str">
        <f>HYPERLINK("https://youtu.be/gvvXZ4jWotM","channel 1")</f>
        <v>channel 1</v>
      </c>
    </row>
    <row r="12">
      <c r="B12" s="8" t="s">
        <v>3478</v>
      </c>
      <c r="C12" s="33" t="s">
        <v>82</v>
      </c>
      <c r="D12" s="8" t="s">
        <v>4159</v>
      </c>
      <c r="E12" s="116" t="str">
        <f>HYPERLINK("https://youtu.be/turM7QGux5w","channel 2")</f>
        <v>channel 2</v>
      </c>
    </row>
    <row r="13">
      <c r="B13" s="8" t="s">
        <v>4159</v>
      </c>
      <c r="C13" s="33" t="s">
        <v>947</v>
      </c>
      <c r="D13" s="8" t="s">
        <v>3999</v>
      </c>
      <c r="E13" s="135" t="str">
        <f>HYPERLINK("https://youtu.be/ofSAV5rI154","channel 1")</f>
        <v>channel 1</v>
      </c>
    </row>
    <row r="14">
      <c r="B14" s="8" t="s">
        <v>3478</v>
      </c>
      <c r="C14" s="33" t="s">
        <v>64</v>
      </c>
      <c r="D14" s="8" t="s">
        <v>3497</v>
      </c>
      <c r="E14" s="116" t="str">
        <f>HYPERLINK("https://youtu.be/qX9w6Ny4OvM","channel 2")</f>
        <v>channel 2</v>
      </c>
    </row>
    <row r="15">
      <c r="B15" s="8" t="s">
        <v>3999</v>
      </c>
      <c r="C15" s="33" t="s">
        <v>14</v>
      </c>
      <c r="D15" s="8" t="s">
        <v>4160</v>
      </c>
      <c r="E15" s="135" t="str">
        <f>HYPERLINK("https://youtu.be/T4y_TGxI1Oc","channel 1")</f>
        <v>channel 1</v>
      </c>
    </row>
    <row r="16">
      <c r="B16" s="8" t="s">
        <v>4159</v>
      </c>
      <c r="C16" s="33" t="s">
        <v>444</v>
      </c>
      <c r="D16" s="8" t="s">
        <v>3497</v>
      </c>
      <c r="E16" s="116" t="str">
        <f>HYPERLINK("https://youtu.be/gEyAmX57O9g","channel 2")</f>
        <v>channel 2</v>
      </c>
    </row>
    <row r="17">
      <c r="B17" s="8" t="s">
        <v>3478</v>
      </c>
      <c r="C17" s="33" t="s">
        <v>306</v>
      </c>
      <c r="D17" s="8" t="s">
        <v>4160</v>
      </c>
      <c r="E17" s="135" t="str">
        <f>HYPERLINK("https://youtu.be/chP9NnwLu9Y","channel 1")</f>
        <v>channel 1</v>
      </c>
    </row>
    <row r="18">
      <c r="B18" s="8" t="s">
        <v>3999</v>
      </c>
      <c r="C18" s="33" t="s">
        <v>566</v>
      </c>
      <c r="D18" s="8" t="s">
        <v>3497</v>
      </c>
      <c r="E18" s="116" t="str">
        <f>HYPERLINK("https://youtu.be/qnQRPSeIneg","channel 2")</f>
        <v>channel 2</v>
      </c>
    </row>
    <row r="19">
      <c r="B19" s="8" t="s">
        <v>4159</v>
      </c>
      <c r="C19" s="33" t="s">
        <v>378</v>
      </c>
      <c r="D19" s="8" t="s">
        <v>4160</v>
      </c>
      <c r="E19" s="135" t="str">
        <f>HYPERLINK("https://youtu.be/S8PxotFDQig","channel 1")</f>
        <v>channel 1</v>
      </c>
    </row>
    <row r="20">
      <c r="B20" s="8" t="s">
        <v>3999</v>
      </c>
      <c r="C20" s="33" t="s">
        <v>270</v>
      </c>
      <c r="D20" s="8" t="s">
        <v>3478</v>
      </c>
      <c r="E20" s="116" t="str">
        <f>HYPERLINK("https://youtu.be/vteIqU2iDmQ","channel 2")</f>
        <v>channel 2</v>
      </c>
    </row>
    <row r="21">
      <c r="B21" s="8" t="s">
        <v>3497</v>
      </c>
      <c r="C21" s="33" t="s">
        <v>282</v>
      </c>
      <c r="D21" s="8" t="s">
        <v>4160</v>
      </c>
      <c r="E21" s="135" t="str">
        <f>HYPERLINK("https://youtu.be/yAaEjCcq750","channel 1")</f>
        <v>channel 1</v>
      </c>
    </row>
    <row r="22">
      <c r="B22" s="8" t="s">
        <v>4159</v>
      </c>
      <c r="C22" s="33" t="s">
        <v>81</v>
      </c>
      <c r="D22" s="8" t="s">
        <v>3478</v>
      </c>
      <c r="E22" s="116" t="str">
        <f>HYPERLINK("https://youtu.be/RxKMj4J3DQo","channel 2")</f>
        <v>channel 2</v>
      </c>
    </row>
    <row r="23">
      <c r="B23" s="150" t="s">
        <v>2231</v>
      </c>
      <c r="C23" s="151"/>
      <c r="D23" s="151"/>
      <c r="E23" s="152"/>
    </row>
    <row r="24">
      <c r="B24" s="153" t="s">
        <v>2</v>
      </c>
      <c r="C24" s="86" t="s">
        <v>3</v>
      </c>
      <c r="D24" s="154" t="s">
        <v>4</v>
      </c>
      <c r="E24" s="154" t="s">
        <v>5</v>
      </c>
    </row>
    <row r="25">
      <c r="B25" s="8" t="s">
        <v>3525</v>
      </c>
      <c r="C25" s="33" t="s">
        <v>4161</v>
      </c>
      <c r="D25" s="8" t="s">
        <v>4162</v>
      </c>
      <c r="E25" s="135" t="str">
        <f>HYPERLINK("https://youtu.be/_de3uFlCydE","channel 1")</f>
        <v>channel 1</v>
      </c>
    </row>
    <row r="26">
      <c r="B26" s="8" t="s">
        <v>3410</v>
      </c>
      <c r="C26" s="33" t="s">
        <v>295</v>
      </c>
      <c r="D26" s="8" t="s">
        <v>4163</v>
      </c>
      <c r="E26" s="116" t="str">
        <f>HYPERLINK("https://youtu.be/DqTGrjryy9U","channel 2")</f>
        <v>channel 2</v>
      </c>
    </row>
    <row r="27">
      <c r="B27" s="8" t="s">
        <v>3409</v>
      </c>
      <c r="C27" s="33" t="s">
        <v>11</v>
      </c>
      <c r="D27" s="8" t="s">
        <v>3525</v>
      </c>
      <c r="E27" s="135" t="str">
        <f>HYPERLINK("https://youtu.be/fsSLObwvAb4","channel 1")</f>
        <v>channel 1</v>
      </c>
    </row>
    <row r="28">
      <c r="B28" s="8" t="s">
        <v>3410</v>
      </c>
      <c r="C28" s="33" t="s">
        <v>40</v>
      </c>
      <c r="D28" s="8" t="s">
        <v>4162</v>
      </c>
      <c r="E28" s="116" t="str">
        <f>HYPERLINK("https://youtu.be/raWVZnog3Hc","channel 2")</f>
        <v>channel 2</v>
      </c>
    </row>
    <row r="29">
      <c r="B29" s="8" t="s">
        <v>3409</v>
      </c>
      <c r="C29" s="33" t="s">
        <v>722</v>
      </c>
      <c r="D29" s="8" t="s">
        <v>4163</v>
      </c>
      <c r="E29" s="135" t="str">
        <f>HYPERLINK("https://youtu.be/dnEDL8uEWjg","channel 1")</f>
        <v>channel 1</v>
      </c>
    </row>
    <row r="30">
      <c r="B30" s="8" t="s">
        <v>3410</v>
      </c>
      <c r="C30" s="33" t="s">
        <v>19</v>
      </c>
      <c r="D30" s="8" t="s">
        <v>3525</v>
      </c>
      <c r="E30" s="116" t="str">
        <f>HYPERLINK("https://youtu.be/4xENXaub2E8","channel 2")</f>
        <v>channel 2</v>
      </c>
    </row>
    <row r="31">
      <c r="B31" s="8" t="s">
        <v>3409</v>
      </c>
      <c r="C31" s="33" t="s">
        <v>21</v>
      </c>
      <c r="D31" s="8" t="s">
        <v>4162</v>
      </c>
      <c r="E31" s="135" t="str">
        <f>HYPERLINK("https://youtu.be/0yVURUL2XnM","channel 1")</f>
        <v>channel 1</v>
      </c>
    </row>
    <row r="32">
      <c r="B32" s="8" t="s">
        <v>4163</v>
      </c>
      <c r="C32" s="33" t="s">
        <v>20</v>
      </c>
      <c r="D32" s="8" t="s">
        <v>3525</v>
      </c>
      <c r="E32" s="116" t="str">
        <f>HYPERLINK("https://youtu.be/LLpaKpWTYyA","channel 2")</f>
        <v>channel 2</v>
      </c>
    </row>
    <row r="33">
      <c r="B33" s="8" t="s">
        <v>3409</v>
      </c>
      <c r="C33" s="33" t="s">
        <v>239</v>
      </c>
      <c r="D33" s="8" t="s">
        <v>3410</v>
      </c>
      <c r="E33" s="135" t="str">
        <f>HYPERLINK("https://youtu.be/680i-rIGjdM","channel 1")</f>
        <v>channel 1</v>
      </c>
    </row>
    <row r="34">
      <c r="B34" s="8" t="s">
        <v>4163</v>
      </c>
      <c r="C34" s="33" t="s">
        <v>26</v>
      </c>
      <c r="D34" s="8" t="s">
        <v>4162</v>
      </c>
      <c r="E34" s="116" t="str">
        <f>HYPERLINK("https://youtu.be/GbNV8vL678Q","channel 2")</f>
        <v>channel 2</v>
      </c>
    </row>
    <row r="35">
      <c r="B35" s="8" t="s">
        <v>4162</v>
      </c>
      <c r="C35" s="33" t="s">
        <v>352</v>
      </c>
      <c r="D35" s="8" t="s">
        <v>3525</v>
      </c>
      <c r="E35" s="135" t="str">
        <f>HYPERLINK("https://youtu.be/1dZ1GKbgmOE","channel 1")</f>
        <v>channel 1</v>
      </c>
    </row>
    <row r="36">
      <c r="B36" s="8" t="s">
        <v>4163</v>
      </c>
      <c r="C36" s="33" t="s">
        <v>2743</v>
      </c>
      <c r="D36" s="8" t="s">
        <v>3410</v>
      </c>
      <c r="E36" s="116" t="str">
        <f>HYPERLINK("https://youtu.be/vhDmIBGwkWE","channel 2")</f>
        <v>channel 2</v>
      </c>
    </row>
    <row r="37">
      <c r="B37" s="8" t="s">
        <v>3525</v>
      </c>
      <c r="C37" s="33" t="s">
        <v>4164</v>
      </c>
      <c r="D37" s="8" t="s">
        <v>3409</v>
      </c>
      <c r="E37" s="135" t="str">
        <f>HYPERLINK("https://youtu.be/9802wKAa6pg","channel 1")</f>
        <v>channel 1</v>
      </c>
    </row>
    <row r="38">
      <c r="B38" s="8" t="s">
        <v>4162</v>
      </c>
      <c r="C38" s="33" t="s">
        <v>357</v>
      </c>
      <c r="D38" s="8" t="s">
        <v>3410</v>
      </c>
      <c r="E38" s="116" t="str">
        <f>HYPERLINK("https://youtu.be/aFDttHPgGhA","channel 2")</f>
        <v>channel 2</v>
      </c>
    </row>
    <row r="39">
      <c r="B39" s="8" t="s">
        <v>4163</v>
      </c>
      <c r="C39" s="35" t="s">
        <v>22</v>
      </c>
      <c r="D39" s="8" t="s">
        <v>3409</v>
      </c>
      <c r="E39" s="135" t="str">
        <f>HYPERLINK("https://youtu.be/2e-hL0gkwNw","channel 1")</f>
        <v>channel 1</v>
      </c>
    </row>
    <row r="40">
      <c r="B40" s="8" t="s">
        <v>3525</v>
      </c>
      <c r="C40" s="33" t="s">
        <v>220</v>
      </c>
      <c r="D40" s="8" t="s">
        <v>3410</v>
      </c>
      <c r="E40" s="116" t="str">
        <f>HYPERLINK("https://youtu.be/ow89VGMdYOU","channel 2")</f>
        <v>channel 2</v>
      </c>
    </row>
    <row r="41">
      <c r="B41" s="8" t="s">
        <v>4162</v>
      </c>
      <c r="C41" s="33" t="s">
        <v>26</v>
      </c>
      <c r="D41" s="8" t="s">
        <v>3409</v>
      </c>
      <c r="E41" s="135" t="str">
        <f>HYPERLINK("https://youtu.be/aIvCxk8LIHc","channel 1")</f>
        <v>channel 1</v>
      </c>
    </row>
    <row r="42">
      <c r="B42" s="8" t="s">
        <v>3525</v>
      </c>
      <c r="C42" s="33" t="s">
        <v>534</v>
      </c>
      <c r="D42" s="8" t="s">
        <v>4163</v>
      </c>
      <c r="E42" s="116" t="str">
        <f>HYPERLINK("https://youtu.be/aftA9uiED8U","channel 2")</f>
        <v>channel 2</v>
      </c>
    </row>
    <row r="43">
      <c r="B43" s="8" t="s">
        <v>3410</v>
      </c>
      <c r="C43" s="33" t="s">
        <v>533</v>
      </c>
      <c r="D43" s="8" t="s">
        <v>3409</v>
      </c>
      <c r="E43" s="135" t="str">
        <f>HYPERLINK("https://youtu.be/DrC4jNnHEaM","channel 1")</f>
        <v>channel 1</v>
      </c>
    </row>
    <row r="44">
      <c r="B44" s="8" t="s">
        <v>4162</v>
      </c>
      <c r="C44" s="33" t="s">
        <v>352</v>
      </c>
      <c r="D44" s="8" t="s">
        <v>4163</v>
      </c>
      <c r="E44" s="116" t="str">
        <f>HYPERLINK("https://youtu.be/yd4J3PIiQOM","channel 2")</f>
        <v>channel 2</v>
      </c>
    </row>
    <row r="45">
      <c r="B45" s="150" t="s">
        <v>3214</v>
      </c>
      <c r="C45" s="151"/>
      <c r="D45" s="151"/>
      <c r="E45" s="152"/>
    </row>
    <row r="46">
      <c r="B46" s="153" t="s">
        <v>2</v>
      </c>
      <c r="C46" s="86" t="s">
        <v>3</v>
      </c>
      <c r="D46" s="154" t="s">
        <v>4</v>
      </c>
      <c r="E46" s="154" t="s">
        <v>5</v>
      </c>
    </row>
    <row r="47">
      <c r="B47" s="8" t="s">
        <v>4165</v>
      </c>
      <c r="C47" s="33" t="s">
        <v>285</v>
      </c>
      <c r="D47" s="8" t="s">
        <v>4166</v>
      </c>
      <c r="E47" s="135" t="str">
        <f>HYPERLINK("https://youtu.be/DEbAVNUN6Cc","channel 1")</f>
        <v>channel 1</v>
      </c>
    </row>
    <row r="48">
      <c r="B48" s="8" t="s">
        <v>3739</v>
      </c>
      <c r="C48" s="33" t="s">
        <v>251</v>
      </c>
      <c r="D48" s="8" t="s">
        <v>4072</v>
      </c>
      <c r="E48" s="116" t="str">
        <f>HYPERLINK("https://youtu.be/vDzsqGcr7ys","channel 2")</f>
        <v>channel 2</v>
      </c>
    </row>
    <row r="49">
      <c r="B49" s="8" t="s">
        <v>4167</v>
      </c>
      <c r="C49" s="33" t="s">
        <v>217</v>
      </c>
      <c r="D49" s="8" t="s">
        <v>4165</v>
      </c>
      <c r="E49" s="135" t="str">
        <f>HYPERLINK("https://youtu.be/xIOUrZ6Qvd8","channel 1")</f>
        <v>channel 1</v>
      </c>
    </row>
    <row r="50">
      <c r="B50" s="8" t="s">
        <v>3739</v>
      </c>
      <c r="C50" s="33" t="s">
        <v>62</v>
      </c>
      <c r="D50" s="8" t="s">
        <v>4166</v>
      </c>
      <c r="E50" s="116" t="str">
        <f>HYPERLINK("https://youtu.be/fL_XhFI7yhQ","channel 2")</f>
        <v>channel 2</v>
      </c>
    </row>
    <row r="51">
      <c r="B51" s="8" t="s">
        <v>4167</v>
      </c>
      <c r="C51" s="33" t="s">
        <v>26</v>
      </c>
      <c r="D51" s="8" t="s">
        <v>4072</v>
      </c>
      <c r="E51" s="135" t="str">
        <f>HYPERLINK("https://youtu.be/V0DDeB9FzuI","channel 1")</f>
        <v>channel 1</v>
      </c>
    </row>
    <row r="52">
      <c r="B52" s="8" t="s">
        <v>3739</v>
      </c>
      <c r="C52" s="33" t="s">
        <v>285</v>
      </c>
      <c r="D52" s="8" t="s">
        <v>4165</v>
      </c>
      <c r="E52" s="116" t="str">
        <f>HYPERLINK("https://youtu.be/c87IFCm8meY","channel 2")</f>
        <v>channel 2</v>
      </c>
    </row>
    <row r="53">
      <c r="B53" s="8" t="s">
        <v>4167</v>
      </c>
      <c r="C53" s="33" t="s">
        <v>81</v>
      </c>
      <c r="D53" s="8" t="s">
        <v>4166</v>
      </c>
      <c r="E53" s="135" t="str">
        <f>HYPERLINK("https://youtu.be/V1Jvf65e7tU","channel 1")</f>
        <v>channel 1</v>
      </c>
    </row>
    <row r="54">
      <c r="B54" s="8" t="s">
        <v>4072</v>
      </c>
      <c r="C54" s="33" t="s">
        <v>16</v>
      </c>
      <c r="D54" s="8" t="s">
        <v>4165</v>
      </c>
      <c r="E54" s="116" t="str">
        <f>HYPERLINK("https://youtu.be/vDGIiy4yZYU","channel 2")</f>
        <v>channel 2</v>
      </c>
    </row>
    <row r="55">
      <c r="B55" s="8" t="s">
        <v>4167</v>
      </c>
      <c r="C55" s="33" t="s">
        <v>716</v>
      </c>
      <c r="D55" s="8" t="s">
        <v>3739</v>
      </c>
      <c r="E55" s="135" t="str">
        <f>HYPERLINK("https://youtu.be/sPaVvH8sKjc","channel 1")</f>
        <v>channel 1</v>
      </c>
    </row>
    <row r="56">
      <c r="B56" s="8" t="s">
        <v>4072</v>
      </c>
      <c r="C56" s="33" t="s">
        <v>62</v>
      </c>
      <c r="D56" s="8" t="s">
        <v>4166</v>
      </c>
      <c r="E56" s="116" t="str">
        <f>HYPERLINK("https://youtu.be/7o4CfPuQ9v0","channel 2")</f>
        <v>channel 2</v>
      </c>
    </row>
    <row r="57">
      <c r="B57" s="8" t="s">
        <v>4166</v>
      </c>
      <c r="C57" s="33" t="s">
        <v>212</v>
      </c>
      <c r="D57" s="8" t="s">
        <v>4165</v>
      </c>
      <c r="E57" s="135" t="str">
        <f>HYPERLINK("https://youtu.be/owPBO_GKzyE","channel 1")</f>
        <v>channel 1</v>
      </c>
    </row>
    <row r="58">
      <c r="B58" s="8" t="s">
        <v>4072</v>
      </c>
      <c r="C58" s="33" t="s">
        <v>87</v>
      </c>
      <c r="D58" s="8" t="s">
        <v>3739</v>
      </c>
      <c r="E58" s="116" t="str">
        <f>HYPERLINK("https://youtu.be/WeTORnBidzY","channel 2")</f>
        <v>channel 2</v>
      </c>
    </row>
    <row r="59">
      <c r="B59" s="8" t="s">
        <v>4165</v>
      </c>
      <c r="C59" s="33" t="s">
        <v>80</v>
      </c>
      <c r="D59" s="8" t="s">
        <v>4167</v>
      </c>
      <c r="E59" s="135" t="str">
        <f>HYPERLINK("https://youtu.be/qyTrcKp4HrY","channel 1")</f>
        <v>channel 1</v>
      </c>
    </row>
    <row r="60">
      <c r="B60" s="8" t="s">
        <v>4166</v>
      </c>
      <c r="C60" s="33" t="s">
        <v>337</v>
      </c>
      <c r="D60" s="8" t="s">
        <v>3739</v>
      </c>
      <c r="E60" s="116" t="str">
        <f>HYPERLINK("https://youtu.be/0uqe-l1eIL8","channel 2")</f>
        <v>channel 2</v>
      </c>
    </row>
    <row r="61">
      <c r="B61" s="8" t="s">
        <v>4072</v>
      </c>
      <c r="C61" s="33" t="s">
        <v>42</v>
      </c>
      <c r="D61" s="8" t="s">
        <v>4167</v>
      </c>
      <c r="E61" s="135" t="str">
        <f>HYPERLINK("https://youtu.be/6oOK4dzoPAs","channel 1")</f>
        <v>channel 1</v>
      </c>
    </row>
    <row r="62">
      <c r="B62" s="8" t="s">
        <v>4165</v>
      </c>
      <c r="C62" s="35" t="s">
        <v>195</v>
      </c>
      <c r="D62" s="8" t="s">
        <v>3739</v>
      </c>
      <c r="E62" s="116" t="str">
        <f>HYPERLINK("https://youtu.be/hqLIDOxIs7c","channel 2")</f>
        <v>channel 2</v>
      </c>
    </row>
    <row r="63">
      <c r="B63" s="8" t="s">
        <v>4166</v>
      </c>
      <c r="C63" s="33" t="s">
        <v>208</v>
      </c>
      <c r="D63" s="8" t="s">
        <v>4167</v>
      </c>
      <c r="E63" s="135" t="str">
        <f>HYPERLINK("https://youtu.be/j7mvo_rn0kQ","channel 1")</f>
        <v>channel 1</v>
      </c>
    </row>
    <row r="64">
      <c r="B64" s="8" t="s">
        <v>4165</v>
      </c>
      <c r="C64" s="33" t="s">
        <v>2014</v>
      </c>
      <c r="D64" s="8" t="s">
        <v>4072</v>
      </c>
      <c r="E64" s="116" t="str">
        <f>HYPERLINK("https://youtu.be/M6xBuTzHFpk","channel 2")</f>
        <v>channel 2</v>
      </c>
    </row>
    <row r="65">
      <c r="B65" s="8" t="s">
        <v>3739</v>
      </c>
      <c r="C65" s="33" t="s">
        <v>243</v>
      </c>
      <c r="D65" s="8" t="s">
        <v>4167</v>
      </c>
      <c r="E65" s="135" t="str">
        <f>HYPERLINK("https://youtu.be/iyr49ulc84k","channel 1")</f>
        <v>channel 1</v>
      </c>
    </row>
    <row r="66">
      <c r="B66" s="8" t="s">
        <v>4166</v>
      </c>
      <c r="C66" s="33" t="s">
        <v>239</v>
      </c>
      <c r="D66" s="8" t="s">
        <v>4072</v>
      </c>
      <c r="E66" s="116" t="str">
        <f>HYPERLINK("https://youtu.be/znHohGbmHd0","channel 2")</f>
        <v>channel 2</v>
      </c>
    </row>
    <row r="67">
      <c r="B67" s="158" t="s">
        <v>2923</v>
      </c>
      <c r="C67" s="151"/>
      <c r="D67" s="151"/>
      <c r="E67" s="152"/>
    </row>
    <row r="68">
      <c r="B68" s="85" t="s">
        <v>2</v>
      </c>
      <c r="C68" s="86" t="s">
        <v>3</v>
      </c>
      <c r="D68" s="86" t="s">
        <v>4</v>
      </c>
      <c r="E68" s="86" t="s">
        <v>5</v>
      </c>
    </row>
    <row r="69">
      <c r="B69" s="8" t="s">
        <v>4168</v>
      </c>
      <c r="C69" s="33" t="s">
        <v>239</v>
      </c>
      <c r="D69" s="8" t="s">
        <v>4169</v>
      </c>
      <c r="E69" s="135" t="str">
        <f>HYPERLINK("https://youtu.be/dE9h8sP3bKA","channel 1")</f>
        <v>channel 1</v>
      </c>
    </row>
    <row r="70">
      <c r="B70" s="8" t="s">
        <v>4062</v>
      </c>
      <c r="C70" s="33" t="s">
        <v>11</v>
      </c>
      <c r="D70" s="8" t="s">
        <v>4047</v>
      </c>
      <c r="E70" s="116" t="str">
        <f>HYPERLINK("https://youtu.be/mtsZtoXoTQE","channel 2")</f>
        <v>channel 2</v>
      </c>
    </row>
    <row r="71">
      <c r="B71" s="8" t="s">
        <v>4170</v>
      </c>
      <c r="C71" s="33" t="s">
        <v>260</v>
      </c>
      <c r="D71" s="8" t="s">
        <v>4168</v>
      </c>
      <c r="E71" s="135" t="str">
        <f>HYPERLINK("https://youtu.be/zChvALZopBY","channel 1")</f>
        <v>channel 1</v>
      </c>
    </row>
    <row r="72">
      <c r="B72" s="8" t="s">
        <v>4062</v>
      </c>
      <c r="C72" s="33" t="s">
        <v>64</v>
      </c>
      <c r="D72" s="8" t="s">
        <v>4169</v>
      </c>
      <c r="E72" s="116" t="str">
        <f>HYPERLINK("https://youtu.be/8OcTxG0gRdA","channel 2")</f>
        <v>channel 2</v>
      </c>
    </row>
    <row r="73">
      <c r="B73" s="8" t="s">
        <v>4170</v>
      </c>
      <c r="C73" s="33" t="s">
        <v>11</v>
      </c>
      <c r="D73" s="8" t="s">
        <v>4047</v>
      </c>
      <c r="E73" s="135" t="str">
        <f>HYPERLINK("https://youtu.be/Kab1uHCG9S8","channel 1")</f>
        <v>channel 1</v>
      </c>
    </row>
    <row r="74">
      <c r="B74" s="8" t="s">
        <v>4062</v>
      </c>
      <c r="C74" s="33" t="s">
        <v>87</v>
      </c>
      <c r="D74" s="8" t="s">
        <v>4168</v>
      </c>
      <c r="E74" s="116" t="str">
        <f>HYPERLINK("https://youtu.be/OxPLPbB9hoY","channel 2")</f>
        <v>channel 2</v>
      </c>
    </row>
    <row r="75">
      <c r="B75" s="8" t="s">
        <v>4170</v>
      </c>
      <c r="C75" s="33" t="s">
        <v>64</v>
      </c>
      <c r="D75" s="8" t="s">
        <v>4169</v>
      </c>
      <c r="E75" s="135" t="str">
        <f>HYPERLINK("https://youtu.be/JQIiCr3_El0","channel 1")</f>
        <v>channel 1</v>
      </c>
    </row>
    <row r="76">
      <c r="B76" s="8" t="s">
        <v>4047</v>
      </c>
      <c r="C76" s="33" t="s">
        <v>25</v>
      </c>
      <c r="D76" s="8" t="s">
        <v>4168</v>
      </c>
      <c r="E76" s="116" t="str">
        <f>HYPERLINK("https://youtu.be/W7M7gtB2ctY","channel 2")</f>
        <v>channel 2</v>
      </c>
    </row>
    <row r="77">
      <c r="B77" s="8" t="s">
        <v>4170</v>
      </c>
      <c r="C77" s="33" t="s">
        <v>578</v>
      </c>
      <c r="D77" s="8" t="s">
        <v>4062</v>
      </c>
      <c r="E77" s="141" t="s">
        <v>9</v>
      </c>
    </row>
    <row r="78">
      <c r="B78" s="8" t="s">
        <v>4047</v>
      </c>
      <c r="C78" s="33" t="s">
        <v>815</v>
      </c>
      <c r="D78" s="8" t="s">
        <v>4169</v>
      </c>
      <c r="E78" s="116" t="str">
        <f>HYPERLINK("https://youtu.be/iHYKb40aBic","channel 2")</f>
        <v>channel 2</v>
      </c>
    </row>
    <row r="79">
      <c r="B79" s="8" t="s">
        <v>4169</v>
      </c>
      <c r="C79" s="33" t="s">
        <v>239</v>
      </c>
      <c r="D79" s="8" t="s">
        <v>4168</v>
      </c>
      <c r="E79" s="135" t="str">
        <f>HYPERLINK("https://youtu.be/ffgEuoHyAfk","channel 1")</f>
        <v>channel 1</v>
      </c>
    </row>
    <row r="80">
      <c r="B80" s="8" t="s">
        <v>4047</v>
      </c>
      <c r="C80" s="33" t="s">
        <v>239</v>
      </c>
      <c r="D80" s="8" t="s">
        <v>4062</v>
      </c>
      <c r="E80" s="116" t="str">
        <f>HYPERLINK("https://youtu.be/vpaJ321rhSE","channel 2")</f>
        <v>channel 2</v>
      </c>
    </row>
    <row r="81">
      <c r="B81" s="8" t="s">
        <v>4168</v>
      </c>
      <c r="C81" s="33" t="s">
        <v>28</v>
      </c>
      <c r="D81" s="8" t="s">
        <v>4170</v>
      </c>
      <c r="E81" s="135" t="str">
        <f>HYPERLINK("https://youtu.be/PbmAWovCOuI","channel 1")</f>
        <v>channel 1</v>
      </c>
    </row>
    <row r="82">
      <c r="B82" s="8" t="s">
        <v>4169</v>
      </c>
      <c r="C82" s="33" t="s">
        <v>291</v>
      </c>
      <c r="D82" s="8" t="s">
        <v>4062</v>
      </c>
      <c r="E82" s="116" t="str">
        <f>HYPERLINK("https://youtu.be/6Rn7EY40U2w","channel 2")</f>
        <v>channel 2</v>
      </c>
    </row>
    <row r="83">
      <c r="B83" s="8" t="s">
        <v>4047</v>
      </c>
      <c r="C83" s="33" t="s">
        <v>1633</v>
      </c>
      <c r="D83" s="8" t="s">
        <v>4170</v>
      </c>
      <c r="E83" s="135" t="str">
        <f>HYPERLINK("https://youtu.be/Uwid8uNnwtg","channel 1")</f>
        <v>channel 1</v>
      </c>
    </row>
    <row r="84">
      <c r="B84" s="8" t="s">
        <v>4168</v>
      </c>
      <c r="C84" s="33" t="s">
        <v>267</v>
      </c>
      <c r="D84" s="8" t="s">
        <v>4062</v>
      </c>
      <c r="E84" s="116" t="str">
        <f>HYPERLINK("https://youtu.be/-mCUeB_taic","channel 2")</f>
        <v>channel 2</v>
      </c>
    </row>
    <row r="85">
      <c r="B85" s="8" t="s">
        <v>4169</v>
      </c>
      <c r="C85" s="33" t="s">
        <v>68</v>
      </c>
      <c r="D85" s="8" t="s">
        <v>4170</v>
      </c>
      <c r="E85" s="135" t="str">
        <f>HYPERLINK("https://youtu.be/dy3OFRX8sKw","channel 1")</f>
        <v>channel 1</v>
      </c>
    </row>
    <row r="86">
      <c r="B86" s="8" t="s">
        <v>4168</v>
      </c>
      <c r="C86" s="33" t="s">
        <v>337</v>
      </c>
      <c r="D86" s="8" t="s">
        <v>4047</v>
      </c>
      <c r="E86" s="116" t="str">
        <f>HYPERLINK("https://youtu.be/tZ8VrWZqy0k","channel 2")</f>
        <v>channel 2</v>
      </c>
    </row>
    <row r="87">
      <c r="B87" s="8" t="s">
        <v>4062</v>
      </c>
      <c r="C87" s="33" t="s">
        <v>267</v>
      </c>
      <c r="D87" s="8" t="s">
        <v>4170</v>
      </c>
      <c r="E87" s="135" t="str">
        <f>HYPERLINK("https://youtu.be/uvI9rfYYnlU","channel 1")</f>
        <v>channel 1</v>
      </c>
    </row>
    <row r="88">
      <c r="B88" s="8" t="s">
        <v>4169</v>
      </c>
      <c r="C88" s="33" t="s">
        <v>328</v>
      </c>
      <c r="D88" s="8" t="s">
        <v>4047</v>
      </c>
      <c r="E88" s="116" t="str">
        <f>HYPERLINK("https://youtu.be/iyv-nRJ9uDE","channel 2")</f>
        <v>channel 2</v>
      </c>
    </row>
    <row r="89">
      <c r="B89" s="148"/>
      <c r="C89" s="148"/>
      <c r="D89" s="148"/>
      <c r="E89" s="149"/>
    </row>
    <row r="90">
      <c r="B90" s="148"/>
      <c r="C90" s="148"/>
      <c r="D90" s="148"/>
      <c r="E90" s="149"/>
    </row>
    <row r="91">
      <c r="B91" s="148"/>
      <c r="C91" s="148"/>
      <c r="D91" s="148"/>
      <c r="E91" s="149"/>
    </row>
    <row r="92">
      <c r="B92" s="148"/>
      <c r="C92" s="148"/>
      <c r="D92" s="148"/>
      <c r="E92" s="149"/>
    </row>
    <row r="93">
      <c r="B93" s="148"/>
      <c r="C93" s="148"/>
      <c r="D93" s="148"/>
      <c r="E93" s="149"/>
    </row>
    <row r="94">
      <c r="B94" s="148"/>
      <c r="C94" s="148"/>
      <c r="D94" s="148"/>
      <c r="E94" s="149"/>
    </row>
    <row r="95">
      <c r="B95" s="148"/>
      <c r="C95" s="148"/>
      <c r="D95" s="148"/>
      <c r="E95" s="149"/>
    </row>
    <row r="96">
      <c r="B96" s="148"/>
      <c r="C96" s="148"/>
      <c r="D96" s="148"/>
      <c r="E96" s="149"/>
    </row>
    <row r="97">
      <c r="B97" s="148"/>
      <c r="C97" s="148"/>
      <c r="D97" s="148"/>
      <c r="E97" s="149"/>
    </row>
    <row r="98">
      <c r="B98" s="148"/>
      <c r="C98" s="148"/>
      <c r="D98" s="148"/>
      <c r="E98" s="149"/>
    </row>
    <row r="99">
      <c r="B99" s="148"/>
      <c r="C99" s="148"/>
      <c r="D99" s="148"/>
      <c r="E99" s="149"/>
    </row>
    <row r="100">
      <c r="B100" s="148"/>
      <c r="C100" s="148"/>
      <c r="D100" s="148"/>
      <c r="E100" s="149"/>
    </row>
    <row r="101">
      <c r="B101" s="148"/>
      <c r="C101" s="148"/>
      <c r="D101" s="148"/>
      <c r="E101" s="149"/>
    </row>
    <row r="102">
      <c r="B102" s="148"/>
      <c r="C102" s="148"/>
      <c r="D102" s="148"/>
      <c r="E102" s="149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0" t="s">
        <v>2790</v>
      </c>
      <c r="C1" s="151"/>
      <c r="D1" s="151"/>
      <c r="E1" s="152"/>
    </row>
    <row r="2">
      <c r="B2" s="153" t="s">
        <v>2</v>
      </c>
      <c r="C2" s="86" t="s">
        <v>3</v>
      </c>
      <c r="D2" s="154" t="s">
        <v>4</v>
      </c>
      <c r="E2" s="154" t="s">
        <v>5</v>
      </c>
    </row>
    <row r="3">
      <c r="B3" s="8" t="s">
        <v>3934</v>
      </c>
      <c r="C3" s="33" t="s">
        <v>23</v>
      </c>
      <c r="D3" s="8" t="s">
        <v>3571</v>
      </c>
      <c r="E3" s="135" t="str">
        <f>HYPERLINK("https://youtu.be/yq8i-0G1Vrs","channel 1")</f>
        <v>channel 1</v>
      </c>
    </row>
    <row r="4">
      <c r="B4" s="8" t="s">
        <v>3572</v>
      </c>
      <c r="C4" s="33" t="s">
        <v>426</v>
      </c>
      <c r="D4" s="8" t="s">
        <v>3147</v>
      </c>
      <c r="E4" s="116" t="str">
        <f>HYPERLINK("https://youtu.be/yDDC4nkeDhE","channel 2")</f>
        <v>channel 2</v>
      </c>
    </row>
    <row r="5">
      <c r="B5" s="8" t="s">
        <v>3573</v>
      </c>
      <c r="C5" s="33" t="s">
        <v>251</v>
      </c>
      <c r="D5" s="8" t="s">
        <v>3934</v>
      </c>
      <c r="E5" s="135" t="str">
        <f>HYPERLINK("https://youtu.be/ptj00hWz1rQ","channel 1")</f>
        <v>channel 1</v>
      </c>
    </row>
    <row r="6">
      <c r="B6" s="8" t="s">
        <v>3572</v>
      </c>
      <c r="C6" s="33" t="s">
        <v>578</v>
      </c>
      <c r="D6" s="8" t="s">
        <v>3571</v>
      </c>
      <c r="E6" s="116" t="str">
        <f>HYPERLINK("https://youtu.be/bVFKkuGMhlU","channel 2")</f>
        <v>channel 2</v>
      </c>
    </row>
    <row r="7">
      <c r="B7" s="8" t="s">
        <v>3573</v>
      </c>
      <c r="C7" s="33" t="s">
        <v>52</v>
      </c>
      <c r="D7" s="8" t="s">
        <v>3147</v>
      </c>
      <c r="E7" s="135" t="str">
        <f>HYPERLINK("https://youtu.be/dspgfB3M6Ko","channel 1")</f>
        <v>channel 1</v>
      </c>
    </row>
    <row r="8">
      <c r="B8" s="8" t="s">
        <v>3572</v>
      </c>
      <c r="C8" s="33" t="s">
        <v>201</v>
      </c>
      <c r="D8" s="8" t="s">
        <v>3934</v>
      </c>
      <c r="E8" s="116" t="str">
        <f>HYPERLINK("https://youtu.be/CdIFgeReNO4","channel 2")</f>
        <v>channel 2</v>
      </c>
    </row>
    <row r="9">
      <c r="B9" s="8" t="s">
        <v>3573</v>
      </c>
      <c r="C9" s="33" t="s">
        <v>435</v>
      </c>
      <c r="D9" s="8" t="s">
        <v>3571</v>
      </c>
      <c r="E9" s="135" t="str">
        <f>HYPERLINK("https://youtu.be/Ct0ygPPwJ64","channel 1")</f>
        <v>channel 1</v>
      </c>
    </row>
    <row r="10">
      <c r="B10" s="8" t="s">
        <v>3147</v>
      </c>
      <c r="C10" s="33" t="s">
        <v>197</v>
      </c>
      <c r="D10" s="8" t="s">
        <v>3934</v>
      </c>
      <c r="E10" s="116" t="str">
        <f>HYPERLINK("https://youtu.be/1ndqDeP8LFw","channel 2")</f>
        <v>channel 2</v>
      </c>
    </row>
    <row r="11">
      <c r="B11" s="8" t="s">
        <v>3573</v>
      </c>
      <c r="C11" s="33" t="s">
        <v>306</v>
      </c>
      <c r="D11" s="8" t="s">
        <v>3572</v>
      </c>
      <c r="E11" s="141" t="s">
        <v>9</v>
      </c>
    </row>
    <row r="12">
      <c r="B12" s="8" t="s">
        <v>3147</v>
      </c>
      <c r="C12" s="33" t="s">
        <v>267</v>
      </c>
      <c r="D12" s="8" t="s">
        <v>3571</v>
      </c>
      <c r="E12" s="116" t="str">
        <f>HYPERLINK("https://youtu.be/81CN7MJnuJU","channel 2")</f>
        <v>channel 2</v>
      </c>
    </row>
    <row r="13">
      <c r="B13" s="8" t="s">
        <v>3571</v>
      </c>
      <c r="C13" s="33" t="s">
        <v>11</v>
      </c>
      <c r="D13" s="8" t="s">
        <v>3934</v>
      </c>
      <c r="E13" s="135" t="str">
        <f>HYPERLINK("https://youtu.be/-j9_OWyEy4Y","channel 1")</f>
        <v>channel 1</v>
      </c>
    </row>
    <row r="14">
      <c r="B14" s="8" t="s">
        <v>3147</v>
      </c>
      <c r="C14" s="33" t="s">
        <v>325</v>
      </c>
      <c r="D14" s="8" t="s">
        <v>3572</v>
      </c>
      <c r="E14" s="116" t="str">
        <f>HYPERLINK("https://youtu.be/PSjPnKOiTBY","channel 2")</f>
        <v>channel 2</v>
      </c>
    </row>
    <row r="15">
      <c r="B15" s="8" t="s">
        <v>3934</v>
      </c>
      <c r="C15" s="33" t="s">
        <v>68</v>
      </c>
      <c r="D15" s="8" t="s">
        <v>3573</v>
      </c>
      <c r="E15" s="135" t="str">
        <f>HYPERLINK("https://youtu.be/7mPy04wqTVY","channel 1")</f>
        <v>channel 1</v>
      </c>
    </row>
    <row r="16">
      <c r="B16" s="8" t="s">
        <v>3571</v>
      </c>
      <c r="C16" s="33" t="s">
        <v>400</v>
      </c>
      <c r="D16" s="8" t="s">
        <v>3572</v>
      </c>
      <c r="E16" s="116" t="str">
        <f>HYPERLINK("https://youtu.be/me5mQCkZhnA","channel 2")</f>
        <v>channel 2</v>
      </c>
    </row>
    <row r="17">
      <c r="B17" s="8" t="s">
        <v>3147</v>
      </c>
      <c r="C17" s="33" t="s">
        <v>285</v>
      </c>
      <c r="D17" s="8" t="s">
        <v>3573</v>
      </c>
      <c r="E17" s="135" t="str">
        <f>HYPERLINK("https://youtu.be/vd7UL3uy5Jg","channel 1")</f>
        <v>channel 1</v>
      </c>
    </row>
    <row r="18">
      <c r="B18" s="8" t="s">
        <v>3934</v>
      </c>
      <c r="C18" s="33" t="s">
        <v>187</v>
      </c>
      <c r="D18" s="8" t="s">
        <v>3572</v>
      </c>
      <c r="E18" s="116" t="str">
        <f>HYPERLINK("https://youtu.be/Kdw4yuogRas","channel 2")</f>
        <v>channel 2</v>
      </c>
    </row>
    <row r="19">
      <c r="B19" s="8" t="s">
        <v>3571</v>
      </c>
      <c r="C19" s="33" t="s">
        <v>239</v>
      </c>
      <c r="D19" s="8" t="s">
        <v>3573</v>
      </c>
      <c r="E19" s="135" t="str">
        <f>HYPERLINK("https://youtu.be/BYd1i1kwdks","channel 1")</f>
        <v>channel 1</v>
      </c>
    </row>
    <row r="20">
      <c r="B20" s="8" t="s">
        <v>3934</v>
      </c>
      <c r="C20" s="33" t="s">
        <v>21</v>
      </c>
      <c r="D20" s="8" t="s">
        <v>3147</v>
      </c>
      <c r="E20" s="116" t="str">
        <f>HYPERLINK("https://youtu.be/SppJfAb6xKs","channel 2")</f>
        <v>channel 2</v>
      </c>
    </row>
    <row r="21">
      <c r="B21" s="8" t="s">
        <v>3572</v>
      </c>
      <c r="C21" s="33" t="s">
        <v>4171</v>
      </c>
      <c r="D21" s="8" t="s">
        <v>3573</v>
      </c>
      <c r="E21" s="135" t="str">
        <f>HYPERLINK("https://youtu.be/2dniWBeAQ-g","channel 1")</f>
        <v>channel 1</v>
      </c>
    </row>
    <row r="22">
      <c r="B22" s="8" t="s">
        <v>3571</v>
      </c>
      <c r="C22" s="33" t="s">
        <v>331</v>
      </c>
      <c r="D22" s="8" t="s">
        <v>3147</v>
      </c>
      <c r="E22" s="116" t="str">
        <f>HYPERLINK("https://youtu.be/JbZ0BSnY7bA","channel 2")</f>
        <v>channel 2</v>
      </c>
    </row>
    <row r="23">
      <c r="B23" s="150" t="s">
        <v>1664</v>
      </c>
      <c r="C23" s="151"/>
      <c r="D23" s="151"/>
      <c r="E23" s="152"/>
    </row>
    <row r="24">
      <c r="B24" s="153" t="s">
        <v>2</v>
      </c>
      <c r="C24" s="86" t="s">
        <v>3</v>
      </c>
      <c r="D24" s="154" t="s">
        <v>4</v>
      </c>
      <c r="E24" s="154" t="s">
        <v>5</v>
      </c>
    </row>
    <row r="25">
      <c r="B25" s="8" t="s">
        <v>876</v>
      </c>
      <c r="C25" s="33" t="s">
        <v>22</v>
      </c>
      <c r="D25" s="8" t="s">
        <v>4172</v>
      </c>
      <c r="E25" s="135" t="str">
        <f>HYPERLINK("https://youtu.be/-b3XhJ4MDGI","channel 1")</f>
        <v>channel 1</v>
      </c>
    </row>
    <row r="26">
      <c r="B26" s="8" t="s">
        <v>3184</v>
      </c>
      <c r="C26" s="33" t="s">
        <v>190</v>
      </c>
      <c r="D26" s="8" t="s">
        <v>4093</v>
      </c>
      <c r="E26" s="116" t="str">
        <f>HYPERLINK("https://youtu.be/mkd72XW1sh8","channel 2")</f>
        <v>channel 2</v>
      </c>
    </row>
    <row r="27">
      <c r="B27" s="8" t="s">
        <v>3472</v>
      </c>
      <c r="C27" s="33" t="s">
        <v>18</v>
      </c>
      <c r="D27" s="8" t="s">
        <v>876</v>
      </c>
      <c r="E27" s="135" t="str">
        <f>HYPERLINK("https://youtu.be/0ephFN0DFQI","channel 1")</f>
        <v>channel 1</v>
      </c>
    </row>
    <row r="28">
      <c r="B28" s="8" t="s">
        <v>3184</v>
      </c>
      <c r="C28" s="33" t="s">
        <v>201</v>
      </c>
      <c r="D28" s="8" t="s">
        <v>4172</v>
      </c>
      <c r="E28" s="116" t="str">
        <f>HYPERLINK("https://youtu.be/bxQFAf-ZgYU","channel 2")</f>
        <v>channel 2</v>
      </c>
    </row>
    <row r="29">
      <c r="B29" s="8" t="s">
        <v>3472</v>
      </c>
      <c r="C29" s="33" t="s">
        <v>239</v>
      </c>
      <c r="D29" s="8" t="s">
        <v>4093</v>
      </c>
      <c r="E29" s="135" t="str">
        <f>HYPERLINK("https://youtu.be/Yd7ieDkYPno","channel 1")</f>
        <v>channel 1</v>
      </c>
    </row>
    <row r="30">
      <c r="B30" s="8" t="s">
        <v>3184</v>
      </c>
      <c r="C30" s="33" t="s">
        <v>306</v>
      </c>
      <c r="D30" s="8" t="s">
        <v>876</v>
      </c>
      <c r="E30" s="116" t="str">
        <f>HYPERLINK("https://youtu.be/zVMlHfCGUOk","channel 2")</f>
        <v>channel 2</v>
      </c>
    </row>
    <row r="31">
      <c r="B31" s="8" t="s">
        <v>3472</v>
      </c>
      <c r="C31" s="33" t="s">
        <v>239</v>
      </c>
      <c r="D31" s="8" t="s">
        <v>4172</v>
      </c>
      <c r="E31" s="135" t="str">
        <f>HYPERLINK("https://youtu.be/UcpSolKMWls","channel 1")</f>
        <v>channel 1</v>
      </c>
    </row>
    <row r="32">
      <c r="B32" s="8" t="s">
        <v>4093</v>
      </c>
      <c r="C32" s="33" t="s">
        <v>494</v>
      </c>
      <c r="D32" s="8" t="s">
        <v>876</v>
      </c>
      <c r="E32" s="116" t="str">
        <f>HYPERLINK("https://youtu.be/Y9BJstKzcAA","channel 2")</f>
        <v>channel 2</v>
      </c>
    </row>
    <row r="33">
      <c r="B33" s="8" t="s">
        <v>3472</v>
      </c>
      <c r="C33" s="33" t="s">
        <v>1025</v>
      </c>
      <c r="D33" s="8" t="s">
        <v>3184</v>
      </c>
      <c r="E33" s="135" t="str">
        <f>HYPERLINK("https://youtu.be/Kn__IWVTVi4","channel 1")</f>
        <v>channel 1</v>
      </c>
    </row>
    <row r="34">
      <c r="B34" s="8" t="s">
        <v>4093</v>
      </c>
      <c r="C34" s="33" t="s">
        <v>58</v>
      </c>
      <c r="D34" s="8" t="s">
        <v>4172</v>
      </c>
      <c r="E34" s="116" t="str">
        <f>HYPERLINK("https://youtu.be/-qd5Z2nkA1U","channel 2")</f>
        <v>channel 2</v>
      </c>
    </row>
    <row r="35">
      <c r="B35" s="8" t="s">
        <v>4172</v>
      </c>
      <c r="C35" s="33" t="s">
        <v>48</v>
      </c>
      <c r="D35" s="8" t="s">
        <v>876</v>
      </c>
      <c r="E35" s="135" t="str">
        <f>HYPERLINK("https://youtu.be/WETPukxsu_4","channel 1")</f>
        <v>channel 1</v>
      </c>
    </row>
    <row r="36">
      <c r="B36" s="8" t="s">
        <v>4093</v>
      </c>
      <c r="C36" s="33" t="s">
        <v>215</v>
      </c>
      <c r="D36" s="8" t="s">
        <v>3184</v>
      </c>
      <c r="E36" s="116" t="str">
        <f>HYPERLINK("https://youtu.be/uoymO7tbPvM","channel 2")</f>
        <v>channel 2</v>
      </c>
    </row>
    <row r="37">
      <c r="B37" s="8" t="s">
        <v>876</v>
      </c>
      <c r="C37" s="33" t="s">
        <v>47</v>
      </c>
      <c r="D37" s="8" t="s">
        <v>3472</v>
      </c>
      <c r="E37" s="135" t="str">
        <f>HYPERLINK("https://youtu.be/CxSjdEKSGCk","channel 1")</f>
        <v>channel 1</v>
      </c>
    </row>
    <row r="38">
      <c r="B38" s="8" t="s">
        <v>4172</v>
      </c>
      <c r="C38" s="33" t="s">
        <v>38</v>
      </c>
      <c r="D38" s="8" t="s">
        <v>3184</v>
      </c>
      <c r="E38" s="116" t="str">
        <f>HYPERLINK("https://youtu.be/gCshjk60m6U","channel 2")</f>
        <v>channel 2</v>
      </c>
    </row>
    <row r="39">
      <c r="B39" s="8" t="s">
        <v>4093</v>
      </c>
      <c r="C39" s="35" t="s">
        <v>218</v>
      </c>
      <c r="D39" s="8" t="s">
        <v>3472</v>
      </c>
      <c r="E39" s="135" t="str">
        <f>HYPERLINK("https://youtu.be/hJnJK8zMprc","channel 1")</f>
        <v>channel 1</v>
      </c>
    </row>
    <row r="40">
      <c r="B40" s="8" t="s">
        <v>876</v>
      </c>
      <c r="C40" s="33" t="s">
        <v>434</v>
      </c>
      <c r="D40" s="8" t="s">
        <v>3184</v>
      </c>
      <c r="E40" s="116" t="str">
        <f>HYPERLINK("https://youtu.be/89w2I4-APjY","channel 2")</f>
        <v>channel 2</v>
      </c>
    </row>
    <row r="41">
      <c r="B41" s="8" t="s">
        <v>4172</v>
      </c>
      <c r="C41" s="33" t="s">
        <v>239</v>
      </c>
      <c r="D41" s="8" t="s">
        <v>3472</v>
      </c>
      <c r="E41" s="135" t="str">
        <f>HYPERLINK("https://youtu.be/jHk-c-0J52g","channel 1")</f>
        <v>channel 1</v>
      </c>
    </row>
    <row r="42">
      <c r="B42" s="8" t="s">
        <v>876</v>
      </c>
      <c r="C42" s="33" t="s">
        <v>72</v>
      </c>
      <c r="D42" s="8" t="s">
        <v>4093</v>
      </c>
      <c r="E42" s="116" t="str">
        <f>HYPERLINK("https://youtu.be/kRjRAZYGH0E","channel 2")</f>
        <v>channel 2</v>
      </c>
    </row>
    <row r="43">
      <c r="B43" s="8" t="s">
        <v>3184</v>
      </c>
      <c r="C43" s="33" t="s">
        <v>63</v>
      </c>
      <c r="D43" s="8" t="s">
        <v>3472</v>
      </c>
      <c r="E43" s="135" t="str">
        <f>HYPERLINK("https://youtu.be/JB2_6m9J9Gs","channel 1")</f>
        <v>channel 1</v>
      </c>
    </row>
    <row r="44">
      <c r="B44" s="8" t="s">
        <v>4172</v>
      </c>
      <c r="C44" s="33" t="s">
        <v>291</v>
      </c>
      <c r="D44" s="8" t="s">
        <v>4093</v>
      </c>
      <c r="E44" s="116" t="str">
        <f>HYPERLINK("https://youtu.be/Ee8wfnc4ZoY","channel 2")</f>
        <v>channel 2</v>
      </c>
    </row>
    <row r="45">
      <c r="B45" s="150" t="s">
        <v>2041</v>
      </c>
      <c r="C45" s="151"/>
      <c r="D45" s="151"/>
      <c r="E45" s="152"/>
    </row>
    <row r="46">
      <c r="B46" s="153" t="s">
        <v>2</v>
      </c>
      <c r="C46" s="86" t="s">
        <v>3</v>
      </c>
      <c r="D46" s="154" t="s">
        <v>4</v>
      </c>
      <c r="E46" s="154" t="s">
        <v>5</v>
      </c>
    </row>
    <row r="47">
      <c r="B47" s="8" t="s">
        <v>4173</v>
      </c>
      <c r="C47" s="33" t="s">
        <v>35</v>
      </c>
      <c r="D47" s="8" t="s">
        <v>4125</v>
      </c>
      <c r="E47" s="135" t="str">
        <f>HYPERLINK("https://youtu.be/RmAoSXMa0Uo","channel 1")</f>
        <v>channel 1</v>
      </c>
    </row>
    <row r="48">
      <c r="B48" s="8" t="s">
        <v>3383</v>
      </c>
      <c r="C48" s="33" t="s">
        <v>251</v>
      </c>
      <c r="D48" s="8" t="s">
        <v>4174</v>
      </c>
      <c r="E48" s="116" t="str">
        <f>HYPERLINK("https://youtu.be/634ueb4kaP8","channel 2")</f>
        <v>channel 2</v>
      </c>
    </row>
    <row r="49">
      <c r="B49" s="8" t="s">
        <v>4175</v>
      </c>
      <c r="C49" s="33" t="s">
        <v>233</v>
      </c>
      <c r="D49" s="8" t="s">
        <v>4173</v>
      </c>
      <c r="E49" s="135" t="str">
        <f>HYPERLINK("https://youtu.be/EnBImqxWeRg","channel 1")</f>
        <v>channel 1</v>
      </c>
    </row>
    <row r="50">
      <c r="B50" s="8" t="s">
        <v>3383</v>
      </c>
      <c r="C50" s="33" t="s">
        <v>278</v>
      </c>
      <c r="D50" s="8" t="s">
        <v>4125</v>
      </c>
      <c r="E50" s="116" t="str">
        <f>HYPERLINK("https://youtu.be/Jn2EeLr8qdE","channel 2")</f>
        <v>channel 2</v>
      </c>
    </row>
    <row r="51">
      <c r="B51" s="8" t="s">
        <v>4175</v>
      </c>
      <c r="C51" s="33" t="s">
        <v>87</v>
      </c>
      <c r="D51" s="8" t="s">
        <v>4174</v>
      </c>
      <c r="E51" s="135" t="str">
        <f>HYPERLINK("https://youtu.be/GYusVb_543M","channel 1")</f>
        <v>channel 1</v>
      </c>
    </row>
    <row r="52">
      <c r="B52" s="8" t="s">
        <v>3383</v>
      </c>
      <c r="C52" s="33" t="s">
        <v>286</v>
      </c>
      <c r="D52" s="8" t="s">
        <v>4173</v>
      </c>
      <c r="E52" s="116" t="str">
        <f>HYPERLINK("https://youtu.be/43Yfh4RkPk0","channel 2")</f>
        <v>channel 2</v>
      </c>
    </row>
    <row r="53">
      <c r="B53" s="8" t="s">
        <v>4175</v>
      </c>
      <c r="C53" s="33" t="s">
        <v>78</v>
      </c>
      <c r="D53" s="8" t="s">
        <v>4125</v>
      </c>
      <c r="E53" s="135" t="str">
        <f>HYPERLINK("https://youtu.be/O1abdj4gkXY","channel 1")</f>
        <v>channel 1</v>
      </c>
    </row>
    <row r="54">
      <c r="B54" s="8" t="s">
        <v>4174</v>
      </c>
      <c r="C54" s="33" t="s">
        <v>17</v>
      </c>
      <c r="D54" s="8" t="s">
        <v>4173</v>
      </c>
      <c r="E54" s="116" t="str">
        <f>HYPERLINK("https://youtu.be/jTsiLQ50Ezg","channel 2")</f>
        <v>channel 2</v>
      </c>
    </row>
    <row r="55">
      <c r="B55" s="8" t="s">
        <v>4175</v>
      </c>
      <c r="C55" s="33" t="s">
        <v>566</v>
      </c>
      <c r="D55" s="8" t="s">
        <v>3383</v>
      </c>
      <c r="E55" s="135" t="str">
        <f>HYPERLINK("https://youtu.be/Bm9fo5A7LJE","channel 1")</f>
        <v>channel 1</v>
      </c>
    </row>
    <row r="56">
      <c r="B56" s="8" t="s">
        <v>4174</v>
      </c>
      <c r="C56" s="33" t="s">
        <v>41</v>
      </c>
      <c r="D56" s="8" t="s">
        <v>4125</v>
      </c>
      <c r="E56" s="116" t="str">
        <f>HYPERLINK("https://youtu.be/o7rHSQcGFj0","channel 2")</f>
        <v>channel 2</v>
      </c>
    </row>
    <row r="57">
      <c r="B57" s="8" t="s">
        <v>4125</v>
      </c>
      <c r="C57" s="33" t="s">
        <v>215</v>
      </c>
      <c r="D57" s="8" t="s">
        <v>4173</v>
      </c>
      <c r="E57" s="135" t="str">
        <f>HYPERLINK("https://youtu.be/MgeoyJnPjfY","channel 1")</f>
        <v>channel 1</v>
      </c>
    </row>
    <row r="58">
      <c r="B58" s="8" t="s">
        <v>4174</v>
      </c>
      <c r="C58" s="33" t="s">
        <v>58</v>
      </c>
      <c r="D58" s="8" t="s">
        <v>3383</v>
      </c>
      <c r="E58" s="116" t="str">
        <f>HYPERLINK("https://youtu.be/om3tm598D5w","channel 2")</f>
        <v>channel 2</v>
      </c>
    </row>
    <row r="59">
      <c r="B59" s="8" t="s">
        <v>4173</v>
      </c>
      <c r="C59" s="33" t="s">
        <v>274</v>
      </c>
      <c r="D59" s="8" t="s">
        <v>4175</v>
      </c>
      <c r="E59" s="135" t="str">
        <f>HYPERLINK("https://youtu.be/xXyi3chNrGU","channel 1")</f>
        <v>channel 1</v>
      </c>
    </row>
    <row r="60">
      <c r="B60" s="8" t="s">
        <v>4125</v>
      </c>
      <c r="C60" s="33" t="s">
        <v>370</v>
      </c>
      <c r="D60" s="8" t="s">
        <v>3383</v>
      </c>
      <c r="E60" s="116" t="str">
        <f>HYPERLINK("https://youtu.be/fXAXQudT2oI","channel 2")</f>
        <v>channel 2</v>
      </c>
    </row>
    <row r="61">
      <c r="B61" s="8" t="s">
        <v>4174</v>
      </c>
      <c r="C61" s="33" t="s">
        <v>2596</v>
      </c>
      <c r="D61" s="8" t="s">
        <v>4175</v>
      </c>
      <c r="E61" s="135" t="str">
        <f>HYPERLINK("https://youtu.be/Rwos7GeXKwY","channel 1")</f>
        <v>channel 1</v>
      </c>
    </row>
    <row r="62">
      <c r="B62" s="8" t="s">
        <v>4173</v>
      </c>
      <c r="C62" s="35" t="s">
        <v>215</v>
      </c>
      <c r="D62" s="8" t="s">
        <v>3383</v>
      </c>
      <c r="E62" s="116" t="str">
        <f>HYPERLINK("https://youtu.be/1ed9TX0WChM","channel 2")</f>
        <v>channel 2</v>
      </c>
    </row>
    <row r="63">
      <c r="B63" s="8" t="s">
        <v>4125</v>
      </c>
      <c r="C63" s="33" t="s">
        <v>190</v>
      </c>
      <c r="D63" s="8" t="s">
        <v>4175</v>
      </c>
      <c r="E63" s="135" t="str">
        <f>HYPERLINK("https://youtu.be/7Lx3-XcvhII","channel 1")</f>
        <v>channel 1</v>
      </c>
    </row>
    <row r="64">
      <c r="B64" s="8" t="s">
        <v>4173</v>
      </c>
      <c r="C64" s="33" t="s">
        <v>190</v>
      </c>
      <c r="D64" s="8" t="s">
        <v>4174</v>
      </c>
      <c r="E64" s="116" t="str">
        <f>HYPERLINK("https://youtu.be/epo_kx0WrLw","channel 2")</f>
        <v>channel 2</v>
      </c>
    </row>
    <row r="65">
      <c r="B65" s="8" t="s">
        <v>3383</v>
      </c>
      <c r="C65" s="33" t="s">
        <v>267</v>
      </c>
      <c r="D65" s="8" t="s">
        <v>4175</v>
      </c>
      <c r="E65" s="135" t="str">
        <f>HYPERLINK("https://youtu.be/p7pvmPySVNE","channel 1")</f>
        <v>channel 1</v>
      </c>
    </row>
    <row r="66">
      <c r="B66" s="8" t="s">
        <v>4125</v>
      </c>
      <c r="C66" s="33" t="s">
        <v>197</v>
      </c>
      <c r="D66" s="8" t="s">
        <v>4174</v>
      </c>
      <c r="E66" s="116" t="str">
        <f>HYPERLINK("https://youtu.be/_uZ4lDKWs6Q","channel 2")</f>
        <v>channel 2</v>
      </c>
    </row>
    <row r="67">
      <c r="B67" s="150" t="s">
        <v>1435</v>
      </c>
      <c r="C67" s="151"/>
      <c r="D67" s="151"/>
      <c r="E67" s="152"/>
    </row>
    <row r="68">
      <c r="B68" s="85" t="s">
        <v>2</v>
      </c>
      <c r="C68" s="86" t="s">
        <v>3</v>
      </c>
      <c r="D68" s="86" t="s">
        <v>4</v>
      </c>
      <c r="E68" s="86" t="s">
        <v>5</v>
      </c>
    </row>
    <row r="69">
      <c r="B69" s="8" t="s">
        <v>4176</v>
      </c>
      <c r="C69" s="33" t="s">
        <v>87</v>
      </c>
      <c r="D69" s="8" t="s">
        <v>3868</v>
      </c>
      <c r="E69" s="135" t="str">
        <f>HYPERLINK("https://youtu.be/QwyFYoUwbUA","channel 1")</f>
        <v>channel 1</v>
      </c>
    </row>
    <row r="70">
      <c r="B70" s="8" t="s">
        <v>3867</v>
      </c>
      <c r="C70" s="33" t="s">
        <v>11</v>
      </c>
      <c r="D70" s="8" t="s">
        <v>2608</v>
      </c>
      <c r="E70" s="116" t="str">
        <f>HYPERLINK("https://youtu.be/HGZTmfHMxzw","channel 2")</f>
        <v>channel 2</v>
      </c>
    </row>
    <row r="71">
      <c r="B71" s="8" t="s">
        <v>4177</v>
      </c>
      <c r="C71" s="33" t="s">
        <v>444</v>
      </c>
      <c r="D71" s="8" t="s">
        <v>4176</v>
      </c>
      <c r="E71" s="135" t="str">
        <f>HYPERLINK("https://youtu.be/zLlp86VcvhY","channel 1")</f>
        <v>channel 1</v>
      </c>
    </row>
    <row r="72">
      <c r="B72" s="8" t="s">
        <v>3867</v>
      </c>
      <c r="C72" s="33" t="s">
        <v>426</v>
      </c>
      <c r="D72" s="8" t="s">
        <v>3868</v>
      </c>
      <c r="E72" s="116" t="str">
        <f>HYPERLINK("https://youtu.be/JBbGOTVoS3k","channel 2")</f>
        <v>channel 2</v>
      </c>
    </row>
    <row r="73">
      <c r="B73" s="8" t="s">
        <v>4177</v>
      </c>
      <c r="C73" s="33" t="s">
        <v>14</v>
      </c>
      <c r="D73" s="8" t="s">
        <v>2608</v>
      </c>
      <c r="E73" s="135" t="str">
        <f>HYPERLINK("https://youtu.be/ToZB4Cp5pjA","channel 1")</f>
        <v>channel 1</v>
      </c>
    </row>
    <row r="74">
      <c r="B74" s="8" t="s">
        <v>3867</v>
      </c>
      <c r="C74" s="33" t="s">
        <v>687</v>
      </c>
      <c r="D74" s="8" t="s">
        <v>4176</v>
      </c>
      <c r="E74" s="116" t="str">
        <f>HYPERLINK("https://youtu.be/yJBjkxDWmzU","channel 2")</f>
        <v>channel 2</v>
      </c>
    </row>
    <row r="75">
      <c r="B75" s="8" t="s">
        <v>4177</v>
      </c>
      <c r="C75" s="33" t="s">
        <v>35</v>
      </c>
      <c r="D75" s="8" t="s">
        <v>3868</v>
      </c>
      <c r="E75" s="135" t="str">
        <f>HYPERLINK("https://youtu.be/Dag39R0qh70","channel 1")</f>
        <v>channel 1</v>
      </c>
    </row>
    <row r="76">
      <c r="B76" s="8" t="s">
        <v>2608</v>
      </c>
      <c r="C76" s="33" t="s">
        <v>68</v>
      </c>
      <c r="D76" s="8" t="s">
        <v>4176</v>
      </c>
      <c r="E76" s="116" t="str">
        <f>HYPERLINK("https://youtu.be/yNPn8apfIxA","channel 2")</f>
        <v>channel 2</v>
      </c>
    </row>
    <row r="77">
      <c r="B77" s="8" t="s">
        <v>4177</v>
      </c>
      <c r="C77" s="33" t="s">
        <v>847</v>
      </c>
      <c r="D77" s="8" t="s">
        <v>3867</v>
      </c>
      <c r="E77" s="135" t="str">
        <f>HYPERLINK("https://youtu.be/9OtCdk2XQ4I","channel 1")</f>
        <v>channel 1</v>
      </c>
    </row>
    <row r="78">
      <c r="B78" s="8" t="s">
        <v>2608</v>
      </c>
      <c r="C78" s="33" t="s">
        <v>31</v>
      </c>
      <c r="D78" s="8" t="s">
        <v>3868</v>
      </c>
      <c r="E78" s="116" t="str">
        <f>HYPERLINK("https://youtu.be/kwO6OHYFWlc","channel 2")</f>
        <v>channel 2</v>
      </c>
    </row>
    <row r="79">
      <c r="B79" s="8" t="s">
        <v>3868</v>
      </c>
      <c r="C79" s="33" t="s">
        <v>195</v>
      </c>
      <c r="D79" s="8" t="s">
        <v>4176</v>
      </c>
      <c r="E79" s="135" t="str">
        <f>HYPERLINK("https://youtu.be/icuaYDDTNOc","channel 1")</f>
        <v>channel 1</v>
      </c>
    </row>
    <row r="80">
      <c r="B80" s="8" t="s">
        <v>2608</v>
      </c>
      <c r="C80" s="33" t="s">
        <v>320</v>
      </c>
      <c r="D80" s="8" t="s">
        <v>3867</v>
      </c>
      <c r="E80" s="116" t="str">
        <f>HYPERLINK("https://youtu.be/56xL5eH9hiA","channel 2")</f>
        <v>channel 2</v>
      </c>
    </row>
    <row r="81">
      <c r="B81" s="8" t="s">
        <v>4176</v>
      </c>
      <c r="C81" s="33" t="s">
        <v>355</v>
      </c>
      <c r="D81" s="8" t="s">
        <v>4177</v>
      </c>
      <c r="E81" s="135" t="str">
        <f>HYPERLINK("https://youtu.be/w6AWJRdo9Ls","channel 1")</f>
        <v>channel 1</v>
      </c>
    </row>
    <row r="82">
      <c r="B82" s="8" t="s">
        <v>3868</v>
      </c>
      <c r="C82" s="33" t="s">
        <v>207</v>
      </c>
      <c r="D82" s="8" t="s">
        <v>3867</v>
      </c>
      <c r="E82" s="116" t="str">
        <f>HYPERLINK("https://youtu.be/zh_f9WI2NzA","channel 2")</f>
        <v>channel 2</v>
      </c>
    </row>
    <row r="83">
      <c r="B83" s="8" t="s">
        <v>2608</v>
      </c>
      <c r="C83" s="33" t="s">
        <v>38</v>
      </c>
      <c r="D83" s="8" t="s">
        <v>4177</v>
      </c>
      <c r="E83" s="135" t="str">
        <f>HYPERLINK("https://youtu.be/RKjdSf__MG8","channel 1")</f>
        <v>channel 1</v>
      </c>
    </row>
    <row r="84">
      <c r="B84" s="8" t="s">
        <v>4176</v>
      </c>
      <c r="C84" s="33" t="s">
        <v>239</v>
      </c>
      <c r="D84" s="8" t="s">
        <v>3867</v>
      </c>
      <c r="E84" s="116" t="str">
        <f>HYPERLINK("https://youtu.be/bXWrk-hjqJc","channel 2")</f>
        <v>channel 2</v>
      </c>
    </row>
    <row r="85">
      <c r="B85" s="8" t="s">
        <v>3868</v>
      </c>
      <c r="C85" s="33" t="s">
        <v>699</v>
      </c>
      <c r="D85" s="8" t="s">
        <v>4177</v>
      </c>
      <c r="E85" s="135" t="str">
        <f>HYPERLINK("https://youtu.be/Li86x9NFO0I","channel 1")</f>
        <v>channel 1</v>
      </c>
    </row>
    <row r="86">
      <c r="B86" s="8" t="s">
        <v>4176</v>
      </c>
      <c r="C86" s="33" t="s">
        <v>82</v>
      </c>
      <c r="D86" s="8" t="s">
        <v>2608</v>
      </c>
      <c r="E86" s="116" t="str">
        <f>HYPERLINK("https://youtu.be/rQHqb58Tq1Y","channel 2")</f>
        <v>channel 2</v>
      </c>
    </row>
    <row r="87">
      <c r="B87" s="8" t="s">
        <v>3867</v>
      </c>
      <c r="C87" s="33" t="s">
        <v>2279</v>
      </c>
      <c r="D87" s="8" t="s">
        <v>4177</v>
      </c>
      <c r="E87" s="135" t="str">
        <f>HYPERLINK("https://youtu.be/zdJf3EzZ-hg","channel 1")</f>
        <v>channel 1</v>
      </c>
    </row>
    <row r="88">
      <c r="B88" s="8" t="s">
        <v>3868</v>
      </c>
      <c r="C88" s="33" t="s">
        <v>20</v>
      </c>
      <c r="D88" s="8" t="s">
        <v>2608</v>
      </c>
      <c r="E88" s="116" t="str">
        <f>HYPERLINK("https://youtu.be/CbHP84UoqCI","channel 2")</f>
        <v>channel 2</v>
      </c>
    </row>
    <row r="89">
      <c r="B89" s="148"/>
      <c r="C89" s="148"/>
      <c r="D89" s="148"/>
      <c r="E89" s="149"/>
    </row>
    <row r="90">
      <c r="B90" s="148"/>
      <c r="C90" s="148"/>
      <c r="D90" s="148"/>
      <c r="E90" s="149"/>
    </row>
    <row r="91">
      <c r="B91" s="148"/>
      <c r="C91" s="148"/>
      <c r="D91" s="148"/>
      <c r="E91" s="149"/>
    </row>
    <row r="92">
      <c r="B92" s="148"/>
      <c r="C92" s="148"/>
      <c r="D92" s="148"/>
      <c r="E92" s="149"/>
    </row>
    <row r="93">
      <c r="B93" s="148"/>
      <c r="C93" s="148"/>
      <c r="D93" s="148"/>
      <c r="E93" s="149"/>
    </row>
    <row r="94">
      <c r="B94" s="148"/>
      <c r="C94" s="148"/>
      <c r="D94" s="148"/>
      <c r="E94" s="149"/>
    </row>
    <row r="95">
      <c r="B95" s="148"/>
      <c r="C95" s="148"/>
      <c r="D95" s="148"/>
      <c r="E95" s="149"/>
    </row>
    <row r="96">
      <c r="B96" s="148"/>
      <c r="C96" s="148"/>
      <c r="D96" s="148"/>
      <c r="E96" s="149"/>
    </row>
    <row r="97">
      <c r="B97" s="148"/>
      <c r="C97" s="148"/>
      <c r="D97" s="148"/>
      <c r="E97" s="149"/>
    </row>
    <row r="98">
      <c r="B98" s="148"/>
      <c r="C98" s="148"/>
      <c r="D98" s="148"/>
      <c r="E98" s="149"/>
    </row>
    <row r="99">
      <c r="B99" s="148"/>
      <c r="C99" s="148"/>
      <c r="D99" s="148"/>
      <c r="E99" s="149"/>
    </row>
    <row r="100">
      <c r="B100" s="148"/>
      <c r="C100" s="148"/>
      <c r="D100" s="148"/>
      <c r="E100" s="149"/>
    </row>
    <row r="101">
      <c r="B101" s="148"/>
      <c r="C101" s="148"/>
      <c r="D101" s="148"/>
      <c r="E101" s="149"/>
    </row>
    <row r="102">
      <c r="B102" s="148"/>
      <c r="C102" s="148"/>
      <c r="D102" s="148"/>
      <c r="E102" s="149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0" t="s">
        <v>4178</v>
      </c>
      <c r="C1" s="151"/>
      <c r="D1" s="151"/>
      <c r="E1" s="152"/>
    </row>
    <row r="2">
      <c r="B2" s="153" t="s">
        <v>2</v>
      </c>
      <c r="C2" s="86" t="s">
        <v>3</v>
      </c>
      <c r="D2" s="154" t="s">
        <v>4</v>
      </c>
      <c r="E2" s="154" t="s">
        <v>5</v>
      </c>
    </row>
    <row r="3">
      <c r="B3" s="8" t="s">
        <v>700</v>
      </c>
      <c r="C3" s="33" t="s">
        <v>81</v>
      </c>
      <c r="D3" s="8" t="s">
        <v>57</v>
      </c>
      <c r="E3" s="135" t="str">
        <f>HYPERLINK("https://youtu.be/9KKIJCMHp30","channel 1")</f>
        <v>channel 1</v>
      </c>
    </row>
    <row r="4">
      <c r="B4" s="8" t="s">
        <v>3957</v>
      </c>
      <c r="C4" s="33" t="s">
        <v>201</v>
      </c>
      <c r="D4" s="8" t="s">
        <v>4053</v>
      </c>
      <c r="E4" s="116" t="str">
        <f>HYPERLINK("https://youtu.be/cyg94jrptuo","channel 2")</f>
        <v>channel 2</v>
      </c>
    </row>
    <row r="5">
      <c r="B5" s="8" t="s">
        <v>3997</v>
      </c>
      <c r="C5" s="33" t="s">
        <v>67</v>
      </c>
      <c r="D5" s="8" t="s">
        <v>700</v>
      </c>
      <c r="E5" s="135" t="str">
        <f>HYPERLINK("https://youtu.be/w21l4fb8u3g","channel 1")</f>
        <v>channel 1</v>
      </c>
    </row>
    <row r="6">
      <c r="B6" s="8" t="s">
        <v>3957</v>
      </c>
      <c r="C6" s="33" t="s">
        <v>28</v>
      </c>
      <c r="D6" s="8" t="s">
        <v>57</v>
      </c>
      <c r="E6" s="116" t="str">
        <f>HYPERLINK("https://youtu.be/H500Pu4Scpw","channel 2")</f>
        <v>channel 2</v>
      </c>
    </row>
    <row r="7">
      <c r="B7" s="8" t="s">
        <v>3997</v>
      </c>
      <c r="C7" s="33" t="s">
        <v>338</v>
      </c>
      <c r="D7" s="8" t="s">
        <v>4053</v>
      </c>
      <c r="E7" s="135" t="str">
        <f>HYPERLINK("https://youtu.be/LdDHFQ8vQ-c","channel 1")</f>
        <v>channel 1</v>
      </c>
    </row>
    <row r="8">
      <c r="B8" s="8" t="s">
        <v>3957</v>
      </c>
      <c r="C8" s="33" t="s">
        <v>16</v>
      </c>
      <c r="D8" s="8" t="s">
        <v>700</v>
      </c>
      <c r="E8" s="116" t="str">
        <f>HYPERLINK("https://youtu.be/jPMZUda4Il0","channel 2")</f>
        <v>channel 2</v>
      </c>
    </row>
    <row r="9">
      <c r="B9" s="8" t="s">
        <v>3997</v>
      </c>
      <c r="C9" s="33" t="s">
        <v>43</v>
      </c>
      <c r="D9" s="8" t="s">
        <v>57</v>
      </c>
      <c r="E9" s="135" t="str">
        <f>HYPERLINK("https://youtu.be/sDVTBBUNVig","channel 1")</f>
        <v>channel 1</v>
      </c>
    </row>
    <row r="10">
      <c r="B10" s="8" t="s">
        <v>4053</v>
      </c>
      <c r="C10" s="33" t="s">
        <v>67</v>
      </c>
      <c r="D10" s="8" t="s">
        <v>700</v>
      </c>
      <c r="E10" s="116" t="str">
        <f>HYPERLINK("https://youtu.be/lqPcqo9VVSE","channel 2")</f>
        <v>channel 2</v>
      </c>
    </row>
    <row r="11">
      <c r="B11" s="8" t="s">
        <v>3997</v>
      </c>
      <c r="C11" s="33" t="s">
        <v>238</v>
      </c>
      <c r="D11" s="8" t="s">
        <v>3957</v>
      </c>
      <c r="E11" s="135" t="str">
        <f>HYPERLINK("https://youtu.be/JPxWe8x_zns","channel 1")</f>
        <v>channel 1</v>
      </c>
    </row>
    <row r="12">
      <c r="B12" s="8" t="s">
        <v>4053</v>
      </c>
      <c r="C12" s="33" t="s">
        <v>7</v>
      </c>
      <c r="D12" s="8" t="s">
        <v>57</v>
      </c>
      <c r="E12" s="116" t="str">
        <f>HYPERLINK("https://youtu.be/3QYsD4S-lRw","channel 2")</f>
        <v>channel 2</v>
      </c>
    </row>
    <row r="13">
      <c r="B13" s="8" t="s">
        <v>57</v>
      </c>
      <c r="C13" s="33" t="s">
        <v>4179</v>
      </c>
      <c r="D13" s="8" t="s">
        <v>700</v>
      </c>
      <c r="E13" s="135" t="str">
        <f>HYPERLINK("https://youtu.be/x4PqBU0Tz_I","channel 1")</f>
        <v>channel 1</v>
      </c>
    </row>
    <row r="14">
      <c r="B14" s="8" t="s">
        <v>4053</v>
      </c>
      <c r="C14" s="33" t="s">
        <v>412</v>
      </c>
      <c r="D14" s="8" t="s">
        <v>3957</v>
      </c>
      <c r="E14" s="116" t="str">
        <f>HYPERLINK("https://youtu.be/QE8BuMDz5jw","channel 2")</f>
        <v>channel 2</v>
      </c>
    </row>
    <row r="15">
      <c r="B15" s="8" t="s">
        <v>700</v>
      </c>
      <c r="C15" s="33" t="s">
        <v>218</v>
      </c>
      <c r="D15" s="8" t="s">
        <v>3997</v>
      </c>
      <c r="E15" s="135" t="str">
        <f>HYPERLINK("https://youtu.be/O2WZU4iSM3w","channel 1")</f>
        <v>channel 1</v>
      </c>
    </row>
    <row r="16">
      <c r="B16" s="8" t="s">
        <v>57</v>
      </c>
      <c r="C16" s="33" t="s">
        <v>239</v>
      </c>
      <c r="D16" s="8" t="s">
        <v>3957</v>
      </c>
      <c r="E16" s="116" t="str">
        <f>HYPERLINK("https://youtu.be/TcBQm2GVXk0","channel 2")</f>
        <v>channel 2</v>
      </c>
    </row>
    <row r="17">
      <c r="B17" s="8" t="s">
        <v>4053</v>
      </c>
      <c r="C17" s="33" t="s">
        <v>81</v>
      </c>
      <c r="D17" s="8" t="s">
        <v>3997</v>
      </c>
      <c r="E17" s="135" t="str">
        <f>HYPERLINK("https://youtu.be/sZPK-dlxBd0","channel 1")</f>
        <v>channel 1</v>
      </c>
    </row>
    <row r="18">
      <c r="B18" s="8" t="s">
        <v>700</v>
      </c>
      <c r="C18" s="33" t="s">
        <v>7</v>
      </c>
      <c r="D18" s="8" t="s">
        <v>3957</v>
      </c>
      <c r="E18" s="116" t="str">
        <f>HYPERLINK("https://youtu.be/rZl_jVu-wrs","channel 2")</f>
        <v>channel 2</v>
      </c>
    </row>
    <row r="19">
      <c r="B19" s="8" t="s">
        <v>57</v>
      </c>
      <c r="C19" s="33" t="s">
        <v>1025</v>
      </c>
      <c r="D19" s="8" t="s">
        <v>3997</v>
      </c>
      <c r="E19" s="135" t="str">
        <f>HYPERLINK("https://youtu.be/mW3vZh6tJEg","channel 1")</f>
        <v>channel 1</v>
      </c>
    </row>
    <row r="20">
      <c r="B20" s="8" t="s">
        <v>700</v>
      </c>
      <c r="C20" s="33" t="s">
        <v>87</v>
      </c>
      <c r="D20" s="8" t="s">
        <v>4053</v>
      </c>
      <c r="E20" s="116" t="str">
        <f>HYPERLINK("https://youtu.be/6MmMkUESXlE","channel 2")</f>
        <v>channel 2</v>
      </c>
    </row>
    <row r="21">
      <c r="B21" s="8" t="s">
        <v>3957</v>
      </c>
      <c r="C21" s="33" t="s">
        <v>363</v>
      </c>
      <c r="D21" s="8" t="s">
        <v>3997</v>
      </c>
      <c r="E21" s="135" t="str">
        <f>HYPERLINK("https://youtu.be/LxyCJm8TR8E","channel 1")</f>
        <v>channel 1</v>
      </c>
    </row>
    <row r="22">
      <c r="B22" s="8" t="s">
        <v>57</v>
      </c>
      <c r="C22" s="33" t="s">
        <v>250</v>
      </c>
      <c r="D22" s="8" t="s">
        <v>4053</v>
      </c>
      <c r="E22" s="116" t="str">
        <f>HYPERLINK("https://youtu.be/eMiCIe2aZyE","channel 2")</f>
        <v>channel 2</v>
      </c>
    </row>
    <row r="23">
      <c r="B23" s="150" t="s">
        <v>2099</v>
      </c>
      <c r="C23" s="151"/>
      <c r="D23" s="151"/>
      <c r="E23" s="152"/>
    </row>
    <row r="24">
      <c r="B24" s="153" t="s">
        <v>2</v>
      </c>
      <c r="C24" s="86" t="s">
        <v>3</v>
      </c>
      <c r="D24" s="154" t="s">
        <v>4</v>
      </c>
      <c r="E24" s="154" t="s">
        <v>5</v>
      </c>
    </row>
    <row r="25">
      <c r="B25" s="8" t="s">
        <v>2901</v>
      </c>
      <c r="C25" s="33" t="s">
        <v>45</v>
      </c>
      <c r="D25" s="8" t="s">
        <v>2064</v>
      </c>
      <c r="E25" s="135" t="str">
        <f>HYPERLINK("https://youtu.be/jSvItBpErwE","channel 1")</f>
        <v>channel 1</v>
      </c>
    </row>
    <row r="26">
      <c r="B26" s="8" t="s">
        <v>3850</v>
      </c>
      <c r="C26" s="33" t="s">
        <v>80</v>
      </c>
      <c r="D26" s="8" t="s">
        <v>4180</v>
      </c>
      <c r="E26" s="116" t="str">
        <f>HYPERLINK("https://youtu.be/n-QWuPk6Ico","channel 2")</f>
        <v>channel 2</v>
      </c>
    </row>
    <row r="27">
      <c r="B27" s="8" t="s">
        <v>4181</v>
      </c>
      <c r="C27" s="33" t="s">
        <v>42</v>
      </c>
      <c r="D27" s="8" t="s">
        <v>2901</v>
      </c>
      <c r="E27" s="135" t="str">
        <f>HYPERLINK("https://youtu.be/xYIUEE8qY24","channel 1")</f>
        <v>channel 1</v>
      </c>
    </row>
    <row r="28">
      <c r="B28" s="8" t="s">
        <v>3850</v>
      </c>
      <c r="C28" s="33" t="s">
        <v>17</v>
      </c>
      <c r="D28" s="8" t="s">
        <v>2064</v>
      </c>
      <c r="E28" s="116" t="str">
        <f>HYPERLINK("https://youtu.be/mtnn_HivKgE","channel 2")</f>
        <v>channel 2</v>
      </c>
    </row>
    <row r="29">
      <c r="B29" s="8" t="s">
        <v>4181</v>
      </c>
      <c r="C29" s="33" t="s">
        <v>87</v>
      </c>
      <c r="D29" s="8" t="s">
        <v>4180</v>
      </c>
      <c r="E29" s="135" t="str">
        <f>HYPERLINK("https://youtu.be/LD0Et6lagcM","channel 1")</f>
        <v>channel 1</v>
      </c>
    </row>
    <row r="30">
      <c r="B30" s="8" t="s">
        <v>3850</v>
      </c>
      <c r="C30" s="33" t="s">
        <v>87</v>
      </c>
      <c r="D30" s="8" t="s">
        <v>2901</v>
      </c>
      <c r="E30" s="116" t="str">
        <f>HYPERLINK("https://youtu.be/24y81t5v7rw","channel 2")</f>
        <v>channel 2</v>
      </c>
    </row>
    <row r="31">
      <c r="B31" s="8" t="s">
        <v>4181</v>
      </c>
      <c r="C31" s="33" t="s">
        <v>25</v>
      </c>
      <c r="D31" s="8" t="s">
        <v>2064</v>
      </c>
      <c r="E31" s="135" t="str">
        <f>HYPERLINK("https://youtu.be/tA0upTJ1m_s","channel 1")</f>
        <v>channel 1</v>
      </c>
    </row>
    <row r="32">
      <c r="B32" s="8" t="s">
        <v>4180</v>
      </c>
      <c r="C32" s="33" t="s">
        <v>196</v>
      </c>
      <c r="D32" s="8" t="s">
        <v>2901</v>
      </c>
      <c r="E32" s="116" t="str">
        <f>HYPERLINK("https://youtu.be/-lLka9KeXiE","channel 2")</f>
        <v>channel 2</v>
      </c>
    </row>
    <row r="33">
      <c r="B33" s="8" t="s">
        <v>4181</v>
      </c>
      <c r="C33" s="33" t="s">
        <v>297</v>
      </c>
      <c r="D33" s="8" t="s">
        <v>3850</v>
      </c>
      <c r="E33" s="135" t="str">
        <f>HYPERLINK("https://youtu.be/EBgm4kiA6Oo","channel 1")</f>
        <v>channel 1</v>
      </c>
    </row>
    <row r="34">
      <c r="B34" s="8" t="s">
        <v>4180</v>
      </c>
      <c r="C34" s="33" t="s">
        <v>218</v>
      </c>
      <c r="D34" s="8" t="s">
        <v>2064</v>
      </c>
      <c r="E34" s="116" t="str">
        <f>HYPERLINK("https://youtu.be/eOJYDYkhrfQ","channel 2")</f>
        <v>channel 2</v>
      </c>
    </row>
    <row r="35">
      <c r="B35" s="8" t="s">
        <v>2064</v>
      </c>
      <c r="C35" s="33" t="s">
        <v>87</v>
      </c>
      <c r="D35" s="8" t="s">
        <v>2901</v>
      </c>
      <c r="E35" s="135" t="str">
        <f>HYPERLINK("https://youtu.be/VHSRoQYrfZA","channel 1")</f>
        <v>channel 1</v>
      </c>
    </row>
    <row r="36">
      <c r="B36" s="8" t="s">
        <v>4180</v>
      </c>
      <c r="C36" s="33" t="s">
        <v>570</v>
      </c>
      <c r="D36" s="8" t="s">
        <v>3850</v>
      </c>
      <c r="E36" s="116" t="str">
        <f>HYPERLINK("https://youtu.be/uDX2dKpAieo","channel 2")</f>
        <v>channel 2</v>
      </c>
    </row>
    <row r="37">
      <c r="B37" s="8" t="s">
        <v>2901</v>
      </c>
      <c r="C37" s="33" t="s">
        <v>217</v>
      </c>
      <c r="D37" s="8" t="s">
        <v>4181</v>
      </c>
      <c r="E37" s="135" t="str">
        <f>HYPERLINK("https://youtu.be/QGYzk-xF32Y","channel 1")</f>
        <v>channel 1</v>
      </c>
    </row>
    <row r="38">
      <c r="B38" s="8" t="s">
        <v>2064</v>
      </c>
      <c r="C38" s="33" t="s">
        <v>733</v>
      </c>
      <c r="D38" s="8" t="s">
        <v>3850</v>
      </c>
      <c r="E38" s="116" t="str">
        <f>HYPERLINK("https://youtu.be/5lEMx-fd9co","channel 2")</f>
        <v>channel 2</v>
      </c>
    </row>
    <row r="39">
      <c r="B39" s="8" t="s">
        <v>4180</v>
      </c>
      <c r="C39" s="35" t="s">
        <v>17</v>
      </c>
      <c r="D39" s="8" t="s">
        <v>4181</v>
      </c>
      <c r="E39" s="135" t="str">
        <f>HYPERLINK("https://youtu.be/QDbxNnTO5OM","channel 1")</f>
        <v>channel 1</v>
      </c>
    </row>
    <row r="40">
      <c r="B40" s="8" t="s">
        <v>2901</v>
      </c>
      <c r="C40" s="33" t="s">
        <v>64</v>
      </c>
      <c r="D40" s="8" t="s">
        <v>3850</v>
      </c>
      <c r="E40" s="116" t="str">
        <f>HYPERLINK("https://youtu.be/6L5nWgAEEOk","channel 2")</f>
        <v>channel 2</v>
      </c>
    </row>
    <row r="41">
      <c r="B41" s="8" t="s">
        <v>2064</v>
      </c>
      <c r="C41" s="33" t="s">
        <v>4182</v>
      </c>
      <c r="D41" s="8" t="s">
        <v>4181</v>
      </c>
      <c r="E41" s="135" t="str">
        <f>HYPERLINK("https://youtu.be/vk_sg7Eawlc","channel 1")</f>
        <v>channel 1</v>
      </c>
    </row>
    <row r="42">
      <c r="B42" s="8" t="s">
        <v>2901</v>
      </c>
      <c r="C42" s="33" t="s">
        <v>215</v>
      </c>
      <c r="D42" s="8" t="s">
        <v>4180</v>
      </c>
      <c r="E42" s="116" t="str">
        <f>HYPERLINK("https://youtu.be/fGwmG2Gvgcg","channel 2")</f>
        <v>channel 2</v>
      </c>
    </row>
    <row r="43">
      <c r="B43" s="8" t="s">
        <v>3850</v>
      </c>
      <c r="C43" s="33" t="s">
        <v>411</v>
      </c>
      <c r="D43" s="8" t="s">
        <v>4181</v>
      </c>
      <c r="E43" s="135" t="str">
        <f>HYPERLINK("https://youtu.be/omrxG0u7MCk","channel 1")</f>
        <v>channel 1</v>
      </c>
    </row>
    <row r="44">
      <c r="B44" s="8" t="s">
        <v>2064</v>
      </c>
      <c r="C44" s="33" t="s">
        <v>238</v>
      </c>
      <c r="D44" s="8" t="s">
        <v>4180</v>
      </c>
      <c r="E44" s="116" t="str">
        <f>HYPERLINK("https://youtu.be/9qVQ7cDODgs","channel 2")</f>
        <v>channel 2</v>
      </c>
    </row>
    <row r="45">
      <c r="B45" s="150" t="s">
        <v>2554</v>
      </c>
      <c r="C45" s="151"/>
      <c r="D45" s="151"/>
      <c r="E45" s="152"/>
    </row>
    <row r="46">
      <c r="B46" s="153" t="s">
        <v>2</v>
      </c>
      <c r="C46" s="86" t="s">
        <v>3</v>
      </c>
      <c r="D46" s="154" t="s">
        <v>4</v>
      </c>
      <c r="E46" s="154" t="s">
        <v>5</v>
      </c>
    </row>
    <row r="47">
      <c r="B47" s="8" t="s">
        <v>3674</v>
      </c>
      <c r="C47" s="33" t="s">
        <v>16</v>
      </c>
      <c r="D47" s="8" t="s">
        <v>4085</v>
      </c>
      <c r="E47" s="135" t="str">
        <f>HYPERLINK("https://youtu.be/6QDnBA6AECg","channel 1")</f>
        <v>channel 1</v>
      </c>
    </row>
    <row r="48">
      <c r="B48" s="8" t="s">
        <v>4183</v>
      </c>
      <c r="C48" s="33" t="s">
        <v>17</v>
      </c>
      <c r="D48" s="8" t="s">
        <v>4184</v>
      </c>
      <c r="E48" s="116" t="str">
        <f>HYPERLINK("https://youtu.be/g2lrtQUR4hg","channel 2")</f>
        <v>channel 2</v>
      </c>
    </row>
    <row r="49">
      <c r="B49" s="8" t="s">
        <v>3884</v>
      </c>
      <c r="C49" s="33" t="s">
        <v>460</v>
      </c>
      <c r="D49" s="8" t="s">
        <v>3674</v>
      </c>
      <c r="E49" s="135" t="str">
        <f>HYPERLINK("https://youtu.be/3FXrtqPkbAc","channel 1")</f>
        <v>channel 1</v>
      </c>
    </row>
    <row r="50">
      <c r="B50" s="8" t="s">
        <v>4183</v>
      </c>
      <c r="C50" s="33" t="s">
        <v>83</v>
      </c>
      <c r="D50" s="8" t="s">
        <v>4085</v>
      </c>
      <c r="E50" s="116" t="str">
        <f>HYPERLINK("https://youtu.be/m9gXN4os4YY","channel 2")</f>
        <v>channel 2</v>
      </c>
    </row>
    <row r="51">
      <c r="B51" s="8" t="s">
        <v>3884</v>
      </c>
      <c r="C51" s="33" t="s">
        <v>331</v>
      </c>
      <c r="D51" s="8" t="s">
        <v>4184</v>
      </c>
      <c r="E51" s="135" t="str">
        <f>HYPERLINK("https://youtu.be/6YAcJRhdhj8","channel 1")</f>
        <v>channel 1</v>
      </c>
    </row>
    <row r="52">
      <c r="B52" s="8" t="s">
        <v>4183</v>
      </c>
      <c r="C52" s="33" t="s">
        <v>47</v>
      </c>
      <c r="D52" s="8" t="s">
        <v>3674</v>
      </c>
      <c r="E52" s="116" t="str">
        <f>HYPERLINK("https://youtu.be/EIosyFt2uP4","channel 2")</f>
        <v>channel 2</v>
      </c>
    </row>
    <row r="53">
      <c r="B53" s="8" t="s">
        <v>3884</v>
      </c>
      <c r="C53" s="33" t="s">
        <v>190</v>
      </c>
      <c r="D53" s="8" t="s">
        <v>4085</v>
      </c>
      <c r="E53" s="135" t="str">
        <f>HYPERLINK("https://youtu.be/Aagb1XsmMic","channel 1")</f>
        <v>channel 1</v>
      </c>
    </row>
    <row r="54">
      <c r="B54" s="8" t="s">
        <v>4184</v>
      </c>
      <c r="C54" s="33" t="s">
        <v>217</v>
      </c>
      <c r="D54" s="8" t="s">
        <v>3674</v>
      </c>
      <c r="E54" s="116" t="str">
        <f>HYPERLINK("https://youtu.be/5dwOfcpUwKw","channel 2")</f>
        <v>channel 2</v>
      </c>
    </row>
    <row r="55">
      <c r="B55" s="8" t="s">
        <v>3884</v>
      </c>
      <c r="C55" s="33" t="s">
        <v>2325</v>
      </c>
      <c r="D55" s="8" t="s">
        <v>4183</v>
      </c>
      <c r="E55" s="135" t="str">
        <f>HYPERLINK("https://youtu.be/S8XGfDevhS8","channel 1")</f>
        <v>channel 1</v>
      </c>
    </row>
    <row r="56">
      <c r="B56" s="8" t="s">
        <v>4184</v>
      </c>
      <c r="C56" s="33" t="s">
        <v>19</v>
      </c>
      <c r="D56" s="8" t="s">
        <v>4085</v>
      </c>
      <c r="E56" s="116" t="str">
        <f>HYPERLINK("https://youtu.be/kpAuWF8uGgg","channel 2")</f>
        <v>channel 2</v>
      </c>
    </row>
    <row r="57">
      <c r="B57" s="8" t="s">
        <v>4085</v>
      </c>
      <c r="C57" s="33" t="s">
        <v>465</v>
      </c>
      <c r="D57" s="8" t="s">
        <v>3674</v>
      </c>
      <c r="E57" s="135" t="str">
        <f>HYPERLINK("https://youtu.be/1YifBhmGAuk","channel 1")</f>
        <v>channel 1</v>
      </c>
    </row>
    <row r="58">
      <c r="B58" s="8" t="s">
        <v>4184</v>
      </c>
      <c r="C58" s="33" t="s">
        <v>3413</v>
      </c>
      <c r="D58" s="8" t="s">
        <v>4183</v>
      </c>
      <c r="E58" s="116" t="str">
        <f>HYPERLINK("https://youtu.be/p4VJ8L8alsw","channel 2")</f>
        <v>channel 2</v>
      </c>
    </row>
    <row r="59">
      <c r="B59" s="8" t="s">
        <v>3674</v>
      </c>
      <c r="C59" s="33" t="s">
        <v>1953</v>
      </c>
      <c r="D59" s="8" t="s">
        <v>3884</v>
      </c>
      <c r="E59" s="135" t="str">
        <f>HYPERLINK("https://youtu.be/p2WqaUxWoGY","channel 1")</f>
        <v>channel 1</v>
      </c>
    </row>
    <row r="60">
      <c r="B60" s="8" t="s">
        <v>4085</v>
      </c>
      <c r="C60" s="33" t="s">
        <v>416</v>
      </c>
      <c r="D60" s="8" t="s">
        <v>4183</v>
      </c>
      <c r="E60" s="116" t="str">
        <f>HYPERLINK("https://youtu.be/cuoxOAJ6XqE","channel 2")</f>
        <v>channel 2</v>
      </c>
    </row>
    <row r="61">
      <c r="B61" s="8" t="s">
        <v>4184</v>
      </c>
      <c r="C61" s="33" t="s">
        <v>297</v>
      </c>
      <c r="D61" s="8" t="s">
        <v>3884</v>
      </c>
      <c r="E61" s="135" t="str">
        <f>HYPERLINK("https://youtu.be/zb729DUdMHg","channel 1")</f>
        <v>channel 1</v>
      </c>
    </row>
    <row r="62">
      <c r="B62" s="8" t="s">
        <v>3674</v>
      </c>
      <c r="C62" s="35" t="s">
        <v>722</v>
      </c>
      <c r="D62" s="8" t="s">
        <v>4183</v>
      </c>
      <c r="E62" s="116" t="str">
        <f>HYPERLINK("https://youtu.be/BBCdkJj23jY","channel 2")</f>
        <v>channel 2</v>
      </c>
    </row>
    <row r="63">
      <c r="B63" s="8" t="s">
        <v>4085</v>
      </c>
      <c r="C63" s="33" t="s">
        <v>35</v>
      </c>
      <c r="D63" s="8" t="s">
        <v>3884</v>
      </c>
      <c r="E63" s="135" t="str">
        <f>HYPERLINK("https://youtu.be/Bsse1gfP-S4","channel 1")</f>
        <v>channel 1</v>
      </c>
    </row>
    <row r="64">
      <c r="B64" s="8" t="s">
        <v>3674</v>
      </c>
      <c r="C64" s="33" t="s">
        <v>43</v>
      </c>
      <c r="D64" s="8" t="s">
        <v>4184</v>
      </c>
      <c r="E64" s="116" t="str">
        <f>HYPERLINK("https://youtu.be/I6Jx1T6dg14","channel 2")</f>
        <v>channel 2</v>
      </c>
    </row>
    <row r="65">
      <c r="B65" s="8" t="s">
        <v>4183</v>
      </c>
      <c r="C65" s="33" t="s">
        <v>355</v>
      </c>
      <c r="D65" s="8" t="s">
        <v>3884</v>
      </c>
      <c r="E65" s="135" t="str">
        <f>HYPERLINK("https://youtu.be/--QJtg-2amo","channel 1")</f>
        <v>channel 1</v>
      </c>
    </row>
    <row r="66">
      <c r="B66" s="8" t="s">
        <v>4085</v>
      </c>
      <c r="C66" s="33" t="s">
        <v>196</v>
      </c>
      <c r="D66" s="8" t="s">
        <v>4184</v>
      </c>
      <c r="E66" s="116" t="str">
        <f>HYPERLINK("https://youtu.be/062vfVKf0R0","channel 2")</f>
        <v>channel 2</v>
      </c>
    </row>
    <row r="67">
      <c r="B67" s="150" t="s">
        <v>2560</v>
      </c>
      <c r="C67" s="151"/>
      <c r="D67" s="151"/>
      <c r="E67" s="152"/>
    </row>
    <row r="68">
      <c r="B68" s="85" t="s">
        <v>2</v>
      </c>
      <c r="C68" s="86" t="s">
        <v>3</v>
      </c>
      <c r="D68" s="86" t="s">
        <v>4</v>
      </c>
      <c r="E68" s="86" t="s">
        <v>5</v>
      </c>
    </row>
    <row r="69">
      <c r="B69" s="8" t="s">
        <v>1196</v>
      </c>
      <c r="C69" s="33" t="s">
        <v>219</v>
      </c>
      <c r="D69" s="8" t="s">
        <v>4185</v>
      </c>
      <c r="E69" s="135" t="str">
        <f>HYPERLINK("https://youtu.be/puH3MC0SMHM","channel 1")</f>
        <v>channel 1</v>
      </c>
    </row>
    <row r="70">
      <c r="B70" s="8" t="s">
        <v>4186</v>
      </c>
      <c r="C70" s="33" t="s">
        <v>390</v>
      </c>
      <c r="D70" s="8" t="s">
        <v>4187</v>
      </c>
      <c r="E70" s="116" t="str">
        <f>HYPERLINK("https://youtu.be/RnnDhH88VYg","channel 2")</f>
        <v>channel 2</v>
      </c>
    </row>
    <row r="71">
      <c r="B71" s="8" t="s">
        <v>3701</v>
      </c>
      <c r="C71" s="33" t="s">
        <v>55</v>
      </c>
      <c r="D71" s="8" t="s">
        <v>1196</v>
      </c>
      <c r="E71" s="135" t="str">
        <f>HYPERLINK("https://youtu.be/azWcicR6Elw","channel 1")</f>
        <v>channel 1</v>
      </c>
    </row>
    <row r="72">
      <c r="B72" s="8" t="s">
        <v>4186</v>
      </c>
      <c r="C72" s="33" t="s">
        <v>43</v>
      </c>
      <c r="D72" s="8" t="s">
        <v>4185</v>
      </c>
      <c r="E72" s="116" t="str">
        <f>HYPERLINK("https://youtu.be/YKdj00bUdBk","channel 2")</f>
        <v>channel 2</v>
      </c>
    </row>
    <row r="73">
      <c r="B73" s="8" t="s">
        <v>3701</v>
      </c>
      <c r="C73" s="33" t="s">
        <v>35</v>
      </c>
      <c r="D73" s="8" t="s">
        <v>4187</v>
      </c>
      <c r="E73" s="135" t="str">
        <f>HYPERLINK("https://youtu.be/2LS3CxiWXsA","channel 1")</f>
        <v>channel 1</v>
      </c>
    </row>
    <row r="74">
      <c r="B74" s="8" t="s">
        <v>4186</v>
      </c>
      <c r="C74" s="33" t="s">
        <v>494</v>
      </c>
      <c r="D74" s="8" t="s">
        <v>1196</v>
      </c>
      <c r="E74" s="116" t="str">
        <f>HYPERLINK("https://youtu.be/TJfxQ8ppshI","channel 2")</f>
        <v>channel 2</v>
      </c>
    </row>
    <row r="75">
      <c r="B75" s="8" t="s">
        <v>3701</v>
      </c>
      <c r="C75" s="33" t="s">
        <v>273</v>
      </c>
      <c r="D75" s="8" t="s">
        <v>4185</v>
      </c>
      <c r="E75" s="135" t="str">
        <f>HYPERLINK("https://youtu.be/4FkVOpzl87Y","channel 1")</f>
        <v>channel 1</v>
      </c>
    </row>
    <row r="76">
      <c r="B76" s="8" t="s">
        <v>4187</v>
      </c>
      <c r="C76" s="33" t="s">
        <v>363</v>
      </c>
      <c r="D76" s="8" t="s">
        <v>1196</v>
      </c>
      <c r="E76" s="116" t="str">
        <f>HYPERLINK("https://youtu.be/fwgzDCHLYK4","channel 2")</f>
        <v>channel 2</v>
      </c>
    </row>
    <row r="77">
      <c r="B77" s="8" t="s">
        <v>3701</v>
      </c>
      <c r="C77" s="33" t="s">
        <v>65</v>
      </c>
      <c r="D77" s="8" t="s">
        <v>4186</v>
      </c>
      <c r="E77" s="135" t="str">
        <f>HYPERLINK("https://youtu.be/82m0XUBuZMQ","channel 1")</f>
        <v>channel 1</v>
      </c>
    </row>
    <row r="78">
      <c r="B78" s="8" t="s">
        <v>4187</v>
      </c>
      <c r="C78" s="33" t="s">
        <v>67</v>
      </c>
      <c r="D78" s="8" t="s">
        <v>4185</v>
      </c>
      <c r="E78" s="116" t="str">
        <f>HYPERLINK("https://youtu.be/9GgUtghD-kA","channel 2")</f>
        <v>channel 2</v>
      </c>
    </row>
    <row r="79">
      <c r="B79" s="8" t="s">
        <v>4185</v>
      </c>
      <c r="C79" s="33" t="s">
        <v>337</v>
      </c>
      <c r="D79" s="8" t="s">
        <v>1196</v>
      </c>
      <c r="E79" s="135" t="str">
        <f>HYPERLINK("https://youtu.be/RRJE828inp0","channel 1")</f>
        <v>channel 1</v>
      </c>
    </row>
    <row r="80">
      <c r="B80" s="8" t="s">
        <v>4187</v>
      </c>
      <c r="C80" s="33" t="s">
        <v>362</v>
      </c>
      <c r="D80" s="8" t="s">
        <v>4186</v>
      </c>
      <c r="E80" s="116" t="str">
        <f>HYPERLINK("https://youtu.be/2M1WhzICYwA","channel 2")</f>
        <v>channel 2</v>
      </c>
    </row>
    <row r="81">
      <c r="B81" s="8" t="s">
        <v>1196</v>
      </c>
      <c r="C81" s="33" t="s">
        <v>351</v>
      </c>
      <c r="D81" s="8" t="s">
        <v>3701</v>
      </c>
      <c r="E81" s="135" t="str">
        <f>HYPERLINK("https://youtu.be/fUkWNtWLTMY","channel 1")</f>
        <v>channel 1</v>
      </c>
    </row>
    <row r="82">
      <c r="B82" s="8" t="s">
        <v>4185</v>
      </c>
      <c r="C82" s="33" t="s">
        <v>65</v>
      </c>
      <c r="D82" s="8" t="s">
        <v>4186</v>
      </c>
      <c r="E82" s="116" t="str">
        <f>HYPERLINK("https://youtu.be/i0zD3bjMeH8","channel 2")</f>
        <v>channel 2</v>
      </c>
    </row>
    <row r="83">
      <c r="B83" s="8" t="s">
        <v>4187</v>
      </c>
      <c r="C83" s="33" t="s">
        <v>289</v>
      </c>
      <c r="D83" s="8" t="s">
        <v>3701</v>
      </c>
      <c r="E83" s="135" t="str">
        <f>HYPERLINK("https://youtu.be/gjBb1ftXYKE","channel 1")</f>
        <v>channel 1</v>
      </c>
    </row>
    <row r="84">
      <c r="B84" s="8" t="s">
        <v>1196</v>
      </c>
      <c r="C84" s="33" t="s">
        <v>62</v>
      </c>
      <c r="D84" s="8" t="s">
        <v>4186</v>
      </c>
      <c r="E84" s="116" t="str">
        <f>HYPERLINK("https://youtu.be/t_Ff9JapQbI","channel 2")</f>
        <v>channel 2</v>
      </c>
    </row>
    <row r="85">
      <c r="B85" s="8" t="s">
        <v>4185</v>
      </c>
      <c r="C85" s="33" t="s">
        <v>1342</v>
      </c>
      <c r="D85" s="8" t="s">
        <v>3701</v>
      </c>
      <c r="E85" s="135" t="str">
        <f>HYPERLINK("https://youtu.be/JhGg0VvZkgc","channel 1")</f>
        <v>channel 1</v>
      </c>
    </row>
    <row r="86">
      <c r="B86" s="8" t="s">
        <v>1196</v>
      </c>
      <c r="C86" s="33" t="s">
        <v>291</v>
      </c>
      <c r="D86" s="8" t="s">
        <v>4187</v>
      </c>
      <c r="E86" s="116" t="str">
        <f>HYPERLINK("https://youtu.be/2uF5jKxChy8","channel 2")</f>
        <v>channel 2</v>
      </c>
    </row>
    <row r="87">
      <c r="B87" s="8" t="s">
        <v>4186</v>
      </c>
      <c r="C87" s="33" t="s">
        <v>215</v>
      </c>
      <c r="D87" s="8" t="s">
        <v>3701</v>
      </c>
      <c r="E87" s="135" t="str">
        <f>HYPERLINK("https://youtu.be/Ug09q-99kgs","channel 1")</f>
        <v>channel 1</v>
      </c>
    </row>
    <row r="88">
      <c r="B88" s="8" t="s">
        <v>4185</v>
      </c>
      <c r="C88" s="33" t="s">
        <v>43</v>
      </c>
      <c r="D88" s="8" t="s">
        <v>4187</v>
      </c>
      <c r="E88" s="116" t="str">
        <f>HYPERLINK("https://youtu.be/yDDC4nkeDhE","channel 2")</f>
        <v>channel 2</v>
      </c>
    </row>
    <row r="89">
      <c r="B89" s="148"/>
      <c r="C89" s="148"/>
      <c r="D89" s="148"/>
      <c r="E89" s="149"/>
    </row>
    <row r="90">
      <c r="B90" s="148"/>
      <c r="C90" s="148"/>
      <c r="D90" s="148"/>
      <c r="E90" s="149"/>
    </row>
    <row r="91">
      <c r="B91" s="148"/>
      <c r="C91" s="148"/>
      <c r="D91" s="148"/>
      <c r="E91" s="149"/>
    </row>
    <row r="92">
      <c r="B92" s="148"/>
      <c r="C92" s="148"/>
      <c r="D92" s="148"/>
      <c r="E92" s="149"/>
    </row>
    <row r="93">
      <c r="B93" s="148"/>
      <c r="C93" s="148"/>
      <c r="D93" s="148"/>
      <c r="E93" s="149"/>
    </row>
    <row r="94">
      <c r="B94" s="148"/>
      <c r="C94" s="148"/>
      <c r="D94" s="148"/>
      <c r="E94" s="149"/>
    </row>
    <row r="95">
      <c r="B95" s="148"/>
      <c r="C95" s="148"/>
      <c r="D95" s="148"/>
      <c r="E95" s="149"/>
    </row>
    <row r="96">
      <c r="B96" s="148"/>
      <c r="C96" s="148"/>
      <c r="D96" s="148"/>
      <c r="E96" s="149"/>
    </row>
    <row r="97">
      <c r="B97" s="148"/>
      <c r="C97" s="148"/>
      <c r="D97" s="148"/>
      <c r="E97" s="149"/>
    </row>
    <row r="98">
      <c r="B98" s="148"/>
      <c r="C98" s="148"/>
      <c r="D98" s="148"/>
      <c r="E98" s="149"/>
    </row>
    <row r="99">
      <c r="B99" s="148"/>
      <c r="C99" s="148"/>
      <c r="D99" s="148"/>
      <c r="E99" s="149"/>
    </row>
    <row r="100">
      <c r="B100" s="148"/>
      <c r="C100" s="148"/>
      <c r="D100" s="148"/>
      <c r="E100" s="149"/>
    </row>
    <row r="101">
      <c r="B101" s="148"/>
      <c r="C101" s="148"/>
      <c r="D101" s="148"/>
      <c r="E101" s="149"/>
    </row>
    <row r="102">
      <c r="B102" s="148"/>
      <c r="C102" s="148"/>
      <c r="D102" s="148"/>
      <c r="E102" s="149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0" t="s">
        <v>1400</v>
      </c>
      <c r="C1" s="151"/>
      <c r="D1" s="151"/>
      <c r="E1" s="152"/>
    </row>
    <row r="2">
      <c r="B2" s="153" t="s">
        <v>2</v>
      </c>
      <c r="C2" s="86" t="s">
        <v>3</v>
      </c>
      <c r="D2" s="154" t="s">
        <v>4</v>
      </c>
      <c r="E2" s="154" t="s">
        <v>5</v>
      </c>
    </row>
    <row r="3">
      <c r="B3" s="32" t="s">
        <v>4044</v>
      </c>
      <c r="C3" s="33" t="s">
        <v>87</v>
      </c>
      <c r="D3" s="32" t="s">
        <v>2108</v>
      </c>
      <c r="E3" s="141" t="s">
        <v>9</v>
      </c>
    </row>
    <row r="4">
      <c r="B4" s="32" t="s">
        <v>4188</v>
      </c>
      <c r="C4" s="33" t="s">
        <v>11</v>
      </c>
      <c r="D4" s="32" t="s">
        <v>3951</v>
      </c>
      <c r="E4" s="116" t="str">
        <f>HYPERLINK("https://youtu.be/dI6rCiIAj8c","channel 2")</f>
        <v>channel 2</v>
      </c>
    </row>
    <row r="5">
      <c r="B5" s="32" t="s">
        <v>3735</v>
      </c>
      <c r="C5" s="33" t="s">
        <v>43</v>
      </c>
      <c r="D5" s="32" t="s">
        <v>4044</v>
      </c>
      <c r="E5" s="135" t="str">
        <f>HYPERLINK("https://youtu.be/T5tj7GoZacY","channel 1")</f>
        <v>channel 1</v>
      </c>
    </row>
    <row r="6">
      <c r="B6" s="32" t="s">
        <v>4188</v>
      </c>
      <c r="C6" s="33" t="s">
        <v>68</v>
      </c>
      <c r="D6" s="32" t="s">
        <v>2108</v>
      </c>
      <c r="E6" s="116" t="str">
        <f>HYPERLINK("https://youtu.be/vXT3ftrZClM","channel 2")</f>
        <v>channel 2</v>
      </c>
    </row>
    <row r="7">
      <c r="B7" s="32" t="s">
        <v>3735</v>
      </c>
      <c r="C7" s="33" t="s">
        <v>190</v>
      </c>
      <c r="D7" s="32" t="s">
        <v>3951</v>
      </c>
      <c r="E7" s="135" t="str">
        <f>HYPERLINK("https://youtu.be/x4cSiKOqFuY","channel 1")</f>
        <v>channel 1</v>
      </c>
    </row>
    <row r="8">
      <c r="B8" s="32" t="s">
        <v>4188</v>
      </c>
      <c r="C8" s="33" t="s">
        <v>17</v>
      </c>
      <c r="D8" s="32" t="s">
        <v>4044</v>
      </c>
      <c r="E8" s="116" t="str">
        <f>HYPERLINK("https://youtu.be/eAQ_KCJHL4g","channel 2")</f>
        <v>channel 2</v>
      </c>
    </row>
    <row r="9">
      <c r="B9" s="8" t="s">
        <v>3735</v>
      </c>
      <c r="C9" s="33" t="s">
        <v>31</v>
      </c>
      <c r="D9" s="32" t="s">
        <v>2108</v>
      </c>
      <c r="E9" s="135" t="str">
        <f>HYPERLINK("https://youtu.be/S4GZgA1H6UI","channel 1")</f>
        <v>channel 1</v>
      </c>
    </row>
    <row r="10">
      <c r="B10" s="32" t="s">
        <v>3951</v>
      </c>
      <c r="C10" s="33" t="s">
        <v>270</v>
      </c>
      <c r="D10" s="32" t="s">
        <v>4044</v>
      </c>
      <c r="E10" s="116" t="str">
        <f>HYPERLINK("https://youtu.be/w-WYQ4QROUk","channel 2")</f>
        <v>channel 2</v>
      </c>
    </row>
    <row r="11">
      <c r="B11" s="32" t="s">
        <v>3735</v>
      </c>
      <c r="C11" s="33" t="s">
        <v>1465</v>
      </c>
      <c r="D11" s="32" t="s">
        <v>4188</v>
      </c>
      <c r="E11" s="135" t="str">
        <f>HYPERLINK("https://youtu.be/-Pjd016i0KA","channel 1")</f>
        <v>channel 1</v>
      </c>
    </row>
    <row r="12">
      <c r="B12" s="32" t="s">
        <v>3951</v>
      </c>
      <c r="C12" s="33" t="s">
        <v>19</v>
      </c>
      <c r="D12" s="32" t="s">
        <v>2108</v>
      </c>
      <c r="E12" s="116" t="str">
        <f>HYPERLINK("https://youtu.be/7ZwscGscHZE","channel 2")</f>
        <v>channel 2</v>
      </c>
    </row>
    <row r="13">
      <c r="B13" s="32" t="s">
        <v>2108</v>
      </c>
      <c r="C13" s="33" t="s">
        <v>87</v>
      </c>
      <c r="D13" s="32" t="s">
        <v>4044</v>
      </c>
      <c r="E13" s="135" t="str">
        <f>HYPERLINK("https://youtu.be/rdz2QxXbiYQ","channel 1")</f>
        <v>channel 1</v>
      </c>
    </row>
    <row r="14">
      <c r="B14" s="32" t="s">
        <v>3951</v>
      </c>
      <c r="C14" s="33" t="s">
        <v>261</v>
      </c>
      <c r="D14" s="32" t="s">
        <v>4188</v>
      </c>
      <c r="E14" s="116" t="str">
        <f>HYPERLINK("https://youtu.be/OD1ychAX7IU","channel 2")</f>
        <v>channel 2</v>
      </c>
    </row>
    <row r="15">
      <c r="B15" s="32" t="s">
        <v>4044</v>
      </c>
      <c r="C15" s="33" t="s">
        <v>218</v>
      </c>
      <c r="D15" s="32" t="s">
        <v>3735</v>
      </c>
      <c r="E15" s="135" t="str">
        <f>HYPERLINK("https://youtu.be/Oz3bcSI4GDE","channel 1")</f>
        <v>channel 1</v>
      </c>
    </row>
    <row r="16">
      <c r="B16" s="32" t="s">
        <v>2108</v>
      </c>
      <c r="C16" s="33" t="s">
        <v>260</v>
      </c>
      <c r="D16" s="32" t="s">
        <v>4188</v>
      </c>
      <c r="E16" s="116" t="str">
        <f>HYPERLINK("https://youtu.be/RRB5p3TMpuQ","channel 2")</f>
        <v>channel 2</v>
      </c>
    </row>
    <row r="17">
      <c r="B17" s="32" t="s">
        <v>3951</v>
      </c>
      <c r="C17" s="33" t="s">
        <v>218</v>
      </c>
      <c r="D17" s="32" t="s">
        <v>3735</v>
      </c>
      <c r="E17" s="135" t="str">
        <f>HYPERLINK("https://youtu.be/PBko7B8nt0U","channel 1")</f>
        <v>channel 1</v>
      </c>
    </row>
    <row r="18">
      <c r="B18" s="32" t="s">
        <v>4044</v>
      </c>
      <c r="C18" s="33" t="s">
        <v>88</v>
      </c>
      <c r="D18" s="32" t="s">
        <v>4188</v>
      </c>
      <c r="E18" s="116" t="str">
        <f>HYPERLINK("https://youtu.be/GvDjaNr7pw4","channel 2")</f>
        <v>channel 2</v>
      </c>
    </row>
    <row r="19">
      <c r="B19" s="32" t="s">
        <v>2108</v>
      </c>
      <c r="C19" s="33" t="s">
        <v>260</v>
      </c>
      <c r="D19" s="32" t="s">
        <v>3735</v>
      </c>
      <c r="E19" s="135" t="str">
        <f>HYPERLINK("https://youtu.be/eH3IU6nvZUM","channel 1")</f>
        <v>channel 1</v>
      </c>
    </row>
    <row r="20">
      <c r="B20" s="32" t="s">
        <v>4044</v>
      </c>
      <c r="C20" s="33" t="s">
        <v>197</v>
      </c>
      <c r="D20" s="32" t="s">
        <v>3951</v>
      </c>
      <c r="E20" s="116" t="str">
        <f>HYPERLINK("https://youtu.be/RP_AIpmsWIk","channel 2")</f>
        <v>channel 2</v>
      </c>
    </row>
    <row r="21">
      <c r="B21" s="32" t="s">
        <v>4188</v>
      </c>
      <c r="C21" s="33" t="s">
        <v>282</v>
      </c>
      <c r="D21" s="32" t="s">
        <v>3735</v>
      </c>
      <c r="E21" s="135" t="str">
        <f>HYPERLINK("https://youtu.be/svKir7MketM","channel 1")</f>
        <v>channel 1</v>
      </c>
    </row>
    <row r="22">
      <c r="B22" s="32" t="s">
        <v>2108</v>
      </c>
      <c r="C22" s="33" t="s">
        <v>217</v>
      </c>
      <c r="D22" s="32" t="s">
        <v>3951</v>
      </c>
      <c r="E22" s="116" t="str">
        <f>HYPERLINK("https://youtu.be/DNvoCIJGL-w","channel 2")</f>
        <v>channel 2</v>
      </c>
    </row>
    <row r="23">
      <c r="B23" s="150" t="s">
        <v>3441</v>
      </c>
      <c r="C23" s="151"/>
      <c r="D23" s="151"/>
      <c r="E23" s="152"/>
    </row>
    <row r="24">
      <c r="B24" s="153" t="s">
        <v>2</v>
      </c>
      <c r="C24" s="86" t="s">
        <v>3</v>
      </c>
      <c r="D24" s="154" t="s">
        <v>4</v>
      </c>
      <c r="E24" s="154" t="s">
        <v>5</v>
      </c>
    </row>
    <row r="25">
      <c r="B25" s="32" t="s">
        <v>4189</v>
      </c>
      <c r="C25" s="159" t="s">
        <v>190</v>
      </c>
      <c r="D25" s="160" t="s">
        <v>2052</v>
      </c>
      <c r="E25" s="135" t="str">
        <f>HYPERLINK("https://youtu.be/FT7A5uB0Mo4","channel 1")</f>
        <v>channel 1</v>
      </c>
    </row>
    <row r="26">
      <c r="B26" s="87" t="s">
        <v>4190</v>
      </c>
      <c r="C26" s="112" t="s">
        <v>857</v>
      </c>
      <c r="D26" s="89" t="s">
        <v>3794</v>
      </c>
      <c r="E26" s="116" t="str">
        <f>HYPERLINK("https://youtu.be/i5fq0ZXhEAM","channel 2")</f>
        <v>channel 2</v>
      </c>
    </row>
    <row r="27">
      <c r="B27" s="87" t="s">
        <v>4115</v>
      </c>
      <c r="C27" s="112" t="s">
        <v>1025</v>
      </c>
      <c r="D27" s="89" t="s">
        <v>4189</v>
      </c>
      <c r="E27" s="135" t="str">
        <f>HYPERLINK("https://youtu.be/0JHF4lanU4w","channel 1")</f>
        <v>channel 1</v>
      </c>
    </row>
    <row r="28">
      <c r="B28" s="87" t="s">
        <v>4190</v>
      </c>
      <c r="C28" s="112" t="s">
        <v>238</v>
      </c>
      <c r="D28" s="89" t="s">
        <v>2052</v>
      </c>
      <c r="E28" s="116" t="str">
        <f>HYPERLINK("https://youtu.be/QeHMgF5kgHc","channel 2")</f>
        <v>channel 2</v>
      </c>
    </row>
    <row r="29">
      <c r="B29" s="87" t="s">
        <v>4115</v>
      </c>
      <c r="C29" s="112" t="s">
        <v>18</v>
      </c>
      <c r="D29" s="89" t="s">
        <v>3794</v>
      </c>
      <c r="E29" s="135" t="str">
        <f>HYPERLINK("https://youtu.be/IWh3Q2B24JQ","channel 1")</f>
        <v>channel 1</v>
      </c>
    </row>
    <row r="30">
      <c r="B30" s="87" t="s">
        <v>4190</v>
      </c>
      <c r="C30" s="112" t="s">
        <v>218</v>
      </c>
      <c r="D30" s="89" t="s">
        <v>4189</v>
      </c>
      <c r="E30" s="116" t="str">
        <f>HYPERLINK("https://youtu.be/NH0eVVA1w1k","channel 2")</f>
        <v>channel 2</v>
      </c>
    </row>
    <row r="31">
      <c r="B31" s="87" t="s">
        <v>4115</v>
      </c>
      <c r="C31" s="112" t="s">
        <v>42</v>
      </c>
      <c r="D31" s="89" t="s">
        <v>2052</v>
      </c>
      <c r="E31" s="135" t="str">
        <f>HYPERLINK("https://youtu.be/wDCGg6AUS20","channel 1")</f>
        <v>channel 1</v>
      </c>
    </row>
    <row r="32">
      <c r="B32" s="87" t="s">
        <v>3794</v>
      </c>
      <c r="C32" s="112" t="s">
        <v>69</v>
      </c>
      <c r="D32" s="89" t="s">
        <v>4189</v>
      </c>
      <c r="E32" s="116" t="str">
        <f>HYPERLINK("https://youtu.be/f__bI32P01k","channel 2")</f>
        <v>channel 2</v>
      </c>
    </row>
    <row r="33">
      <c r="B33" s="87" t="s">
        <v>4115</v>
      </c>
      <c r="C33" s="112" t="s">
        <v>536</v>
      </c>
      <c r="D33" s="89" t="s">
        <v>4190</v>
      </c>
      <c r="E33" s="135" t="str">
        <f>HYPERLINK("https://youtu.be/V6g0xIT2yCI","channel 1")</f>
        <v>channel 1</v>
      </c>
    </row>
    <row r="34">
      <c r="B34" s="87" t="s">
        <v>3794</v>
      </c>
      <c r="C34" s="112" t="s">
        <v>28</v>
      </c>
      <c r="D34" s="89" t="s">
        <v>2052</v>
      </c>
      <c r="E34" s="116" t="str">
        <f>HYPERLINK("https://youtu.be/9p2QKAqf5ps","channel 2")</f>
        <v>channel 2</v>
      </c>
    </row>
    <row r="35">
      <c r="B35" s="87" t="s">
        <v>2052</v>
      </c>
      <c r="C35" s="112" t="s">
        <v>82</v>
      </c>
      <c r="D35" s="89" t="s">
        <v>4189</v>
      </c>
      <c r="E35" s="135" t="str">
        <f>HYPERLINK("https://youtu.be/dFygZ2EFrZA","channel 1")</f>
        <v>channel 1</v>
      </c>
    </row>
    <row r="36">
      <c r="B36" s="87" t="s">
        <v>3794</v>
      </c>
      <c r="C36" s="112" t="s">
        <v>7</v>
      </c>
      <c r="D36" s="89" t="s">
        <v>4190</v>
      </c>
      <c r="E36" s="116" t="str">
        <f>HYPERLINK("https://youtu.be/6DyZuCcIumw","channel 2")</f>
        <v>channel 2</v>
      </c>
    </row>
    <row r="37">
      <c r="B37" s="87" t="s">
        <v>4189</v>
      </c>
      <c r="C37" s="112" t="s">
        <v>291</v>
      </c>
      <c r="D37" s="89" t="s">
        <v>4115</v>
      </c>
      <c r="E37" s="135" t="str">
        <f>HYPERLINK("https://youtu.be/8fMs3akPtLU","channel 1")</f>
        <v>channel 1</v>
      </c>
    </row>
    <row r="38">
      <c r="B38" s="87" t="s">
        <v>2052</v>
      </c>
      <c r="C38" s="112" t="s">
        <v>289</v>
      </c>
      <c r="D38" s="89" t="s">
        <v>4190</v>
      </c>
      <c r="E38" s="116" t="str">
        <f>HYPERLINK("https://youtu.be/G1INRTkCav0","channel 2")</f>
        <v>channel 2</v>
      </c>
    </row>
    <row r="39">
      <c r="B39" s="87" t="s">
        <v>3794</v>
      </c>
      <c r="C39" s="136" t="s">
        <v>26</v>
      </c>
      <c r="D39" s="89" t="s">
        <v>4115</v>
      </c>
      <c r="E39" s="135" t="str">
        <f>HYPERLINK("https://youtu.be/7PYtz7Q2GCM","channel 1")</f>
        <v>channel 1</v>
      </c>
    </row>
    <row r="40">
      <c r="B40" s="87" t="s">
        <v>4189</v>
      </c>
      <c r="C40" s="112" t="s">
        <v>215</v>
      </c>
      <c r="D40" s="89" t="s">
        <v>4190</v>
      </c>
      <c r="E40" s="116" t="str">
        <f>HYPERLINK("https://youtu.be/Mz7kMdsdNzs","channel 2")</f>
        <v>channel 2</v>
      </c>
    </row>
    <row r="41">
      <c r="B41" s="87" t="s">
        <v>2052</v>
      </c>
      <c r="C41" s="112" t="s">
        <v>329</v>
      </c>
      <c r="D41" s="89" t="s">
        <v>4115</v>
      </c>
      <c r="E41" s="135" t="str">
        <f>HYPERLINK("https://youtu.be/o60DsW-Bj6w","channel 1")</f>
        <v>channel 1</v>
      </c>
    </row>
    <row r="42">
      <c r="B42" s="87" t="s">
        <v>4189</v>
      </c>
      <c r="C42" s="112" t="s">
        <v>570</v>
      </c>
      <c r="D42" s="89" t="s">
        <v>3794</v>
      </c>
      <c r="E42" s="116" t="str">
        <f>HYPERLINK("https://youtu.be/_QU0zPj1WbA","channel 2")</f>
        <v>channel 2</v>
      </c>
    </row>
    <row r="43">
      <c r="B43" s="87" t="s">
        <v>4190</v>
      </c>
      <c r="C43" s="112" t="s">
        <v>857</v>
      </c>
      <c r="D43" s="89" t="s">
        <v>4115</v>
      </c>
      <c r="E43" s="135" t="str">
        <f>HYPERLINK("https://youtu.be/3MDgycX9S1g","channel 1")</f>
        <v>channel 1</v>
      </c>
    </row>
    <row r="44">
      <c r="B44" s="87" t="s">
        <v>2052</v>
      </c>
      <c r="C44" s="112" t="s">
        <v>14</v>
      </c>
      <c r="D44" s="89" t="s">
        <v>3794</v>
      </c>
      <c r="E44" s="116" t="str">
        <f>HYPERLINK("https://youtu.be/D3vrVaYbL1I","channel 2")</f>
        <v>channel 2</v>
      </c>
    </row>
    <row r="45">
      <c r="B45" s="150" t="s">
        <v>2685</v>
      </c>
      <c r="C45" s="151"/>
      <c r="D45" s="151"/>
      <c r="E45" s="152"/>
    </row>
    <row r="46">
      <c r="B46" s="153" t="s">
        <v>2</v>
      </c>
      <c r="C46" s="86" t="s">
        <v>3</v>
      </c>
      <c r="D46" s="154" t="s">
        <v>4</v>
      </c>
      <c r="E46" s="154" t="s">
        <v>5</v>
      </c>
    </row>
    <row r="47">
      <c r="B47" s="32" t="s">
        <v>4191</v>
      </c>
      <c r="C47" s="159" t="s">
        <v>47</v>
      </c>
      <c r="D47" s="160" t="s">
        <v>2035</v>
      </c>
      <c r="E47" s="135" t="str">
        <f>HYPERLINK("https://youtu.be/9SlGWm8H8gQ","channel 1")</f>
        <v>channel 1</v>
      </c>
    </row>
    <row r="48">
      <c r="B48" s="87" t="s">
        <v>3567</v>
      </c>
      <c r="C48" s="112" t="s">
        <v>369</v>
      </c>
      <c r="D48" s="89" t="s">
        <v>4192</v>
      </c>
      <c r="E48" s="116" t="str">
        <f>HYPERLINK("https://youtu.be/dsdBF6g7zPY","channel 2")</f>
        <v>channel 2</v>
      </c>
    </row>
    <row r="49">
      <c r="B49" s="87" t="s">
        <v>4193</v>
      </c>
      <c r="C49" s="112" t="s">
        <v>83</v>
      </c>
      <c r="D49" s="89" t="s">
        <v>4191</v>
      </c>
      <c r="E49" s="135" t="str">
        <f>HYPERLINK("https://youtu.be/YfkvVdXNYA8","channel 1")</f>
        <v>channel 1</v>
      </c>
    </row>
    <row r="50">
      <c r="B50" s="87" t="s">
        <v>3567</v>
      </c>
      <c r="C50" s="112" t="s">
        <v>87</v>
      </c>
      <c r="D50" s="89" t="s">
        <v>2035</v>
      </c>
      <c r="E50" s="116" t="str">
        <f>HYPERLINK("https://youtu.be/F1wV3ns9LiU","channel 2")</f>
        <v>channel 2</v>
      </c>
    </row>
    <row r="51">
      <c r="B51" s="87" t="s">
        <v>4193</v>
      </c>
      <c r="C51" s="112" t="s">
        <v>412</v>
      </c>
      <c r="D51" s="89" t="s">
        <v>4192</v>
      </c>
      <c r="E51" s="135" t="str">
        <f>HYPERLINK("https://youtu.be/nHiGJn0OSIU","channel 1")</f>
        <v>channel 1</v>
      </c>
    </row>
    <row r="52">
      <c r="B52" s="87" t="s">
        <v>3567</v>
      </c>
      <c r="C52" s="112" t="s">
        <v>260</v>
      </c>
      <c r="D52" s="89" t="s">
        <v>4191</v>
      </c>
      <c r="E52" s="116" t="str">
        <f>HYPERLINK("https://youtu.be/7CAPAQ9z6Ls","channel 2")</f>
        <v>channel 2</v>
      </c>
    </row>
    <row r="53">
      <c r="B53" s="87" t="s">
        <v>4193</v>
      </c>
      <c r="C53" s="112" t="s">
        <v>589</v>
      </c>
      <c r="D53" s="89" t="s">
        <v>2035</v>
      </c>
      <c r="E53" s="135" t="str">
        <f>HYPERLINK("https://youtu.be/PkFceEJYhPk","channel 1")</f>
        <v>channel 1</v>
      </c>
    </row>
    <row r="54">
      <c r="B54" s="87" t="s">
        <v>4192</v>
      </c>
      <c r="C54" s="112" t="s">
        <v>83</v>
      </c>
      <c r="D54" s="89" t="s">
        <v>4191</v>
      </c>
      <c r="E54" s="116" t="str">
        <f>HYPERLINK("https://youtu.be/r8fljZZ0DM8","channel 2")</f>
        <v>channel 2</v>
      </c>
    </row>
    <row r="55">
      <c r="B55" s="87" t="s">
        <v>4193</v>
      </c>
      <c r="C55" s="112" t="s">
        <v>625</v>
      </c>
      <c r="D55" s="89" t="s">
        <v>3567</v>
      </c>
      <c r="E55" s="135" t="str">
        <f>HYPERLINK("https://youtu.be/YkJlPqZUYec","channel 1")</f>
        <v>channel 1</v>
      </c>
    </row>
    <row r="56">
      <c r="B56" s="87" t="s">
        <v>4192</v>
      </c>
      <c r="C56" s="112" t="s">
        <v>815</v>
      </c>
      <c r="D56" s="89" t="s">
        <v>2035</v>
      </c>
      <c r="E56" s="116" t="str">
        <f>HYPERLINK("https://youtu.be/7yOER9MPVUA","channel 2")</f>
        <v>channel 2</v>
      </c>
    </row>
    <row r="57">
      <c r="B57" s="87" t="s">
        <v>2035</v>
      </c>
      <c r="C57" s="112" t="s">
        <v>72</v>
      </c>
      <c r="D57" s="89" t="s">
        <v>4191</v>
      </c>
      <c r="E57" s="135" t="str">
        <f>HYPERLINK("https://youtu.be/Wc2X3LvrEtg","channel 1")</f>
        <v>channel 1</v>
      </c>
    </row>
    <row r="58">
      <c r="B58" s="87" t="s">
        <v>4192</v>
      </c>
      <c r="C58" s="112" t="s">
        <v>38</v>
      </c>
      <c r="D58" s="89" t="s">
        <v>3567</v>
      </c>
      <c r="E58" s="116" t="str">
        <f>HYPERLINK("https://youtu.be/8d_yq8y11ic","channel 2")</f>
        <v>channel 2</v>
      </c>
    </row>
    <row r="59">
      <c r="B59" s="87" t="s">
        <v>4191</v>
      </c>
      <c r="C59" s="112" t="s">
        <v>62</v>
      </c>
      <c r="D59" s="89" t="s">
        <v>4193</v>
      </c>
      <c r="E59" s="135" t="str">
        <f>HYPERLINK("https://youtu.be/wWo2aoLXz5A","channel 1")</f>
        <v>channel 1</v>
      </c>
    </row>
    <row r="60">
      <c r="B60" s="87" t="s">
        <v>2035</v>
      </c>
      <c r="C60" s="112" t="s">
        <v>11</v>
      </c>
      <c r="D60" s="89" t="s">
        <v>3567</v>
      </c>
      <c r="E60" s="116" t="str">
        <f>HYPERLINK("https://youtu.be/d9RAbKE-Las","channel 2")</f>
        <v>channel 2</v>
      </c>
    </row>
    <row r="61">
      <c r="B61" s="87" t="s">
        <v>4192</v>
      </c>
      <c r="C61" s="112" t="s">
        <v>212</v>
      </c>
      <c r="D61" s="89" t="s">
        <v>4193</v>
      </c>
      <c r="E61" s="135" t="str">
        <f>HYPERLINK("https://youtu.be/Tx2-gJxCxPM","channel 1")</f>
        <v>channel 1</v>
      </c>
    </row>
    <row r="62">
      <c r="B62" s="87" t="s">
        <v>4191</v>
      </c>
      <c r="C62" s="88" t="s">
        <v>357</v>
      </c>
      <c r="D62" s="89" t="s">
        <v>3567</v>
      </c>
      <c r="E62" s="116" t="str">
        <f>HYPERLINK("https://youtu.be/iptmqOVmqn4","channel 2")</f>
        <v>channel 2</v>
      </c>
    </row>
    <row r="63">
      <c r="B63" s="87" t="s">
        <v>2035</v>
      </c>
      <c r="C63" s="112" t="s">
        <v>22</v>
      </c>
      <c r="D63" s="89" t="s">
        <v>4193</v>
      </c>
      <c r="E63" s="135" t="str">
        <f>HYPERLINK("https://youtu.be/2hqMTBdc9Gk","channel 1")</f>
        <v>channel 1</v>
      </c>
    </row>
    <row r="64">
      <c r="B64" s="87" t="s">
        <v>4191</v>
      </c>
      <c r="C64" s="112" t="s">
        <v>757</v>
      </c>
      <c r="D64" s="89" t="s">
        <v>4192</v>
      </c>
      <c r="E64" s="116" t="str">
        <f>HYPERLINK("https://youtu.be/euS5Fw1q-xQ","channel 2")</f>
        <v>channel 2</v>
      </c>
    </row>
    <row r="65">
      <c r="B65" s="87" t="s">
        <v>3567</v>
      </c>
      <c r="C65" s="112" t="s">
        <v>535</v>
      </c>
      <c r="D65" s="89" t="s">
        <v>4193</v>
      </c>
      <c r="E65" s="135" t="str">
        <f>HYPERLINK("https://youtu.be/SAgjrOGKg8I","channel 1")</f>
        <v>channel 1</v>
      </c>
    </row>
    <row r="66">
      <c r="B66" s="87" t="s">
        <v>2035</v>
      </c>
      <c r="C66" s="112" t="s">
        <v>875</v>
      </c>
      <c r="D66" s="89" t="s">
        <v>4192</v>
      </c>
      <c r="E66" s="116" t="str">
        <f>HYPERLINK("https://youtu.be/8h_ZWSap9Do","channel 2")</f>
        <v>channel 2</v>
      </c>
    </row>
    <row r="67">
      <c r="B67" s="150" t="s">
        <v>1685</v>
      </c>
      <c r="C67" s="151"/>
      <c r="D67" s="151"/>
      <c r="E67" s="152"/>
    </row>
    <row r="68">
      <c r="B68" s="85" t="s">
        <v>2</v>
      </c>
      <c r="C68" s="86" t="s">
        <v>3</v>
      </c>
      <c r="D68" s="86" t="s">
        <v>4</v>
      </c>
      <c r="E68" s="86" t="s">
        <v>5</v>
      </c>
    </row>
    <row r="69">
      <c r="B69" s="32" t="s">
        <v>4194</v>
      </c>
      <c r="C69" s="159" t="s">
        <v>293</v>
      </c>
      <c r="D69" s="160" t="s">
        <v>4195</v>
      </c>
      <c r="E69" s="135" t="str">
        <f>HYPERLINK("https://youtu.be/BUg-DBb5Z9E","channel 1")</f>
        <v>channel 1</v>
      </c>
    </row>
    <row r="70">
      <c r="B70" s="87" t="s">
        <v>4196</v>
      </c>
      <c r="C70" s="112" t="s">
        <v>194</v>
      </c>
      <c r="D70" s="89" t="s">
        <v>4197</v>
      </c>
      <c r="E70" s="116" t="str">
        <f>HYPERLINK("https://youtu.be/n7a0ZBCaeyg","channel 2")</f>
        <v>channel 2</v>
      </c>
    </row>
    <row r="71">
      <c r="B71" s="87" t="s">
        <v>4198</v>
      </c>
      <c r="C71" s="112" t="s">
        <v>2721</v>
      </c>
      <c r="D71" s="89" t="s">
        <v>4194</v>
      </c>
      <c r="E71" s="135" t="str">
        <f>HYPERLINK("https://youtu.be/GtGtAjRQzqA","channel 1")</f>
        <v>channel 1</v>
      </c>
    </row>
    <row r="72">
      <c r="B72" s="87" t="s">
        <v>4196</v>
      </c>
      <c r="C72" s="112" t="s">
        <v>25</v>
      </c>
      <c r="D72" s="89" t="s">
        <v>4195</v>
      </c>
      <c r="E72" s="116" t="str">
        <f>HYPERLINK("https://youtu.be/hFn2a9_-M8g","channel 2")</f>
        <v>channel 2</v>
      </c>
    </row>
    <row r="73">
      <c r="B73" s="87" t="s">
        <v>4198</v>
      </c>
      <c r="C73" s="112" t="s">
        <v>1496</v>
      </c>
      <c r="D73" s="89" t="s">
        <v>4197</v>
      </c>
      <c r="E73" s="135" t="str">
        <f>HYPERLINK("https://youtu.be/axAkakUw6m0","channel 1")</f>
        <v>channel 1</v>
      </c>
    </row>
    <row r="74">
      <c r="B74" s="87" t="s">
        <v>4196</v>
      </c>
      <c r="C74" s="112" t="s">
        <v>88</v>
      </c>
      <c r="D74" s="89" t="s">
        <v>4194</v>
      </c>
      <c r="E74" s="116" t="str">
        <f>HYPERLINK("https://youtu.be/ugVKCPku5AQ","channel 2")</f>
        <v>channel 2</v>
      </c>
    </row>
    <row r="75">
      <c r="B75" s="87" t="s">
        <v>4198</v>
      </c>
      <c r="C75" s="112" t="s">
        <v>25</v>
      </c>
      <c r="D75" s="89" t="s">
        <v>4195</v>
      </c>
      <c r="E75" s="135" t="str">
        <f>HYPERLINK("https://youtu.be/QdCuOwUryCU","channel 1")</f>
        <v>channel 1</v>
      </c>
    </row>
    <row r="76">
      <c r="B76" s="87" t="s">
        <v>4197</v>
      </c>
      <c r="C76" s="112" t="s">
        <v>43</v>
      </c>
      <c r="D76" s="89" t="s">
        <v>4194</v>
      </c>
      <c r="E76" s="116" t="str">
        <f>HYPERLINK("https://youtu.be/tw22h628Yjk","channel 2")</f>
        <v>channel 2</v>
      </c>
    </row>
    <row r="77">
      <c r="B77" s="87" t="s">
        <v>4198</v>
      </c>
      <c r="C77" s="112" t="s">
        <v>7</v>
      </c>
      <c r="D77" s="89" t="s">
        <v>4196</v>
      </c>
      <c r="E77" s="135" t="str">
        <f>HYPERLINK("https://youtu.be/X3L9yMT8tAE","channel 1")</f>
        <v>channel 1</v>
      </c>
    </row>
    <row r="78">
      <c r="B78" s="87" t="s">
        <v>4197</v>
      </c>
      <c r="C78" s="112" t="s">
        <v>312</v>
      </c>
      <c r="D78" s="89" t="s">
        <v>4195</v>
      </c>
      <c r="E78" s="116" t="str">
        <f>HYPERLINK("https://youtu.be/Z8UfHBPRq9Q","channel 2")</f>
        <v>channel 2</v>
      </c>
    </row>
    <row r="79">
      <c r="B79" s="87" t="s">
        <v>4195</v>
      </c>
      <c r="C79" s="112" t="s">
        <v>27</v>
      </c>
      <c r="D79" s="89" t="s">
        <v>4194</v>
      </c>
      <c r="E79" s="135" t="str">
        <f>HYPERLINK("https://youtu.be/MhH_zXb4yYY","channel 1")</f>
        <v>channel 1</v>
      </c>
    </row>
    <row r="80">
      <c r="B80" s="87" t="s">
        <v>4197</v>
      </c>
      <c r="C80" s="112" t="s">
        <v>295</v>
      </c>
      <c r="D80" s="89" t="s">
        <v>4196</v>
      </c>
      <c r="E80" s="116" t="str">
        <f>HYPERLINK("https://youtu.be/KdcCFarC_Dk","channel 2")</f>
        <v>channel 2</v>
      </c>
    </row>
    <row r="81">
      <c r="B81" s="87" t="s">
        <v>4194</v>
      </c>
      <c r="C81" s="112" t="s">
        <v>42</v>
      </c>
      <c r="D81" s="89" t="s">
        <v>4198</v>
      </c>
      <c r="E81" s="135" t="str">
        <f>HYPERLINK("https://youtu.be/TAddVxOJNJ0","channel 1")</f>
        <v>channel 1</v>
      </c>
    </row>
    <row r="82">
      <c r="B82" s="87" t="s">
        <v>4195</v>
      </c>
      <c r="C82" s="112" t="s">
        <v>43</v>
      </c>
      <c r="D82" s="89" t="s">
        <v>4196</v>
      </c>
      <c r="E82" s="116" t="str">
        <f>HYPERLINK("https://youtu.be/Ez4VE5uHlMc","channel 2")</f>
        <v>channel 2</v>
      </c>
    </row>
    <row r="83">
      <c r="B83" s="87" t="s">
        <v>4197</v>
      </c>
      <c r="C83" s="112" t="s">
        <v>193</v>
      </c>
      <c r="D83" s="89" t="s">
        <v>4198</v>
      </c>
      <c r="E83" s="135" t="str">
        <f>HYPERLINK("https://youtu.be/V1DiivWjBUo","channel 1")</f>
        <v>channel 1</v>
      </c>
    </row>
    <row r="84">
      <c r="B84" s="87" t="s">
        <v>4194</v>
      </c>
      <c r="C84" s="112" t="s">
        <v>587</v>
      </c>
      <c r="D84" s="89" t="s">
        <v>4196</v>
      </c>
      <c r="E84" s="116" t="str">
        <f>HYPERLINK("https://youtu.be/s5zY2aAiCqk","channel 2")</f>
        <v>channel 2</v>
      </c>
    </row>
    <row r="85">
      <c r="B85" s="87" t="s">
        <v>4195</v>
      </c>
      <c r="C85" s="112" t="s">
        <v>551</v>
      </c>
      <c r="D85" s="89" t="s">
        <v>4198</v>
      </c>
      <c r="E85" s="135" t="str">
        <f>HYPERLINK("https://youtu.be/lNH14JOu2Y4","channel 1")</f>
        <v>channel 1</v>
      </c>
    </row>
    <row r="86">
      <c r="B86" s="87" t="s">
        <v>4194</v>
      </c>
      <c r="C86" s="112" t="s">
        <v>212</v>
      </c>
      <c r="D86" s="89" t="s">
        <v>4197</v>
      </c>
      <c r="E86" s="116" t="str">
        <f>HYPERLINK("https://youtu.be/B2R5-ihNASU","channel 2")</f>
        <v>channel 2</v>
      </c>
    </row>
    <row r="87">
      <c r="B87" s="87" t="s">
        <v>4196</v>
      </c>
      <c r="C87" s="112" t="s">
        <v>16</v>
      </c>
      <c r="D87" s="89" t="s">
        <v>4198</v>
      </c>
      <c r="E87" s="135" t="str">
        <f>HYPERLINK("https://youtu.be/UkZ4sA7-oh0","channel 1")</f>
        <v>channel 1</v>
      </c>
    </row>
    <row r="88">
      <c r="B88" s="87" t="s">
        <v>4195</v>
      </c>
      <c r="C88" s="112" t="s">
        <v>472</v>
      </c>
      <c r="D88" s="89" t="s">
        <v>4197</v>
      </c>
      <c r="E88" s="116" t="str">
        <f>HYPERLINK("https://youtu.be/ONCvtMeGVI8","channel 2")</f>
        <v>channel 2</v>
      </c>
    </row>
    <row r="89">
      <c r="B89" s="148"/>
      <c r="C89" s="148"/>
      <c r="D89" s="148"/>
      <c r="E89" s="149"/>
    </row>
    <row r="90">
      <c r="B90" s="148"/>
      <c r="C90" s="148"/>
      <c r="D90" s="148"/>
      <c r="E90" s="149"/>
    </row>
    <row r="91">
      <c r="B91" s="148"/>
      <c r="C91" s="148"/>
      <c r="D91" s="148"/>
      <c r="E91" s="149"/>
    </row>
    <row r="92">
      <c r="B92" s="148"/>
      <c r="C92" s="148"/>
      <c r="D92" s="148"/>
      <c r="E92" s="149"/>
    </row>
    <row r="93">
      <c r="B93" s="148"/>
      <c r="C93" s="148"/>
      <c r="D93" s="148"/>
      <c r="E93" s="149"/>
    </row>
    <row r="94">
      <c r="B94" s="148"/>
      <c r="C94" s="148"/>
      <c r="D94" s="148"/>
      <c r="E94" s="149"/>
    </row>
    <row r="95">
      <c r="B95" s="148"/>
      <c r="C95" s="148"/>
      <c r="D95" s="148"/>
      <c r="E95" s="149"/>
    </row>
    <row r="96">
      <c r="B96" s="148"/>
      <c r="C96" s="148"/>
      <c r="D96" s="148"/>
      <c r="E96" s="149"/>
    </row>
    <row r="97">
      <c r="B97" s="148"/>
      <c r="C97" s="148"/>
      <c r="D97" s="148"/>
      <c r="E97" s="149"/>
    </row>
    <row r="98">
      <c r="B98" s="148"/>
      <c r="C98" s="148"/>
      <c r="D98" s="148"/>
      <c r="E98" s="149"/>
    </row>
    <row r="99">
      <c r="B99" s="148"/>
      <c r="C99" s="148"/>
      <c r="D99" s="148"/>
      <c r="E99" s="149"/>
    </row>
    <row r="100">
      <c r="B100" s="148"/>
      <c r="C100" s="148"/>
      <c r="D100" s="148"/>
      <c r="E100" s="149"/>
    </row>
    <row r="101">
      <c r="B101" s="148"/>
      <c r="C101" s="148"/>
      <c r="D101" s="148"/>
      <c r="E101" s="149"/>
    </row>
    <row r="102">
      <c r="B102" s="148"/>
      <c r="C102" s="148"/>
      <c r="D102" s="148"/>
      <c r="E102" s="149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0" t="s">
        <v>2370</v>
      </c>
      <c r="C1" s="151"/>
      <c r="D1" s="151"/>
      <c r="E1" s="152"/>
    </row>
    <row r="2">
      <c r="B2" s="153" t="s">
        <v>2</v>
      </c>
      <c r="C2" s="86" t="s">
        <v>3</v>
      </c>
      <c r="D2" s="154" t="s">
        <v>4</v>
      </c>
      <c r="E2" s="154" t="s">
        <v>5</v>
      </c>
    </row>
    <row r="3">
      <c r="B3" s="32" t="s">
        <v>4199</v>
      </c>
      <c r="C3" s="33" t="s">
        <v>238</v>
      </c>
      <c r="D3" s="8" t="s">
        <v>4200</v>
      </c>
      <c r="E3" s="135" t="str">
        <f>HYPERLINK("https://youtu.be/XmIgv69p8gM","channel 1")</f>
        <v>channel 1</v>
      </c>
    </row>
    <row r="4">
      <c r="B4" s="32" t="s">
        <v>3785</v>
      </c>
      <c r="C4" s="33" t="s">
        <v>16</v>
      </c>
      <c r="D4" s="32" t="s">
        <v>4165</v>
      </c>
      <c r="E4" s="116" t="str">
        <f>HYPERLINK("https://youtu.be/VkGDr6Uh8iM","channel 2")</f>
        <v>channel 2</v>
      </c>
    </row>
    <row r="5">
      <c r="B5" s="32" t="s">
        <v>3787</v>
      </c>
      <c r="C5" s="33" t="s">
        <v>195</v>
      </c>
      <c r="D5" s="32" t="s">
        <v>4199</v>
      </c>
      <c r="E5" s="135" t="str">
        <f>HYPERLINK("https://youtu.be/CoP_IDvL5_8","channel 1")</f>
        <v>channel 1</v>
      </c>
    </row>
    <row r="6">
      <c r="B6" s="32" t="s">
        <v>3785</v>
      </c>
      <c r="C6" s="33" t="s">
        <v>542</v>
      </c>
      <c r="D6" s="8" t="s">
        <v>4200</v>
      </c>
      <c r="E6" s="116" t="str">
        <f>HYPERLINK("https://youtu.be/VzZ4Em_Z7A0","channel 2")</f>
        <v>channel 2</v>
      </c>
    </row>
    <row r="7">
      <c r="B7" s="32" t="s">
        <v>3787</v>
      </c>
      <c r="C7" s="33" t="s">
        <v>466</v>
      </c>
      <c r="D7" s="32" t="s">
        <v>4165</v>
      </c>
      <c r="E7" s="135" t="str">
        <f>HYPERLINK("https://youtu.be/bR1zNytzW9I","channel 1")</f>
        <v>channel 1</v>
      </c>
    </row>
    <row r="8">
      <c r="B8" s="32" t="s">
        <v>3785</v>
      </c>
      <c r="C8" s="33" t="s">
        <v>201</v>
      </c>
      <c r="D8" s="32" t="s">
        <v>4199</v>
      </c>
      <c r="E8" s="116" t="str">
        <f>HYPERLINK("https://youtu.be/XZ3-IXC8tgI","channel 2")</f>
        <v>channel 2</v>
      </c>
    </row>
    <row r="9">
      <c r="B9" s="32" t="s">
        <v>3787</v>
      </c>
      <c r="C9" s="33" t="s">
        <v>793</v>
      </c>
      <c r="D9" s="8" t="s">
        <v>4200</v>
      </c>
      <c r="E9" s="135" t="str">
        <f>HYPERLINK("https://youtu.be/nK6gzrWgSw8","channel 1")</f>
        <v>channel 1</v>
      </c>
    </row>
    <row r="10">
      <c r="B10" s="32" t="s">
        <v>4165</v>
      </c>
      <c r="C10" s="33" t="s">
        <v>17</v>
      </c>
      <c r="D10" s="32" t="s">
        <v>4199</v>
      </c>
      <c r="E10" s="116" t="str">
        <f>HYPERLINK("https://youtu.be/bERu6vKzVck","channel 2")</f>
        <v>channel 2</v>
      </c>
    </row>
    <row r="11">
      <c r="B11" s="32" t="s">
        <v>3787</v>
      </c>
      <c r="C11" s="33" t="s">
        <v>190</v>
      </c>
      <c r="D11" s="32" t="s">
        <v>3785</v>
      </c>
      <c r="E11" s="135" t="str">
        <f>HYPERLINK("https://youtu.be/_lCbaeuPkD4","channel 1")</f>
        <v>channel 1</v>
      </c>
    </row>
    <row r="12">
      <c r="B12" s="32" t="s">
        <v>4165</v>
      </c>
      <c r="C12" s="33" t="s">
        <v>52</v>
      </c>
      <c r="D12" s="8" t="s">
        <v>4200</v>
      </c>
      <c r="E12" s="116" t="str">
        <f>HYPERLINK("https://youtu.be/THfBBt0n4_A","channel 2")</f>
        <v>channel 2</v>
      </c>
    </row>
    <row r="13">
      <c r="B13" s="8" t="s">
        <v>4200</v>
      </c>
      <c r="C13" s="33" t="s">
        <v>47</v>
      </c>
      <c r="D13" s="32" t="s">
        <v>4199</v>
      </c>
      <c r="E13" s="135" t="str">
        <f>HYPERLINK("https://youtu.be/Q-MOHEoDvcg","channel 1")</f>
        <v>channel 1</v>
      </c>
    </row>
    <row r="14">
      <c r="B14" s="32" t="s">
        <v>4165</v>
      </c>
      <c r="C14" s="33" t="s">
        <v>217</v>
      </c>
      <c r="D14" s="32" t="s">
        <v>3785</v>
      </c>
      <c r="E14" s="116" t="str">
        <f>HYPERLINK("https://youtu.be/0fiEcJErB_c","channel 2")</f>
        <v>channel 2</v>
      </c>
    </row>
    <row r="15">
      <c r="B15" s="32" t="s">
        <v>4199</v>
      </c>
      <c r="C15" s="33" t="s">
        <v>7</v>
      </c>
      <c r="D15" s="32" t="s">
        <v>3787</v>
      </c>
      <c r="E15" s="135" t="str">
        <f>HYPERLINK("https://youtu.be/qk9dc5v_F5Q","channel 1")</f>
        <v>channel 1</v>
      </c>
    </row>
    <row r="16">
      <c r="B16" s="8" t="s">
        <v>4200</v>
      </c>
      <c r="C16" s="33" t="s">
        <v>363</v>
      </c>
      <c r="D16" s="32" t="s">
        <v>3785</v>
      </c>
      <c r="E16" s="116" t="str">
        <f>HYPERLINK("https://youtu.be/B4qlVCb6PKs","channel 2")</f>
        <v>channel 2</v>
      </c>
    </row>
    <row r="17">
      <c r="B17" s="32" t="s">
        <v>4165</v>
      </c>
      <c r="C17" s="33" t="s">
        <v>282</v>
      </c>
      <c r="D17" s="32" t="s">
        <v>3787</v>
      </c>
      <c r="E17" s="135" t="str">
        <f>HYPERLINK("https://youtu.be/b2IQbC8g2tI","channel 1")</f>
        <v>channel 1</v>
      </c>
    </row>
    <row r="18">
      <c r="B18" s="32" t="s">
        <v>4199</v>
      </c>
      <c r="C18" s="33" t="s">
        <v>196</v>
      </c>
      <c r="D18" s="32" t="s">
        <v>3785</v>
      </c>
      <c r="E18" s="116" t="str">
        <f>HYPERLINK("https://youtu.be/-inPQBvjUWY","channel 2")</f>
        <v>channel 2</v>
      </c>
    </row>
    <row r="19">
      <c r="B19" s="8" t="s">
        <v>4200</v>
      </c>
      <c r="C19" s="33" t="s">
        <v>16</v>
      </c>
      <c r="D19" s="32" t="s">
        <v>3787</v>
      </c>
      <c r="E19" s="135" t="str">
        <f>HYPERLINK("https://youtu.be/QEQ-VwOgOPk","channel 1")</f>
        <v>channel 1</v>
      </c>
    </row>
    <row r="20">
      <c r="B20" s="32" t="s">
        <v>4199</v>
      </c>
      <c r="C20" s="33" t="s">
        <v>87</v>
      </c>
      <c r="D20" s="32" t="s">
        <v>4165</v>
      </c>
      <c r="E20" s="116" t="str">
        <f>HYPERLINK("https://youtu.be/s3ieFv6jsE0","channel 2")</f>
        <v>channel 2</v>
      </c>
    </row>
    <row r="21">
      <c r="B21" s="32" t="s">
        <v>3785</v>
      </c>
      <c r="C21" s="33" t="s">
        <v>201</v>
      </c>
      <c r="D21" s="32" t="s">
        <v>3787</v>
      </c>
      <c r="E21" s="135" t="str">
        <f>HYPERLINK("https://youtu.be/7PAWQH84yOA","channel 1")</f>
        <v>channel 1</v>
      </c>
    </row>
    <row r="22">
      <c r="B22" s="8" t="s">
        <v>4200</v>
      </c>
      <c r="C22" s="33" t="s">
        <v>81</v>
      </c>
      <c r="D22" s="32" t="s">
        <v>4165</v>
      </c>
      <c r="E22" s="156" t="s">
        <v>13</v>
      </c>
    </row>
    <row r="23">
      <c r="B23" s="150" t="s">
        <v>2308</v>
      </c>
      <c r="C23" s="151"/>
      <c r="D23" s="151"/>
      <c r="E23" s="152"/>
    </row>
    <row r="24">
      <c r="B24" s="153" t="s">
        <v>2</v>
      </c>
      <c r="C24" s="86" t="s">
        <v>3</v>
      </c>
      <c r="D24" s="154" t="s">
        <v>4</v>
      </c>
      <c r="E24" s="154" t="s">
        <v>5</v>
      </c>
    </row>
    <row r="25">
      <c r="B25" s="32" t="s">
        <v>3142</v>
      </c>
      <c r="C25" s="159" t="s">
        <v>195</v>
      </c>
      <c r="D25" s="160" t="s">
        <v>4201</v>
      </c>
      <c r="E25" s="135" t="str">
        <f>HYPERLINK("https://youtu.be/-8YcMQZP9pw","channel 1")</f>
        <v>channel 1</v>
      </c>
    </row>
    <row r="26">
      <c r="B26" s="87" t="s">
        <v>4202</v>
      </c>
      <c r="C26" s="112" t="s">
        <v>857</v>
      </c>
      <c r="D26" s="89" t="s">
        <v>4203</v>
      </c>
      <c r="E26" s="116" t="str">
        <f>HYPERLINK("https://youtu.be/2yx-08nNoo8","channel 2")</f>
        <v>channel 2</v>
      </c>
    </row>
    <row r="27">
      <c r="B27" s="87" t="s">
        <v>3352</v>
      </c>
      <c r="C27" s="112" t="s">
        <v>190</v>
      </c>
      <c r="D27" s="89" t="s">
        <v>3142</v>
      </c>
      <c r="E27" s="135" t="str">
        <f>HYPERLINK("https://youtu.be/_TNkIYbefho","channel 1")</f>
        <v>channel 1</v>
      </c>
    </row>
    <row r="28">
      <c r="B28" s="87" t="s">
        <v>4202</v>
      </c>
      <c r="C28" s="112" t="s">
        <v>24</v>
      </c>
      <c r="D28" s="89" t="s">
        <v>4201</v>
      </c>
      <c r="E28" s="116" t="str">
        <f>HYPERLINK("https://youtu.be/K0IT_t9Agvk","channel 2")</f>
        <v>channel 2</v>
      </c>
    </row>
    <row r="29">
      <c r="B29" s="87" t="s">
        <v>3352</v>
      </c>
      <c r="C29" s="112" t="s">
        <v>274</v>
      </c>
      <c r="D29" s="89" t="s">
        <v>4203</v>
      </c>
      <c r="E29" s="135" t="str">
        <f>HYPERLINK("https://youtu.be/GWeZ5wHXU1Y","channel 1")</f>
        <v>channel 1</v>
      </c>
    </row>
    <row r="30">
      <c r="B30" s="87" t="s">
        <v>4202</v>
      </c>
      <c r="C30" s="112" t="s">
        <v>48</v>
      </c>
      <c r="D30" s="89" t="s">
        <v>3142</v>
      </c>
      <c r="E30" s="116" t="str">
        <f>HYPERLINK("https://youtu.be/6UdyASen-_w","channel 2")</f>
        <v>channel 2</v>
      </c>
    </row>
    <row r="31">
      <c r="B31" s="87" t="s">
        <v>3352</v>
      </c>
      <c r="C31" s="112" t="s">
        <v>72</v>
      </c>
      <c r="D31" s="89" t="s">
        <v>4201</v>
      </c>
      <c r="E31" s="135" t="str">
        <f>HYPERLINK("https://youtu.be/Q8MuIeTYHAU","channel 1")</f>
        <v>channel 1</v>
      </c>
    </row>
    <row r="32">
      <c r="B32" s="87" t="s">
        <v>4203</v>
      </c>
      <c r="C32" s="112" t="s">
        <v>195</v>
      </c>
      <c r="D32" s="89" t="s">
        <v>3142</v>
      </c>
      <c r="E32" s="116" t="str">
        <f>HYPERLINK("https://youtu.be/SGMT8Gavdw8","channel 2")</f>
        <v>channel 2</v>
      </c>
    </row>
    <row r="33">
      <c r="B33" s="87" t="s">
        <v>3352</v>
      </c>
      <c r="C33" s="112" t="s">
        <v>282</v>
      </c>
      <c r="D33" s="89" t="s">
        <v>4202</v>
      </c>
      <c r="E33" s="135" t="str">
        <f>HYPERLINK("https://youtu.be/P-8MabmToXI","channel 1")</f>
        <v>channel 1</v>
      </c>
    </row>
    <row r="34">
      <c r="B34" s="87" t="s">
        <v>4203</v>
      </c>
      <c r="C34" s="112" t="s">
        <v>239</v>
      </c>
      <c r="D34" s="89" t="s">
        <v>4201</v>
      </c>
      <c r="E34" s="116" t="str">
        <f>HYPERLINK("https://youtu.be/vSv9dVzA8B4","channel 2")</f>
        <v>channel 2</v>
      </c>
    </row>
    <row r="35">
      <c r="B35" s="87" t="s">
        <v>4201</v>
      </c>
      <c r="C35" s="112" t="s">
        <v>11</v>
      </c>
      <c r="D35" s="89" t="s">
        <v>3142</v>
      </c>
      <c r="E35" s="135" t="str">
        <f>HYPERLINK("https://youtu.be/3_RtPMkmHb4","channel 1")</f>
        <v>channel 1</v>
      </c>
    </row>
    <row r="36">
      <c r="B36" s="87" t="s">
        <v>4203</v>
      </c>
      <c r="C36" s="112" t="s">
        <v>212</v>
      </c>
      <c r="D36" s="89" t="s">
        <v>4202</v>
      </c>
      <c r="E36" s="116" t="str">
        <f>HYPERLINK("https://youtu.be/14ZL75Mrv1Y","channel 2")</f>
        <v>channel 2</v>
      </c>
    </row>
    <row r="37">
      <c r="B37" s="87" t="s">
        <v>3142</v>
      </c>
      <c r="C37" s="112" t="s">
        <v>25</v>
      </c>
      <c r="D37" s="89" t="s">
        <v>3352</v>
      </c>
      <c r="E37" s="135" t="str">
        <f>HYPERLINK("https://youtu.be/-SqA5MLB6QY","channel 1")</f>
        <v>channel 1</v>
      </c>
    </row>
    <row r="38">
      <c r="B38" s="87" t="s">
        <v>4201</v>
      </c>
      <c r="C38" s="112" t="s">
        <v>86</v>
      </c>
      <c r="D38" s="89" t="s">
        <v>4202</v>
      </c>
      <c r="E38" s="116" t="str">
        <f>HYPERLINK("https://youtu.be/i13dfQ7_MG0","channel 2")</f>
        <v>channel 2</v>
      </c>
    </row>
    <row r="39">
      <c r="B39" s="87" t="s">
        <v>4203</v>
      </c>
      <c r="C39" s="112" t="s">
        <v>212</v>
      </c>
      <c r="D39" s="89" t="s">
        <v>3352</v>
      </c>
      <c r="E39" s="135" t="str">
        <f>HYPERLINK("https://youtu.be/QzZju6-KUqI","channel 1")</f>
        <v>channel 1</v>
      </c>
    </row>
    <row r="40">
      <c r="B40" s="87" t="s">
        <v>3142</v>
      </c>
      <c r="C40" s="112" t="s">
        <v>217</v>
      </c>
      <c r="D40" s="89" t="s">
        <v>4202</v>
      </c>
      <c r="E40" s="116" t="str">
        <f>HYPERLINK("https://youtu.be/0yfftDhAtNk","channel 2")</f>
        <v>channel 2</v>
      </c>
    </row>
    <row r="41">
      <c r="B41" s="87" t="s">
        <v>4201</v>
      </c>
      <c r="C41" s="112" t="s">
        <v>494</v>
      </c>
      <c r="D41" s="89" t="s">
        <v>3352</v>
      </c>
      <c r="E41" s="135" t="str">
        <f>HYPERLINK("https://youtu.be/owS2zh2tD3Q","channel 1")</f>
        <v>channel 1</v>
      </c>
    </row>
    <row r="42">
      <c r="B42" s="87" t="s">
        <v>3142</v>
      </c>
      <c r="C42" s="112" t="s">
        <v>11</v>
      </c>
      <c r="D42" s="89" t="s">
        <v>4203</v>
      </c>
      <c r="E42" s="116" t="str">
        <f>HYPERLINK("https://youtu.be/hx1nhoGfQIY","channel 2")</f>
        <v>channel 2</v>
      </c>
    </row>
    <row r="43">
      <c r="B43" s="87" t="s">
        <v>4202</v>
      </c>
      <c r="C43" s="112" t="s">
        <v>218</v>
      </c>
      <c r="D43" s="89" t="s">
        <v>3352</v>
      </c>
      <c r="E43" s="135" t="str">
        <f>HYPERLINK("https://youtu.be/5aF0cORxess","channel 1")</f>
        <v>channel 1</v>
      </c>
    </row>
    <row r="44">
      <c r="B44" s="87" t="s">
        <v>4201</v>
      </c>
      <c r="C44" s="112" t="s">
        <v>18</v>
      </c>
      <c r="D44" s="89" t="s">
        <v>4203</v>
      </c>
      <c r="E44" s="116" t="str">
        <f>HYPERLINK("https://youtu.be/EfwkPuUDZpo","channel 2")</f>
        <v>channel 2</v>
      </c>
    </row>
    <row r="45">
      <c r="B45" s="150" t="s">
        <v>2554</v>
      </c>
      <c r="C45" s="151"/>
      <c r="D45" s="151"/>
      <c r="E45" s="152"/>
    </row>
    <row r="46">
      <c r="B46" s="85" t="s">
        <v>2</v>
      </c>
      <c r="C46" s="86" t="s">
        <v>3</v>
      </c>
      <c r="D46" s="86" t="s">
        <v>4</v>
      </c>
      <c r="E46" s="86" t="s">
        <v>5</v>
      </c>
    </row>
    <row r="47">
      <c r="B47" s="32" t="s">
        <v>4204</v>
      </c>
      <c r="C47" s="159" t="s">
        <v>11</v>
      </c>
      <c r="D47" s="160" t="s">
        <v>2420</v>
      </c>
      <c r="E47" s="135" t="str">
        <f>HYPERLINK("https://youtu.be/M38es6YGxRA","channel 1")</f>
        <v>channel 1</v>
      </c>
    </row>
    <row r="48">
      <c r="B48" s="87" t="s">
        <v>3547</v>
      </c>
      <c r="C48" s="112" t="s">
        <v>22</v>
      </c>
      <c r="D48" s="89" t="s">
        <v>4205</v>
      </c>
      <c r="E48" s="116" t="str">
        <f>HYPERLINK("https://youtu.be/x-jE76Hvoso","channel 2")</f>
        <v>channel 2</v>
      </c>
    </row>
    <row r="49">
      <c r="B49" s="87" t="s">
        <v>4206</v>
      </c>
      <c r="C49" s="112" t="s">
        <v>312</v>
      </c>
      <c r="D49" s="89" t="s">
        <v>4204</v>
      </c>
      <c r="E49" s="135" t="str">
        <f>HYPERLINK("https://youtu.be/U3-T2XqMMNE","channel 1")</f>
        <v>channel 1</v>
      </c>
    </row>
    <row r="50">
      <c r="B50" s="87" t="s">
        <v>3547</v>
      </c>
      <c r="C50" s="112" t="s">
        <v>285</v>
      </c>
      <c r="D50" s="89" t="s">
        <v>2420</v>
      </c>
      <c r="E50" s="116" t="str">
        <f>HYPERLINK("https://youtu.be/lU8LG74Hzko","channel 2")</f>
        <v>channel 2</v>
      </c>
    </row>
    <row r="51">
      <c r="B51" s="87" t="s">
        <v>4206</v>
      </c>
      <c r="C51" s="112" t="s">
        <v>25</v>
      </c>
      <c r="D51" s="89" t="s">
        <v>4205</v>
      </c>
      <c r="E51" s="135" t="str">
        <f>HYPERLINK("https://youtu.be/yEQyhAHPCIQ","channel 1")</f>
        <v>channel 1</v>
      </c>
    </row>
    <row r="52">
      <c r="B52" s="87" t="s">
        <v>3547</v>
      </c>
      <c r="C52" s="112" t="s">
        <v>853</v>
      </c>
      <c r="D52" s="89" t="s">
        <v>4204</v>
      </c>
      <c r="E52" s="116" t="str">
        <f>HYPERLINK("https://youtu.be/w7ZEZ1FAJ64","channel 2")</f>
        <v>channel 2</v>
      </c>
    </row>
    <row r="53">
      <c r="B53" s="87" t="s">
        <v>4206</v>
      </c>
      <c r="C53" s="112" t="s">
        <v>197</v>
      </c>
      <c r="D53" s="89" t="s">
        <v>2420</v>
      </c>
      <c r="E53" s="135" t="str">
        <f>HYPERLINK("https://youtu.be/sgobhlLyMB0","channel 1")</f>
        <v>channel 1</v>
      </c>
    </row>
    <row r="54">
      <c r="B54" s="87" t="s">
        <v>4205</v>
      </c>
      <c r="C54" s="112" t="s">
        <v>43</v>
      </c>
      <c r="D54" s="89" t="s">
        <v>4204</v>
      </c>
      <c r="E54" s="116" t="str">
        <f>HYPERLINK("https://youtu.be/tZxEN0sJvfc","channel 2")</f>
        <v>channel 2</v>
      </c>
    </row>
    <row r="55">
      <c r="B55" s="87" t="s">
        <v>4206</v>
      </c>
      <c r="C55" s="112" t="s">
        <v>22</v>
      </c>
      <c r="D55" s="89" t="s">
        <v>3547</v>
      </c>
      <c r="E55" s="135" t="str">
        <f>HYPERLINK("https://youtu.be/Wvv-Cxde3w4","channel 1")</f>
        <v>channel 1</v>
      </c>
    </row>
    <row r="56">
      <c r="B56" s="87" t="s">
        <v>4205</v>
      </c>
      <c r="C56" s="112" t="s">
        <v>190</v>
      </c>
      <c r="D56" s="89" t="s">
        <v>2420</v>
      </c>
      <c r="E56" s="116" t="str">
        <f>HYPERLINK("https://youtu.be/mmc8xH1mW9M","channel 2")</f>
        <v>channel 2</v>
      </c>
    </row>
    <row r="57">
      <c r="B57" s="87" t="s">
        <v>2420</v>
      </c>
      <c r="C57" s="112" t="s">
        <v>16</v>
      </c>
      <c r="D57" s="89" t="s">
        <v>4204</v>
      </c>
      <c r="E57" s="135" t="str">
        <f>HYPERLINK("https://youtu.be/a251ilC3t4E","channel 1")</f>
        <v>channel 1</v>
      </c>
    </row>
    <row r="58">
      <c r="B58" s="87" t="s">
        <v>4205</v>
      </c>
      <c r="C58" s="112" t="s">
        <v>70</v>
      </c>
      <c r="D58" s="89" t="s">
        <v>3547</v>
      </c>
      <c r="E58" s="116" t="str">
        <f>HYPERLINK("https://youtu.be/TB_hTqLNIa0","channel 2")</f>
        <v>channel 2</v>
      </c>
    </row>
    <row r="59">
      <c r="B59" s="87" t="s">
        <v>4204</v>
      </c>
      <c r="C59" s="112" t="s">
        <v>239</v>
      </c>
      <c r="D59" s="89" t="s">
        <v>4206</v>
      </c>
      <c r="E59" s="135" t="str">
        <f>HYPERLINK("https://youtu.be/Da5SABBElXs","channel 1")</f>
        <v>channel 1</v>
      </c>
    </row>
    <row r="60">
      <c r="B60" s="87" t="s">
        <v>2420</v>
      </c>
      <c r="C60" s="112" t="s">
        <v>218</v>
      </c>
      <c r="D60" s="89" t="s">
        <v>3547</v>
      </c>
      <c r="E60" s="116" t="str">
        <f>HYPERLINK("https://youtu.be/6dqNnWJXNh0","channel 2")</f>
        <v>channel 2</v>
      </c>
    </row>
    <row r="61">
      <c r="B61" s="87" t="s">
        <v>4205</v>
      </c>
      <c r="C61" s="161" t="s">
        <v>62</v>
      </c>
      <c r="D61" s="89" t="s">
        <v>4206</v>
      </c>
      <c r="E61" s="135" t="str">
        <f>HYPERLINK("https://youtu.be/wucwZbNvhHE","channel 1")</f>
        <v>channel 1</v>
      </c>
    </row>
    <row r="62">
      <c r="B62" s="87" t="s">
        <v>4204</v>
      </c>
      <c r="C62" s="112" t="s">
        <v>390</v>
      </c>
      <c r="D62" s="89" t="s">
        <v>3547</v>
      </c>
      <c r="E62" s="116" t="str">
        <f>HYPERLINK("https://youtu.be/1K-SEJ-L6Wc","channel 2")</f>
        <v>channel 2</v>
      </c>
    </row>
    <row r="63">
      <c r="B63" s="87" t="s">
        <v>2420</v>
      </c>
      <c r="C63" s="112" t="s">
        <v>190</v>
      </c>
      <c r="D63" s="89" t="s">
        <v>4206</v>
      </c>
      <c r="E63" s="135" t="str">
        <f>HYPERLINK("https://youtu.be/eRwPZzguy7k","channel 1")</f>
        <v>channel 1</v>
      </c>
    </row>
    <row r="64">
      <c r="B64" s="87" t="s">
        <v>4204</v>
      </c>
      <c r="C64" s="112" t="s">
        <v>28</v>
      </c>
      <c r="D64" s="89" t="s">
        <v>4205</v>
      </c>
      <c r="E64" s="116" t="str">
        <f>HYPERLINK("https://youtu.be/79p7Ay6rUxs","channel 2")</f>
        <v>channel 2</v>
      </c>
    </row>
    <row r="65">
      <c r="B65" s="87" t="s">
        <v>3547</v>
      </c>
      <c r="C65" s="112" t="s">
        <v>55</v>
      </c>
      <c r="D65" s="89" t="s">
        <v>4206</v>
      </c>
      <c r="E65" s="135" t="str">
        <f>HYPERLINK("https://youtu.be/wV5KhtyIH5w","channel 1")</f>
        <v>channel 1</v>
      </c>
    </row>
    <row r="66">
      <c r="B66" s="87" t="s">
        <v>2420</v>
      </c>
      <c r="C66" s="112" t="s">
        <v>82</v>
      </c>
      <c r="D66" s="89" t="s">
        <v>4205</v>
      </c>
      <c r="E66" s="116" t="str">
        <f>HYPERLINK("https://youtu.be/MxoNxZqoX7c","channel 2")</f>
        <v>channel 2</v>
      </c>
    </row>
    <row r="67">
      <c r="B67" s="150" t="s">
        <v>3325</v>
      </c>
      <c r="C67" s="151"/>
      <c r="D67" s="151"/>
      <c r="E67" s="152"/>
    </row>
    <row r="68">
      <c r="B68" s="85" t="s">
        <v>2</v>
      </c>
      <c r="C68" s="86" t="s">
        <v>3</v>
      </c>
      <c r="D68" s="86" t="s">
        <v>4</v>
      </c>
      <c r="E68" s="86" t="s">
        <v>5</v>
      </c>
    </row>
    <row r="69">
      <c r="B69" s="32" t="s">
        <v>4030</v>
      </c>
      <c r="C69" s="159" t="s">
        <v>28</v>
      </c>
      <c r="D69" s="160" t="s">
        <v>675</v>
      </c>
      <c r="E69" s="135" t="str">
        <f>HYPERLINK("https://youtu.be/DsxRdbZalFY","channel 1")</f>
        <v>channel 1</v>
      </c>
    </row>
    <row r="70">
      <c r="B70" s="87" t="s">
        <v>4071</v>
      </c>
      <c r="C70" s="112" t="s">
        <v>14</v>
      </c>
      <c r="D70" s="89" t="s">
        <v>3894</v>
      </c>
      <c r="E70" s="116" t="str">
        <f>HYPERLINK("https://youtu.be/uCxE_C6AEWA","channel 2")</f>
        <v>channel 2</v>
      </c>
    </row>
    <row r="71">
      <c r="B71" s="87" t="s">
        <v>4207</v>
      </c>
      <c r="C71" s="112" t="s">
        <v>16</v>
      </c>
      <c r="D71" s="89" t="s">
        <v>4030</v>
      </c>
      <c r="E71" s="135" t="str">
        <f>HYPERLINK("https://youtu.be/uWQDd5nQoiU","channel 1")</f>
        <v>channel 1</v>
      </c>
    </row>
    <row r="72">
      <c r="B72" s="87" t="s">
        <v>4071</v>
      </c>
      <c r="C72" s="112" t="s">
        <v>411</v>
      </c>
      <c r="D72" s="89" t="s">
        <v>675</v>
      </c>
      <c r="E72" s="116" t="str">
        <f>HYPERLINK("https://youtu.be/pa83KLB-2Hg","channel 2")</f>
        <v>channel 2</v>
      </c>
    </row>
    <row r="73">
      <c r="B73" s="87" t="s">
        <v>4207</v>
      </c>
      <c r="C73" s="112" t="s">
        <v>389</v>
      </c>
      <c r="D73" s="89" t="s">
        <v>3894</v>
      </c>
      <c r="E73" s="135" t="str">
        <f>HYPERLINK("https://youtu.be/qpikj65cz0Q","channel 1")</f>
        <v>channel 1</v>
      </c>
    </row>
    <row r="74">
      <c r="B74" s="87" t="s">
        <v>4071</v>
      </c>
      <c r="C74" s="112" t="s">
        <v>389</v>
      </c>
      <c r="D74" s="89" t="s">
        <v>4030</v>
      </c>
      <c r="E74" s="116" t="str">
        <f>HYPERLINK("https://youtu.be/FxMZBbBgXlM","channel 2")</f>
        <v>channel 2</v>
      </c>
    </row>
    <row r="75">
      <c r="B75" s="87" t="s">
        <v>4207</v>
      </c>
      <c r="C75" s="112" t="s">
        <v>19</v>
      </c>
      <c r="D75" s="89" t="s">
        <v>675</v>
      </c>
      <c r="E75" s="135" t="str">
        <f>HYPERLINK("https://youtu.be/VTUPyuCeW_U","channel 1")</f>
        <v>channel 1</v>
      </c>
    </row>
    <row r="76">
      <c r="B76" s="87" t="s">
        <v>3894</v>
      </c>
      <c r="C76" s="112" t="s">
        <v>55</v>
      </c>
      <c r="D76" s="89" t="s">
        <v>4030</v>
      </c>
      <c r="E76" s="116" t="str">
        <f>HYPERLINK("https://youtu.be/T3d3Qn-_U_0","channel 2")</f>
        <v>channel 2</v>
      </c>
    </row>
    <row r="77">
      <c r="B77" s="87" t="s">
        <v>4207</v>
      </c>
      <c r="C77" s="112" t="s">
        <v>81</v>
      </c>
      <c r="D77" s="89" t="s">
        <v>4071</v>
      </c>
      <c r="E77" s="135" t="str">
        <f>HYPERLINK("https://youtu.be/_RJOfVvhn-4","channel 1")</f>
        <v>channel 1</v>
      </c>
    </row>
    <row r="78">
      <c r="B78" s="87" t="s">
        <v>3894</v>
      </c>
      <c r="C78" s="112" t="s">
        <v>11</v>
      </c>
      <c r="D78" s="89" t="s">
        <v>675</v>
      </c>
      <c r="E78" s="116" t="str">
        <f>HYPERLINK("https://youtu.be/hyyB-g9Cbbo","channel 2")</f>
        <v>channel 2</v>
      </c>
    </row>
    <row r="79">
      <c r="B79" s="87" t="s">
        <v>675</v>
      </c>
      <c r="C79" s="112" t="s">
        <v>943</v>
      </c>
      <c r="D79" s="89" t="s">
        <v>4030</v>
      </c>
      <c r="E79" s="135" t="str">
        <f>HYPERLINK("https://youtu.be/oHM_kXIlqZ4","channel 1")</f>
        <v>channel 1</v>
      </c>
    </row>
    <row r="80">
      <c r="B80" s="87" t="s">
        <v>3894</v>
      </c>
      <c r="C80" s="112" t="s">
        <v>62</v>
      </c>
      <c r="D80" s="89" t="s">
        <v>4071</v>
      </c>
      <c r="E80" s="116" t="str">
        <f>HYPERLINK("https://youtu.be/peg7GW2vf9c","channel 2")</f>
        <v>channel 2</v>
      </c>
    </row>
    <row r="81">
      <c r="B81" s="87" t="s">
        <v>4030</v>
      </c>
      <c r="C81" s="112" t="s">
        <v>250</v>
      </c>
      <c r="D81" s="89" t="s">
        <v>4207</v>
      </c>
      <c r="E81" s="135" t="str">
        <f>HYPERLINK("https://youtu.be/szsWQViD2ts","channel 1")</f>
        <v>channel 1</v>
      </c>
    </row>
    <row r="82">
      <c r="B82" s="87" t="s">
        <v>675</v>
      </c>
      <c r="C82" s="112" t="s">
        <v>88</v>
      </c>
      <c r="D82" s="89" t="s">
        <v>4071</v>
      </c>
      <c r="E82" s="116" t="str">
        <f>HYPERLINK("https://youtu.be/6Vf02H9-Pmc","channel 2")</f>
        <v>channel 2</v>
      </c>
    </row>
    <row r="83">
      <c r="B83" s="87" t="s">
        <v>3894</v>
      </c>
      <c r="C83" s="112" t="s">
        <v>22</v>
      </c>
      <c r="D83" s="89" t="s">
        <v>4207</v>
      </c>
      <c r="E83" s="135" t="str">
        <f>HYPERLINK("https://youtu.be/4eX7PuhoJlY","channel 1")</f>
        <v>channel 1</v>
      </c>
    </row>
    <row r="84">
      <c r="B84" s="87" t="s">
        <v>4030</v>
      </c>
      <c r="C84" s="112" t="s">
        <v>380</v>
      </c>
      <c r="D84" s="89" t="s">
        <v>4071</v>
      </c>
      <c r="E84" s="116" t="str">
        <f>HYPERLINK("https://youtu.be/NiPq1C6I1Qk","channel 2")</f>
        <v>channel 2</v>
      </c>
    </row>
    <row r="85">
      <c r="B85" s="87" t="s">
        <v>675</v>
      </c>
      <c r="C85" s="112" t="s">
        <v>43</v>
      </c>
      <c r="D85" s="89" t="s">
        <v>4207</v>
      </c>
      <c r="E85" s="135" t="str">
        <f>HYPERLINK("https://youtu.be/BC17bdM-fj0","channel 1")</f>
        <v>channel 1</v>
      </c>
    </row>
    <row r="86">
      <c r="B86" s="87" t="s">
        <v>4030</v>
      </c>
      <c r="C86" s="112" t="s">
        <v>28</v>
      </c>
      <c r="D86" s="89" t="s">
        <v>3894</v>
      </c>
      <c r="E86" s="116" t="str">
        <f>HYPERLINK("https://youtu.be/kEOxZWJQH9c","channel 2")</f>
        <v>channel 2</v>
      </c>
    </row>
    <row r="87">
      <c r="B87" s="87" t="s">
        <v>4071</v>
      </c>
      <c r="C87" s="112" t="s">
        <v>684</v>
      </c>
      <c r="D87" s="89" t="s">
        <v>4207</v>
      </c>
      <c r="E87" s="135" t="str">
        <f>HYPERLINK("https://youtu.be/qpKr9hA8epw","channel 1")</f>
        <v>channel 1</v>
      </c>
    </row>
    <row r="88">
      <c r="B88" s="87" t="s">
        <v>675</v>
      </c>
      <c r="C88" s="112" t="s">
        <v>282</v>
      </c>
      <c r="D88" s="89" t="s">
        <v>3894</v>
      </c>
      <c r="E88" s="116" t="str">
        <f>HYPERLINK("https://youtu.be/2Dki-xAZMSM","channel 2")</f>
        <v>channel 2</v>
      </c>
    </row>
    <row r="89">
      <c r="B89" s="148"/>
      <c r="C89" s="148"/>
      <c r="D89" s="148"/>
      <c r="E89" s="149"/>
    </row>
    <row r="90">
      <c r="B90" s="148"/>
      <c r="C90" s="148"/>
      <c r="D90" s="148"/>
      <c r="E90" s="149"/>
    </row>
    <row r="91">
      <c r="B91" s="148"/>
      <c r="C91" s="148"/>
      <c r="D91" s="148"/>
      <c r="E91" s="149"/>
    </row>
    <row r="92">
      <c r="B92" s="148"/>
      <c r="C92" s="148"/>
      <c r="D92" s="148"/>
      <c r="E92" s="149"/>
    </row>
    <row r="93">
      <c r="B93" s="148"/>
      <c r="C93" s="148"/>
      <c r="D93" s="148"/>
      <c r="E93" s="149"/>
    </row>
    <row r="94">
      <c r="B94" s="148"/>
      <c r="C94" s="148"/>
      <c r="D94" s="148"/>
      <c r="E94" s="149"/>
    </row>
    <row r="95">
      <c r="B95" s="148"/>
      <c r="C95" s="148"/>
      <c r="D95" s="148"/>
      <c r="E95" s="149"/>
    </row>
    <row r="96">
      <c r="B96" s="148"/>
      <c r="C96" s="148"/>
      <c r="D96" s="148"/>
      <c r="E96" s="149"/>
    </row>
    <row r="97">
      <c r="B97" s="148"/>
      <c r="C97" s="148"/>
      <c r="D97" s="148"/>
      <c r="E97" s="149"/>
    </row>
    <row r="98">
      <c r="B98" s="148"/>
      <c r="C98" s="148"/>
      <c r="D98" s="148"/>
      <c r="E98" s="149"/>
    </row>
    <row r="99">
      <c r="B99" s="148"/>
      <c r="C99" s="148"/>
      <c r="D99" s="148"/>
      <c r="E99" s="149"/>
    </row>
    <row r="100">
      <c r="B100" s="148"/>
      <c r="C100" s="148"/>
      <c r="D100" s="148"/>
      <c r="E100" s="149"/>
    </row>
    <row r="101">
      <c r="B101" s="148"/>
      <c r="C101" s="148"/>
      <c r="D101" s="148"/>
      <c r="E101" s="149"/>
    </row>
    <row r="102">
      <c r="B102" s="148"/>
      <c r="C102" s="148"/>
      <c r="D102" s="148"/>
      <c r="E102" s="149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62" t="s">
        <v>4208</v>
      </c>
      <c r="C1" s="151"/>
      <c r="D1" s="152"/>
      <c r="E1" s="163"/>
    </row>
    <row r="2">
      <c r="B2" s="153" t="s">
        <v>2</v>
      </c>
      <c r="C2" s="86" t="s">
        <v>3</v>
      </c>
      <c r="D2" s="154" t="s">
        <v>4</v>
      </c>
      <c r="E2" s="154" t="s">
        <v>5</v>
      </c>
    </row>
    <row r="3">
      <c r="B3" s="8" t="s">
        <v>3839</v>
      </c>
      <c r="C3" s="159" t="s">
        <v>196</v>
      </c>
      <c r="D3" s="8" t="s">
        <v>1561</v>
      </c>
      <c r="E3" s="11" t="str">
        <f>HYPERLINK("https://youtu.be/zY4h6ZGeac4","channel 1")</f>
        <v>channel 1</v>
      </c>
    </row>
    <row r="4">
      <c r="B4" s="100" t="s">
        <v>3755</v>
      </c>
      <c r="C4" s="112" t="s">
        <v>534</v>
      </c>
      <c r="D4" s="100" t="s">
        <v>1660</v>
      </c>
      <c r="E4" s="11" t="str">
        <f>HYPERLINK("https://youtu.be/q945mtqwzGU","channel 2")</f>
        <v>channel 2</v>
      </c>
    </row>
    <row r="5">
      <c r="B5" s="100" t="s">
        <v>3626</v>
      </c>
      <c r="C5" s="112" t="s">
        <v>78</v>
      </c>
      <c r="D5" s="100" t="s">
        <v>3839</v>
      </c>
      <c r="E5" s="11" t="str">
        <f>HYPERLINK("https://youtu.be/oRptKGnA91g","channel 1")</f>
        <v>channel 1</v>
      </c>
    </row>
    <row r="6">
      <c r="B6" s="100" t="s">
        <v>3755</v>
      </c>
      <c r="C6" s="112" t="s">
        <v>17</v>
      </c>
      <c r="D6" s="100" t="s">
        <v>1561</v>
      </c>
      <c r="E6" s="11" t="str">
        <f>HYPERLINK("https://youtu.be/2RcU7RHKx8Y","channel 2")</f>
        <v>channel 2</v>
      </c>
    </row>
    <row r="7">
      <c r="B7" s="100" t="s">
        <v>3626</v>
      </c>
      <c r="C7" s="112" t="s">
        <v>285</v>
      </c>
      <c r="D7" s="100" t="s">
        <v>1660</v>
      </c>
      <c r="E7" s="11" t="str">
        <f>HYPERLINK("https://youtu.be/3uECzRmebnY","channel 1")</f>
        <v>channel 1</v>
      </c>
    </row>
    <row r="8">
      <c r="B8" s="100" t="s">
        <v>3755</v>
      </c>
      <c r="C8" s="112" t="s">
        <v>411</v>
      </c>
      <c r="D8" s="100" t="s">
        <v>3839</v>
      </c>
      <c r="E8" s="11" t="str">
        <f>HYPERLINK("https://youtu.be/QMmH1T4Le2Y","channel 2")</f>
        <v>channel 2</v>
      </c>
    </row>
    <row r="9">
      <c r="B9" s="100" t="s">
        <v>3626</v>
      </c>
      <c r="C9" s="112" t="s">
        <v>259</v>
      </c>
      <c r="D9" s="100" t="s">
        <v>1561</v>
      </c>
      <c r="E9" s="11" t="str">
        <f>HYPERLINK("https://youtu.be/9DDgOSHU9kA","channel 1")</f>
        <v>channel 1</v>
      </c>
    </row>
    <row r="10">
      <c r="B10" s="100" t="s">
        <v>1660</v>
      </c>
      <c r="C10" s="112" t="s">
        <v>83</v>
      </c>
      <c r="D10" s="100" t="s">
        <v>3839</v>
      </c>
      <c r="E10" s="11" t="str">
        <f>HYPERLINK("https://youtu.be/jYH8ucH-xvY","channel 2")</f>
        <v>channel 2</v>
      </c>
    </row>
    <row r="11">
      <c r="B11" s="100" t="s">
        <v>3626</v>
      </c>
      <c r="C11" s="112" t="s">
        <v>25</v>
      </c>
      <c r="D11" s="100" t="s">
        <v>3755</v>
      </c>
      <c r="E11" s="11" t="str">
        <f>HYPERLINK("https://youtu.be/BrF0phD-qq8","channel 1")</f>
        <v>channel 1</v>
      </c>
    </row>
    <row r="12">
      <c r="B12" s="100" t="s">
        <v>1660</v>
      </c>
      <c r="C12" s="112" t="s">
        <v>472</v>
      </c>
      <c r="D12" s="100" t="s">
        <v>1561</v>
      </c>
      <c r="E12" s="11" t="str">
        <f>HYPERLINK("https://youtu.be/JSNBXgYtPgM","channel 2")</f>
        <v>channel 2</v>
      </c>
    </row>
    <row r="13">
      <c r="B13" s="100" t="s">
        <v>1561</v>
      </c>
      <c r="C13" s="112" t="s">
        <v>58</v>
      </c>
      <c r="D13" s="100" t="s">
        <v>3839</v>
      </c>
      <c r="E13" s="11" t="str">
        <f>HYPERLINK("https://youtu.be/tvGlKdQBK0M","channel 1")</f>
        <v>channel 1</v>
      </c>
    </row>
    <row r="14">
      <c r="B14" s="100" t="s">
        <v>1660</v>
      </c>
      <c r="C14" s="112" t="s">
        <v>286</v>
      </c>
      <c r="D14" s="100" t="s">
        <v>3755</v>
      </c>
      <c r="E14" s="11" t="str">
        <f>HYPERLINK("https://youtu.be/IQm8tJhd6UM","channel 2")</f>
        <v>channel 2</v>
      </c>
    </row>
    <row r="15">
      <c r="B15" s="100" t="s">
        <v>3839</v>
      </c>
      <c r="C15" s="112" t="s">
        <v>291</v>
      </c>
      <c r="D15" s="100" t="s">
        <v>3626</v>
      </c>
      <c r="E15" s="11" t="str">
        <f>HYPERLINK("https://youtu.be/iud33tUp9_w","channel 1")</f>
        <v>channel 1</v>
      </c>
    </row>
    <row r="16">
      <c r="B16" s="100" t="s">
        <v>1561</v>
      </c>
      <c r="C16" s="112" t="s">
        <v>196</v>
      </c>
      <c r="D16" s="100" t="s">
        <v>3755</v>
      </c>
      <c r="E16" s="11" t="str">
        <f>HYPERLINK("https://youtu.be/k5jkyzk6V-M","channel 2")</f>
        <v>channel 2</v>
      </c>
    </row>
    <row r="17">
      <c r="B17" s="100" t="s">
        <v>1660</v>
      </c>
      <c r="C17" s="112" t="s">
        <v>21</v>
      </c>
      <c r="D17" s="100" t="s">
        <v>3626</v>
      </c>
      <c r="E17" s="11" t="str">
        <f>HYPERLINK("https://youtu.be/H3XTrBw29dU","channel 1")</f>
        <v>channel 1</v>
      </c>
    </row>
    <row r="18">
      <c r="B18" s="100" t="s">
        <v>3839</v>
      </c>
      <c r="C18" s="112" t="s">
        <v>857</v>
      </c>
      <c r="D18" s="100" t="s">
        <v>3755</v>
      </c>
      <c r="E18" s="11" t="str">
        <f>HYPERLINK("https://youtu.be/n9wa1V2bqyQ","channel 2")</f>
        <v>channel 2</v>
      </c>
    </row>
    <row r="19">
      <c r="B19" s="100" t="s">
        <v>1561</v>
      </c>
      <c r="C19" s="112" t="s">
        <v>243</v>
      </c>
      <c r="D19" s="100" t="s">
        <v>3626</v>
      </c>
      <c r="E19" s="11" t="str">
        <f>HYPERLINK("https://youtu.be/JYqwz75tqOs","channel 1")</f>
        <v>channel 1</v>
      </c>
    </row>
    <row r="20">
      <c r="B20" s="100" t="s">
        <v>3839</v>
      </c>
      <c r="C20" s="112" t="s">
        <v>240</v>
      </c>
      <c r="D20" s="100" t="s">
        <v>1660</v>
      </c>
      <c r="E20" s="11" t="str">
        <f>HYPERLINK("https://youtu.be/gbT4SgL7c_o","channel 2")</f>
        <v>channel 2</v>
      </c>
    </row>
    <row r="21">
      <c r="B21" s="100" t="s">
        <v>3755</v>
      </c>
      <c r="C21" s="112" t="s">
        <v>38</v>
      </c>
      <c r="D21" s="100" t="s">
        <v>3626</v>
      </c>
      <c r="E21" s="11" t="str">
        <f>HYPERLINK("https://youtu.be/cB1Mgie10NE","channel 1")</f>
        <v>channel 1</v>
      </c>
    </row>
    <row r="22">
      <c r="B22" s="100" t="s">
        <v>1561</v>
      </c>
      <c r="C22" s="112" t="s">
        <v>258</v>
      </c>
      <c r="D22" s="100" t="s">
        <v>1660</v>
      </c>
      <c r="E22" s="11" t="str">
        <f>HYPERLINK("https://youtu.be/a4YW_H9fUaA","channel 2")</f>
        <v>channel 2</v>
      </c>
    </row>
    <row r="23">
      <c r="B23" s="150" t="s">
        <v>2640</v>
      </c>
      <c r="C23" s="151"/>
      <c r="D23" s="152"/>
      <c r="E23" s="95"/>
    </row>
    <row r="24">
      <c r="B24" s="153" t="s">
        <v>2</v>
      </c>
      <c r="C24" s="86" t="s">
        <v>3</v>
      </c>
      <c r="D24" s="154" t="s">
        <v>4</v>
      </c>
      <c r="E24" s="154" t="s">
        <v>5</v>
      </c>
    </row>
    <row r="25">
      <c r="B25" s="8" t="s">
        <v>4209</v>
      </c>
      <c r="C25" s="112" t="s">
        <v>472</v>
      </c>
      <c r="D25" s="8" t="s">
        <v>923</v>
      </c>
      <c r="E25" s="11" t="str">
        <f>HYPERLINK("https://youtu.be/sOewNgzYvd4","channel 1")</f>
        <v>channel 1</v>
      </c>
    </row>
    <row r="26">
      <c r="B26" s="100" t="s">
        <v>4148</v>
      </c>
      <c r="C26" s="112" t="s">
        <v>362</v>
      </c>
      <c r="D26" s="100" t="s">
        <v>4210</v>
      </c>
      <c r="E26" s="11" t="str">
        <f>HYPERLINK("https://youtu.be/bVbjSIhijtY","channel 2")</f>
        <v>channel 2</v>
      </c>
    </row>
    <row r="27">
      <c r="B27" s="100" t="s">
        <v>4211</v>
      </c>
      <c r="C27" s="112" t="s">
        <v>984</v>
      </c>
      <c r="D27" s="100" t="s">
        <v>4209</v>
      </c>
      <c r="E27" s="11" t="str">
        <f>HYPERLINK("https://youtu.be/97Mkrnw3jXM","channel 1")</f>
        <v>channel 1</v>
      </c>
    </row>
    <row r="28">
      <c r="B28" s="100" t="s">
        <v>4148</v>
      </c>
      <c r="C28" s="112" t="s">
        <v>19</v>
      </c>
      <c r="D28" s="100" t="s">
        <v>923</v>
      </c>
      <c r="E28" s="11" t="str">
        <f>HYPERLINK("https://youtu.be/U2as3roJ_3I","channel 2")</f>
        <v>channel 2</v>
      </c>
    </row>
    <row r="29">
      <c r="B29" s="100" t="s">
        <v>4211</v>
      </c>
      <c r="C29" s="112" t="s">
        <v>22</v>
      </c>
      <c r="D29" s="100" t="s">
        <v>4210</v>
      </c>
      <c r="E29" s="11" t="str">
        <f>HYPERLINK("https://youtu.be/66B_S4a6XPU","channel 1")</f>
        <v>channel 1</v>
      </c>
    </row>
    <row r="30">
      <c r="B30" s="100" t="s">
        <v>4148</v>
      </c>
      <c r="C30" s="112" t="s">
        <v>67</v>
      </c>
      <c r="D30" s="100" t="s">
        <v>4209</v>
      </c>
      <c r="E30" s="11" t="str">
        <f>HYPERLINK("https://youtu.be/h46gg352pZE","channel 2")</f>
        <v>channel 2</v>
      </c>
    </row>
    <row r="31">
      <c r="B31" s="100" t="s">
        <v>4211</v>
      </c>
      <c r="C31" s="112" t="s">
        <v>43</v>
      </c>
      <c r="D31" s="100" t="s">
        <v>923</v>
      </c>
      <c r="E31" s="11" t="str">
        <f>HYPERLINK("https://youtu.be/7Q3RtvanmNc","channel 1")</f>
        <v>channel 1</v>
      </c>
    </row>
    <row r="32">
      <c r="B32" s="100" t="s">
        <v>4210</v>
      </c>
      <c r="C32" s="53" t="s">
        <v>41</v>
      </c>
      <c r="D32" s="100" t="s">
        <v>4209</v>
      </c>
      <c r="E32" s="11" t="str">
        <f>HYPERLINK("https://youtu.be/PytnjBsoizI","channel 2")</f>
        <v>channel 2</v>
      </c>
    </row>
    <row r="33">
      <c r="B33" s="100" t="s">
        <v>4211</v>
      </c>
      <c r="C33" s="112" t="s">
        <v>196</v>
      </c>
      <c r="D33" s="100" t="s">
        <v>4148</v>
      </c>
      <c r="E33" s="11" t="str">
        <f>HYPERLINK("https://youtu.be/xbJeAZaEL3Q","channel 1")</f>
        <v>channel 1</v>
      </c>
    </row>
    <row r="34">
      <c r="B34" s="100" t="s">
        <v>4210</v>
      </c>
      <c r="C34" s="112" t="s">
        <v>66</v>
      </c>
      <c r="D34" s="100" t="s">
        <v>923</v>
      </c>
      <c r="E34" s="11" t="str">
        <f>HYPERLINK("https://youtu.be/MvIKfsl688E","channel 2")</f>
        <v>channel 2</v>
      </c>
    </row>
    <row r="35">
      <c r="B35" s="100" t="s">
        <v>923</v>
      </c>
      <c r="C35" s="112" t="s">
        <v>270</v>
      </c>
      <c r="D35" s="100" t="s">
        <v>4209</v>
      </c>
      <c r="E35" s="11" t="str">
        <f>HYPERLINK("https://youtu.be/KpMcYqaZEd8","channel 1")</f>
        <v>channel 1</v>
      </c>
    </row>
    <row r="36">
      <c r="B36" s="100" t="s">
        <v>4210</v>
      </c>
      <c r="C36" s="112" t="s">
        <v>87</v>
      </c>
      <c r="D36" s="100" t="s">
        <v>4148</v>
      </c>
      <c r="E36" s="11" t="str">
        <f>HYPERLINK("https://youtu.be/C5oMYiEcDiE","channel 2")</f>
        <v>channel 2</v>
      </c>
    </row>
    <row r="37">
      <c r="B37" s="100" t="s">
        <v>4209</v>
      </c>
      <c r="C37" s="112" t="s">
        <v>41</v>
      </c>
      <c r="D37" s="100" t="s">
        <v>4211</v>
      </c>
      <c r="E37" s="11" t="str">
        <f>HYPERLINK("https://youtu.be/KpMcYqaZEd8","channel 1")</f>
        <v>channel 1</v>
      </c>
    </row>
    <row r="38">
      <c r="B38" s="100" t="s">
        <v>923</v>
      </c>
      <c r="C38" s="112" t="s">
        <v>244</v>
      </c>
      <c r="D38" s="100" t="s">
        <v>4148</v>
      </c>
      <c r="E38" s="11" t="str">
        <f>HYPERLINK("https://youtu.be/b_lzAd_KUBo","channel 2")</f>
        <v>channel 2</v>
      </c>
    </row>
    <row r="39">
      <c r="B39" s="100" t="s">
        <v>4210</v>
      </c>
      <c r="C39" s="112" t="s">
        <v>201</v>
      </c>
      <c r="D39" s="100" t="s">
        <v>4211</v>
      </c>
      <c r="E39" s="11" t="str">
        <f>HYPERLINK("https://youtu.be/YUwzo-j-EOA","channel 1")</f>
        <v>channel 1</v>
      </c>
    </row>
    <row r="40">
      <c r="B40" s="100" t="s">
        <v>4209</v>
      </c>
      <c r="C40" s="112" t="s">
        <v>1031</v>
      </c>
      <c r="D40" s="100" t="s">
        <v>4148</v>
      </c>
      <c r="E40" s="11" t="str">
        <f>HYPERLINK("https://youtu.be/88X-0BYaeVo","channel 2")</f>
        <v>channel 2</v>
      </c>
    </row>
    <row r="41">
      <c r="B41" s="100" t="s">
        <v>923</v>
      </c>
      <c r="C41" s="112" t="s">
        <v>21</v>
      </c>
      <c r="D41" s="100" t="s">
        <v>4211</v>
      </c>
      <c r="E41" s="11" t="str">
        <f>HYPERLINK("https://youtu.be/yRK84FJi96k","channel 1")</f>
        <v>channel 1</v>
      </c>
    </row>
    <row r="42">
      <c r="B42" s="100" t="s">
        <v>4209</v>
      </c>
      <c r="C42" s="112" t="s">
        <v>276</v>
      </c>
      <c r="D42" s="100" t="s">
        <v>4210</v>
      </c>
      <c r="E42" s="11" t="str">
        <f>HYPERLINK("https://youtu.be/YFeegw0Yw-I","channel 2")</f>
        <v>channel 2</v>
      </c>
    </row>
    <row r="43">
      <c r="B43" s="100" t="s">
        <v>4148</v>
      </c>
      <c r="C43" s="112" t="s">
        <v>87</v>
      </c>
      <c r="D43" s="100" t="s">
        <v>4211</v>
      </c>
      <c r="E43" s="11" t="str">
        <f>HYPERLINK("https://youtu.be/6kNgcj5U1DI","channel 1")</f>
        <v>channel 1</v>
      </c>
    </row>
    <row r="44">
      <c r="B44" s="100" t="s">
        <v>923</v>
      </c>
      <c r="C44" s="112" t="s">
        <v>195</v>
      </c>
      <c r="D44" s="100" t="s">
        <v>4210</v>
      </c>
      <c r="E44" s="11" t="str">
        <f>HYPERLINK("https://youtu.be/og-F0rdY9vA","channel 2")</f>
        <v>channel 2</v>
      </c>
    </row>
    <row r="45">
      <c r="B45" s="149"/>
      <c r="C45" s="149"/>
      <c r="D45" s="149"/>
      <c r="E45" s="149"/>
    </row>
    <row r="46">
      <c r="B46" s="149"/>
      <c r="C46" s="149"/>
      <c r="D46" s="149"/>
      <c r="E46" s="149"/>
    </row>
    <row r="47">
      <c r="B47" s="149"/>
      <c r="C47" s="149"/>
      <c r="D47" s="149"/>
      <c r="E47" s="149"/>
    </row>
    <row r="48">
      <c r="B48" s="149"/>
      <c r="C48" s="149"/>
      <c r="D48" s="149"/>
      <c r="E48" s="149"/>
    </row>
    <row r="49">
      <c r="B49" s="149"/>
      <c r="C49" s="149"/>
      <c r="D49" s="149"/>
      <c r="E49" s="149"/>
    </row>
    <row r="50">
      <c r="B50" s="149"/>
      <c r="C50" s="149"/>
      <c r="D50" s="149"/>
      <c r="E50" s="149"/>
    </row>
    <row r="51">
      <c r="B51" s="149"/>
      <c r="C51" s="149"/>
      <c r="D51" s="149"/>
      <c r="E51" s="149"/>
    </row>
    <row r="52">
      <c r="B52" s="149"/>
      <c r="C52" s="149"/>
      <c r="D52" s="149"/>
      <c r="E52" s="149"/>
    </row>
    <row r="53">
      <c r="B53" s="149"/>
      <c r="C53" s="149"/>
      <c r="D53" s="149"/>
      <c r="E53" s="149"/>
    </row>
    <row r="54">
      <c r="B54" s="149"/>
      <c r="C54" s="149"/>
      <c r="D54" s="149"/>
      <c r="E54" s="149"/>
    </row>
    <row r="55">
      <c r="B55" s="149"/>
      <c r="C55" s="149"/>
      <c r="D55" s="149"/>
      <c r="E55" s="149"/>
    </row>
    <row r="56">
      <c r="B56" s="149"/>
      <c r="C56" s="149"/>
      <c r="D56" s="149"/>
      <c r="E56" s="149"/>
    </row>
    <row r="57">
      <c r="B57" s="149"/>
      <c r="C57" s="149"/>
      <c r="D57" s="149"/>
      <c r="E57" s="149"/>
    </row>
    <row r="58">
      <c r="B58" s="149"/>
      <c r="C58" s="149"/>
      <c r="D58" s="149"/>
      <c r="E58" s="149"/>
    </row>
    <row r="59">
      <c r="B59" s="149"/>
      <c r="C59" s="149"/>
      <c r="D59" s="149"/>
      <c r="E59" s="149"/>
    </row>
    <row r="60">
      <c r="B60" s="149"/>
      <c r="C60" s="149"/>
      <c r="D60" s="149"/>
      <c r="E60" s="149"/>
    </row>
    <row r="61">
      <c r="B61" s="149"/>
      <c r="C61" s="149"/>
      <c r="D61" s="149"/>
      <c r="E61" s="149"/>
    </row>
    <row r="62">
      <c r="B62" s="149"/>
      <c r="C62" s="149"/>
      <c r="D62" s="149"/>
      <c r="E62" s="149"/>
    </row>
    <row r="63">
      <c r="B63" s="149"/>
      <c r="C63" s="149"/>
      <c r="D63" s="149"/>
      <c r="E63" s="149"/>
    </row>
    <row r="64">
      <c r="B64" s="149"/>
      <c r="C64" s="149"/>
      <c r="D64" s="149"/>
      <c r="E64" s="149"/>
    </row>
    <row r="65">
      <c r="B65" s="149"/>
      <c r="C65" s="149"/>
      <c r="D65" s="149"/>
      <c r="E65" s="149"/>
    </row>
    <row r="66">
      <c r="B66" s="149"/>
      <c r="C66" s="149"/>
      <c r="D66" s="149"/>
      <c r="E66" s="149"/>
    </row>
    <row r="67">
      <c r="B67" s="149"/>
      <c r="C67" s="149"/>
      <c r="D67" s="149"/>
      <c r="E67" s="149"/>
    </row>
    <row r="68">
      <c r="B68" s="149"/>
      <c r="C68" s="149"/>
      <c r="D68" s="149"/>
      <c r="E68" s="149"/>
    </row>
    <row r="69">
      <c r="B69" s="149"/>
      <c r="C69" s="149"/>
      <c r="D69" s="149"/>
      <c r="E69" s="149"/>
    </row>
    <row r="70">
      <c r="B70" s="149"/>
      <c r="C70" s="149"/>
      <c r="D70" s="149"/>
      <c r="E70" s="149"/>
    </row>
    <row r="71">
      <c r="B71" s="149"/>
      <c r="C71" s="149"/>
      <c r="D71" s="149"/>
      <c r="E71" s="149"/>
    </row>
    <row r="72">
      <c r="B72" s="149"/>
      <c r="C72" s="149"/>
      <c r="D72" s="149"/>
      <c r="E72" s="149"/>
    </row>
    <row r="73">
      <c r="B73" s="149"/>
      <c r="C73" s="149"/>
      <c r="D73" s="149"/>
      <c r="E73" s="149"/>
    </row>
    <row r="74">
      <c r="B74" s="149"/>
      <c r="C74" s="149"/>
      <c r="D74" s="149"/>
      <c r="E74" s="149"/>
    </row>
    <row r="75">
      <c r="B75" s="149"/>
      <c r="C75" s="149"/>
      <c r="D75" s="149"/>
      <c r="E75" s="149"/>
    </row>
    <row r="76">
      <c r="B76" s="149"/>
      <c r="C76" s="149"/>
      <c r="D76" s="149"/>
      <c r="E76" s="149"/>
    </row>
    <row r="77">
      <c r="B77" s="149"/>
      <c r="C77" s="149"/>
      <c r="D77" s="149"/>
      <c r="E77" s="149"/>
    </row>
    <row r="78">
      <c r="B78" s="149"/>
      <c r="C78" s="149"/>
      <c r="D78" s="149"/>
      <c r="E78" s="149"/>
    </row>
    <row r="79">
      <c r="B79" s="149"/>
      <c r="C79" s="149"/>
      <c r="D79" s="149"/>
      <c r="E79" s="149"/>
    </row>
    <row r="80">
      <c r="B80" s="149"/>
      <c r="C80" s="149"/>
      <c r="D80" s="149"/>
      <c r="E80" s="149"/>
    </row>
    <row r="81">
      <c r="B81" s="149"/>
      <c r="C81" s="149"/>
      <c r="D81" s="149"/>
      <c r="E81" s="149"/>
    </row>
    <row r="82">
      <c r="B82" s="149"/>
      <c r="C82" s="149"/>
      <c r="D82" s="149"/>
      <c r="E82" s="149"/>
    </row>
    <row r="83">
      <c r="B83" s="149"/>
      <c r="C83" s="149"/>
      <c r="D83" s="149"/>
      <c r="E83" s="149"/>
    </row>
    <row r="84">
      <c r="B84" s="149"/>
      <c r="C84" s="149"/>
      <c r="D84" s="149"/>
      <c r="E84" s="149"/>
    </row>
    <row r="85">
      <c r="B85" s="149"/>
      <c r="C85" s="149"/>
      <c r="D85" s="149"/>
      <c r="E85" s="149"/>
    </row>
    <row r="86">
      <c r="B86" s="149"/>
      <c r="C86" s="149"/>
      <c r="D86" s="149"/>
      <c r="E86" s="149"/>
    </row>
    <row r="87">
      <c r="B87" s="149"/>
      <c r="C87" s="149"/>
      <c r="D87" s="149"/>
      <c r="E87" s="149"/>
    </row>
    <row r="88">
      <c r="B88" s="149"/>
      <c r="C88" s="149"/>
      <c r="D88" s="149"/>
      <c r="E88" s="149"/>
    </row>
    <row r="89">
      <c r="B89" s="149"/>
      <c r="C89" s="149"/>
      <c r="D89" s="149"/>
      <c r="E89" s="149"/>
    </row>
    <row r="90">
      <c r="B90" s="149"/>
      <c r="C90" s="149"/>
      <c r="D90" s="149"/>
      <c r="E90" s="149"/>
    </row>
    <row r="91">
      <c r="B91" s="149"/>
      <c r="C91" s="149"/>
      <c r="D91" s="149"/>
      <c r="E91" s="149"/>
    </row>
    <row r="92">
      <c r="B92" s="149"/>
      <c r="C92" s="149"/>
      <c r="D92" s="149"/>
      <c r="E92" s="149"/>
    </row>
    <row r="93">
      <c r="B93" s="149"/>
      <c r="C93" s="149"/>
      <c r="D93" s="149"/>
      <c r="E93" s="149"/>
    </row>
    <row r="94">
      <c r="B94" s="149"/>
      <c r="C94" s="149"/>
      <c r="D94" s="149"/>
      <c r="E94" s="149"/>
    </row>
    <row r="95">
      <c r="B95" s="149"/>
      <c r="C95" s="149"/>
      <c r="D95" s="149"/>
      <c r="E95" s="149"/>
    </row>
    <row r="96">
      <c r="B96" s="149"/>
      <c r="C96" s="149"/>
      <c r="D96" s="149"/>
      <c r="E96" s="149"/>
    </row>
    <row r="97">
      <c r="B97" s="149"/>
      <c r="C97" s="149"/>
      <c r="D97" s="149"/>
      <c r="E97" s="149"/>
    </row>
    <row r="98">
      <c r="B98" s="149"/>
      <c r="C98" s="149"/>
      <c r="D98" s="149"/>
      <c r="E98" s="149"/>
    </row>
    <row r="99">
      <c r="B99" s="149"/>
      <c r="C99" s="149"/>
      <c r="D99" s="149"/>
      <c r="E99" s="149"/>
    </row>
    <row r="100">
      <c r="B100" s="149"/>
      <c r="C100" s="149"/>
      <c r="D100" s="149"/>
      <c r="E100" s="149"/>
    </row>
    <row r="101">
      <c r="B101" s="149"/>
      <c r="C101" s="149"/>
      <c r="D101" s="149"/>
      <c r="E101" s="149"/>
    </row>
    <row r="102">
      <c r="B102" s="149"/>
      <c r="C102" s="149"/>
      <c r="D102" s="149"/>
      <c r="E102" s="149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3">
    <mergeCell ref="A1:A88"/>
    <mergeCell ref="B1:D1"/>
    <mergeCell ref="B23:D23"/>
  </mergeCells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64"/>
      <c r="C1" s="165" t="s">
        <v>4212</v>
      </c>
      <c r="D1" s="165"/>
      <c r="E1" s="163"/>
    </row>
    <row r="2">
      <c r="B2" s="153" t="s">
        <v>2</v>
      </c>
      <c r="C2" s="86" t="s">
        <v>3</v>
      </c>
      <c r="D2" s="154" t="s">
        <v>4</v>
      </c>
      <c r="E2" s="154" t="s">
        <v>5</v>
      </c>
    </row>
    <row r="3">
      <c r="B3" s="8" t="s">
        <v>4069</v>
      </c>
      <c r="C3" s="159" t="s">
        <v>38</v>
      </c>
      <c r="D3" s="8" t="s">
        <v>3474</v>
      </c>
      <c r="E3" s="11" t="str">
        <f>HYPERLINK("https://youtu.be/NlNDbBoZYOc","channel 1")</f>
        <v>channel 1</v>
      </c>
    </row>
    <row r="4">
      <c r="B4" s="100" t="s">
        <v>3540</v>
      </c>
      <c r="C4" s="112" t="s">
        <v>20</v>
      </c>
      <c r="D4" s="100" t="s">
        <v>3755</v>
      </c>
      <c r="E4" s="11" t="str">
        <f>HYPERLINK("https://youtu.be/anaF3UsX4nE","channel 2")</f>
        <v>channel 2</v>
      </c>
    </row>
    <row r="5">
      <c r="B5" s="100" t="s">
        <v>2156</v>
      </c>
      <c r="C5" s="112" t="s">
        <v>23</v>
      </c>
      <c r="D5" s="100" t="s">
        <v>4069</v>
      </c>
      <c r="E5" s="102" t="s">
        <v>9</v>
      </c>
    </row>
    <row r="6">
      <c r="B6" s="100" t="s">
        <v>3540</v>
      </c>
      <c r="C6" s="112" t="s">
        <v>11</v>
      </c>
      <c r="D6" s="100" t="s">
        <v>3474</v>
      </c>
      <c r="E6" s="11" t="str">
        <f>HYPERLINK("https://youtu.be/mq9bsOq4O1c","channel 2")</f>
        <v>channel 2</v>
      </c>
    </row>
    <row r="7">
      <c r="B7" s="100" t="s">
        <v>2156</v>
      </c>
      <c r="C7" s="112" t="s">
        <v>329</v>
      </c>
      <c r="D7" s="100" t="s">
        <v>3755</v>
      </c>
      <c r="E7" s="11" t="str">
        <f>HYPERLINK("https://youtu.be/I0qpRbx7f60","channel 1")</f>
        <v>channel 1</v>
      </c>
    </row>
    <row r="8">
      <c r="B8" s="100" t="s">
        <v>3540</v>
      </c>
      <c r="C8" s="112" t="s">
        <v>953</v>
      </c>
      <c r="D8" s="100" t="s">
        <v>4069</v>
      </c>
      <c r="E8" s="11" t="str">
        <f>HYPERLINK("https://youtu.be/beDaHiZJcyA","channel 2")</f>
        <v>channel 2</v>
      </c>
    </row>
    <row r="9">
      <c r="B9" s="100" t="s">
        <v>2156</v>
      </c>
      <c r="C9" s="112" t="s">
        <v>289</v>
      </c>
      <c r="D9" s="100" t="s">
        <v>3474</v>
      </c>
      <c r="E9" s="11" t="str">
        <f>HYPERLINK("https://youtu.be/0qq8tB2lJcE","channel 1")</f>
        <v>channel 1</v>
      </c>
    </row>
    <row r="10">
      <c r="B10" s="100" t="s">
        <v>3755</v>
      </c>
      <c r="C10" s="112" t="s">
        <v>351</v>
      </c>
      <c r="D10" s="100" t="s">
        <v>4069</v>
      </c>
      <c r="E10" s="11" t="str">
        <f>HYPERLINK("https://youtu.be/WMNDWTQ973o","channel 2")</f>
        <v>channel 2</v>
      </c>
    </row>
    <row r="11">
      <c r="B11" s="100" t="s">
        <v>2156</v>
      </c>
      <c r="C11" s="112" t="s">
        <v>286</v>
      </c>
      <c r="D11" s="100" t="s">
        <v>3540</v>
      </c>
      <c r="E11" s="11" t="str">
        <f>HYPERLINK("https://youtu.be/_I2CuTw1W7U","channel 1")</f>
        <v>channel 1</v>
      </c>
    </row>
    <row r="12">
      <c r="B12" s="100" t="s">
        <v>3755</v>
      </c>
      <c r="C12" s="112" t="s">
        <v>231</v>
      </c>
      <c r="D12" s="100" t="s">
        <v>3474</v>
      </c>
      <c r="E12" s="11" t="str">
        <f>HYPERLINK("https://youtu.be/xaosXp9lyoY","channel 2")</f>
        <v>channel 2</v>
      </c>
    </row>
    <row r="13">
      <c r="B13" s="100" t="s">
        <v>3474</v>
      </c>
      <c r="C13" s="112" t="s">
        <v>893</v>
      </c>
      <c r="D13" s="100" t="s">
        <v>4069</v>
      </c>
      <c r="E13" s="11" t="str">
        <f>HYPERLINK("https://youtu.be/tOa-qzMGlbU","channel 1")</f>
        <v>channel 1</v>
      </c>
    </row>
    <row r="14">
      <c r="B14" s="100" t="s">
        <v>3755</v>
      </c>
      <c r="C14" s="112" t="s">
        <v>88</v>
      </c>
      <c r="D14" s="100" t="s">
        <v>3540</v>
      </c>
      <c r="E14" s="11" t="str">
        <f>HYPERLINK("https://youtu.be/-9Hqh33i-yI","channel 2")</f>
        <v>channel 2</v>
      </c>
    </row>
    <row r="15">
      <c r="B15" s="100" t="s">
        <v>4069</v>
      </c>
      <c r="C15" s="112" t="s">
        <v>17</v>
      </c>
      <c r="D15" s="100" t="s">
        <v>2156</v>
      </c>
      <c r="E15" s="11" t="str">
        <f>HYPERLINK("https://youtu.be/tFyus3I5BWA","channel 1")</f>
        <v>channel 1</v>
      </c>
    </row>
    <row r="16">
      <c r="B16" s="100" t="s">
        <v>3474</v>
      </c>
      <c r="C16" s="112" t="s">
        <v>7</v>
      </c>
      <c r="D16" s="100" t="s">
        <v>3540</v>
      </c>
      <c r="E16" s="11" t="str">
        <f>HYPERLINK("https://youtu.be/9urIXL5g--I","channel 2")</f>
        <v>channel 2</v>
      </c>
    </row>
    <row r="17">
      <c r="B17" s="100" t="s">
        <v>3755</v>
      </c>
      <c r="C17" s="112" t="s">
        <v>45</v>
      </c>
      <c r="D17" s="100" t="s">
        <v>2156</v>
      </c>
      <c r="E17" s="11" t="str">
        <f>HYPERLINK("https://youtu.be/TGrzr3SNzH8","channel 1")</f>
        <v>channel 1</v>
      </c>
    </row>
    <row r="18">
      <c r="B18" s="100" t="s">
        <v>4069</v>
      </c>
      <c r="C18" s="112" t="s">
        <v>83</v>
      </c>
      <c r="D18" s="100" t="s">
        <v>3540</v>
      </c>
      <c r="E18" s="11" t="str">
        <f>HYPERLINK("https://youtu.be/f-NZX-S5pPo","channel 2")</f>
        <v>channel 2</v>
      </c>
    </row>
    <row r="19">
      <c r="B19" s="100" t="s">
        <v>3474</v>
      </c>
      <c r="C19" s="112" t="s">
        <v>190</v>
      </c>
      <c r="D19" s="100" t="s">
        <v>2156</v>
      </c>
      <c r="E19" s="11" t="str">
        <f>HYPERLINK("https://youtu.be/JL6RehX1Ork","channel 1")</f>
        <v>channel 1</v>
      </c>
    </row>
    <row r="20">
      <c r="B20" s="100" t="s">
        <v>4069</v>
      </c>
      <c r="C20" s="112" t="s">
        <v>216</v>
      </c>
      <c r="D20" s="100" t="s">
        <v>3755</v>
      </c>
      <c r="E20" s="11" t="str">
        <f>HYPERLINK("https://youtu.be/IzWAEaBH6Is","channel 2")</f>
        <v>channel 2</v>
      </c>
    </row>
    <row r="21">
      <c r="B21" s="100" t="s">
        <v>3540</v>
      </c>
      <c r="C21" s="112" t="s">
        <v>297</v>
      </c>
      <c r="D21" s="100" t="s">
        <v>2156</v>
      </c>
      <c r="E21" s="11" t="str">
        <f>HYPERLINK("https://youtu.be/vUbtIDliVPY","channel 1")</f>
        <v>channel 1</v>
      </c>
    </row>
    <row r="22">
      <c r="B22" s="100" t="s">
        <v>3474</v>
      </c>
      <c r="C22" s="112" t="s">
        <v>400</v>
      </c>
      <c r="D22" s="100" t="s">
        <v>3755</v>
      </c>
      <c r="E22" s="11" t="str">
        <f>HYPERLINK("https://youtu.be/UeC6PmLm5gE","channel 2")</f>
        <v>channel 2</v>
      </c>
    </row>
    <row r="23">
      <c r="B23" s="150" t="s">
        <v>4213</v>
      </c>
      <c r="C23" s="151"/>
      <c r="D23" s="152"/>
      <c r="E23" s="95"/>
    </row>
    <row r="24">
      <c r="B24" s="153" t="s">
        <v>2</v>
      </c>
      <c r="C24" s="86" t="s">
        <v>3</v>
      </c>
      <c r="D24" s="154" t="s">
        <v>4</v>
      </c>
      <c r="E24" s="154" t="s">
        <v>5</v>
      </c>
    </row>
    <row r="25">
      <c r="B25" s="8" t="s">
        <v>4214</v>
      </c>
      <c r="C25" s="112" t="s">
        <v>947</v>
      </c>
      <c r="D25" s="8" t="s">
        <v>4215</v>
      </c>
      <c r="E25" s="11" t="str">
        <f>HYPERLINK("https://youtu.be/igHkj9XBC8g","channel 1")</f>
        <v>channel 1</v>
      </c>
    </row>
    <row r="26">
      <c r="B26" s="100" t="s">
        <v>4216</v>
      </c>
      <c r="C26" s="112" t="s">
        <v>64</v>
      </c>
      <c r="D26" s="100" t="s">
        <v>4180</v>
      </c>
      <c r="E26" s="11" t="str">
        <f>HYPERLINK("https://youtu.be/Z1JOWS2UC2M","channel 2")</f>
        <v>channel 2</v>
      </c>
    </row>
    <row r="27">
      <c r="B27" s="100" t="s">
        <v>688</v>
      </c>
      <c r="C27" s="112" t="s">
        <v>28</v>
      </c>
      <c r="D27" s="100" t="s">
        <v>4214</v>
      </c>
      <c r="E27" s="11" t="str">
        <f>HYPERLINK("https://youtu.be/oEMIdAei6bw","channel 1")</f>
        <v>channel 1</v>
      </c>
    </row>
    <row r="28">
      <c r="B28" s="100" t="s">
        <v>4216</v>
      </c>
      <c r="C28" s="112" t="s">
        <v>231</v>
      </c>
      <c r="D28" s="100" t="s">
        <v>4215</v>
      </c>
      <c r="E28" s="11" t="str">
        <f>HYPERLINK("https://youtu.be/8hEuzmTZig4","channel 2")</f>
        <v>channel 2</v>
      </c>
    </row>
    <row r="29">
      <c r="B29" s="100" t="s">
        <v>688</v>
      </c>
      <c r="C29" s="112" t="s">
        <v>14</v>
      </c>
      <c r="D29" s="100" t="s">
        <v>4180</v>
      </c>
      <c r="E29" s="11" t="str">
        <f>HYPERLINK("https://youtu.be/8IZ2WTf3_18","channel 1")</f>
        <v>channel 1</v>
      </c>
    </row>
    <row r="30">
      <c r="B30" s="100" t="s">
        <v>4216</v>
      </c>
      <c r="C30" s="112" t="s">
        <v>4217</v>
      </c>
      <c r="D30" s="100" t="s">
        <v>4214</v>
      </c>
      <c r="E30" s="11" t="str">
        <f>HYPERLINK("https://youtu.be/wXw0fmjVEtw","channel 2")</f>
        <v>channel 2</v>
      </c>
    </row>
    <row r="31">
      <c r="B31" s="100" t="s">
        <v>688</v>
      </c>
      <c r="C31" s="112" t="s">
        <v>19</v>
      </c>
      <c r="D31" s="100" t="s">
        <v>4215</v>
      </c>
      <c r="E31" s="11" t="str">
        <f>HYPERLINK("https://youtu.be/B1zw4JtnA0I","channel 1")</f>
        <v>channel 1</v>
      </c>
    </row>
    <row r="32">
      <c r="B32" s="100" t="s">
        <v>4180</v>
      </c>
      <c r="C32" s="53" t="s">
        <v>196</v>
      </c>
      <c r="D32" s="100" t="s">
        <v>4214</v>
      </c>
      <c r="E32" s="11" t="str">
        <f>HYPERLINK("https://youtu.be/hJ1TbpD6GuA","channel 2")</f>
        <v>channel 2</v>
      </c>
    </row>
    <row r="33">
      <c r="B33" s="100" t="s">
        <v>688</v>
      </c>
      <c r="C33" s="112" t="s">
        <v>244</v>
      </c>
      <c r="D33" s="100" t="s">
        <v>4216</v>
      </c>
      <c r="E33" s="11" t="str">
        <f>HYPERLINK("https://youtu.be/zEs_3KlN9R0","channel 1")</f>
        <v>channel 1</v>
      </c>
    </row>
    <row r="34">
      <c r="B34" s="100" t="s">
        <v>4180</v>
      </c>
      <c r="C34" s="112" t="s">
        <v>285</v>
      </c>
      <c r="D34" s="100" t="s">
        <v>4215</v>
      </c>
      <c r="E34" s="11" t="str">
        <f>HYPERLINK("https://youtu.be/iZgKgfnLIsc","channel 2")</f>
        <v>channel 2</v>
      </c>
    </row>
    <row r="35">
      <c r="B35" s="100" t="s">
        <v>4215</v>
      </c>
      <c r="C35" s="112" t="s">
        <v>587</v>
      </c>
      <c r="D35" s="100" t="s">
        <v>4214</v>
      </c>
      <c r="E35" s="11" t="str">
        <f>HYPERLINK("https://youtu.be/DtI869o9xPg","channel 1")</f>
        <v>channel 1</v>
      </c>
    </row>
    <row r="36">
      <c r="B36" s="100" t="s">
        <v>4180</v>
      </c>
      <c r="C36" s="112" t="s">
        <v>411</v>
      </c>
      <c r="D36" s="100" t="s">
        <v>4216</v>
      </c>
      <c r="E36" s="11" t="str">
        <f>HYPERLINK("https://youtu.be/wa-4WTUWOt8","channel 2")</f>
        <v>channel 2</v>
      </c>
    </row>
    <row r="37">
      <c r="B37" s="100" t="s">
        <v>4214</v>
      </c>
      <c r="C37" s="112" t="s">
        <v>47</v>
      </c>
      <c r="D37" s="100" t="s">
        <v>688</v>
      </c>
      <c r="E37" s="11" t="str">
        <f>HYPERLINK("https://youtu.be/hFdMF2MJQbY","channel 1")</f>
        <v>channel 1</v>
      </c>
    </row>
    <row r="38">
      <c r="B38" s="100" t="s">
        <v>4215</v>
      </c>
      <c r="C38" s="112" t="s">
        <v>321</v>
      </c>
      <c r="D38" s="100" t="s">
        <v>4216</v>
      </c>
      <c r="E38" s="11" t="str">
        <f>HYPERLINK("https://youtu.be/oTunjfC62LA","channel 2")</f>
        <v>channel 2</v>
      </c>
    </row>
    <row r="39">
      <c r="B39" s="100" t="s">
        <v>4180</v>
      </c>
      <c r="C39" s="112" t="s">
        <v>11</v>
      </c>
      <c r="D39" s="100" t="s">
        <v>688</v>
      </c>
      <c r="E39" s="11" t="str">
        <f>HYPERLINK("https://youtu.be/N1mAmI23whg","channel 1")</f>
        <v>channel 1</v>
      </c>
    </row>
    <row r="40">
      <c r="B40" s="100" t="s">
        <v>4214</v>
      </c>
      <c r="C40" s="112" t="s">
        <v>4218</v>
      </c>
      <c r="D40" s="100" t="s">
        <v>4216</v>
      </c>
      <c r="E40" s="11" t="str">
        <f>HYPERLINK("https://youtu.be/kL1NQRELgQQ","channel 2")</f>
        <v>channel 2</v>
      </c>
    </row>
    <row r="41">
      <c r="B41" s="100" t="s">
        <v>4215</v>
      </c>
      <c r="C41" s="112" t="s">
        <v>651</v>
      </c>
      <c r="D41" s="100" t="s">
        <v>688</v>
      </c>
      <c r="E41" s="11" t="str">
        <f>HYPERLINK("https://youtu.be/DMlfx9fvrBI","channel 1")</f>
        <v>channel 1</v>
      </c>
    </row>
    <row r="42">
      <c r="B42" s="100" t="s">
        <v>4214</v>
      </c>
      <c r="C42" s="112" t="s">
        <v>218</v>
      </c>
      <c r="D42" s="100" t="s">
        <v>4180</v>
      </c>
      <c r="E42" s="11" t="str">
        <f>HYPERLINK("https://youtu.be/b14IufTKJ7E","channel 2")</f>
        <v>channel 2</v>
      </c>
    </row>
    <row r="43">
      <c r="B43" s="100" t="s">
        <v>4216</v>
      </c>
      <c r="C43" s="112" t="s">
        <v>542</v>
      </c>
      <c r="D43" s="100" t="s">
        <v>688</v>
      </c>
      <c r="E43" s="11" t="str">
        <f>HYPERLINK("https://youtu.be/zX6-JkJjPMQ","channel 1")</f>
        <v>channel 1</v>
      </c>
    </row>
    <row r="44">
      <c r="B44" s="100" t="s">
        <v>4215</v>
      </c>
      <c r="C44" s="112" t="s">
        <v>218</v>
      </c>
      <c r="D44" s="100" t="s">
        <v>4180</v>
      </c>
      <c r="E44" s="11" t="str">
        <f>HYPERLINK("https://youtu.be/hwj2-ZFoo7A","channel 2")</f>
        <v>channel 2</v>
      </c>
    </row>
    <row r="45">
      <c r="B45" s="149"/>
      <c r="C45" s="149"/>
      <c r="D45" s="149"/>
      <c r="E45" s="149"/>
    </row>
    <row r="46">
      <c r="B46" s="149"/>
      <c r="C46" s="149"/>
      <c r="D46" s="149"/>
      <c r="E46" s="149"/>
    </row>
    <row r="47">
      <c r="B47" s="149"/>
      <c r="C47" s="149"/>
      <c r="D47" s="149"/>
      <c r="E47" s="149"/>
    </row>
    <row r="48">
      <c r="B48" s="149"/>
      <c r="C48" s="149"/>
      <c r="D48" s="149"/>
      <c r="E48" s="149"/>
    </row>
    <row r="49">
      <c r="B49" s="149"/>
      <c r="C49" s="149"/>
      <c r="D49" s="149"/>
      <c r="E49" s="149"/>
    </row>
    <row r="50">
      <c r="B50" s="149"/>
      <c r="C50" s="149"/>
      <c r="D50" s="149"/>
      <c r="E50" s="149"/>
    </row>
    <row r="51">
      <c r="B51" s="149"/>
      <c r="C51" s="149"/>
      <c r="D51" s="149"/>
      <c r="E51" s="149"/>
    </row>
    <row r="52">
      <c r="B52" s="149"/>
      <c r="C52" s="149"/>
      <c r="D52" s="149"/>
      <c r="E52" s="149"/>
    </row>
    <row r="53">
      <c r="B53" s="149"/>
      <c r="C53" s="149"/>
      <c r="D53" s="149"/>
      <c r="E53" s="149"/>
    </row>
    <row r="54">
      <c r="B54" s="149"/>
      <c r="C54" s="149"/>
      <c r="D54" s="149"/>
      <c r="E54" s="149"/>
    </row>
    <row r="55">
      <c r="B55" s="149"/>
      <c r="C55" s="149"/>
      <c r="D55" s="149"/>
      <c r="E55" s="149"/>
    </row>
    <row r="56">
      <c r="B56" s="149"/>
      <c r="C56" s="149"/>
      <c r="D56" s="149"/>
      <c r="E56" s="149"/>
    </row>
    <row r="57">
      <c r="B57" s="149"/>
      <c r="C57" s="149"/>
      <c r="D57" s="149"/>
      <c r="E57" s="149"/>
    </row>
    <row r="58">
      <c r="B58" s="149"/>
      <c r="C58" s="149"/>
      <c r="D58" s="149"/>
      <c r="E58" s="149"/>
    </row>
    <row r="59">
      <c r="B59" s="149"/>
      <c r="C59" s="149"/>
      <c r="D59" s="149"/>
      <c r="E59" s="149"/>
    </row>
    <row r="60">
      <c r="B60" s="149"/>
      <c r="C60" s="149"/>
      <c r="D60" s="149"/>
      <c r="E60" s="149"/>
    </row>
    <row r="61">
      <c r="B61" s="149"/>
      <c r="C61" s="149"/>
      <c r="D61" s="149"/>
      <c r="E61" s="149"/>
    </row>
    <row r="62">
      <c r="B62" s="149"/>
      <c r="C62" s="149"/>
      <c r="D62" s="149"/>
      <c r="E62" s="149"/>
    </row>
    <row r="63">
      <c r="B63" s="149"/>
      <c r="C63" s="149"/>
      <c r="D63" s="149"/>
      <c r="E63" s="149"/>
    </row>
    <row r="64">
      <c r="B64" s="149"/>
      <c r="C64" s="149"/>
      <c r="D64" s="149"/>
      <c r="E64" s="149"/>
    </row>
    <row r="65">
      <c r="B65" s="149"/>
      <c r="C65" s="149"/>
      <c r="D65" s="149"/>
      <c r="E65" s="149"/>
    </row>
    <row r="66">
      <c r="B66" s="149"/>
      <c r="C66" s="149"/>
      <c r="D66" s="149"/>
      <c r="E66" s="149"/>
    </row>
    <row r="67">
      <c r="B67" s="149"/>
      <c r="C67" s="149"/>
      <c r="D67" s="149"/>
      <c r="E67" s="149"/>
    </row>
    <row r="68">
      <c r="B68" s="149"/>
      <c r="C68" s="149"/>
      <c r="D68" s="149"/>
      <c r="E68" s="149"/>
    </row>
    <row r="69">
      <c r="B69" s="149"/>
      <c r="C69" s="149"/>
      <c r="D69" s="149"/>
      <c r="E69" s="149"/>
    </row>
    <row r="70">
      <c r="B70" s="149"/>
      <c r="C70" s="149"/>
      <c r="D70" s="149"/>
      <c r="E70" s="149"/>
    </row>
    <row r="71">
      <c r="B71" s="149"/>
      <c r="C71" s="149"/>
      <c r="D71" s="149"/>
      <c r="E71" s="149"/>
    </row>
    <row r="72">
      <c r="B72" s="149"/>
      <c r="C72" s="149"/>
      <c r="D72" s="149"/>
      <c r="E72" s="149"/>
    </row>
    <row r="73">
      <c r="B73" s="149"/>
      <c r="C73" s="149"/>
      <c r="D73" s="149"/>
      <c r="E73" s="149"/>
    </row>
    <row r="74">
      <c r="B74" s="149"/>
      <c r="C74" s="149"/>
      <c r="D74" s="149"/>
      <c r="E74" s="149"/>
    </row>
    <row r="75">
      <c r="B75" s="149"/>
      <c r="C75" s="149"/>
      <c r="D75" s="149"/>
      <c r="E75" s="149"/>
    </row>
    <row r="76">
      <c r="B76" s="149"/>
      <c r="C76" s="149"/>
      <c r="D76" s="149"/>
      <c r="E76" s="149"/>
    </row>
    <row r="77">
      <c r="B77" s="149"/>
      <c r="C77" s="149"/>
      <c r="D77" s="149"/>
      <c r="E77" s="149"/>
    </row>
    <row r="78">
      <c r="B78" s="149"/>
      <c r="C78" s="149"/>
      <c r="D78" s="149"/>
      <c r="E78" s="149"/>
    </row>
    <row r="79">
      <c r="B79" s="149"/>
      <c r="C79" s="149"/>
      <c r="D79" s="149"/>
      <c r="E79" s="149"/>
    </row>
    <row r="80">
      <c r="B80" s="149"/>
      <c r="C80" s="149"/>
      <c r="D80" s="149"/>
      <c r="E80" s="149"/>
    </row>
    <row r="81">
      <c r="B81" s="149"/>
      <c r="C81" s="149"/>
      <c r="D81" s="149"/>
      <c r="E81" s="149"/>
    </row>
    <row r="82">
      <c r="B82" s="149"/>
      <c r="C82" s="149"/>
      <c r="D82" s="149"/>
      <c r="E82" s="149"/>
    </row>
    <row r="83">
      <c r="B83" s="149"/>
      <c r="C83" s="149"/>
      <c r="D83" s="149"/>
      <c r="E83" s="149"/>
    </row>
    <row r="84">
      <c r="B84" s="149"/>
      <c r="C84" s="149"/>
      <c r="D84" s="149"/>
      <c r="E84" s="149"/>
    </row>
    <row r="85">
      <c r="B85" s="149"/>
      <c r="C85" s="149"/>
      <c r="D85" s="149"/>
      <c r="E85" s="149"/>
    </row>
    <row r="86">
      <c r="B86" s="149"/>
      <c r="C86" s="149"/>
      <c r="D86" s="149"/>
      <c r="E86" s="149"/>
    </row>
    <row r="87">
      <c r="B87" s="149"/>
      <c r="C87" s="149"/>
      <c r="D87" s="149"/>
      <c r="E87" s="149"/>
    </row>
    <row r="88">
      <c r="B88" s="149"/>
      <c r="C88" s="149"/>
      <c r="D88" s="149"/>
      <c r="E88" s="149"/>
    </row>
    <row r="89">
      <c r="B89" s="149"/>
      <c r="C89" s="149"/>
      <c r="D89" s="149"/>
      <c r="E89" s="149"/>
    </row>
    <row r="90">
      <c r="B90" s="149"/>
      <c r="C90" s="149"/>
      <c r="D90" s="149"/>
      <c r="E90" s="149"/>
    </row>
    <row r="91">
      <c r="B91" s="149"/>
      <c r="C91" s="149"/>
      <c r="D91" s="149"/>
      <c r="E91" s="149"/>
    </row>
    <row r="92">
      <c r="B92" s="149"/>
      <c r="C92" s="149"/>
      <c r="D92" s="149"/>
      <c r="E92" s="149"/>
    </row>
    <row r="93">
      <c r="B93" s="149"/>
      <c r="C93" s="149"/>
      <c r="D93" s="149"/>
      <c r="E93" s="149"/>
    </row>
    <row r="94">
      <c r="B94" s="149"/>
      <c r="C94" s="149"/>
      <c r="D94" s="149"/>
      <c r="E94" s="149"/>
    </row>
    <row r="95">
      <c r="B95" s="149"/>
      <c r="C95" s="149"/>
      <c r="D95" s="149"/>
      <c r="E95" s="149"/>
    </row>
    <row r="96">
      <c r="B96" s="149"/>
      <c r="C96" s="149"/>
      <c r="D96" s="149"/>
      <c r="E96" s="149"/>
    </row>
    <row r="97">
      <c r="B97" s="149"/>
      <c r="C97" s="149"/>
      <c r="D97" s="149"/>
      <c r="E97" s="149"/>
    </row>
    <row r="98">
      <c r="B98" s="149"/>
      <c r="C98" s="149"/>
      <c r="D98" s="149"/>
      <c r="E98" s="149"/>
    </row>
    <row r="99">
      <c r="B99" s="149"/>
      <c r="C99" s="149"/>
      <c r="D99" s="149"/>
      <c r="E99" s="149"/>
    </row>
    <row r="100">
      <c r="B100" s="149"/>
      <c r="C100" s="149"/>
      <c r="D100" s="149"/>
      <c r="E100" s="149"/>
    </row>
    <row r="101">
      <c r="B101" s="149"/>
      <c r="C101" s="149"/>
      <c r="D101" s="149"/>
      <c r="E101" s="149"/>
    </row>
    <row r="102">
      <c r="B102" s="149"/>
      <c r="C102" s="149"/>
      <c r="D102" s="149"/>
      <c r="E102" s="149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2">
    <mergeCell ref="A1:A88"/>
    <mergeCell ref="B23:D23"/>
  </mergeCells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0" t="s">
        <v>1659</v>
      </c>
      <c r="C1" s="151"/>
      <c r="D1" s="151"/>
      <c r="E1" s="152"/>
    </row>
    <row r="2">
      <c r="B2" s="153" t="s">
        <v>2</v>
      </c>
      <c r="C2" s="86" t="s">
        <v>3</v>
      </c>
      <c r="D2" s="154" t="s">
        <v>4</v>
      </c>
      <c r="E2" s="154" t="s">
        <v>5</v>
      </c>
    </row>
    <row r="3">
      <c r="B3" s="32" t="s">
        <v>4219</v>
      </c>
      <c r="C3" s="159" t="s">
        <v>196</v>
      </c>
      <c r="D3" s="160" t="s">
        <v>179</v>
      </c>
      <c r="E3" s="135" t="str">
        <f>HYPERLINK("https://youtu.be/qMeY-QN-x6s","channel 1")</f>
        <v>channel 1</v>
      </c>
    </row>
    <row r="4">
      <c r="B4" s="87" t="s">
        <v>3776</v>
      </c>
      <c r="C4" s="112" t="s">
        <v>14</v>
      </c>
      <c r="D4" s="89" t="s">
        <v>4220</v>
      </c>
      <c r="E4" s="116" t="str">
        <f>HYPERLINK("https://youtu.be/7X8fFOZTgpc","channel 2")</f>
        <v>channel 2</v>
      </c>
    </row>
    <row r="5">
      <c r="B5" s="87" t="s">
        <v>1729</v>
      </c>
      <c r="C5" s="112" t="s">
        <v>291</v>
      </c>
      <c r="D5" s="89" t="s">
        <v>4219</v>
      </c>
      <c r="E5" s="135" t="str">
        <f>HYPERLINK("https://youtu.be/mR1HEMGNIiA","channel 1")</f>
        <v>channel 1</v>
      </c>
    </row>
    <row r="6">
      <c r="B6" s="87" t="s">
        <v>3776</v>
      </c>
      <c r="C6" s="112" t="s">
        <v>19</v>
      </c>
      <c r="D6" s="89" t="s">
        <v>179</v>
      </c>
      <c r="E6" s="116" t="str">
        <f>HYPERLINK("https://youtu.be/12ckLEb0HKw","channel 2")</f>
        <v>channel 2</v>
      </c>
    </row>
    <row r="7">
      <c r="B7" s="87" t="s">
        <v>1729</v>
      </c>
      <c r="C7" s="112" t="s">
        <v>19</v>
      </c>
      <c r="D7" s="89" t="s">
        <v>4220</v>
      </c>
      <c r="E7" s="135" t="str">
        <f>HYPERLINK("https://youtu.be/lHT2BJBhquI","channel 1")</f>
        <v>channel 1</v>
      </c>
    </row>
    <row r="8">
      <c r="B8" s="87" t="s">
        <v>3776</v>
      </c>
      <c r="C8" s="112" t="s">
        <v>87</v>
      </c>
      <c r="D8" s="89" t="s">
        <v>4219</v>
      </c>
      <c r="E8" s="116" t="str">
        <f>HYPERLINK("https://youtu.be/cEKYJ4q0_fk","channel 2")</f>
        <v>channel 2</v>
      </c>
    </row>
    <row r="9">
      <c r="B9" s="87" t="s">
        <v>1729</v>
      </c>
      <c r="C9" s="112" t="s">
        <v>282</v>
      </c>
      <c r="D9" s="89" t="s">
        <v>179</v>
      </c>
      <c r="E9" s="135" t="str">
        <f>HYPERLINK("https://youtu.be/PIh6igH1jJc","channel 1")</f>
        <v>channel 1</v>
      </c>
    </row>
    <row r="10">
      <c r="B10" s="87" t="s">
        <v>4220</v>
      </c>
      <c r="C10" s="112" t="s">
        <v>195</v>
      </c>
      <c r="D10" s="89" t="s">
        <v>4219</v>
      </c>
      <c r="E10" s="116" t="str">
        <f>HYPERLINK("https://youtu.be/sASXj8pGN88","channel 2")</f>
        <v>channel 2</v>
      </c>
    </row>
    <row r="11">
      <c r="B11" s="87" t="s">
        <v>1729</v>
      </c>
      <c r="C11" s="112" t="s">
        <v>578</v>
      </c>
      <c r="D11" s="89" t="s">
        <v>3776</v>
      </c>
      <c r="E11" s="135" t="str">
        <f>HYPERLINK("https://youtu.be/Yo3KSnp3uT4","channel 1")</f>
        <v>channel 1</v>
      </c>
    </row>
    <row r="12">
      <c r="B12" s="87" t="s">
        <v>4220</v>
      </c>
      <c r="C12" s="112" t="s">
        <v>357</v>
      </c>
      <c r="D12" s="89" t="s">
        <v>179</v>
      </c>
      <c r="E12" s="116" t="str">
        <f>HYPERLINK("https://youtu.be/f-YqzuBdX1Y","channel 2")</f>
        <v>channel 2</v>
      </c>
    </row>
    <row r="13">
      <c r="B13" s="87" t="s">
        <v>179</v>
      </c>
      <c r="C13" s="112" t="s">
        <v>196</v>
      </c>
      <c r="D13" s="89" t="s">
        <v>4219</v>
      </c>
      <c r="E13" s="135" t="str">
        <f>HYPERLINK("https://youtu.be/mpa_o9g9Y3g","channel 1")</f>
        <v>channel 1</v>
      </c>
    </row>
    <row r="14">
      <c r="B14" s="87" t="s">
        <v>4220</v>
      </c>
      <c r="C14" s="112" t="s">
        <v>578</v>
      </c>
      <c r="D14" s="89" t="s">
        <v>3776</v>
      </c>
      <c r="E14" s="116" t="str">
        <f>HYPERLINK("https://youtu.be/-ox-M_xbM1E","channel 2")</f>
        <v>channel 2</v>
      </c>
    </row>
    <row r="15">
      <c r="B15" s="87" t="s">
        <v>4219</v>
      </c>
      <c r="C15" s="112" t="s">
        <v>66</v>
      </c>
      <c r="D15" s="89" t="s">
        <v>1729</v>
      </c>
      <c r="E15" s="135" t="str">
        <f>HYPERLINK("https://youtu.be/FPccqXVlqVo","channel 1")</f>
        <v>channel 1</v>
      </c>
    </row>
    <row r="16">
      <c r="B16" s="87" t="s">
        <v>179</v>
      </c>
      <c r="C16" s="112" t="s">
        <v>195</v>
      </c>
      <c r="D16" s="89" t="s">
        <v>3776</v>
      </c>
      <c r="E16" s="116" t="str">
        <f>HYPERLINK("https://youtu.be/_H-Nq23iYVs","channel 2")</f>
        <v>channel 2</v>
      </c>
    </row>
    <row r="17">
      <c r="B17" s="87" t="s">
        <v>4220</v>
      </c>
      <c r="C17" s="112" t="s">
        <v>81</v>
      </c>
      <c r="D17" s="89" t="s">
        <v>1729</v>
      </c>
      <c r="E17" s="135" t="str">
        <f>HYPERLINK("https://youtu.be/vag5p-3Y8n8","channel 1")</f>
        <v>channel 1</v>
      </c>
    </row>
    <row r="18">
      <c r="B18" s="87" t="s">
        <v>4219</v>
      </c>
      <c r="C18" s="112" t="s">
        <v>43</v>
      </c>
      <c r="D18" s="89" t="s">
        <v>3776</v>
      </c>
      <c r="E18" s="116" t="str">
        <f>HYPERLINK("https://youtu.be/SpUjMB8f9_o","channel 2")</f>
        <v>channel 2</v>
      </c>
    </row>
    <row r="19">
      <c r="B19" s="87" t="s">
        <v>179</v>
      </c>
      <c r="C19" s="112" t="s">
        <v>194</v>
      </c>
      <c r="D19" s="89" t="s">
        <v>1729</v>
      </c>
      <c r="E19" s="135" t="str">
        <f>HYPERLINK("https://youtu.be/-XHGA42SDQw","channel 1")</f>
        <v>channel 1</v>
      </c>
    </row>
    <row r="20">
      <c r="B20" s="87" t="s">
        <v>4219</v>
      </c>
      <c r="C20" s="112" t="s">
        <v>43</v>
      </c>
      <c r="D20" s="89" t="s">
        <v>4220</v>
      </c>
      <c r="E20" s="116" t="str">
        <f>HYPERLINK("https://youtu.be/HSug0I1f6Sg","channel 2")</f>
        <v>channel 2</v>
      </c>
    </row>
    <row r="21">
      <c r="B21" s="87" t="s">
        <v>3776</v>
      </c>
      <c r="C21" s="112" t="s">
        <v>716</v>
      </c>
      <c r="D21" s="89" t="s">
        <v>1729</v>
      </c>
      <c r="E21" s="135" t="str">
        <f>HYPERLINK("https://youtu.be/9Z-CK9suaWI","channel 1")</f>
        <v>channel 1</v>
      </c>
    </row>
    <row r="22">
      <c r="B22" s="87" t="s">
        <v>179</v>
      </c>
      <c r="C22" s="112" t="s">
        <v>81</v>
      </c>
      <c r="D22" s="89" t="s">
        <v>4220</v>
      </c>
      <c r="E22" s="116" t="str">
        <f>HYPERLINK("https://youtu.be/Mzu3cAFuaow","channel 2")</f>
        <v>channel 2</v>
      </c>
    </row>
    <row r="23">
      <c r="B23" s="150" t="s">
        <v>2231</v>
      </c>
      <c r="C23" s="151"/>
      <c r="D23" s="151"/>
      <c r="E23" s="152"/>
    </row>
    <row r="24">
      <c r="B24" s="153" t="s">
        <v>2</v>
      </c>
      <c r="C24" s="86" t="s">
        <v>3</v>
      </c>
      <c r="D24" s="154" t="s">
        <v>4</v>
      </c>
      <c r="E24" s="154" t="s">
        <v>5</v>
      </c>
    </row>
    <row r="25">
      <c r="B25" s="32" t="s">
        <v>4221</v>
      </c>
      <c r="C25" s="159" t="s">
        <v>578</v>
      </c>
      <c r="D25" s="160" t="s">
        <v>4222</v>
      </c>
      <c r="E25" s="135" t="str">
        <f>HYPERLINK("https://youtu.be/4FcSQs5DeEc","channel 1")</f>
        <v>channel 1</v>
      </c>
    </row>
    <row r="26">
      <c r="B26" s="87" t="s">
        <v>4223</v>
      </c>
      <c r="C26" s="112" t="s">
        <v>460</v>
      </c>
      <c r="D26" s="89" t="s">
        <v>4224</v>
      </c>
      <c r="E26" s="116" t="str">
        <f>HYPERLINK("https://youtu.be/Nw0K2vEkUlc","channel 2")</f>
        <v>channel 2</v>
      </c>
    </row>
    <row r="27">
      <c r="B27" s="87" t="s">
        <v>1345</v>
      </c>
      <c r="C27" s="112" t="s">
        <v>27</v>
      </c>
      <c r="D27" s="89" t="s">
        <v>4221</v>
      </c>
      <c r="E27" s="135" t="str">
        <f>HYPERLINK("https://youtu.be/ppep4Bp2q4o","channel 1")</f>
        <v>channel 1</v>
      </c>
    </row>
    <row r="28">
      <c r="B28" s="87" t="s">
        <v>4223</v>
      </c>
      <c r="C28" s="112" t="s">
        <v>416</v>
      </c>
      <c r="D28" s="89" t="s">
        <v>4222</v>
      </c>
      <c r="E28" s="116" t="str">
        <f>HYPERLINK("https://youtu.be/oSbrwXo7_so","channel 2")</f>
        <v>channel 2</v>
      </c>
    </row>
    <row r="29">
      <c r="B29" s="87" t="s">
        <v>1345</v>
      </c>
      <c r="C29" s="112" t="s">
        <v>542</v>
      </c>
      <c r="D29" s="89" t="s">
        <v>4224</v>
      </c>
      <c r="E29" s="135" t="str">
        <f>HYPERLINK("https://youtu.be/cT5RIXAYRII","channel 1")</f>
        <v>channel 1</v>
      </c>
    </row>
    <row r="30">
      <c r="B30" s="87" t="s">
        <v>4223</v>
      </c>
      <c r="C30" s="112" t="s">
        <v>11</v>
      </c>
      <c r="D30" s="89" t="s">
        <v>4221</v>
      </c>
      <c r="E30" s="116" t="str">
        <f>HYPERLINK("https://youtu.be/x10rOjEiw4k","channel 2")</f>
        <v>channel 2</v>
      </c>
    </row>
    <row r="31">
      <c r="B31" s="87" t="s">
        <v>1345</v>
      </c>
      <c r="C31" s="112" t="s">
        <v>251</v>
      </c>
      <c r="D31" s="89" t="s">
        <v>4222</v>
      </c>
      <c r="E31" s="135" t="str">
        <f>HYPERLINK("https://youtu.be/fnVE9hiTluM","channel 1")</f>
        <v>channel 1</v>
      </c>
    </row>
    <row r="32">
      <c r="B32" s="87" t="s">
        <v>4224</v>
      </c>
      <c r="C32" s="112" t="s">
        <v>35</v>
      </c>
      <c r="D32" s="89" t="s">
        <v>4221</v>
      </c>
      <c r="E32" s="116" t="str">
        <f>HYPERLINK("https://youtu.be/mG2evKwM9GU","channel 2")</f>
        <v>channel 2</v>
      </c>
    </row>
    <row r="33">
      <c r="B33" s="87" t="s">
        <v>1345</v>
      </c>
      <c r="C33" s="112" t="s">
        <v>302</v>
      </c>
      <c r="D33" s="89" t="s">
        <v>4223</v>
      </c>
      <c r="E33" s="135" t="str">
        <f>HYPERLINK("https://youtu.be/NoYGCJq_e7M","channel 1")</f>
        <v>channel 1</v>
      </c>
    </row>
    <row r="34">
      <c r="B34" s="87" t="s">
        <v>4224</v>
      </c>
      <c r="C34" s="112" t="s">
        <v>45</v>
      </c>
      <c r="D34" s="89" t="s">
        <v>4222</v>
      </c>
      <c r="E34" s="116" t="str">
        <f>HYPERLINK("https://youtu.be/kix84njIq-U","channel 2")</f>
        <v>channel 2</v>
      </c>
    </row>
    <row r="35">
      <c r="B35" s="87" t="s">
        <v>4222</v>
      </c>
      <c r="C35" s="112" t="s">
        <v>195</v>
      </c>
      <c r="D35" s="89" t="s">
        <v>4221</v>
      </c>
      <c r="E35" s="135" t="str">
        <f>HYPERLINK("https://youtu.be/f_djMRi1i10","channel 1")</f>
        <v>channel 1</v>
      </c>
    </row>
    <row r="36">
      <c r="B36" s="87" t="s">
        <v>4224</v>
      </c>
      <c r="C36" s="112" t="s">
        <v>416</v>
      </c>
      <c r="D36" s="89" t="s">
        <v>4223</v>
      </c>
      <c r="E36" s="116" t="str">
        <f>HYPERLINK("https://youtu.be/3PNsO7PXo38","channel 2")</f>
        <v>channel 2</v>
      </c>
    </row>
    <row r="37">
      <c r="B37" s="87" t="s">
        <v>4221</v>
      </c>
      <c r="C37" s="112" t="s">
        <v>81</v>
      </c>
      <c r="D37" s="89" t="s">
        <v>1345</v>
      </c>
      <c r="E37" s="135" t="str">
        <f>HYPERLINK("https://youtu.be/7eLv1n3pEs8","channel 1")</f>
        <v>channel 1</v>
      </c>
    </row>
    <row r="38">
      <c r="B38" s="87" t="s">
        <v>4222</v>
      </c>
      <c r="C38" s="112" t="s">
        <v>19</v>
      </c>
      <c r="D38" s="89" t="s">
        <v>4223</v>
      </c>
      <c r="E38" s="116" t="str">
        <f>HYPERLINK("https://youtu.be/v3W1oRnpfSk","channel 2")</f>
        <v>channel 2</v>
      </c>
    </row>
    <row r="39">
      <c r="B39" s="87" t="s">
        <v>4224</v>
      </c>
      <c r="C39" s="112" t="s">
        <v>64</v>
      </c>
      <c r="D39" s="89" t="s">
        <v>1345</v>
      </c>
      <c r="E39" s="135" t="str">
        <f>HYPERLINK("https://youtu.be/pp0nMukxhEs","channel 1")</f>
        <v>channel 1</v>
      </c>
    </row>
    <row r="40">
      <c r="B40" s="87" t="s">
        <v>4221</v>
      </c>
      <c r="C40" s="112" t="s">
        <v>16</v>
      </c>
      <c r="D40" s="89" t="s">
        <v>4223</v>
      </c>
      <c r="E40" s="116" t="str">
        <f>HYPERLINK("https://youtu.be/60kWIprmn9s","channel 2")</f>
        <v>channel 2</v>
      </c>
    </row>
    <row r="41">
      <c r="B41" s="87" t="s">
        <v>4222</v>
      </c>
      <c r="C41" s="112" t="s">
        <v>218</v>
      </c>
      <c r="D41" s="89" t="s">
        <v>1345</v>
      </c>
      <c r="E41" s="135" t="str">
        <f>HYPERLINK("https://youtu.be/Z3Gj1jpkxrw","channel 1")</f>
        <v>channel 1</v>
      </c>
    </row>
    <row r="42">
      <c r="B42" s="87" t="s">
        <v>4221</v>
      </c>
      <c r="C42" s="112" t="s">
        <v>684</v>
      </c>
      <c r="D42" s="89" t="s">
        <v>4224</v>
      </c>
      <c r="E42" s="116" t="str">
        <f>HYPERLINK("https://youtu.be/ZDBLQfvTxiI","channel 2")</f>
        <v>channel 2</v>
      </c>
    </row>
    <row r="43">
      <c r="B43" s="87" t="s">
        <v>4223</v>
      </c>
      <c r="C43" s="112" t="s">
        <v>240</v>
      </c>
      <c r="D43" s="89" t="s">
        <v>1345</v>
      </c>
      <c r="E43" s="135" t="str">
        <f>HYPERLINK("https://youtu.be/3VoVKSzWJSs","channel 1")</f>
        <v>channel 1</v>
      </c>
    </row>
    <row r="44">
      <c r="B44" s="87" t="s">
        <v>4222</v>
      </c>
      <c r="C44" s="112" t="s">
        <v>16</v>
      </c>
      <c r="D44" s="89" t="s">
        <v>4224</v>
      </c>
      <c r="E44" s="116" t="str">
        <f>HYPERLINK("https://youtu.be/d22GCDGlaq0","channel 2")</f>
        <v>channel 2</v>
      </c>
    </row>
    <row r="45">
      <c r="B45" s="150" t="s">
        <v>3214</v>
      </c>
      <c r="C45" s="151"/>
      <c r="D45" s="151"/>
      <c r="E45" s="152"/>
    </row>
    <row r="46">
      <c r="B46" s="85" t="s">
        <v>2</v>
      </c>
      <c r="C46" s="86" t="s">
        <v>3</v>
      </c>
      <c r="D46" s="86" t="s">
        <v>4</v>
      </c>
      <c r="E46" s="86" t="s">
        <v>5</v>
      </c>
    </row>
    <row r="47">
      <c r="B47" s="32" t="s">
        <v>4225</v>
      </c>
      <c r="C47" s="159" t="s">
        <v>320</v>
      </c>
      <c r="D47" s="160" t="s">
        <v>3705</v>
      </c>
      <c r="E47" s="135" t="str">
        <f>HYPERLINK("https://youtu.be/zTheA3PMGjs","channel 1")</f>
        <v>channel 1</v>
      </c>
    </row>
    <row r="48">
      <c r="B48" s="87" t="s">
        <v>3731</v>
      </c>
      <c r="C48" s="112" t="s">
        <v>412</v>
      </c>
      <c r="D48" s="89" t="s">
        <v>1790</v>
      </c>
      <c r="E48" s="116" t="str">
        <f>HYPERLINK("https://youtu.be/009lVUfqKCQ","channel 2")</f>
        <v>channel 2</v>
      </c>
    </row>
    <row r="49">
      <c r="B49" s="87" t="s">
        <v>4053</v>
      </c>
      <c r="C49" s="112" t="s">
        <v>16</v>
      </c>
      <c r="D49" s="89" t="s">
        <v>4225</v>
      </c>
      <c r="E49" s="135" t="str">
        <f>HYPERLINK("https://youtu.be/Dv2kIZMqg6c","channel 1")</f>
        <v>channel 1</v>
      </c>
    </row>
    <row r="50">
      <c r="B50" s="87" t="s">
        <v>3731</v>
      </c>
      <c r="C50" s="112" t="s">
        <v>414</v>
      </c>
      <c r="D50" s="89" t="s">
        <v>3705</v>
      </c>
      <c r="E50" s="116" t="str">
        <f>HYPERLINK("https://youtu.be/PfYd_ahM_24","channel 2")</f>
        <v>channel 2</v>
      </c>
    </row>
    <row r="51">
      <c r="B51" s="87" t="s">
        <v>4053</v>
      </c>
      <c r="C51" s="112" t="s">
        <v>81</v>
      </c>
      <c r="D51" s="89" t="s">
        <v>1790</v>
      </c>
      <c r="E51" s="135" t="str">
        <f>HYPERLINK("https://youtu.be/qRcV7EwxyEs","channel 1")</f>
        <v>channel 1</v>
      </c>
    </row>
    <row r="52">
      <c r="B52" s="87" t="s">
        <v>3731</v>
      </c>
      <c r="C52" s="112" t="s">
        <v>836</v>
      </c>
      <c r="D52" s="89" t="s">
        <v>4225</v>
      </c>
      <c r="E52" s="116" t="str">
        <f>HYPERLINK("https://youtu.be/0lVPnRhQlkI","channel 2")</f>
        <v>channel 2</v>
      </c>
    </row>
    <row r="53">
      <c r="B53" s="87" t="s">
        <v>4053</v>
      </c>
      <c r="C53" s="112" t="s">
        <v>251</v>
      </c>
      <c r="D53" s="89" t="s">
        <v>3705</v>
      </c>
      <c r="E53" s="135" t="str">
        <f>HYPERLINK("https://youtu.be/Wr8bBs6X4tY","channel 1")</f>
        <v>channel 1</v>
      </c>
    </row>
    <row r="54">
      <c r="B54" s="87" t="s">
        <v>1790</v>
      </c>
      <c r="C54" s="112" t="s">
        <v>195</v>
      </c>
      <c r="D54" s="89" t="s">
        <v>4225</v>
      </c>
      <c r="E54" s="116" t="str">
        <f>HYPERLINK("https://youtu.be/C2OM3lppO6Q","channel 2")</f>
        <v>channel 2</v>
      </c>
    </row>
    <row r="55">
      <c r="B55" s="87" t="s">
        <v>4053</v>
      </c>
      <c r="C55" s="112" t="s">
        <v>354</v>
      </c>
      <c r="D55" s="89" t="s">
        <v>3731</v>
      </c>
      <c r="E55" s="135" t="str">
        <f>HYPERLINK("https://youtu.be/b3ZP6aNmXo8","channel 1")</f>
        <v>channel 1</v>
      </c>
    </row>
    <row r="56">
      <c r="B56" s="87" t="s">
        <v>1790</v>
      </c>
      <c r="C56" s="112" t="s">
        <v>950</v>
      </c>
      <c r="D56" s="89" t="s">
        <v>3705</v>
      </c>
      <c r="E56" s="116" t="str">
        <f>HYPERLINK("https://youtu.be/trx9yYe0c8E","channel 2")</f>
        <v>channel 2</v>
      </c>
    </row>
    <row r="57">
      <c r="B57" s="87" t="s">
        <v>3705</v>
      </c>
      <c r="C57" s="112" t="s">
        <v>500</v>
      </c>
      <c r="D57" s="89" t="s">
        <v>4225</v>
      </c>
      <c r="E57" s="135" t="str">
        <f>HYPERLINK("https://youtu.be/Pp3NcmZ2b98","channel 1")</f>
        <v>channel 1</v>
      </c>
    </row>
    <row r="58">
      <c r="B58" s="87" t="s">
        <v>1790</v>
      </c>
      <c r="C58" s="112" t="s">
        <v>251</v>
      </c>
      <c r="D58" s="89" t="s">
        <v>3731</v>
      </c>
      <c r="E58" s="116" t="str">
        <f>HYPERLINK("https://youtu.be/ePJHDrP8X3I","channel 2")</f>
        <v>channel 2</v>
      </c>
    </row>
    <row r="59">
      <c r="B59" s="87" t="s">
        <v>4225</v>
      </c>
      <c r="C59" s="112" t="s">
        <v>260</v>
      </c>
      <c r="D59" s="89" t="s">
        <v>4053</v>
      </c>
      <c r="E59" s="135" t="str">
        <f>HYPERLINK("https://youtu.be/GOlNATJulLw","channel 1")</f>
        <v>channel 1</v>
      </c>
    </row>
    <row r="60">
      <c r="B60" s="87" t="s">
        <v>3705</v>
      </c>
      <c r="C60" s="112" t="s">
        <v>260</v>
      </c>
      <c r="D60" s="89" t="s">
        <v>3731</v>
      </c>
      <c r="E60" s="116" t="str">
        <f>HYPERLINK("https://youtu.be/xnIzsCGUGeY","channel 2")</f>
        <v>channel 2</v>
      </c>
    </row>
    <row r="61">
      <c r="B61" s="87" t="s">
        <v>1790</v>
      </c>
      <c r="C61" s="161" t="s">
        <v>566</v>
      </c>
      <c r="D61" s="89" t="s">
        <v>4053</v>
      </c>
      <c r="E61" s="135" t="str">
        <f>HYPERLINK("https://youtu.be/K8tA-adp02o","channel 1")</f>
        <v>channel 1</v>
      </c>
    </row>
    <row r="62">
      <c r="B62" s="87" t="s">
        <v>4225</v>
      </c>
      <c r="C62" s="112" t="s">
        <v>684</v>
      </c>
      <c r="D62" s="89" t="s">
        <v>3731</v>
      </c>
      <c r="E62" s="116" t="str">
        <f>HYPERLINK("https://youtu.be/2ZKUXacEWwo","channel 2")</f>
        <v>channel 2</v>
      </c>
    </row>
    <row r="63">
      <c r="B63" s="87" t="s">
        <v>3705</v>
      </c>
      <c r="C63" s="112" t="s">
        <v>71</v>
      </c>
      <c r="D63" s="89" t="s">
        <v>4053</v>
      </c>
      <c r="E63" s="135" t="str">
        <f>HYPERLINK("https://youtu.be/vemT11ugk9M","channel 1")</f>
        <v>channel 1</v>
      </c>
    </row>
    <row r="64">
      <c r="B64" s="87" t="s">
        <v>4225</v>
      </c>
      <c r="C64" s="112" t="s">
        <v>11</v>
      </c>
      <c r="D64" s="89" t="s">
        <v>1790</v>
      </c>
      <c r="E64" s="116" t="str">
        <f>HYPERLINK("https://youtu.be/3hayOTqs264","channel 2")</f>
        <v>channel 2</v>
      </c>
    </row>
    <row r="65">
      <c r="B65" s="87" t="s">
        <v>3731</v>
      </c>
      <c r="C65" s="112" t="s">
        <v>304</v>
      </c>
      <c r="D65" s="89" t="s">
        <v>4053</v>
      </c>
      <c r="E65" s="135" t="str">
        <f>HYPERLINK("https://youtu.be/J1VA_iUGKhA","channel 1")</f>
        <v>channel 1</v>
      </c>
    </row>
    <row r="66">
      <c r="B66" s="87" t="s">
        <v>3705</v>
      </c>
      <c r="C66" s="112" t="s">
        <v>14</v>
      </c>
      <c r="D66" s="89" t="s">
        <v>1790</v>
      </c>
      <c r="E66" s="116" t="str">
        <f>HYPERLINK("https://youtu.be/Ls6RD8vOW6E","channel 2")</f>
        <v>channel 2</v>
      </c>
    </row>
    <row r="67">
      <c r="B67" s="150" t="s">
        <v>2923</v>
      </c>
      <c r="C67" s="151"/>
      <c r="D67" s="151"/>
      <c r="E67" s="152"/>
    </row>
    <row r="68">
      <c r="B68" s="85" t="s">
        <v>2</v>
      </c>
      <c r="C68" s="86" t="s">
        <v>3</v>
      </c>
      <c r="D68" s="86" t="s">
        <v>4</v>
      </c>
      <c r="E68" s="86" t="s">
        <v>5</v>
      </c>
    </row>
    <row r="69">
      <c r="B69" s="32" t="s">
        <v>4226</v>
      </c>
      <c r="C69" s="159" t="s">
        <v>28</v>
      </c>
      <c r="D69" s="160" t="s">
        <v>4227</v>
      </c>
      <c r="E69" s="135" t="str">
        <f>HYPERLINK("https://youtu.be/TKWEodvQjNI","channel 1")</f>
        <v>channel 1</v>
      </c>
    </row>
    <row r="70">
      <c r="B70" s="87" t="s">
        <v>4228</v>
      </c>
      <c r="C70" s="112" t="s">
        <v>25</v>
      </c>
      <c r="D70" s="89" t="s">
        <v>4229</v>
      </c>
      <c r="E70" s="116" t="str">
        <f>HYPERLINK("https://youtu.be/E0mfunJrT_0","channel 2")</f>
        <v>channel 2</v>
      </c>
    </row>
    <row r="71">
      <c r="B71" s="87" t="s">
        <v>4230</v>
      </c>
      <c r="C71" s="112" t="s">
        <v>62</v>
      </c>
      <c r="D71" s="89" t="s">
        <v>4226</v>
      </c>
      <c r="E71" s="135" t="str">
        <f>HYPERLINK("https://youtu.be/xStPwgVPb8Q","channel 1")</f>
        <v>channel 1</v>
      </c>
    </row>
    <row r="72">
      <c r="B72" s="87" t="s">
        <v>4228</v>
      </c>
      <c r="C72" s="112" t="s">
        <v>196</v>
      </c>
      <c r="D72" s="89" t="s">
        <v>4227</v>
      </c>
      <c r="E72" s="116" t="str">
        <f>HYPERLINK("https://youtu.be/r7LH-XaGJzU","channel 2")</f>
        <v>channel 2</v>
      </c>
    </row>
    <row r="73">
      <c r="B73" s="87" t="s">
        <v>4230</v>
      </c>
      <c r="C73" s="112" t="s">
        <v>270</v>
      </c>
      <c r="D73" s="89" t="s">
        <v>4229</v>
      </c>
      <c r="E73" s="135" t="str">
        <f>HYPERLINK("https://youtu.be/4JI1gz2hrdM","channel 1")</f>
        <v>channel 1</v>
      </c>
    </row>
    <row r="74">
      <c r="B74" s="87" t="s">
        <v>4228</v>
      </c>
      <c r="C74" s="112" t="s">
        <v>11</v>
      </c>
      <c r="D74" s="89" t="s">
        <v>4226</v>
      </c>
      <c r="E74" s="116" t="str">
        <f>HYPERLINK("https://youtu.be/VT6WRD_R4UM","channel 2")</f>
        <v>channel 2</v>
      </c>
    </row>
    <row r="75">
      <c r="B75" s="87" t="s">
        <v>4230</v>
      </c>
      <c r="C75" s="112" t="s">
        <v>47</v>
      </c>
      <c r="D75" s="89" t="s">
        <v>4227</v>
      </c>
      <c r="E75" s="135" t="str">
        <f>HYPERLINK("https://youtu.be/YcMBjvv5RP4","channel 1")</f>
        <v>channel 1</v>
      </c>
    </row>
    <row r="76">
      <c r="B76" s="87" t="s">
        <v>4229</v>
      </c>
      <c r="C76" s="112" t="s">
        <v>17</v>
      </c>
      <c r="D76" s="89" t="s">
        <v>4226</v>
      </c>
      <c r="E76" s="116" t="str">
        <f>HYPERLINK("https://youtu.be/tmtpMJVsr5s","channel 2")</f>
        <v>channel 2</v>
      </c>
    </row>
    <row r="77">
      <c r="B77" s="87" t="s">
        <v>4230</v>
      </c>
      <c r="C77" s="112" t="s">
        <v>893</v>
      </c>
      <c r="D77" s="89" t="s">
        <v>4228</v>
      </c>
      <c r="E77" s="135" t="str">
        <f>HYPERLINK("https://youtu.be/Fa3q0S6GArk","channel 1")</f>
        <v>channel 1</v>
      </c>
    </row>
    <row r="78">
      <c r="B78" s="87" t="s">
        <v>4229</v>
      </c>
      <c r="C78" s="112" t="s">
        <v>25</v>
      </c>
      <c r="D78" s="89" t="s">
        <v>4227</v>
      </c>
      <c r="E78" s="116" t="str">
        <f>HYPERLINK("https://youtu.be/cW7ESv2i5To","channel 2")</f>
        <v>channel 2</v>
      </c>
    </row>
    <row r="79">
      <c r="B79" s="87" t="s">
        <v>4227</v>
      </c>
      <c r="C79" s="112" t="s">
        <v>699</v>
      </c>
      <c r="D79" s="89" t="s">
        <v>4226</v>
      </c>
      <c r="E79" s="135" t="str">
        <f>HYPERLINK("https://youtu.be/dzvpl2tnWvM","channel 1")</f>
        <v>channel 1</v>
      </c>
    </row>
    <row r="80">
      <c r="B80" s="87" t="s">
        <v>4229</v>
      </c>
      <c r="C80" s="112" t="s">
        <v>337</v>
      </c>
      <c r="D80" s="89" t="s">
        <v>4228</v>
      </c>
      <c r="E80" s="116" t="str">
        <f>HYPERLINK("https://youtu.be/R4xrcaRHOE0","channel 2")</f>
        <v>channel 2</v>
      </c>
    </row>
    <row r="81">
      <c r="B81" s="87" t="s">
        <v>4226</v>
      </c>
      <c r="C81" s="112" t="s">
        <v>217</v>
      </c>
      <c r="D81" s="89" t="s">
        <v>4230</v>
      </c>
      <c r="E81" s="135" t="str">
        <f>HYPERLINK("https://youtu.be/SPoj5bJJY_E","channel 1")</f>
        <v>channel 1</v>
      </c>
    </row>
    <row r="82">
      <c r="B82" s="87" t="s">
        <v>4227</v>
      </c>
      <c r="C82" s="112" t="s">
        <v>614</v>
      </c>
      <c r="D82" s="89" t="s">
        <v>4228</v>
      </c>
      <c r="E82" s="116" t="str">
        <f>HYPERLINK("https://youtu.be/ODmnYxFi8Lo","channel 2")</f>
        <v>channel 2</v>
      </c>
    </row>
    <row r="83">
      <c r="B83" s="87" t="s">
        <v>4229</v>
      </c>
      <c r="C83" s="112" t="s">
        <v>196</v>
      </c>
      <c r="D83" s="89" t="s">
        <v>4230</v>
      </c>
      <c r="E83" s="135" t="str">
        <f>HYPERLINK("https://youtu.be/olqgpjVxsiE","channel 1")</f>
        <v>channel 1</v>
      </c>
    </row>
    <row r="84">
      <c r="B84" s="87" t="s">
        <v>4226</v>
      </c>
      <c r="C84" s="112" t="s">
        <v>337</v>
      </c>
      <c r="D84" s="89" t="s">
        <v>4228</v>
      </c>
      <c r="E84" s="116" t="str">
        <f>HYPERLINK("https://youtu.be/mcB1zr_J5eU","channel 2")</f>
        <v>channel 2</v>
      </c>
    </row>
    <row r="85">
      <c r="B85" s="87" t="s">
        <v>4227</v>
      </c>
      <c r="C85" s="112" t="s">
        <v>329</v>
      </c>
      <c r="D85" s="89" t="s">
        <v>4230</v>
      </c>
      <c r="E85" s="135" t="str">
        <f>HYPERLINK("https://youtu.be/1CDWIiuLf8s","channel 1")</f>
        <v>channel 1</v>
      </c>
    </row>
    <row r="86">
      <c r="B86" s="87" t="s">
        <v>4226</v>
      </c>
      <c r="C86" s="112" t="s">
        <v>328</v>
      </c>
      <c r="D86" s="89" t="s">
        <v>4229</v>
      </c>
      <c r="E86" s="116" t="str">
        <f>HYPERLINK("https://youtu.be/veFVO74_Hy0","channel 2")</f>
        <v>channel 2</v>
      </c>
    </row>
    <row r="87">
      <c r="B87" s="87" t="s">
        <v>4228</v>
      </c>
      <c r="C87" s="112" t="s">
        <v>269</v>
      </c>
      <c r="D87" s="89" t="s">
        <v>4230</v>
      </c>
      <c r="E87" s="135" t="str">
        <f>HYPERLINK("https://youtu.be/61uhsuCb3o4","channel 1")</f>
        <v>channel 1</v>
      </c>
    </row>
    <row r="88">
      <c r="B88" s="87" t="s">
        <v>4227</v>
      </c>
      <c r="C88" s="112" t="s">
        <v>81</v>
      </c>
      <c r="D88" s="89" t="s">
        <v>4229</v>
      </c>
      <c r="E88" s="116" t="str">
        <f>HYPERLINK("https://youtu.be/dD8lNFyQQnU","channel 2")</f>
        <v>channel 2</v>
      </c>
    </row>
    <row r="89">
      <c r="B89" s="148"/>
      <c r="C89" s="148"/>
      <c r="D89" s="148"/>
      <c r="E89" s="149"/>
    </row>
    <row r="90">
      <c r="B90" s="148"/>
      <c r="C90" s="148"/>
      <c r="D90" s="148"/>
      <c r="E90" s="149"/>
    </row>
    <row r="91">
      <c r="B91" s="148"/>
      <c r="C91" s="148"/>
      <c r="D91" s="148"/>
      <c r="E91" s="149"/>
    </row>
    <row r="92">
      <c r="B92" s="148"/>
      <c r="C92" s="148"/>
      <c r="D92" s="148"/>
      <c r="E92" s="149"/>
    </row>
    <row r="93">
      <c r="B93" s="148"/>
      <c r="C93" s="148"/>
      <c r="D93" s="148"/>
      <c r="E93" s="149"/>
    </row>
    <row r="94">
      <c r="B94" s="148"/>
      <c r="C94" s="148"/>
      <c r="D94" s="148"/>
      <c r="E94" s="149"/>
    </row>
    <row r="95">
      <c r="B95" s="148"/>
      <c r="C95" s="148"/>
      <c r="D95" s="148"/>
      <c r="E95" s="149"/>
    </row>
    <row r="96">
      <c r="B96" s="148"/>
      <c r="C96" s="148"/>
      <c r="D96" s="148"/>
      <c r="E96" s="149"/>
    </row>
    <row r="97">
      <c r="B97" s="148"/>
      <c r="C97" s="148"/>
      <c r="D97" s="148"/>
      <c r="E97" s="149"/>
    </row>
    <row r="98">
      <c r="B98" s="148"/>
      <c r="C98" s="148"/>
      <c r="D98" s="148"/>
      <c r="E98" s="149"/>
    </row>
    <row r="99">
      <c r="B99" s="148"/>
      <c r="C99" s="148"/>
      <c r="D99" s="148"/>
      <c r="E99" s="149"/>
    </row>
    <row r="100">
      <c r="B100" s="148"/>
      <c r="C100" s="148"/>
      <c r="D100" s="148"/>
      <c r="E100" s="149"/>
    </row>
    <row r="101">
      <c r="B101" s="148"/>
      <c r="C101" s="148"/>
      <c r="D101" s="148"/>
      <c r="E101" s="149"/>
    </row>
    <row r="102">
      <c r="B102" s="148"/>
      <c r="C102" s="148"/>
      <c r="D102" s="148"/>
      <c r="E102" s="149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0" t="s">
        <v>2790</v>
      </c>
      <c r="C1" s="151"/>
      <c r="D1" s="151"/>
      <c r="E1" s="152"/>
    </row>
    <row r="2">
      <c r="B2" s="153" t="s">
        <v>2</v>
      </c>
      <c r="C2" s="86" t="s">
        <v>3</v>
      </c>
      <c r="D2" s="154" t="s">
        <v>4</v>
      </c>
      <c r="E2" s="154" t="s">
        <v>5</v>
      </c>
    </row>
    <row r="3">
      <c r="B3" s="32" t="s">
        <v>3594</v>
      </c>
      <c r="C3" s="159" t="s">
        <v>16</v>
      </c>
      <c r="D3" s="160" t="s">
        <v>4231</v>
      </c>
      <c r="E3" s="135" t="str">
        <f>HYPERLINK("https://youtu.be/xyjLK89Xf-4","channel 1")</f>
        <v>channel 1</v>
      </c>
    </row>
    <row r="4">
      <c r="B4" s="87" t="s">
        <v>125</v>
      </c>
      <c r="C4" s="112" t="s">
        <v>87</v>
      </c>
      <c r="D4" s="89" t="s">
        <v>3976</v>
      </c>
      <c r="E4" s="116" t="str">
        <f>HYPERLINK("https://youtu.be/n4vyhzLyELE","channel 2")</f>
        <v>channel 2</v>
      </c>
    </row>
    <row r="5">
      <c r="B5" s="87" t="s">
        <v>4109</v>
      </c>
      <c r="C5" s="112" t="s">
        <v>20</v>
      </c>
      <c r="D5" s="89" t="s">
        <v>3594</v>
      </c>
      <c r="E5" s="135" t="str">
        <f>HYPERLINK("https://youtu.be/0OvcudTO0yc","channel 1")</f>
        <v>channel 1</v>
      </c>
    </row>
    <row r="6">
      <c r="B6" s="87" t="s">
        <v>125</v>
      </c>
      <c r="C6" s="112" t="s">
        <v>55</v>
      </c>
      <c r="D6" s="89" t="s">
        <v>4231</v>
      </c>
      <c r="E6" s="116" t="str">
        <f>HYPERLINK("https://youtu.be/970erMVfDAo","channel 2")</f>
        <v>channel 2</v>
      </c>
    </row>
    <row r="7">
      <c r="B7" s="87" t="s">
        <v>4109</v>
      </c>
      <c r="C7" s="112" t="s">
        <v>11</v>
      </c>
      <c r="D7" s="89" t="s">
        <v>3976</v>
      </c>
      <c r="E7" s="44" t="str">
        <f>HYPERLINK("https://youtu.be/1tjDzjB5YZ4","channel 1")</f>
        <v>channel 1</v>
      </c>
    </row>
    <row r="8">
      <c r="B8" s="87" t="s">
        <v>125</v>
      </c>
      <c r="C8" s="112" t="s">
        <v>239</v>
      </c>
      <c r="D8" s="89" t="s">
        <v>3594</v>
      </c>
      <c r="E8" s="115" t="str">
        <f>HYPERLINK("https://youtu.be/rKgcEM1aiRU","channel 2")</f>
        <v>channel 2</v>
      </c>
    </row>
    <row r="9">
      <c r="B9" s="87" t="s">
        <v>4109</v>
      </c>
      <c r="C9" s="112" t="s">
        <v>193</v>
      </c>
      <c r="D9" s="89" t="s">
        <v>4231</v>
      </c>
      <c r="E9" s="44" t="str">
        <f>HYPERLINK("https://youtu.be/5bQdc7l18K4","channel 1")</f>
        <v>channel 1</v>
      </c>
    </row>
    <row r="10">
      <c r="B10" s="87" t="s">
        <v>3976</v>
      </c>
      <c r="C10" s="112" t="s">
        <v>25</v>
      </c>
      <c r="D10" s="89" t="s">
        <v>3594</v>
      </c>
      <c r="E10" s="115" t="str">
        <f>HYPERLINK("https://youtu.be/cWJHauP-wAU","channel 2")</f>
        <v>channel 2</v>
      </c>
    </row>
    <row r="11">
      <c r="B11" s="87" t="s">
        <v>4109</v>
      </c>
      <c r="C11" s="112" t="s">
        <v>351</v>
      </c>
      <c r="D11" s="89" t="s">
        <v>125</v>
      </c>
      <c r="E11" s="44" t="str">
        <f>HYPERLINK("https://youtu.be/py7dPnKTKTo","channel 1")</f>
        <v>channel 1</v>
      </c>
    </row>
    <row r="12">
      <c r="B12" s="87" t="s">
        <v>3976</v>
      </c>
      <c r="C12" s="112" t="s">
        <v>566</v>
      </c>
      <c r="D12" s="89" t="s">
        <v>4231</v>
      </c>
      <c r="E12" s="115" t="str">
        <f>HYPERLINK("https://youtu.be/Kq5zFxmTVkQ","channel 2")</f>
        <v>channel 2</v>
      </c>
    </row>
    <row r="13">
      <c r="B13" s="87" t="s">
        <v>4231</v>
      </c>
      <c r="C13" s="112" t="s">
        <v>233</v>
      </c>
      <c r="D13" s="89" t="s">
        <v>3594</v>
      </c>
      <c r="E13" s="44" t="str">
        <f>HYPERLINK("https://youtu.be/9Y32A2fRa2o","channel 1")</f>
        <v>channel 1</v>
      </c>
    </row>
    <row r="14">
      <c r="B14" s="87" t="s">
        <v>3976</v>
      </c>
      <c r="C14" s="112" t="s">
        <v>1428</v>
      </c>
      <c r="D14" s="89" t="s">
        <v>125</v>
      </c>
      <c r="E14" s="115" t="str">
        <f>HYPERLINK("https://youtu.be/rpByql7mi1s","channel 2")</f>
        <v>channel 2</v>
      </c>
    </row>
    <row r="15">
      <c r="B15" s="87" t="s">
        <v>3594</v>
      </c>
      <c r="C15" s="112" t="s">
        <v>400</v>
      </c>
      <c r="D15" s="89" t="s">
        <v>4109</v>
      </c>
      <c r="E15" s="44" t="str">
        <f>HYPERLINK("https://youtu.be/GZuHKWg7Fd8","channel 1")</f>
        <v>channel 1</v>
      </c>
    </row>
    <row r="16">
      <c r="B16" s="87" t="s">
        <v>4231</v>
      </c>
      <c r="C16" s="112" t="s">
        <v>87</v>
      </c>
      <c r="D16" s="89" t="s">
        <v>125</v>
      </c>
      <c r="E16" s="115" t="str">
        <f>HYPERLINK("https://youtu.be/29dCuF2a9qY","channel 2")</f>
        <v>channel 2</v>
      </c>
    </row>
    <row r="17">
      <c r="B17" s="87" t="s">
        <v>3976</v>
      </c>
      <c r="C17" s="112" t="s">
        <v>197</v>
      </c>
      <c r="D17" s="89" t="s">
        <v>4109</v>
      </c>
      <c r="E17" s="44" t="str">
        <f>HYPERLINK("https://youtu.be/zfxOEOOxF90","channel 1")</f>
        <v>channel 1</v>
      </c>
    </row>
    <row r="18">
      <c r="B18" s="87" t="s">
        <v>3594</v>
      </c>
      <c r="C18" s="112" t="s">
        <v>81</v>
      </c>
      <c r="D18" s="89" t="s">
        <v>125</v>
      </c>
      <c r="E18" s="115" t="str">
        <f>HYPERLINK("https://youtu.be/H3mQ4gVMl8I","channel 2")</f>
        <v>channel 2</v>
      </c>
    </row>
    <row r="19">
      <c r="B19" s="87" t="s">
        <v>4231</v>
      </c>
      <c r="C19" s="112" t="s">
        <v>87</v>
      </c>
      <c r="D19" s="89" t="s">
        <v>4109</v>
      </c>
      <c r="E19" s="44" t="str">
        <f>HYPERLINK("https://youtu.be/CUZdgbB4bbs","channel 1")</f>
        <v>channel 1</v>
      </c>
    </row>
    <row r="20">
      <c r="B20" s="87" t="s">
        <v>3594</v>
      </c>
      <c r="C20" s="112" t="s">
        <v>44</v>
      </c>
      <c r="D20" s="89" t="s">
        <v>3976</v>
      </c>
      <c r="E20" s="115" t="str">
        <f>HYPERLINK("https://youtu.be/_Ii452JpzU0","channel 2")</f>
        <v>channel 2</v>
      </c>
    </row>
    <row r="21">
      <c r="B21" s="87" t="s">
        <v>125</v>
      </c>
      <c r="C21" s="112" t="s">
        <v>286</v>
      </c>
      <c r="D21" s="89" t="s">
        <v>4109</v>
      </c>
      <c r="E21" s="44" t="str">
        <f>HYPERLINK("https://youtu.be/Iw-uwAy2QyA","channel 1")</f>
        <v>channel 1</v>
      </c>
    </row>
    <row r="22">
      <c r="B22" s="87" t="s">
        <v>4231</v>
      </c>
      <c r="C22" s="112" t="s">
        <v>218</v>
      </c>
      <c r="D22" s="89" t="s">
        <v>3976</v>
      </c>
      <c r="E22" s="115" t="str">
        <f>HYPERLINK("https://youtu.be/8iZZ29GM2ZI","channel 2")</f>
        <v>channel 2</v>
      </c>
    </row>
    <row r="23">
      <c r="B23" s="150" t="s">
        <v>1664</v>
      </c>
      <c r="C23" s="151"/>
      <c r="D23" s="151"/>
      <c r="E23" s="152"/>
    </row>
    <row r="24">
      <c r="B24" s="153" t="s">
        <v>2</v>
      </c>
      <c r="C24" s="86" t="s">
        <v>3</v>
      </c>
      <c r="D24" s="154" t="s">
        <v>4</v>
      </c>
      <c r="E24" s="154" t="s">
        <v>5</v>
      </c>
    </row>
    <row r="25">
      <c r="B25" s="32" t="s">
        <v>3440</v>
      </c>
      <c r="C25" s="159" t="s">
        <v>81</v>
      </c>
      <c r="D25" s="160" t="s">
        <v>3471</v>
      </c>
      <c r="E25" s="135" t="str">
        <f>HYPERLINK("https://youtu.be/AOcRHwFJ5RY","channel 1")</f>
        <v>channel 1</v>
      </c>
    </row>
    <row r="26">
      <c r="B26" s="87" t="s">
        <v>4232</v>
      </c>
      <c r="C26" s="112" t="s">
        <v>1396</v>
      </c>
      <c r="D26" s="89" t="s">
        <v>4233</v>
      </c>
      <c r="E26" s="116" t="str">
        <f>HYPERLINK("https://youtu.be/oGkyJDFOMYY","channel 2")</f>
        <v>channel 2</v>
      </c>
    </row>
    <row r="27">
      <c r="B27" s="87" t="s">
        <v>3376</v>
      </c>
      <c r="C27" s="112" t="s">
        <v>239</v>
      </c>
      <c r="D27" s="89" t="s">
        <v>3440</v>
      </c>
      <c r="E27" s="135" t="str">
        <f>HYPERLINK("https://youtu.be/2g6eFmoe0DU","channel 1")</f>
        <v>channel 1</v>
      </c>
    </row>
    <row r="28">
      <c r="B28" s="87" t="s">
        <v>4232</v>
      </c>
      <c r="C28" s="112" t="s">
        <v>22</v>
      </c>
      <c r="D28" s="89" t="s">
        <v>3471</v>
      </c>
      <c r="E28" s="116" t="str">
        <f>HYPERLINK("https://youtu.be/ZKsVCpYkVtw","channel 2")</f>
        <v>channel 2</v>
      </c>
    </row>
    <row r="29">
      <c r="B29" s="87" t="s">
        <v>3376</v>
      </c>
      <c r="C29" s="112" t="s">
        <v>19</v>
      </c>
      <c r="D29" s="89" t="s">
        <v>4233</v>
      </c>
      <c r="E29" s="44" t="str">
        <f>HYPERLINK("https://youtu.be/pR6lBt_wdu4","channel 1")</f>
        <v>channel 1</v>
      </c>
    </row>
    <row r="30">
      <c r="B30" s="87" t="s">
        <v>4232</v>
      </c>
      <c r="C30" s="112" t="s">
        <v>43</v>
      </c>
      <c r="D30" s="89" t="s">
        <v>3440</v>
      </c>
      <c r="E30" s="115" t="str">
        <f>HYPERLINK("https://youtu.be/VhL6YYaNS-g","channel 2")</f>
        <v>channel 2</v>
      </c>
    </row>
    <row r="31">
      <c r="B31" s="87" t="s">
        <v>3376</v>
      </c>
      <c r="C31" s="112" t="s">
        <v>62</v>
      </c>
      <c r="D31" s="89" t="s">
        <v>3471</v>
      </c>
      <c r="E31" s="44" t="str">
        <f>HYPERLINK("https://youtu.be/auHShgmXjuI","channel 1")</f>
        <v>channel 1</v>
      </c>
    </row>
    <row r="32">
      <c r="B32" s="87" t="s">
        <v>4233</v>
      </c>
      <c r="C32" s="112" t="s">
        <v>25</v>
      </c>
      <c r="D32" s="89" t="s">
        <v>3440</v>
      </c>
      <c r="E32" s="115" t="str">
        <f>HYPERLINK("https://youtu.be/V6l-aln60YE","channel 2")</f>
        <v>channel 2</v>
      </c>
    </row>
    <row r="33">
      <c r="B33" s="87" t="s">
        <v>3376</v>
      </c>
      <c r="C33" s="112" t="s">
        <v>31</v>
      </c>
      <c r="D33" s="89" t="s">
        <v>4232</v>
      </c>
      <c r="E33" s="44" t="str">
        <f>HYPERLINK("https://youtu.be/GQrPGHxxCA0","channel 1")</f>
        <v>channel 1</v>
      </c>
    </row>
    <row r="34">
      <c r="B34" s="87" t="s">
        <v>4233</v>
      </c>
      <c r="C34" s="112" t="s">
        <v>950</v>
      </c>
      <c r="D34" s="89" t="s">
        <v>3471</v>
      </c>
      <c r="E34" s="115" t="str">
        <f>HYPERLINK("https://youtu.be/gmvWljZ_mTY","channel 2")</f>
        <v>channel 2</v>
      </c>
    </row>
    <row r="35">
      <c r="B35" s="87" t="s">
        <v>3471</v>
      </c>
      <c r="C35" s="112" t="s">
        <v>81</v>
      </c>
      <c r="D35" s="89" t="s">
        <v>3440</v>
      </c>
      <c r="E35" s="44" t="str">
        <f>HYPERLINK("https://youtu.be/MTl14QnyU7w","channel 1")</f>
        <v>channel 1</v>
      </c>
    </row>
    <row r="36">
      <c r="B36" s="87" t="s">
        <v>4233</v>
      </c>
      <c r="C36" s="112" t="s">
        <v>445</v>
      </c>
      <c r="D36" s="89" t="s">
        <v>4232</v>
      </c>
      <c r="E36" s="115" t="str">
        <f>HYPERLINK("https://youtu.be/hPfJ9xrNbJE","channel 2")</f>
        <v>channel 2</v>
      </c>
    </row>
    <row r="37">
      <c r="B37" s="87" t="s">
        <v>3440</v>
      </c>
      <c r="C37" s="112" t="s">
        <v>286</v>
      </c>
      <c r="D37" s="89" t="s">
        <v>3376</v>
      </c>
      <c r="E37" s="44" t="str">
        <f>HYPERLINK("https://youtu.be/kgTUBOkpm-s","channel 1")</f>
        <v>channel 1</v>
      </c>
    </row>
    <row r="38">
      <c r="B38" s="87" t="s">
        <v>3471</v>
      </c>
      <c r="C38" s="112" t="s">
        <v>87</v>
      </c>
      <c r="D38" s="89" t="s">
        <v>4232</v>
      </c>
      <c r="E38" s="115" t="str">
        <f>HYPERLINK("https://youtu.be/6TQYD88o2J4","channel 2")</f>
        <v>channel 2</v>
      </c>
    </row>
    <row r="39">
      <c r="B39" s="87" t="s">
        <v>4233</v>
      </c>
      <c r="C39" s="112" t="s">
        <v>193</v>
      </c>
      <c r="D39" s="89" t="s">
        <v>3376</v>
      </c>
      <c r="E39" s="44" t="str">
        <f>HYPERLINK("https://youtu.be/wTDqc3r8wq8","channel 1")</f>
        <v>channel 1</v>
      </c>
    </row>
    <row r="40">
      <c r="B40" s="87" t="s">
        <v>3440</v>
      </c>
      <c r="C40" s="112" t="s">
        <v>64</v>
      </c>
      <c r="D40" s="89" t="s">
        <v>4232</v>
      </c>
      <c r="E40" s="115" t="str">
        <f>HYPERLINK("https://youtu.be/hrDCTEVdCfQ","channel 2")</f>
        <v>channel 2</v>
      </c>
    </row>
    <row r="41">
      <c r="B41" s="87" t="s">
        <v>3471</v>
      </c>
      <c r="C41" s="112" t="s">
        <v>412</v>
      </c>
      <c r="D41" s="89" t="s">
        <v>3376</v>
      </c>
      <c r="E41" s="44" t="str">
        <f>HYPERLINK("https://youtu.be/knDtV3RG_sw","channel 1")</f>
        <v>channel 1</v>
      </c>
    </row>
    <row r="42">
      <c r="B42" s="87" t="s">
        <v>3440</v>
      </c>
      <c r="C42" s="112" t="s">
        <v>193</v>
      </c>
      <c r="D42" s="89" t="s">
        <v>4233</v>
      </c>
      <c r="E42" s="115" t="str">
        <f>HYPERLINK("https://youtu.be/lWxYPSW5Y40","channel 2")</f>
        <v>channel 2</v>
      </c>
    </row>
    <row r="43">
      <c r="B43" s="87" t="s">
        <v>4232</v>
      </c>
      <c r="C43" s="112" t="s">
        <v>19</v>
      </c>
      <c r="D43" s="89" t="s">
        <v>3376</v>
      </c>
      <c r="E43" s="44" t="str">
        <f>HYPERLINK("https://youtu.be/10fXITNKVt8","channel 1")</f>
        <v>channel 1</v>
      </c>
    </row>
    <row r="44">
      <c r="B44" s="87" t="s">
        <v>3471</v>
      </c>
      <c r="C44" s="112" t="s">
        <v>14</v>
      </c>
      <c r="D44" s="89" t="s">
        <v>4233</v>
      </c>
      <c r="E44" s="115" t="str">
        <f>HYPERLINK("https://youtu.be/EsMOa4VvTao","channel 2")</f>
        <v>channel 2</v>
      </c>
    </row>
    <row r="45">
      <c r="B45" s="150" t="s">
        <v>2382</v>
      </c>
      <c r="C45" s="151"/>
      <c r="D45" s="151"/>
      <c r="E45" s="152"/>
    </row>
    <row r="46">
      <c r="B46" s="85" t="s">
        <v>2</v>
      </c>
      <c r="C46" s="86" t="s">
        <v>3</v>
      </c>
      <c r="D46" s="86" t="s">
        <v>4</v>
      </c>
      <c r="E46" s="86" t="s">
        <v>5</v>
      </c>
    </row>
    <row r="47">
      <c r="B47" s="32" t="s">
        <v>4234</v>
      </c>
      <c r="C47" s="159" t="s">
        <v>797</v>
      </c>
      <c r="D47" s="160" t="s">
        <v>4235</v>
      </c>
      <c r="E47" s="135" t="str">
        <f>HYPERLINK("https://youtu.be/PaTpHg2lFn8","channel 1")</f>
        <v>channel 1</v>
      </c>
    </row>
    <row r="48">
      <c r="B48" s="87" t="s">
        <v>3755</v>
      </c>
      <c r="C48" s="112" t="s">
        <v>25</v>
      </c>
      <c r="D48" s="89" t="s">
        <v>3133</v>
      </c>
      <c r="E48" s="116" t="str">
        <f>HYPERLINK("https://youtu.be/eNDbAfpI568","channel 2")</f>
        <v>channel 2</v>
      </c>
    </row>
    <row r="49">
      <c r="B49" s="87" t="s">
        <v>3904</v>
      </c>
      <c r="C49" s="112" t="s">
        <v>357</v>
      </c>
      <c r="D49" s="89" t="s">
        <v>4234</v>
      </c>
      <c r="E49" s="135" t="str">
        <f>HYPERLINK("https://youtu.be/Ubyw8Slcadk","channel 1")</f>
        <v>channel 1</v>
      </c>
    </row>
    <row r="50">
      <c r="B50" s="87" t="s">
        <v>3755</v>
      </c>
      <c r="C50" s="112" t="s">
        <v>17</v>
      </c>
      <c r="D50" s="89" t="s">
        <v>4235</v>
      </c>
      <c r="E50" s="116" t="str">
        <f>HYPERLINK("https://youtu.be/FDpipli9kXw","channel 2")</f>
        <v>channel 2</v>
      </c>
    </row>
    <row r="51">
      <c r="B51" s="87" t="s">
        <v>3904</v>
      </c>
      <c r="C51" s="112" t="s">
        <v>250</v>
      </c>
      <c r="D51" s="89" t="s">
        <v>3133</v>
      </c>
      <c r="E51" s="44" t="str">
        <f>HYPERLINK("https://youtu.be/8w84LVC7ObA","channel 1")</f>
        <v>channel 1</v>
      </c>
    </row>
    <row r="52">
      <c r="B52" s="87" t="s">
        <v>3755</v>
      </c>
      <c r="C52" s="112" t="s">
        <v>21</v>
      </c>
      <c r="D52" s="89" t="s">
        <v>4234</v>
      </c>
      <c r="E52" s="115" t="str">
        <f>HYPERLINK("https://youtu.be/fQplMZos6bU","channel 2")</f>
        <v>channel 2</v>
      </c>
    </row>
    <row r="53">
      <c r="B53" s="87" t="s">
        <v>3904</v>
      </c>
      <c r="C53" s="112" t="s">
        <v>239</v>
      </c>
      <c r="D53" s="89" t="s">
        <v>4235</v>
      </c>
      <c r="E53" s="44" t="str">
        <f>HYPERLINK("https://youtu.be/5cN9QwuC3l0","channel 1")</f>
        <v>channel 1</v>
      </c>
    </row>
    <row r="54">
      <c r="B54" s="87" t="s">
        <v>3133</v>
      </c>
      <c r="C54" s="112" t="s">
        <v>251</v>
      </c>
      <c r="D54" s="89" t="s">
        <v>4234</v>
      </c>
      <c r="E54" s="115" t="str">
        <f>HYPERLINK("https://youtu.be/4wUwUYJBZTw","channel 2")</f>
        <v>channel 2</v>
      </c>
    </row>
    <row r="55">
      <c r="B55" s="87" t="s">
        <v>3904</v>
      </c>
      <c r="C55" s="112" t="s">
        <v>566</v>
      </c>
      <c r="D55" s="89" t="s">
        <v>3755</v>
      </c>
      <c r="E55" s="44" t="str">
        <f>HYPERLINK("https://youtu.be/ueJ963eN7zI","channel 1")</f>
        <v>channel 1</v>
      </c>
    </row>
    <row r="56">
      <c r="B56" s="87" t="s">
        <v>3133</v>
      </c>
      <c r="C56" s="112" t="s">
        <v>87</v>
      </c>
      <c r="D56" s="89" t="s">
        <v>4235</v>
      </c>
      <c r="E56" s="115" t="str">
        <f>HYPERLINK("https://youtu.be/o_mGojT4bzw","channel 2")</f>
        <v>channel 2</v>
      </c>
    </row>
    <row r="57">
      <c r="B57" s="87" t="s">
        <v>4235</v>
      </c>
      <c r="C57" s="112" t="s">
        <v>193</v>
      </c>
      <c r="D57" s="89" t="s">
        <v>4234</v>
      </c>
      <c r="E57" s="44" t="str">
        <f>HYPERLINK("https://youtu.be/jMZCEXJy-RA","channel 1")</f>
        <v>channel 1</v>
      </c>
    </row>
    <row r="58">
      <c r="B58" s="87" t="s">
        <v>3133</v>
      </c>
      <c r="C58" s="112" t="s">
        <v>83</v>
      </c>
      <c r="D58" s="89" t="s">
        <v>3755</v>
      </c>
      <c r="E58" s="115" t="str">
        <f>HYPERLINK("https://youtu.be/R9ytnC8uwT0","channel 2")</f>
        <v>channel 2</v>
      </c>
    </row>
    <row r="59">
      <c r="B59" s="87" t="s">
        <v>4234</v>
      </c>
      <c r="C59" s="112" t="s">
        <v>11</v>
      </c>
      <c r="D59" s="89" t="s">
        <v>3904</v>
      </c>
      <c r="E59" s="44" t="str">
        <f>HYPERLINK("https://youtu.be/h2_8dp8XMqs","channel 1")</f>
        <v>channel 1</v>
      </c>
    </row>
    <row r="60">
      <c r="B60" s="87" t="s">
        <v>4235</v>
      </c>
      <c r="C60" s="112" t="s">
        <v>64</v>
      </c>
      <c r="D60" s="89" t="s">
        <v>3755</v>
      </c>
      <c r="E60" s="115" t="str">
        <f>HYPERLINK("https://youtu.be/6EZdKHabteU","channel 2")</f>
        <v>channel 2</v>
      </c>
    </row>
    <row r="61">
      <c r="B61" s="87" t="s">
        <v>3133</v>
      </c>
      <c r="C61" s="161" t="s">
        <v>68</v>
      </c>
      <c r="D61" s="89" t="s">
        <v>3904</v>
      </c>
      <c r="E61" s="44" t="str">
        <f>HYPERLINK("https://youtu.be/YEi2JHeX2bo","channel 1")</f>
        <v>channel 1</v>
      </c>
    </row>
    <row r="62">
      <c r="B62" s="87" t="s">
        <v>4234</v>
      </c>
      <c r="C62" s="112" t="s">
        <v>658</v>
      </c>
      <c r="D62" s="89" t="s">
        <v>3755</v>
      </c>
      <c r="E62" s="115" t="str">
        <f>HYPERLINK("https://youtu.be/OclXpgwTXI4","channel 2")</f>
        <v>channel 2</v>
      </c>
    </row>
    <row r="63">
      <c r="B63" s="87" t="s">
        <v>4235</v>
      </c>
      <c r="C63" s="112" t="s">
        <v>65</v>
      </c>
      <c r="D63" s="89" t="s">
        <v>3904</v>
      </c>
      <c r="E63" s="44" t="str">
        <f>HYPERLINK("https://youtu.be/9j8DRsC5KkU","channel 1")</f>
        <v>channel 1</v>
      </c>
    </row>
    <row r="64">
      <c r="B64" s="87" t="s">
        <v>4234</v>
      </c>
      <c r="C64" s="112" t="s">
        <v>194</v>
      </c>
      <c r="D64" s="89" t="s">
        <v>3133</v>
      </c>
      <c r="E64" s="115" t="str">
        <f>HYPERLINK("https://youtu.be/lrjFPHhoJkQ","channel 2")</f>
        <v>channel 2</v>
      </c>
    </row>
    <row r="65">
      <c r="B65" s="87" t="s">
        <v>3755</v>
      </c>
      <c r="C65" s="112" t="s">
        <v>19</v>
      </c>
      <c r="D65" s="89" t="s">
        <v>3904</v>
      </c>
      <c r="E65" s="44" t="str">
        <f>HYPERLINK("https://youtu.be/0oOqi6wKoC4","channel 1")</f>
        <v>channel 1</v>
      </c>
    </row>
    <row r="66">
      <c r="B66" s="87" t="s">
        <v>4235</v>
      </c>
      <c r="C66" s="112" t="s">
        <v>71</v>
      </c>
      <c r="D66" s="89" t="s">
        <v>3133</v>
      </c>
      <c r="E66" s="115" t="str">
        <f>HYPERLINK("https://youtu.be/DDd0V_gxnzY","channel 2")</f>
        <v>channel 2</v>
      </c>
    </row>
    <row r="67">
      <c r="B67" s="150" t="s">
        <v>4236</v>
      </c>
      <c r="C67" s="151"/>
      <c r="D67" s="151"/>
      <c r="E67" s="152"/>
    </row>
    <row r="68">
      <c r="B68" s="85" t="s">
        <v>2</v>
      </c>
      <c r="C68" s="86" t="s">
        <v>3</v>
      </c>
      <c r="D68" s="86" t="s">
        <v>4</v>
      </c>
      <c r="E68" s="86" t="s">
        <v>5</v>
      </c>
    </row>
    <row r="69">
      <c r="B69" s="32" t="s">
        <v>4237</v>
      </c>
      <c r="C69" s="159" t="s">
        <v>19</v>
      </c>
      <c r="D69" s="160" t="s">
        <v>3811</v>
      </c>
      <c r="E69" s="135" t="str">
        <f>HYPERLINK("https://youtu.be/kCi1FzodwAU","channel 1")</f>
        <v>channel 1</v>
      </c>
    </row>
    <row r="70">
      <c r="B70" s="87" t="s">
        <v>3808</v>
      </c>
      <c r="C70" s="112" t="s">
        <v>217</v>
      </c>
      <c r="D70" s="89" t="s">
        <v>1990</v>
      </c>
      <c r="E70" s="116" t="str">
        <f>HYPERLINK("https://youtu.be/OTyO3KY5jRM","channel 2")</f>
        <v>channel 2</v>
      </c>
    </row>
    <row r="71">
      <c r="B71" s="87" t="s">
        <v>4238</v>
      </c>
      <c r="C71" s="112" t="s">
        <v>355</v>
      </c>
      <c r="D71" s="89" t="s">
        <v>4237</v>
      </c>
      <c r="E71" s="135" t="str">
        <f>HYPERLINK("https://youtu.be/dk_oIBeD44U","channel 1")</f>
        <v>channel 1</v>
      </c>
    </row>
    <row r="72">
      <c r="B72" s="87" t="s">
        <v>3808</v>
      </c>
      <c r="C72" s="112" t="s">
        <v>320</v>
      </c>
      <c r="D72" s="89" t="s">
        <v>3811</v>
      </c>
      <c r="E72" s="116" t="str">
        <f>HYPERLINK("https://youtu.be/VwFTdxi3dyc","channel 2")</f>
        <v>channel 2</v>
      </c>
    </row>
    <row r="73">
      <c r="B73" s="87" t="s">
        <v>4238</v>
      </c>
      <c r="C73" s="112" t="s">
        <v>16</v>
      </c>
      <c r="D73" s="89" t="s">
        <v>1990</v>
      </c>
      <c r="E73" s="44" t="str">
        <f>HYPERLINK("https://youtu.be/wG3UqzbwVLk","channel 1")</f>
        <v>channel 1</v>
      </c>
    </row>
    <row r="74">
      <c r="B74" s="87" t="s">
        <v>3808</v>
      </c>
      <c r="C74" s="112" t="s">
        <v>19</v>
      </c>
      <c r="D74" s="89" t="s">
        <v>4237</v>
      </c>
      <c r="E74" s="115" t="str">
        <f>HYPERLINK("https://youtu.be/O-c1jd3GgtI","channel 2")</f>
        <v>channel 2</v>
      </c>
    </row>
    <row r="75">
      <c r="B75" s="87" t="s">
        <v>4238</v>
      </c>
      <c r="C75" s="112" t="s">
        <v>24</v>
      </c>
      <c r="D75" s="89" t="s">
        <v>3811</v>
      </c>
      <c r="E75" s="44" t="str">
        <f>HYPERLINK("https://youtu.be/AJStd4ifAU0","channel 1")</f>
        <v>channel 1</v>
      </c>
    </row>
    <row r="76">
      <c r="B76" s="87" t="s">
        <v>1990</v>
      </c>
      <c r="C76" s="112" t="s">
        <v>48</v>
      </c>
      <c r="D76" s="89" t="s">
        <v>4237</v>
      </c>
      <c r="E76" s="115" t="str">
        <f>HYPERLINK("https://youtu.be/EoT3OabRWPQ","channel 2")</f>
        <v>channel 2</v>
      </c>
    </row>
    <row r="77">
      <c r="B77" s="87" t="s">
        <v>4238</v>
      </c>
      <c r="C77" s="112" t="s">
        <v>195</v>
      </c>
      <c r="D77" s="89" t="s">
        <v>3808</v>
      </c>
      <c r="E77" s="44" t="str">
        <f>HYPERLINK("https://youtu.be/RAyJIn0H8L0","channel 1")</f>
        <v>channel 1</v>
      </c>
    </row>
    <row r="78">
      <c r="B78" s="87" t="s">
        <v>1990</v>
      </c>
      <c r="C78" s="112" t="s">
        <v>238</v>
      </c>
      <c r="D78" s="89" t="s">
        <v>3811</v>
      </c>
      <c r="E78" s="115" t="str">
        <f>HYPERLINK("https://youtu.be/34sDWexNs_U","channel 2")</f>
        <v>channel 2</v>
      </c>
    </row>
    <row r="79">
      <c r="B79" s="87" t="s">
        <v>3811</v>
      </c>
      <c r="C79" s="112" t="s">
        <v>19</v>
      </c>
      <c r="D79" s="89" t="s">
        <v>4237</v>
      </c>
      <c r="E79" s="44" t="str">
        <f>HYPERLINK("https://youtu.be/FRt04lLQg9I","channel 1")</f>
        <v>channel 1</v>
      </c>
    </row>
    <row r="80">
      <c r="B80" s="87" t="s">
        <v>1990</v>
      </c>
      <c r="C80" s="112" t="s">
        <v>68</v>
      </c>
      <c r="D80" s="89" t="s">
        <v>3808</v>
      </c>
      <c r="E80" s="115" t="str">
        <f>HYPERLINK("https://youtu.be/ILaJIIPthlA","channel 2")</f>
        <v>channel 2</v>
      </c>
    </row>
    <row r="81">
      <c r="B81" s="87" t="s">
        <v>4237</v>
      </c>
      <c r="C81" s="112" t="s">
        <v>18</v>
      </c>
      <c r="D81" s="89" t="s">
        <v>4238</v>
      </c>
      <c r="E81" s="44" t="str">
        <f>HYPERLINK("https://youtu.be/JfGdFQPtQR4","channel 1")</f>
        <v>channel 1</v>
      </c>
    </row>
    <row r="82">
      <c r="B82" s="87" t="s">
        <v>3811</v>
      </c>
      <c r="C82" s="112" t="s">
        <v>258</v>
      </c>
      <c r="D82" s="89" t="s">
        <v>3808</v>
      </c>
      <c r="E82" s="115" t="str">
        <f>HYPERLINK("https://youtu.be/pyFPhQ20Py8","channel 2")</f>
        <v>channel 2</v>
      </c>
    </row>
    <row r="83">
      <c r="B83" s="87" t="s">
        <v>1990</v>
      </c>
      <c r="C83" s="112" t="s">
        <v>67</v>
      </c>
      <c r="D83" s="89" t="s">
        <v>4238</v>
      </c>
      <c r="E83" s="44" t="str">
        <f>HYPERLINK("https://youtu.be/ZzzbDSlAnW4","channel 1")</f>
        <v>channel 1</v>
      </c>
    </row>
    <row r="84">
      <c r="B84" s="87" t="s">
        <v>4237</v>
      </c>
      <c r="C84" s="112" t="s">
        <v>49</v>
      </c>
      <c r="D84" s="89" t="s">
        <v>3808</v>
      </c>
      <c r="E84" s="115" t="str">
        <f>HYPERLINK("https://youtu.be/gXGzXleILeQ","channel 2")</f>
        <v>channel 2</v>
      </c>
    </row>
    <row r="85">
      <c r="B85" s="87" t="s">
        <v>3811</v>
      </c>
      <c r="C85" s="112" t="s">
        <v>1067</v>
      </c>
      <c r="D85" s="89" t="s">
        <v>4238</v>
      </c>
      <c r="E85" s="44" t="str">
        <f>HYPERLINK("https://youtu.be/JAFbXQlDrlY","channel 1")</f>
        <v>channel 1</v>
      </c>
    </row>
    <row r="86">
      <c r="B86" s="87" t="s">
        <v>4237</v>
      </c>
      <c r="C86" s="112" t="s">
        <v>62</v>
      </c>
      <c r="D86" s="89" t="s">
        <v>1990</v>
      </c>
      <c r="E86" s="115" t="str">
        <f>HYPERLINK("https://youtu.be/XA1SQUyRDyY","channel 2")</f>
        <v>channel 2</v>
      </c>
    </row>
    <row r="87">
      <c r="B87" s="87" t="s">
        <v>3808</v>
      </c>
      <c r="C87" s="112" t="s">
        <v>11</v>
      </c>
      <c r="D87" s="89" t="s">
        <v>4238</v>
      </c>
      <c r="E87" s="44" t="str">
        <f>HYPERLINK("https://youtu.be/dAusmdagxS4","channel 1")</f>
        <v>channel 1</v>
      </c>
    </row>
    <row r="88">
      <c r="B88" s="87" t="s">
        <v>3811</v>
      </c>
      <c r="C88" s="112" t="s">
        <v>260</v>
      </c>
      <c r="D88" s="89" t="s">
        <v>1990</v>
      </c>
      <c r="E88" s="115" t="str">
        <f>HYPERLINK("https://youtu.be/NqMoC_w1QTs","channel 2")</f>
        <v>channel 2</v>
      </c>
    </row>
    <row r="89">
      <c r="B89" s="148"/>
      <c r="C89" s="148"/>
      <c r="D89" s="148"/>
      <c r="E89" s="149"/>
    </row>
    <row r="90">
      <c r="B90" s="148"/>
      <c r="C90" s="148"/>
      <c r="D90" s="148"/>
      <c r="E90" s="149"/>
    </row>
    <row r="91">
      <c r="B91" s="148"/>
      <c r="C91" s="148"/>
      <c r="D91" s="148"/>
      <c r="E91" s="149"/>
    </row>
    <row r="92">
      <c r="B92" s="148"/>
      <c r="C92" s="148"/>
      <c r="D92" s="148"/>
      <c r="E92" s="149"/>
    </row>
    <row r="93">
      <c r="B93" s="148"/>
      <c r="C93" s="148"/>
      <c r="D93" s="148"/>
      <c r="E93" s="149"/>
    </row>
    <row r="94">
      <c r="B94" s="148"/>
      <c r="C94" s="148"/>
      <c r="D94" s="148"/>
      <c r="E94" s="149"/>
    </row>
    <row r="95">
      <c r="B95" s="148"/>
      <c r="C95" s="148"/>
      <c r="D95" s="148"/>
      <c r="E95" s="149"/>
    </row>
    <row r="96">
      <c r="B96" s="148"/>
      <c r="C96" s="148"/>
      <c r="D96" s="148"/>
      <c r="E96" s="149"/>
    </row>
    <row r="97">
      <c r="B97" s="148"/>
      <c r="C97" s="148"/>
      <c r="D97" s="148"/>
      <c r="E97" s="149"/>
    </row>
    <row r="98">
      <c r="B98" s="148"/>
      <c r="C98" s="148"/>
      <c r="D98" s="148"/>
      <c r="E98" s="149"/>
    </row>
    <row r="99">
      <c r="B99" s="148"/>
      <c r="C99" s="148"/>
      <c r="D99" s="148"/>
      <c r="E99" s="149"/>
    </row>
    <row r="100">
      <c r="B100" s="148"/>
      <c r="C100" s="148"/>
      <c r="D100" s="148"/>
      <c r="E100" s="149"/>
    </row>
    <row r="101">
      <c r="B101" s="148"/>
      <c r="C101" s="148"/>
      <c r="D101" s="148"/>
      <c r="E101" s="149"/>
    </row>
    <row r="102">
      <c r="B102" s="148"/>
      <c r="C102" s="148"/>
      <c r="D102" s="148"/>
      <c r="E102" s="149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0" t="s">
        <v>4178</v>
      </c>
      <c r="C1" s="151"/>
      <c r="D1" s="151"/>
      <c r="E1" s="152"/>
    </row>
    <row r="2">
      <c r="B2" s="153" t="s">
        <v>2</v>
      </c>
      <c r="C2" s="86" t="s">
        <v>3</v>
      </c>
      <c r="D2" s="154" t="s">
        <v>4</v>
      </c>
      <c r="E2" s="154" t="s">
        <v>5</v>
      </c>
    </row>
    <row r="3">
      <c r="B3" s="8" t="s">
        <v>4239</v>
      </c>
      <c r="C3" s="159" t="s">
        <v>55</v>
      </c>
      <c r="D3" s="166" t="s">
        <v>3122</v>
      </c>
      <c r="E3" s="135" t="str">
        <f>HYPERLINK("https://youtu.be/O3GJCMZIOiQ","channel 1")</f>
        <v>channel 1</v>
      </c>
    </row>
    <row r="4">
      <c r="B4" s="100" t="s">
        <v>4015</v>
      </c>
      <c r="C4" s="112" t="s">
        <v>201</v>
      </c>
      <c r="D4" s="101" t="s">
        <v>4240</v>
      </c>
      <c r="E4" s="116" t="str">
        <f>HYPERLINK("https://youtu.be/SXghyOasdsY","channel 2")</f>
        <v>channel 2</v>
      </c>
    </row>
    <row r="5">
      <c r="B5" s="100" t="s">
        <v>4241</v>
      </c>
      <c r="C5" s="112" t="s">
        <v>87</v>
      </c>
      <c r="D5" s="101" t="s">
        <v>4239</v>
      </c>
      <c r="E5" s="135" t="str">
        <f>HYPERLINK("https://youtu.be/o1vV3BAB9us","channel 1")</f>
        <v>channel 1</v>
      </c>
    </row>
    <row r="6">
      <c r="B6" s="100" t="s">
        <v>4015</v>
      </c>
      <c r="C6" s="112" t="s">
        <v>196</v>
      </c>
      <c r="D6" s="101" t="s">
        <v>3122</v>
      </c>
      <c r="E6" s="116" t="str">
        <f>HYPERLINK("https://youtu.be/wFlB4yU-aNY","channel 2")</f>
        <v>channel 2</v>
      </c>
    </row>
    <row r="7">
      <c r="B7" s="100" t="s">
        <v>4241</v>
      </c>
      <c r="C7" s="112" t="s">
        <v>330</v>
      </c>
      <c r="D7" s="101" t="s">
        <v>4240</v>
      </c>
      <c r="E7" s="135" t="str">
        <f>HYPERLINK("https://youtu.be/_iBN4RTjIS8","channel 1")</f>
        <v>channel 1</v>
      </c>
    </row>
    <row r="8">
      <c r="B8" s="100" t="s">
        <v>4015</v>
      </c>
      <c r="C8" s="112" t="s">
        <v>68</v>
      </c>
      <c r="D8" s="101" t="s">
        <v>4239</v>
      </c>
      <c r="E8" s="116" t="str">
        <f>HYPERLINK("https://youtu.be/PKoodpQdh_w","channel 2")</f>
        <v>channel 2</v>
      </c>
    </row>
    <row r="9">
      <c r="B9" s="100" t="s">
        <v>4241</v>
      </c>
      <c r="C9" s="112" t="s">
        <v>936</v>
      </c>
      <c r="D9" s="101" t="s">
        <v>3122</v>
      </c>
      <c r="E9" s="135" t="str">
        <f>HYPERLINK("https://youtu.be/AI_-VS0jjlo","channel 1")</f>
        <v>channel 1</v>
      </c>
    </row>
    <row r="10">
      <c r="B10" s="100" t="s">
        <v>4240</v>
      </c>
      <c r="C10" s="112" t="s">
        <v>64</v>
      </c>
      <c r="D10" s="101" t="s">
        <v>4239</v>
      </c>
      <c r="E10" s="116" t="str">
        <f>HYPERLINK("https://youtu.be/9nHnQ9apFKc","channel 2")</f>
        <v>channel 2</v>
      </c>
    </row>
    <row r="11">
      <c r="B11" s="100" t="s">
        <v>4241</v>
      </c>
      <c r="C11" s="112" t="s">
        <v>369</v>
      </c>
      <c r="D11" s="101" t="s">
        <v>4015</v>
      </c>
      <c r="E11" s="135" t="str">
        <f>HYPERLINK("https://youtu.be/sOfAcXDmWXA","channel 1")</f>
        <v>channel 1</v>
      </c>
    </row>
    <row r="12">
      <c r="B12" s="100" t="s">
        <v>4240</v>
      </c>
      <c r="C12" s="112" t="s">
        <v>201</v>
      </c>
      <c r="D12" s="101" t="s">
        <v>3122</v>
      </c>
      <c r="E12" s="116" t="str">
        <f>HYPERLINK("https://youtu.be/vUrd6G7BlQo","channel 2")</f>
        <v>channel 2</v>
      </c>
    </row>
    <row r="13">
      <c r="B13" s="100" t="s">
        <v>3122</v>
      </c>
      <c r="C13" s="112" t="s">
        <v>201</v>
      </c>
      <c r="D13" s="101" t="s">
        <v>4239</v>
      </c>
      <c r="E13" s="135" t="str">
        <f>HYPERLINK("https://youtu.be/Idw-l00kfsc","channel 1")</f>
        <v>channel 1</v>
      </c>
    </row>
    <row r="14">
      <c r="B14" s="100" t="s">
        <v>4240</v>
      </c>
      <c r="C14" s="112" t="s">
        <v>11</v>
      </c>
      <c r="D14" s="101" t="s">
        <v>4015</v>
      </c>
      <c r="E14" s="116" t="str">
        <f>HYPERLINK("https://youtu.be/bz8xKRNkWEM","channel 2")</f>
        <v>channel 2</v>
      </c>
    </row>
    <row r="15">
      <c r="B15" s="100" t="s">
        <v>4239</v>
      </c>
      <c r="C15" s="112" t="s">
        <v>250</v>
      </c>
      <c r="D15" s="101" t="s">
        <v>4241</v>
      </c>
      <c r="E15" s="135" t="str">
        <f>HYPERLINK("https://youtu.be/QkpF34cyJAs","channel 1")</f>
        <v>channel 1</v>
      </c>
    </row>
    <row r="16">
      <c r="B16" s="100" t="s">
        <v>3122</v>
      </c>
      <c r="C16" s="112" t="s">
        <v>239</v>
      </c>
      <c r="D16" s="101" t="s">
        <v>4015</v>
      </c>
      <c r="E16" s="116" t="str">
        <f>HYPERLINK("https://youtu.be/4DurPocWjpQ","channel 2")</f>
        <v>channel 2</v>
      </c>
    </row>
    <row r="17">
      <c r="B17" s="100" t="s">
        <v>4240</v>
      </c>
      <c r="C17" s="112" t="s">
        <v>212</v>
      </c>
      <c r="D17" s="101" t="s">
        <v>4241</v>
      </c>
      <c r="E17" s="135" t="str">
        <f>HYPERLINK("https://youtu.be/jlmLDA5iKMs","channel 1")</f>
        <v>channel 1</v>
      </c>
    </row>
    <row r="18">
      <c r="B18" s="100" t="s">
        <v>4239</v>
      </c>
      <c r="C18" s="112" t="s">
        <v>217</v>
      </c>
      <c r="D18" s="101" t="s">
        <v>4015</v>
      </c>
      <c r="E18" s="116" t="str">
        <f>HYPERLINK("https://youtu.be/jlxP2uBp5No","channel 2")</f>
        <v>channel 2</v>
      </c>
    </row>
    <row r="19">
      <c r="B19" s="100" t="s">
        <v>3122</v>
      </c>
      <c r="C19" s="112" t="s">
        <v>494</v>
      </c>
      <c r="D19" s="101" t="s">
        <v>4241</v>
      </c>
      <c r="E19" s="135" t="str">
        <f>HYPERLINK("https://youtu.be/w3yd7jtGV4s","channel 1")</f>
        <v>channel 1</v>
      </c>
    </row>
    <row r="20">
      <c r="B20" s="100" t="s">
        <v>4239</v>
      </c>
      <c r="C20" s="112" t="s">
        <v>285</v>
      </c>
      <c r="D20" s="101" t="s">
        <v>4240</v>
      </c>
      <c r="E20" s="116" t="str">
        <f>HYPERLINK("https://youtu.be/ZRsYx-sQCKM","channel 2")</f>
        <v>channel 2</v>
      </c>
    </row>
    <row r="21">
      <c r="B21" s="100" t="s">
        <v>4015</v>
      </c>
      <c r="C21" s="112" t="s">
        <v>2500</v>
      </c>
      <c r="D21" s="101" t="s">
        <v>4241</v>
      </c>
      <c r="E21" s="135" t="str">
        <f>HYPERLINK("https://youtu.be/WJ-MvXmxMGY","channel 1")</f>
        <v>channel 1</v>
      </c>
    </row>
    <row r="22">
      <c r="B22" s="100" t="s">
        <v>3122</v>
      </c>
      <c r="C22" s="112" t="s">
        <v>87</v>
      </c>
      <c r="D22" s="101" t="s">
        <v>4240</v>
      </c>
      <c r="E22" s="116" t="str">
        <f>HYPERLINK("https://youtu.be/6vQPH0ophuE","channel 2")</f>
        <v>channel 2</v>
      </c>
    </row>
    <row r="23">
      <c r="B23" s="150" t="s">
        <v>2099</v>
      </c>
      <c r="C23" s="151"/>
      <c r="D23" s="151"/>
      <c r="E23" s="152"/>
    </row>
    <row r="24">
      <c r="B24" s="153" t="s">
        <v>2</v>
      </c>
      <c r="C24" s="86" t="s">
        <v>3</v>
      </c>
      <c r="D24" s="154" t="s">
        <v>4</v>
      </c>
      <c r="E24" s="154" t="s">
        <v>5</v>
      </c>
    </row>
    <row r="25">
      <c r="B25" s="100" t="s">
        <v>4242</v>
      </c>
      <c r="C25" s="112" t="s">
        <v>270</v>
      </c>
      <c r="D25" s="101" t="s">
        <v>4061</v>
      </c>
      <c r="E25" s="135" t="str">
        <f>HYPERLINK("https://youtu.be/jjm1Wz7hB1I","channel 1")</f>
        <v>channel 1</v>
      </c>
    </row>
    <row r="26">
      <c r="B26" s="100" t="s">
        <v>2680</v>
      </c>
      <c r="C26" s="112" t="s">
        <v>317</v>
      </c>
      <c r="D26" s="101" t="s">
        <v>4243</v>
      </c>
      <c r="E26" s="116" t="str">
        <f>HYPERLINK("https://youtu.be/7NMZkRTOhDY","channel 2")</f>
        <v>channel 2</v>
      </c>
    </row>
    <row r="27">
      <c r="B27" s="100" t="s">
        <v>3766</v>
      </c>
      <c r="C27" s="112" t="s">
        <v>218</v>
      </c>
      <c r="D27" s="101" t="s">
        <v>4242</v>
      </c>
      <c r="E27" s="135" t="str">
        <f>HYPERLINK("https://youtu.be/1Z1VFKRzD7I","channel 1")</f>
        <v>channel 1</v>
      </c>
    </row>
    <row r="28">
      <c r="B28" s="100" t="s">
        <v>2680</v>
      </c>
      <c r="C28" s="112" t="s">
        <v>195</v>
      </c>
      <c r="D28" s="101" t="s">
        <v>4061</v>
      </c>
      <c r="E28" s="116" t="str">
        <f>HYPERLINK("https://youtu.be/OJZksrToz5g","channel 2")</f>
        <v>channel 2</v>
      </c>
    </row>
    <row r="29">
      <c r="B29" s="100" t="s">
        <v>3766</v>
      </c>
      <c r="C29" s="112" t="s">
        <v>297</v>
      </c>
      <c r="D29" s="101" t="s">
        <v>4243</v>
      </c>
      <c r="E29" s="135" t="str">
        <f>HYPERLINK("https://youtu.be/YYpTyRIALpM","channel 1")</f>
        <v>channel 1</v>
      </c>
    </row>
    <row r="30">
      <c r="B30" s="100" t="s">
        <v>2680</v>
      </c>
      <c r="C30" s="112" t="s">
        <v>331</v>
      </c>
      <c r="D30" s="101" t="s">
        <v>4242</v>
      </c>
      <c r="E30" s="116" t="str">
        <f>HYPERLINK("https://youtu.be/nynlBDuAQNc","channel 2")</f>
        <v>channel 2</v>
      </c>
    </row>
    <row r="31">
      <c r="B31" s="100" t="s">
        <v>3766</v>
      </c>
      <c r="C31" s="33" t="s">
        <v>193</v>
      </c>
      <c r="D31" s="101" t="s">
        <v>4061</v>
      </c>
      <c r="E31" s="135" t="str">
        <f>HYPERLINK("https://youtu.be/Q8EqGFaPWrA","channel 1")</f>
        <v>channel 1</v>
      </c>
    </row>
    <row r="32">
      <c r="B32" s="100" t="s">
        <v>4243</v>
      </c>
      <c r="C32" s="167" t="s">
        <v>1021</v>
      </c>
      <c r="D32" s="101" t="s">
        <v>4242</v>
      </c>
      <c r="E32" s="116" t="str">
        <f>HYPERLINK("https://youtu.be/JWl-4y6v4oE","channel 2")</f>
        <v>channel 2</v>
      </c>
    </row>
    <row r="33">
      <c r="B33" s="100" t="s">
        <v>3766</v>
      </c>
      <c r="C33" s="112" t="s">
        <v>295</v>
      </c>
      <c r="D33" s="101" t="s">
        <v>2680</v>
      </c>
      <c r="E33" s="135" t="str">
        <f>HYPERLINK("https://youtu.be/-yIwoZhVQSQ","channel 1")</f>
        <v>channel 1</v>
      </c>
    </row>
    <row r="34">
      <c r="B34" s="8" t="s">
        <v>4243</v>
      </c>
      <c r="C34" s="33" t="s">
        <v>17</v>
      </c>
      <c r="D34" s="8" t="s">
        <v>4061</v>
      </c>
      <c r="E34" s="116" t="str">
        <f>HYPERLINK("https://youtu.be/f_ZZ2D7uDL8","channel 2")</f>
        <v>channel 2</v>
      </c>
    </row>
    <row r="35">
      <c r="B35" s="8" t="s">
        <v>4061</v>
      </c>
      <c r="C35" s="33" t="s">
        <v>261</v>
      </c>
      <c r="D35" s="8" t="s">
        <v>4242</v>
      </c>
      <c r="E35" s="135" t="str">
        <f>HYPERLINK("https://youtu.be/XvKdK4wdjj4","channel 1")</f>
        <v>channel 1</v>
      </c>
    </row>
    <row r="36">
      <c r="B36" s="8" t="s">
        <v>4243</v>
      </c>
      <c r="C36" s="33" t="s">
        <v>47</v>
      </c>
      <c r="D36" s="8" t="s">
        <v>2680</v>
      </c>
      <c r="E36" s="116" t="str">
        <f>HYPERLINK("https://youtu.be/k154nE6V1g8","channel 2")</f>
        <v>channel 2</v>
      </c>
    </row>
    <row r="37">
      <c r="B37" s="8" t="s">
        <v>4242</v>
      </c>
      <c r="C37" s="33" t="s">
        <v>18</v>
      </c>
      <c r="D37" s="8" t="s">
        <v>3766</v>
      </c>
      <c r="E37" s="135" t="str">
        <f>HYPERLINK("https://youtu.be/P0XAd4b3oBE","channel 1")</f>
        <v>channel 1</v>
      </c>
    </row>
    <row r="38">
      <c r="B38" s="8" t="s">
        <v>4061</v>
      </c>
      <c r="C38" s="33" t="s">
        <v>11</v>
      </c>
      <c r="D38" s="8" t="s">
        <v>2680</v>
      </c>
      <c r="E38" s="116" t="str">
        <f>HYPERLINK("https://youtu.be/-RZQuPom1QY","channel 2")</f>
        <v>channel 2</v>
      </c>
    </row>
    <row r="39">
      <c r="B39" s="8" t="s">
        <v>4243</v>
      </c>
      <c r="C39" s="33" t="s">
        <v>196</v>
      </c>
      <c r="D39" s="8" t="s">
        <v>3766</v>
      </c>
      <c r="E39" s="135" t="str">
        <f>HYPERLINK("https://youtu.be/HRkihnMXbx0","channel 1")</f>
        <v>channel 1</v>
      </c>
    </row>
    <row r="40">
      <c r="B40" s="8" t="s">
        <v>4242</v>
      </c>
      <c r="C40" s="33" t="s">
        <v>259</v>
      </c>
      <c r="D40" s="8" t="s">
        <v>2680</v>
      </c>
      <c r="E40" s="116" t="str">
        <f>HYPERLINK("https://youtu.be/nRnSrMUALjw","channel 2")</f>
        <v>channel 2</v>
      </c>
    </row>
    <row r="41">
      <c r="B41" s="8" t="s">
        <v>4061</v>
      </c>
      <c r="C41" s="33" t="s">
        <v>260</v>
      </c>
      <c r="D41" s="8" t="s">
        <v>3766</v>
      </c>
      <c r="E41" s="135" t="str">
        <f>HYPERLINK("https://youtu.be/VK-wR-k0dSU","channel 1")</f>
        <v>channel 1</v>
      </c>
    </row>
    <row r="42">
      <c r="B42" s="8" t="s">
        <v>4242</v>
      </c>
      <c r="C42" s="33" t="s">
        <v>197</v>
      </c>
      <c r="D42" s="8" t="s">
        <v>4243</v>
      </c>
      <c r="E42" s="116" t="str">
        <f>HYPERLINK("https://youtu.be/OWribqnDrt4","channel 2")</f>
        <v>channel 2</v>
      </c>
    </row>
    <row r="43">
      <c r="B43" s="8" t="s">
        <v>2680</v>
      </c>
      <c r="C43" s="33" t="s">
        <v>83</v>
      </c>
      <c r="D43" s="8" t="s">
        <v>3766</v>
      </c>
      <c r="E43" s="135" t="str">
        <f>HYPERLINK("https://youtu.be/vq-eQuKC1FY","channel 1")</f>
        <v>channel 1</v>
      </c>
    </row>
    <row r="44">
      <c r="B44" s="8" t="s">
        <v>4061</v>
      </c>
      <c r="C44" s="33" t="s">
        <v>285</v>
      </c>
      <c r="D44" s="8" t="s">
        <v>4243</v>
      </c>
      <c r="E44" s="116" t="str">
        <f>HYPERLINK("https://youtu.be/7RZHq1e_37Q","channel 2")</f>
        <v>channel 2</v>
      </c>
    </row>
    <row r="45">
      <c r="B45" s="150" t="s">
        <v>2554</v>
      </c>
      <c r="C45" s="151"/>
      <c r="D45" s="151"/>
      <c r="E45" s="152"/>
    </row>
    <row r="46">
      <c r="B46" s="85" t="s">
        <v>2</v>
      </c>
      <c r="C46" s="86" t="s">
        <v>3</v>
      </c>
      <c r="D46" s="86" t="s">
        <v>4</v>
      </c>
      <c r="E46" s="86" t="s">
        <v>5</v>
      </c>
    </row>
    <row r="47">
      <c r="B47" s="8" t="s">
        <v>4244</v>
      </c>
      <c r="C47" s="159" t="s">
        <v>195</v>
      </c>
      <c r="D47" s="166" t="s">
        <v>4245</v>
      </c>
      <c r="E47" s="135" t="str">
        <f>HYPERLINK("https://youtu.be/F_qsK7c09_w","channel 1")</f>
        <v>channel 1</v>
      </c>
    </row>
    <row r="48">
      <c r="B48" s="100" t="s">
        <v>4184</v>
      </c>
      <c r="C48" s="112" t="s">
        <v>414</v>
      </c>
      <c r="D48" s="101" t="s">
        <v>3759</v>
      </c>
      <c r="E48" s="116" t="str">
        <f>HYPERLINK("https://youtu.be/n2iRAwZ54EA","channel 2")</f>
        <v>channel 2</v>
      </c>
    </row>
    <row r="49">
      <c r="B49" s="100" t="s">
        <v>4085</v>
      </c>
      <c r="C49" s="112" t="s">
        <v>88</v>
      </c>
      <c r="D49" s="101" t="s">
        <v>4244</v>
      </c>
      <c r="E49" s="135" t="str">
        <f>HYPERLINK("https://youtu.be/3Zzo0G9F2dQ","channel 1")</f>
        <v>channel 1</v>
      </c>
    </row>
    <row r="50">
      <c r="B50" s="100" t="s">
        <v>4184</v>
      </c>
      <c r="C50" s="112" t="s">
        <v>282</v>
      </c>
      <c r="D50" s="101" t="s">
        <v>4245</v>
      </c>
      <c r="E50" s="116" t="str">
        <f>HYPERLINK("https://youtu.be/7J5I95nN5bY","channel 2")</f>
        <v>channel 2</v>
      </c>
    </row>
    <row r="51">
      <c r="B51" s="100" t="s">
        <v>4085</v>
      </c>
      <c r="C51" s="112" t="s">
        <v>26</v>
      </c>
      <c r="D51" s="101" t="s">
        <v>3759</v>
      </c>
      <c r="E51" s="135" t="str">
        <f>HYPERLINK("https://youtu.be/U53UHjtEmCM","channel 1")</f>
        <v>channel 1</v>
      </c>
    </row>
    <row r="52">
      <c r="B52" s="100" t="s">
        <v>4184</v>
      </c>
      <c r="C52" s="112" t="s">
        <v>217</v>
      </c>
      <c r="D52" s="101" t="s">
        <v>4244</v>
      </c>
      <c r="E52" s="116" t="str">
        <f>HYPERLINK("https://youtu.be/laZ9saLq79o","channel 2")</f>
        <v>channel 2</v>
      </c>
    </row>
    <row r="53">
      <c r="B53" s="100" t="s">
        <v>4085</v>
      </c>
      <c r="C53" s="112" t="s">
        <v>22</v>
      </c>
      <c r="D53" s="101" t="s">
        <v>4245</v>
      </c>
      <c r="E53" s="135" t="str">
        <f>HYPERLINK("https://youtu.be/DzUiNc424xs","channel 1")</f>
        <v>channel 1</v>
      </c>
    </row>
    <row r="54">
      <c r="B54" s="100" t="s">
        <v>3759</v>
      </c>
      <c r="C54" s="112" t="s">
        <v>506</v>
      </c>
      <c r="D54" s="101" t="s">
        <v>4244</v>
      </c>
      <c r="E54" s="116" t="str">
        <f>HYPERLINK("https://youtu.be/lnR1eWgmgkg","channel 2")</f>
        <v>channel 2</v>
      </c>
    </row>
    <row r="55">
      <c r="B55" s="100" t="s">
        <v>4085</v>
      </c>
      <c r="C55" s="112" t="s">
        <v>196</v>
      </c>
      <c r="D55" s="101" t="s">
        <v>4184</v>
      </c>
      <c r="E55" s="135" t="str">
        <f>HYPERLINK("https://youtu.be/UOiLcOQoU8c","channel 1")</f>
        <v>channel 1</v>
      </c>
    </row>
    <row r="56">
      <c r="B56" s="100" t="s">
        <v>3759</v>
      </c>
      <c r="C56" s="112" t="s">
        <v>65</v>
      </c>
      <c r="D56" s="101" t="s">
        <v>4245</v>
      </c>
      <c r="E56" s="116" t="str">
        <f>HYPERLINK("https://youtu.be/nuqLXB2vjPc","channel 2")</f>
        <v>channel 2</v>
      </c>
    </row>
    <row r="57">
      <c r="B57" s="100" t="s">
        <v>4245</v>
      </c>
      <c r="C57" s="112" t="s">
        <v>193</v>
      </c>
      <c r="D57" s="101" t="s">
        <v>4244</v>
      </c>
      <c r="E57" s="135" t="str">
        <f>HYPERLINK("https://youtu.be/NgY33HI2apk","channel 1")</f>
        <v>channel 1</v>
      </c>
    </row>
    <row r="58">
      <c r="B58" s="100" t="s">
        <v>3759</v>
      </c>
      <c r="C58" s="112" t="s">
        <v>50</v>
      </c>
      <c r="D58" s="101" t="s">
        <v>4184</v>
      </c>
      <c r="E58" s="116" t="str">
        <f>HYPERLINK("https://youtu.be/EOMeDCa1aVc","channel 2")</f>
        <v>channel 2</v>
      </c>
    </row>
    <row r="59">
      <c r="B59" s="100" t="s">
        <v>4244</v>
      </c>
      <c r="C59" s="112" t="s">
        <v>286</v>
      </c>
      <c r="D59" s="101" t="s">
        <v>4085</v>
      </c>
      <c r="E59" s="135" t="str">
        <f>HYPERLINK("https://youtu.be/RBqTUDR3AY8","channel 1")</f>
        <v>channel 1</v>
      </c>
    </row>
    <row r="60">
      <c r="B60" s="100" t="s">
        <v>4245</v>
      </c>
      <c r="C60" s="112" t="s">
        <v>943</v>
      </c>
      <c r="D60" s="101" t="s">
        <v>4184</v>
      </c>
      <c r="E60" s="116" t="str">
        <f>HYPERLINK("https://youtu.be/SBN_c3LNV0Q","channel 2")</f>
        <v>channel 2</v>
      </c>
    </row>
    <row r="61">
      <c r="B61" s="100" t="s">
        <v>3759</v>
      </c>
      <c r="C61" s="112" t="s">
        <v>953</v>
      </c>
      <c r="D61" s="101" t="s">
        <v>4085</v>
      </c>
      <c r="E61" s="135" t="str">
        <f>HYPERLINK("https://youtu.be/0jwjCOaLU9M","channel 1")</f>
        <v>channel 1</v>
      </c>
    </row>
    <row r="62">
      <c r="B62" s="100" t="s">
        <v>4244</v>
      </c>
      <c r="C62" s="112" t="s">
        <v>21</v>
      </c>
      <c r="D62" s="101" t="s">
        <v>4184</v>
      </c>
      <c r="E62" s="116" t="str">
        <f>HYPERLINK("https://youtu.be/hvfKrgGnwFA","channel 2")</f>
        <v>channel 2</v>
      </c>
    </row>
    <row r="63">
      <c r="B63" s="100" t="s">
        <v>4245</v>
      </c>
      <c r="C63" s="112" t="s">
        <v>52</v>
      </c>
      <c r="D63" s="101" t="s">
        <v>4085</v>
      </c>
      <c r="E63" s="135" t="str">
        <f>HYPERLINK("https://youtu.be/VrljpWCuUMU","channel 1")</f>
        <v>channel 1</v>
      </c>
    </row>
    <row r="64">
      <c r="B64" s="100" t="s">
        <v>4244</v>
      </c>
      <c r="C64" s="112" t="s">
        <v>267</v>
      </c>
      <c r="D64" s="101" t="s">
        <v>3759</v>
      </c>
      <c r="E64" s="116" t="str">
        <f>HYPERLINK("https://youtu.be/-lr7sThiyto","channel 2")</f>
        <v>channel 2</v>
      </c>
    </row>
    <row r="65">
      <c r="B65" s="100" t="s">
        <v>4184</v>
      </c>
      <c r="C65" s="112" t="s">
        <v>285</v>
      </c>
      <c r="D65" s="101" t="s">
        <v>4085</v>
      </c>
      <c r="E65" s="135" t="str">
        <f>HYPERLINK("https://youtu.be/SRjOadD_Quc","channel 1")</f>
        <v>channel 1</v>
      </c>
    </row>
    <row r="66">
      <c r="B66" s="100" t="s">
        <v>4245</v>
      </c>
      <c r="C66" s="112" t="s">
        <v>52</v>
      </c>
      <c r="D66" s="101" t="s">
        <v>3759</v>
      </c>
      <c r="E66" s="116" t="str">
        <f>HYPERLINK("https://youtu.be/v0v57EfhBiQ","channel 2")</f>
        <v>channel 2</v>
      </c>
    </row>
    <row r="67">
      <c r="B67" s="150" t="s">
        <v>2560</v>
      </c>
      <c r="C67" s="151"/>
      <c r="D67" s="151"/>
      <c r="E67" s="152"/>
    </row>
    <row r="68">
      <c r="B68" s="85" t="s">
        <v>2</v>
      </c>
      <c r="C68" s="86" t="s">
        <v>3</v>
      </c>
      <c r="D68" s="86" t="s">
        <v>4</v>
      </c>
      <c r="E68" s="86" t="s">
        <v>5</v>
      </c>
    </row>
    <row r="69">
      <c r="B69" s="8" t="s">
        <v>3973</v>
      </c>
      <c r="C69" s="159" t="s">
        <v>286</v>
      </c>
      <c r="D69" s="166" t="s">
        <v>3777</v>
      </c>
      <c r="E69" s="135" t="str">
        <f>HYPERLINK("https://youtu.be/vQJ5M0GhbY0","channel 1")</f>
        <v>channel 1</v>
      </c>
    </row>
    <row r="70">
      <c r="B70" s="100" t="s">
        <v>4246</v>
      </c>
      <c r="C70" s="112" t="s">
        <v>22</v>
      </c>
      <c r="D70" s="101" t="s">
        <v>3904</v>
      </c>
      <c r="E70" s="116" t="str">
        <f>HYPERLINK("https://youtu.be/pNBqsm-QW_0","channel 2")</f>
        <v>channel 2</v>
      </c>
    </row>
    <row r="71">
      <c r="B71" s="100" t="s">
        <v>3878</v>
      </c>
      <c r="C71" s="112" t="s">
        <v>494</v>
      </c>
      <c r="D71" s="101" t="s">
        <v>3973</v>
      </c>
      <c r="E71" s="135" t="str">
        <f>HYPERLINK("https://youtu.be/uAushH7cqnw","channel 1")</f>
        <v>channel 1</v>
      </c>
    </row>
    <row r="72">
      <c r="B72" s="100" t="s">
        <v>4246</v>
      </c>
      <c r="C72" s="112" t="s">
        <v>295</v>
      </c>
      <c r="D72" s="101" t="s">
        <v>3777</v>
      </c>
      <c r="E72" s="116" t="str">
        <f>HYPERLINK("https://youtu.be/u7-gkHxkKu0","channel 2")</f>
        <v>channel 2</v>
      </c>
    </row>
    <row r="73">
      <c r="B73" s="100" t="s">
        <v>3878</v>
      </c>
      <c r="C73" s="112" t="s">
        <v>578</v>
      </c>
      <c r="D73" s="101" t="s">
        <v>3904</v>
      </c>
      <c r="E73" s="135" t="str">
        <f>HYPERLINK("https://youtu.be/wGYsRrdI83o","channel 1")</f>
        <v>channel 1</v>
      </c>
    </row>
    <row r="74">
      <c r="B74" s="100" t="s">
        <v>4246</v>
      </c>
      <c r="C74" s="112" t="s">
        <v>536</v>
      </c>
      <c r="D74" s="101" t="s">
        <v>3973</v>
      </c>
      <c r="E74" s="116" t="str">
        <f>HYPERLINK("https://youtu.be/aT23Eh5mODs","channel 2")</f>
        <v>channel 2</v>
      </c>
    </row>
    <row r="75">
      <c r="B75" s="100" t="s">
        <v>3878</v>
      </c>
      <c r="C75" s="112" t="s">
        <v>218</v>
      </c>
      <c r="D75" s="101" t="s">
        <v>3777</v>
      </c>
      <c r="E75" s="135" t="str">
        <f>HYPERLINK("https://youtu.be/JorlXwa_xZ0","channel 1")</f>
        <v>channel 1</v>
      </c>
    </row>
    <row r="76">
      <c r="B76" s="100" t="s">
        <v>3904</v>
      </c>
      <c r="C76" s="112" t="s">
        <v>293</v>
      </c>
      <c r="D76" s="101" t="s">
        <v>3973</v>
      </c>
      <c r="E76" s="116" t="str">
        <f>HYPERLINK("https://youtu.be/YEAkxKyEwpE","channel 2")</f>
        <v>channel 2</v>
      </c>
    </row>
    <row r="77">
      <c r="B77" s="100" t="s">
        <v>3878</v>
      </c>
      <c r="C77" s="112" t="s">
        <v>190</v>
      </c>
      <c r="D77" s="101" t="s">
        <v>4246</v>
      </c>
      <c r="E77" s="135" t="str">
        <f>HYPERLINK("https://youtu.be/H4DdlWc5vDA","channel 1")</f>
        <v>channel 1</v>
      </c>
    </row>
    <row r="78">
      <c r="B78" s="100" t="s">
        <v>3904</v>
      </c>
      <c r="C78" s="112" t="s">
        <v>400</v>
      </c>
      <c r="D78" s="101" t="s">
        <v>3777</v>
      </c>
      <c r="E78" s="116" t="str">
        <f>HYPERLINK("https://youtu.be/bCuDe4JPWiU","channel 2")</f>
        <v>channel 2</v>
      </c>
    </row>
    <row r="79">
      <c r="B79" s="100" t="s">
        <v>3777</v>
      </c>
      <c r="C79" s="112" t="s">
        <v>269</v>
      </c>
      <c r="D79" s="101" t="s">
        <v>3973</v>
      </c>
      <c r="E79" s="135" t="str">
        <f>HYPERLINK("https://youtu.be/jAbe2K-gdyk","channel 1")</f>
        <v>channel 1</v>
      </c>
    </row>
    <row r="80">
      <c r="B80" s="100" t="s">
        <v>3904</v>
      </c>
      <c r="C80" s="112" t="s">
        <v>21</v>
      </c>
      <c r="D80" s="101" t="s">
        <v>4246</v>
      </c>
      <c r="E80" s="116" t="str">
        <f>HYPERLINK("https://youtu.be/XKznd0Jfm7U","channel 2")</f>
        <v>channel 2</v>
      </c>
    </row>
    <row r="81">
      <c r="B81" s="100" t="s">
        <v>3973</v>
      </c>
      <c r="C81" s="112" t="s">
        <v>64</v>
      </c>
      <c r="D81" s="101" t="s">
        <v>3878</v>
      </c>
      <c r="E81" s="135" t="str">
        <f>HYPERLINK("https://youtu.be/0WZjvjMBERs","channel 1")</f>
        <v>channel 1</v>
      </c>
    </row>
    <row r="82">
      <c r="B82" s="100" t="s">
        <v>3777</v>
      </c>
      <c r="C82" s="112" t="s">
        <v>21</v>
      </c>
      <c r="D82" s="101" t="s">
        <v>4246</v>
      </c>
      <c r="E82" s="116" t="str">
        <f>HYPERLINK("https://youtu.be/PanoyWb8vyE","channel 2")</f>
        <v>channel 2</v>
      </c>
    </row>
    <row r="83">
      <c r="B83" s="100" t="s">
        <v>3904</v>
      </c>
      <c r="C83" s="112" t="s">
        <v>857</v>
      </c>
      <c r="D83" s="101" t="s">
        <v>3878</v>
      </c>
      <c r="E83" s="135" t="str">
        <f>HYPERLINK("https://youtu.be/iXyPwkjNCf8","channel 1")</f>
        <v>channel 1</v>
      </c>
    </row>
    <row r="84">
      <c r="B84" s="100" t="s">
        <v>3973</v>
      </c>
      <c r="C84" s="112" t="s">
        <v>17</v>
      </c>
      <c r="D84" s="101" t="s">
        <v>4246</v>
      </c>
      <c r="E84" s="116" t="str">
        <f>HYPERLINK("https://youtu.be/aG3GXddujF0","channel 2")</f>
        <v>channel 2</v>
      </c>
    </row>
    <row r="85">
      <c r="B85" s="100" t="s">
        <v>3777</v>
      </c>
      <c r="C85" s="112" t="s">
        <v>81</v>
      </c>
      <c r="D85" s="101" t="s">
        <v>3878</v>
      </c>
      <c r="E85" s="135" t="str">
        <f>HYPERLINK("https://youtu.be/FjvLcQ3pTWU","channel 1")</f>
        <v>channel 1</v>
      </c>
    </row>
    <row r="86">
      <c r="B86" s="100" t="s">
        <v>3973</v>
      </c>
      <c r="C86" s="112" t="s">
        <v>566</v>
      </c>
      <c r="D86" s="101" t="s">
        <v>3904</v>
      </c>
      <c r="E86" s="116" t="str">
        <f>HYPERLINK("https://youtu.be/ooRkr1Y_Ui0","channel 2")</f>
        <v>channel 2</v>
      </c>
    </row>
    <row r="87">
      <c r="B87" s="100" t="s">
        <v>4246</v>
      </c>
      <c r="C87" s="112" t="s">
        <v>190</v>
      </c>
      <c r="D87" s="101" t="s">
        <v>3878</v>
      </c>
      <c r="E87" s="135" t="str">
        <f>HYPERLINK("https://youtu.be/a2mqGHogVqg","channel 1")</f>
        <v>channel 1</v>
      </c>
    </row>
    <row r="88">
      <c r="B88" s="100" t="s">
        <v>3777</v>
      </c>
      <c r="C88" s="112" t="s">
        <v>267</v>
      </c>
      <c r="D88" s="101" t="s">
        <v>3904</v>
      </c>
      <c r="E88" s="116" t="str">
        <f>HYPERLINK("https://youtu.be/um-WJwWjNdU","channel 2")</f>
        <v>channel 2</v>
      </c>
    </row>
    <row r="89">
      <c r="B89" s="148"/>
      <c r="C89" s="148"/>
      <c r="D89" s="148"/>
      <c r="E89" s="149"/>
    </row>
    <row r="90">
      <c r="B90" s="148"/>
      <c r="C90" s="148"/>
      <c r="D90" s="148"/>
      <c r="E90" s="149"/>
    </row>
    <row r="91">
      <c r="B91" s="148"/>
      <c r="C91" s="148"/>
      <c r="D91" s="148"/>
      <c r="E91" s="149"/>
    </row>
    <row r="92">
      <c r="B92" s="148"/>
      <c r="C92" s="148"/>
      <c r="D92" s="148"/>
      <c r="E92" s="149"/>
    </row>
    <row r="93">
      <c r="B93" s="148"/>
      <c r="C93" s="148"/>
      <c r="D93" s="148"/>
      <c r="E93" s="149"/>
    </row>
    <row r="94">
      <c r="B94" s="148"/>
      <c r="C94" s="148"/>
      <c r="D94" s="148"/>
      <c r="E94" s="149"/>
    </row>
    <row r="95">
      <c r="B95" s="148"/>
      <c r="C95" s="148"/>
      <c r="D95" s="148"/>
      <c r="E95" s="149"/>
    </row>
    <row r="96">
      <c r="B96" s="148"/>
      <c r="C96" s="148"/>
      <c r="D96" s="148"/>
      <c r="E96" s="149"/>
    </row>
    <row r="97">
      <c r="B97" s="148"/>
      <c r="C97" s="148"/>
      <c r="D97" s="148"/>
      <c r="E97" s="149"/>
    </row>
    <row r="98">
      <c r="B98" s="148"/>
      <c r="C98" s="148"/>
      <c r="D98" s="148"/>
      <c r="E98" s="149"/>
    </row>
    <row r="99">
      <c r="B99" s="148"/>
      <c r="C99" s="148"/>
      <c r="D99" s="148"/>
      <c r="E99" s="149"/>
    </row>
    <row r="100">
      <c r="B100" s="148"/>
      <c r="C100" s="148"/>
      <c r="D100" s="148"/>
      <c r="E100" s="149"/>
    </row>
    <row r="101">
      <c r="B101" s="148"/>
      <c r="C101" s="148"/>
      <c r="D101" s="148"/>
      <c r="E101" s="149"/>
    </row>
    <row r="102">
      <c r="B102" s="148"/>
      <c r="C102" s="148"/>
      <c r="D102" s="148"/>
      <c r="E102" s="149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0" t="s">
        <v>1400</v>
      </c>
      <c r="C1" s="151"/>
      <c r="D1" s="151"/>
      <c r="E1" s="152"/>
    </row>
    <row r="2">
      <c r="B2" s="153" t="s">
        <v>2</v>
      </c>
      <c r="C2" s="86" t="s">
        <v>3</v>
      </c>
      <c r="D2" s="154" t="s">
        <v>4</v>
      </c>
      <c r="E2" s="154" t="s">
        <v>5</v>
      </c>
    </row>
    <row r="3">
      <c r="B3" s="32" t="s">
        <v>4247</v>
      </c>
      <c r="C3" s="159" t="s">
        <v>16</v>
      </c>
      <c r="D3" s="160" t="s">
        <v>4248</v>
      </c>
      <c r="E3" s="135" t="str">
        <f>HYPERLINK("https://youtu.be/UdPw3KvI6R0","channel 1")</f>
        <v>channel 1</v>
      </c>
    </row>
    <row r="4">
      <c r="B4" s="87" t="s">
        <v>4249</v>
      </c>
      <c r="C4" s="112" t="s">
        <v>215</v>
      </c>
      <c r="D4" s="89" t="s">
        <v>4250</v>
      </c>
      <c r="E4" s="116" t="str">
        <f>HYPERLINK("https://youtu.be/_h2FZODjSbs","channel 2")</f>
        <v>channel 2</v>
      </c>
    </row>
    <row r="5">
      <c r="B5" s="87" t="s">
        <v>4251</v>
      </c>
      <c r="C5" s="112" t="s">
        <v>566</v>
      </c>
      <c r="D5" s="89" t="s">
        <v>4247</v>
      </c>
      <c r="E5" s="135" t="str">
        <f>HYPERLINK("https://youtu.be/Mz7Xo54s_mc","channel 1")</f>
        <v>channel 1</v>
      </c>
    </row>
    <row r="6">
      <c r="B6" s="87" t="s">
        <v>4249</v>
      </c>
      <c r="C6" s="112" t="s">
        <v>726</v>
      </c>
      <c r="D6" s="89" t="s">
        <v>4248</v>
      </c>
      <c r="E6" s="116" t="str">
        <f>HYPERLINK("https://youtu.be/zw0ybejg81s","channel 2")</f>
        <v>channel 2</v>
      </c>
    </row>
    <row r="7">
      <c r="B7" s="87" t="s">
        <v>4251</v>
      </c>
      <c r="C7" s="112" t="s">
        <v>20</v>
      </c>
      <c r="D7" s="89" t="s">
        <v>4250</v>
      </c>
      <c r="E7" s="135" t="str">
        <f>HYPERLINK("https://youtu.be/JIDPUwhTX5s","channel 1")</f>
        <v>channel 1</v>
      </c>
    </row>
    <row r="8">
      <c r="B8" s="87" t="s">
        <v>4249</v>
      </c>
      <c r="C8" s="112" t="s">
        <v>87</v>
      </c>
      <c r="D8" s="89" t="s">
        <v>4247</v>
      </c>
      <c r="E8" s="116" t="str">
        <f>HYPERLINK("https://youtu.be/b-ufdPmg-Lo","channel 2")</f>
        <v>channel 2</v>
      </c>
    </row>
    <row r="9">
      <c r="B9" s="87" t="s">
        <v>4251</v>
      </c>
      <c r="C9" s="112" t="s">
        <v>369</v>
      </c>
      <c r="D9" s="89" t="s">
        <v>4248</v>
      </c>
      <c r="E9" s="135" t="str">
        <f>HYPERLINK("https://youtu.be/nCgaqkGdk7A","channel 1")</f>
        <v>channel 1</v>
      </c>
    </row>
    <row r="10">
      <c r="B10" s="87" t="s">
        <v>4250</v>
      </c>
      <c r="C10" s="112" t="s">
        <v>87</v>
      </c>
      <c r="D10" s="89" t="s">
        <v>4247</v>
      </c>
      <c r="E10" s="116" t="str">
        <f>HYPERLINK("https://youtu.be/c_qWL1XVi8Q","channel 2")</f>
        <v>channel 2</v>
      </c>
    </row>
    <row r="11">
      <c r="B11" s="87" t="s">
        <v>4251</v>
      </c>
      <c r="C11" s="112" t="s">
        <v>87</v>
      </c>
      <c r="D11" s="89" t="s">
        <v>4249</v>
      </c>
      <c r="E11" s="135" t="str">
        <f>HYPERLINK("https://youtu.be/dxn8W3hxR2Q","channel 1")</f>
        <v>channel 1</v>
      </c>
    </row>
    <row r="12">
      <c r="B12" s="87" t="s">
        <v>4250</v>
      </c>
      <c r="C12" s="112" t="s">
        <v>302</v>
      </c>
      <c r="D12" s="89" t="s">
        <v>4248</v>
      </c>
      <c r="E12" s="116" t="str">
        <f>HYPERLINK("https://youtu.be/7koOnBqflA8","channel 2")</f>
        <v>channel 2</v>
      </c>
    </row>
    <row r="13">
      <c r="B13" s="87" t="s">
        <v>4248</v>
      </c>
      <c r="C13" s="112" t="s">
        <v>411</v>
      </c>
      <c r="D13" s="89" t="s">
        <v>4247</v>
      </c>
      <c r="E13" s="135" t="str">
        <f>HYPERLINK("https://youtu.be/dequJLcggvA","channel 1")</f>
        <v>channel 1</v>
      </c>
    </row>
    <row r="14">
      <c r="B14" s="87" t="s">
        <v>4250</v>
      </c>
      <c r="C14" s="112" t="s">
        <v>578</v>
      </c>
      <c r="D14" s="89" t="s">
        <v>4249</v>
      </c>
      <c r="E14" s="116" t="str">
        <f>HYPERLINK("https://youtu.be/t0tr5Re0QGY","channel 2")</f>
        <v>channel 2</v>
      </c>
    </row>
    <row r="15">
      <c r="B15" s="87" t="s">
        <v>4247</v>
      </c>
      <c r="C15" s="112" t="s">
        <v>190</v>
      </c>
      <c r="D15" s="89" t="s">
        <v>4251</v>
      </c>
      <c r="E15" s="135" t="str">
        <f>HYPERLINK("https://youtu.be/CH-OqzNvV2g","channel 1")</f>
        <v>channel 1</v>
      </c>
    </row>
    <row r="16">
      <c r="B16" s="87" t="s">
        <v>4248</v>
      </c>
      <c r="C16" s="112" t="s">
        <v>1529</v>
      </c>
      <c r="D16" s="89" t="s">
        <v>4249</v>
      </c>
      <c r="E16" s="116" t="str">
        <f>HYPERLINK("https://youtu.be/5PsPcywiqqM","channel 2")</f>
        <v>channel 2</v>
      </c>
    </row>
    <row r="17">
      <c r="B17" s="87" t="s">
        <v>4250</v>
      </c>
      <c r="C17" s="112" t="s">
        <v>270</v>
      </c>
      <c r="D17" s="89" t="s">
        <v>4251</v>
      </c>
      <c r="E17" s="135" t="str">
        <f>HYPERLINK("https://youtu.be/lMUIRG9UYRI","channel 1")</f>
        <v>channel 1</v>
      </c>
    </row>
    <row r="18">
      <c r="B18" s="87" t="s">
        <v>4247</v>
      </c>
      <c r="C18" s="112" t="s">
        <v>19</v>
      </c>
      <c r="D18" s="89" t="s">
        <v>4249</v>
      </c>
      <c r="E18" s="116" t="str">
        <f>HYPERLINK("https://youtu.be/ycOnnriomu4","channel 2")</f>
        <v>channel 2</v>
      </c>
    </row>
    <row r="19">
      <c r="B19" s="87" t="s">
        <v>4248</v>
      </c>
      <c r="C19" s="112" t="s">
        <v>1310</v>
      </c>
      <c r="D19" s="89" t="s">
        <v>4251</v>
      </c>
      <c r="E19" s="135" t="str">
        <f>HYPERLINK("https://youtu.be/nQ1WGpmp8IY","channel 1")</f>
        <v>channel 1</v>
      </c>
    </row>
    <row r="20">
      <c r="B20" s="87" t="s">
        <v>4247</v>
      </c>
      <c r="C20" s="112" t="s">
        <v>81</v>
      </c>
      <c r="D20" s="89" t="s">
        <v>4250</v>
      </c>
      <c r="E20" s="116" t="str">
        <f>HYPERLINK("https://youtu.be/wZakcrXchJM","channel 2")</f>
        <v>channel 2</v>
      </c>
    </row>
    <row r="21">
      <c r="B21" s="87" t="s">
        <v>4249</v>
      </c>
      <c r="C21" s="112" t="s">
        <v>380</v>
      </c>
      <c r="D21" s="89" t="s">
        <v>4251</v>
      </c>
      <c r="E21" s="135" t="str">
        <f>HYPERLINK("https://youtu.be/bsrK2-dSWBg","channel 1")</f>
        <v>channel 1</v>
      </c>
    </row>
    <row r="22">
      <c r="B22" s="87" t="s">
        <v>4248</v>
      </c>
      <c r="C22" s="112" t="s">
        <v>3593</v>
      </c>
      <c r="D22" s="89" t="s">
        <v>4250</v>
      </c>
      <c r="E22" s="116" t="str">
        <f>HYPERLINK("https://youtu.be/jyYTDjeNej4","channel 2")</f>
        <v>channel 2</v>
      </c>
    </row>
    <row r="23">
      <c r="B23" s="150" t="s">
        <v>3441</v>
      </c>
      <c r="C23" s="151"/>
      <c r="D23" s="151"/>
      <c r="E23" s="152"/>
    </row>
    <row r="24">
      <c r="B24" s="153" t="s">
        <v>2</v>
      </c>
      <c r="C24" s="86" t="s">
        <v>3</v>
      </c>
      <c r="D24" s="154" t="s">
        <v>4</v>
      </c>
      <c r="E24" s="154" t="s">
        <v>5</v>
      </c>
    </row>
    <row r="25">
      <c r="B25" s="87" t="s">
        <v>4252</v>
      </c>
      <c r="C25" s="112" t="s">
        <v>86</v>
      </c>
      <c r="D25" s="89" t="s">
        <v>4253</v>
      </c>
      <c r="E25" s="135" t="str">
        <f>HYPERLINK("https://youtu.be/qSI9cAFoYMI","channel 1")</f>
        <v>channel 1</v>
      </c>
    </row>
    <row r="26">
      <c r="B26" s="87" t="s">
        <v>3537</v>
      </c>
      <c r="C26" s="112" t="s">
        <v>194</v>
      </c>
      <c r="D26" s="89" t="s">
        <v>4254</v>
      </c>
      <c r="E26" s="116" t="str">
        <f>HYPERLINK("https://youtu.be/TlzvERD-b2s","channel 2")</f>
        <v>channel 2</v>
      </c>
    </row>
    <row r="27">
      <c r="B27" s="87" t="s">
        <v>4255</v>
      </c>
      <c r="C27" s="112" t="s">
        <v>17</v>
      </c>
      <c r="D27" s="89" t="s">
        <v>4252</v>
      </c>
      <c r="E27" s="135" t="str">
        <f>HYPERLINK("https://youtu.be/8y6RJCmiw7s","channel 1")</f>
        <v>channel 1</v>
      </c>
    </row>
    <row r="28">
      <c r="B28" s="87" t="s">
        <v>3537</v>
      </c>
      <c r="C28" s="112" t="s">
        <v>16</v>
      </c>
      <c r="D28" s="89" t="s">
        <v>4253</v>
      </c>
      <c r="E28" s="116" t="str">
        <f>HYPERLINK("https://youtu.be/BuB34KfXwmM","channel 2")</f>
        <v>channel 2</v>
      </c>
    </row>
    <row r="29">
      <c r="B29" s="87" t="s">
        <v>4255</v>
      </c>
      <c r="C29" s="112" t="s">
        <v>286</v>
      </c>
      <c r="D29" s="89" t="s">
        <v>4254</v>
      </c>
      <c r="E29" s="135" t="str">
        <f>HYPERLINK("https://youtu.be/F5AeH88KikY","channel 1")</f>
        <v>channel 1</v>
      </c>
    </row>
    <row r="30">
      <c r="B30" s="87" t="s">
        <v>3537</v>
      </c>
      <c r="C30" s="112" t="s">
        <v>87</v>
      </c>
      <c r="D30" s="89" t="s">
        <v>4252</v>
      </c>
      <c r="E30" s="116" t="str">
        <f>HYPERLINK("https://youtu.be/ST9sl0lgL1w","channel 2")</f>
        <v>channel 2</v>
      </c>
    </row>
    <row r="31">
      <c r="B31" s="87" t="s">
        <v>4255</v>
      </c>
      <c r="C31" s="112" t="s">
        <v>7</v>
      </c>
      <c r="D31" s="89" t="s">
        <v>4253</v>
      </c>
      <c r="E31" s="135" t="str">
        <f>HYPERLINK("https://youtu.be/-b6ctkE31wE","channel 1")</f>
        <v>channel 1</v>
      </c>
    </row>
    <row r="32">
      <c r="B32" s="87" t="s">
        <v>4254</v>
      </c>
      <c r="C32" s="112" t="s">
        <v>218</v>
      </c>
      <c r="D32" s="89" t="s">
        <v>4252</v>
      </c>
      <c r="E32" s="116" t="str">
        <f>HYPERLINK("https://youtu.be/U5k259oqrxM","channel 2")</f>
        <v>channel 2</v>
      </c>
    </row>
    <row r="33">
      <c r="B33" s="87" t="s">
        <v>4255</v>
      </c>
      <c r="C33" s="112" t="s">
        <v>460</v>
      </c>
      <c r="D33" s="89" t="s">
        <v>3537</v>
      </c>
      <c r="E33" s="135" t="str">
        <f>HYPERLINK("https://youtu.be/nJafn86aaTo","channel 1")</f>
        <v>channel 1</v>
      </c>
    </row>
    <row r="34">
      <c r="B34" s="32" t="s">
        <v>4254</v>
      </c>
      <c r="C34" s="33" t="s">
        <v>260</v>
      </c>
      <c r="D34" s="32" t="s">
        <v>4253</v>
      </c>
      <c r="E34" s="116" t="str">
        <f>HYPERLINK("https://youtu.be/upMeUdLtDoY","channel 2")</f>
        <v>channel 2</v>
      </c>
    </row>
    <row r="35">
      <c r="B35" s="32" t="s">
        <v>4253</v>
      </c>
      <c r="C35" s="33" t="s">
        <v>20</v>
      </c>
      <c r="D35" s="32" t="s">
        <v>4252</v>
      </c>
      <c r="E35" s="135" t="str">
        <f>HYPERLINK("https://youtu.be/wM3h3in3vwQ","channel 1")</f>
        <v>channel 1</v>
      </c>
    </row>
    <row r="36">
      <c r="B36" s="32" t="s">
        <v>4254</v>
      </c>
      <c r="C36" s="33" t="s">
        <v>885</v>
      </c>
      <c r="D36" s="32" t="s">
        <v>3537</v>
      </c>
      <c r="E36" s="116" t="str">
        <f>HYPERLINK("https://youtu.be/6QvU08M6uJ4","channel 2")</f>
        <v>channel 2</v>
      </c>
    </row>
    <row r="37">
      <c r="B37" s="32" t="s">
        <v>4252</v>
      </c>
      <c r="C37" s="33" t="s">
        <v>195</v>
      </c>
      <c r="D37" s="32" t="s">
        <v>4255</v>
      </c>
      <c r="E37" s="135" t="str">
        <f>HYPERLINK("https://youtu.be/dw86fX0CCTU","channel 1")</f>
        <v>channel 1</v>
      </c>
    </row>
    <row r="38">
      <c r="B38" s="32" t="s">
        <v>4253</v>
      </c>
      <c r="C38" s="33" t="s">
        <v>337</v>
      </c>
      <c r="D38" s="32" t="s">
        <v>3537</v>
      </c>
      <c r="E38" s="116" t="str">
        <f>HYPERLINK("https://youtu.be/81rtLDKd2vs","channel 2")</f>
        <v>channel 2</v>
      </c>
    </row>
    <row r="39">
      <c r="B39" s="32" t="s">
        <v>4254</v>
      </c>
      <c r="C39" s="33" t="s">
        <v>82</v>
      </c>
      <c r="D39" s="32" t="s">
        <v>4255</v>
      </c>
      <c r="E39" s="135" t="str">
        <f>HYPERLINK("https://youtu.be/PzJrn_1-TEc","channel 1")</f>
        <v>channel 1</v>
      </c>
    </row>
    <row r="40">
      <c r="B40" s="32" t="s">
        <v>4252</v>
      </c>
      <c r="C40" s="33" t="s">
        <v>2326</v>
      </c>
      <c r="D40" s="32" t="s">
        <v>3537</v>
      </c>
      <c r="E40" s="116" t="str">
        <f>HYPERLINK("https://youtu.be/JZKCl9buzz4","channel 2")</f>
        <v>channel 2</v>
      </c>
    </row>
    <row r="41">
      <c r="B41" s="32" t="s">
        <v>4253</v>
      </c>
      <c r="C41" s="33" t="s">
        <v>2783</v>
      </c>
      <c r="D41" s="32" t="s">
        <v>4255</v>
      </c>
      <c r="E41" s="135" t="str">
        <f>HYPERLINK("https://youtu.be/wbeBfTS9OnE","channel 1")</f>
        <v>channel 1</v>
      </c>
    </row>
    <row r="42">
      <c r="B42" s="32" t="s">
        <v>4252</v>
      </c>
      <c r="C42" s="33" t="s">
        <v>297</v>
      </c>
      <c r="D42" s="32" t="s">
        <v>4254</v>
      </c>
      <c r="E42" s="116" t="str">
        <f>HYPERLINK("https://youtu.be/PHavoextveo","channel 2")</f>
        <v>channel 2</v>
      </c>
    </row>
    <row r="43">
      <c r="B43" s="32" t="s">
        <v>3537</v>
      </c>
      <c r="C43" s="33" t="s">
        <v>267</v>
      </c>
      <c r="D43" s="32" t="s">
        <v>4255</v>
      </c>
      <c r="E43" s="135" t="str">
        <f>HYPERLINK("https://youtu.be/mlnyJ5kiFlw","channel 1")</f>
        <v>channel 1</v>
      </c>
    </row>
    <row r="44">
      <c r="B44" s="32" t="s">
        <v>4253</v>
      </c>
      <c r="C44" s="33" t="s">
        <v>1342</v>
      </c>
      <c r="D44" s="32" t="s">
        <v>4254</v>
      </c>
      <c r="E44" s="116" t="str">
        <f>HYPERLINK("https://youtu.be/kW7SFXGYKRE","channel 2")</f>
        <v>channel 2</v>
      </c>
    </row>
    <row r="45">
      <c r="B45" s="150" t="s">
        <v>2685</v>
      </c>
      <c r="C45" s="151"/>
      <c r="D45" s="151"/>
      <c r="E45" s="152"/>
    </row>
    <row r="46">
      <c r="B46" s="85" t="s">
        <v>2</v>
      </c>
      <c r="C46" s="86" t="s">
        <v>3</v>
      </c>
      <c r="D46" s="86" t="s">
        <v>4</v>
      </c>
      <c r="E46" s="86" t="s">
        <v>5</v>
      </c>
    </row>
    <row r="47">
      <c r="B47" s="32" t="s">
        <v>4256</v>
      </c>
      <c r="C47" s="159" t="s">
        <v>81</v>
      </c>
      <c r="D47" s="166" t="s">
        <v>4257</v>
      </c>
      <c r="E47" s="135" t="str">
        <f>HYPERLINK("https://youtu.be/GIy2QHUDonU","channel 1")</f>
        <v>channel 1</v>
      </c>
    </row>
    <row r="48">
      <c r="B48" s="87" t="s">
        <v>3626</v>
      </c>
      <c r="C48" s="112" t="s">
        <v>197</v>
      </c>
      <c r="D48" s="89" t="s">
        <v>4258</v>
      </c>
      <c r="E48" s="116" t="str">
        <f>HYPERLINK("https://youtu.be/2gkwo9YkJaA","channel 2")</f>
        <v>channel 2</v>
      </c>
    </row>
    <row r="49">
      <c r="B49" s="87" t="s">
        <v>4137</v>
      </c>
      <c r="C49" s="112" t="s">
        <v>25</v>
      </c>
      <c r="D49" s="89" t="s">
        <v>4256</v>
      </c>
      <c r="E49" s="135" t="str">
        <f>HYPERLINK("https://youtu.be/9VDTG27H7Tc","channel 1")</f>
        <v>channel 1</v>
      </c>
    </row>
    <row r="50">
      <c r="B50" s="87" t="s">
        <v>3626</v>
      </c>
      <c r="C50" s="112" t="s">
        <v>3413</v>
      </c>
      <c r="D50" s="101" t="s">
        <v>4257</v>
      </c>
      <c r="E50" s="116" t="str">
        <f>HYPERLINK("https://youtu.be/aRX1hR29qmQ","channel 2")</f>
        <v>channel 2</v>
      </c>
      <c r="J50" s="36" t="s">
        <v>4259</v>
      </c>
    </row>
    <row r="51">
      <c r="B51" s="87" t="s">
        <v>4137</v>
      </c>
      <c r="C51" s="112" t="s">
        <v>389</v>
      </c>
      <c r="D51" s="89" t="s">
        <v>4258</v>
      </c>
      <c r="E51" s="135" t="str">
        <f>HYPERLINK("https://youtu.be/t-j3UNajO_o","channel 1")</f>
        <v>channel 1</v>
      </c>
    </row>
    <row r="52">
      <c r="B52" s="87" t="s">
        <v>3626</v>
      </c>
      <c r="C52" s="112" t="s">
        <v>378</v>
      </c>
      <c r="D52" s="89" t="s">
        <v>4256</v>
      </c>
      <c r="E52" s="116" t="str">
        <f>HYPERLINK("https://youtu.be/6t08yNANVho","channel 2")</f>
        <v>channel 2</v>
      </c>
    </row>
    <row r="53">
      <c r="B53" s="87" t="s">
        <v>4137</v>
      </c>
      <c r="C53" s="112" t="s">
        <v>4260</v>
      </c>
      <c r="D53" s="101" t="s">
        <v>4257</v>
      </c>
      <c r="E53" s="135" t="str">
        <f>HYPERLINK("https://youtu.be/Y1OtUcP8Oys","channel 1")</f>
        <v>channel 1</v>
      </c>
    </row>
    <row r="54">
      <c r="B54" s="87" t="s">
        <v>4258</v>
      </c>
      <c r="C54" s="112" t="s">
        <v>193</v>
      </c>
      <c r="D54" s="89" t="s">
        <v>4256</v>
      </c>
      <c r="E54" s="116" t="str">
        <f>HYPERLINK("https://youtu.be/f5RMpZWUq4I","channel 2")</f>
        <v>channel 2</v>
      </c>
    </row>
    <row r="55">
      <c r="B55" s="87" t="s">
        <v>4137</v>
      </c>
      <c r="C55" s="112" t="s">
        <v>81</v>
      </c>
      <c r="D55" s="89" t="s">
        <v>3626</v>
      </c>
      <c r="E55" s="135" t="str">
        <f>HYPERLINK("https://youtu.be/9bIB-tr2lOY","channel 1")</f>
        <v>channel 1</v>
      </c>
    </row>
    <row r="56">
      <c r="B56" s="87" t="s">
        <v>4258</v>
      </c>
      <c r="C56" s="112" t="s">
        <v>38</v>
      </c>
      <c r="D56" s="101" t="s">
        <v>4257</v>
      </c>
      <c r="E56" s="116" t="str">
        <f>HYPERLINK("https://youtu.be/VrBaqPaGH5A","channel 2")</f>
        <v>channel 2</v>
      </c>
    </row>
    <row r="57">
      <c r="B57" s="100" t="s">
        <v>4257</v>
      </c>
      <c r="C57" s="112" t="s">
        <v>47</v>
      </c>
      <c r="D57" s="89" t="s">
        <v>4256</v>
      </c>
      <c r="E57" s="135" t="str">
        <f>HYPERLINK("https://youtu.be/eqEVvsgHwuc","channel 1")</f>
        <v>channel 1</v>
      </c>
    </row>
    <row r="58">
      <c r="B58" s="87" t="s">
        <v>4258</v>
      </c>
      <c r="C58" s="112" t="s">
        <v>193</v>
      </c>
      <c r="D58" s="89" t="s">
        <v>3626</v>
      </c>
      <c r="E58" s="116" t="str">
        <f>HYPERLINK("https://youtu.be/6VruoxHUR_Y","channel 2")</f>
        <v>channel 2</v>
      </c>
    </row>
    <row r="59">
      <c r="B59" s="87" t="s">
        <v>4256</v>
      </c>
      <c r="C59" s="112" t="s">
        <v>411</v>
      </c>
      <c r="D59" s="89" t="s">
        <v>4137</v>
      </c>
      <c r="E59" s="135" t="str">
        <f>HYPERLINK("https://youtu.be/trBGsyKJXAE","channel 1")</f>
        <v>channel 1</v>
      </c>
    </row>
    <row r="60">
      <c r="B60" s="100" t="s">
        <v>4257</v>
      </c>
      <c r="C60" s="112" t="s">
        <v>38</v>
      </c>
      <c r="D60" s="89" t="s">
        <v>3626</v>
      </c>
      <c r="E60" s="116" t="str">
        <f>HYPERLINK("https://youtu.be/HlKBtwJV_LA","channel 2")</f>
        <v>channel 2</v>
      </c>
    </row>
    <row r="61">
      <c r="B61" s="87" t="s">
        <v>4258</v>
      </c>
      <c r="C61" s="112" t="s">
        <v>330</v>
      </c>
      <c r="D61" s="89" t="s">
        <v>4137</v>
      </c>
      <c r="E61" s="135" t="str">
        <f>HYPERLINK("https://youtu.be/Viq6IL1uQSk","channel 1")</f>
        <v>channel 1</v>
      </c>
    </row>
    <row r="62">
      <c r="B62" s="87" t="s">
        <v>4256</v>
      </c>
      <c r="C62" s="112" t="s">
        <v>16</v>
      </c>
      <c r="D62" s="89" t="s">
        <v>3626</v>
      </c>
      <c r="E62" s="116" t="str">
        <f>HYPERLINK("https://youtu.be/4g40e4ssKDo","channel 2")</f>
        <v>channel 2</v>
      </c>
    </row>
    <row r="63">
      <c r="B63" s="100" t="s">
        <v>4257</v>
      </c>
      <c r="C63" s="112" t="s">
        <v>2784</v>
      </c>
      <c r="D63" s="89" t="s">
        <v>4137</v>
      </c>
      <c r="E63" s="135" t="str">
        <f>HYPERLINK("https://youtu.be/3I63wQPWRBs","channel 1")</f>
        <v>channel 1</v>
      </c>
    </row>
    <row r="64">
      <c r="B64" s="87" t="s">
        <v>4256</v>
      </c>
      <c r="C64" s="112" t="s">
        <v>658</v>
      </c>
      <c r="D64" s="89" t="s">
        <v>4258</v>
      </c>
      <c r="E64" s="116" t="str">
        <f>HYPERLINK("https://youtu.be/yzFjRyswZN4","channel 2")</f>
        <v>channel 2</v>
      </c>
    </row>
    <row r="65">
      <c r="B65" s="87" t="s">
        <v>3626</v>
      </c>
      <c r="C65" s="112" t="s">
        <v>337</v>
      </c>
      <c r="D65" s="89" t="s">
        <v>4137</v>
      </c>
      <c r="E65" s="135" t="str">
        <f>HYPERLINK("https://youtu.be/h627r9Rpi1g","channel 1")</f>
        <v>channel 1</v>
      </c>
    </row>
    <row r="66">
      <c r="B66" s="100" t="s">
        <v>4257</v>
      </c>
      <c r="C66" s="112" t="s">
        <v>43</v>
      </c>
      <c r="D66" s="89" t="s">
        <v>4258</v>
      </c>
      <c r="E66" s="116" t="str">
        <f>HYPERLINK("https://youtu.be/357_PopAXcY","channel 2")</f>
        <v>channel 2</v>
      </c>
    </row>
    <row r="67">
      <c r="B67" s="150" t="s">
        <v>4153</v>
      </c>
      <c r="C67" s="151"/>
      <c r="D67" s="151"/>
      <c r="E67" s="152"/>
    </row>
    <row r="68">
      <c r="B68" s="85" t="s">
        <v>2</v>
      </c>
      <c r="C68" s="86" t="s">
        <v>3</v>
      </c>
      <c r="D68" s="86" t="s">
        <v>4</v>
      </c>
      <c r="E68" s="86" t="s">
        <v>5</v>
      </c>
    </row>
    <row r="69">
      <c r="B69" s="32" t="s">
        <v>4261</v>
      </c>
      <c r="C69" s="159" t="s">
        <v>195</v>
      </c>
      <c r="D69" s="166" t="s">
        <v>4262</v>
      </c>
      <c r="E69" s="135" t="str">
        <f>HYPERLINK("https://youtu.be/q9v3417GcAI","channel 1")</f>
        <v>channel 1</v>
      </c>
    </row>
    <row r="70">
      <c r="B70" s="87" t="s">
        <v>3834</v>
      </c>
      <c r="C70" s="112" t="s">
        <v>258</v>
      </c>
      <c r="D70" s="89" t="s">
        <v>2807</v>
      </c>
      <c r="E70" s="116" t="str">
        <f>HYPERLINK("https://youtu.be/4U9ERdeoY_s","channel 2")</f>
        <v>channel 2</v>
      </c>
    </row>
    <row r="71">
      <c r="B71" s="87" t="s">
        <v>4263</v>
      </c>
      <c r="C71" s="112" t="s">
        <v>520</v>
      </c>
      <c r="D71" s="89" t="s">
        <v>4261</v>
      </c>
      <c r="E71" s="135" t="str">
        <f>HYPERLINK("https://youtu.be/Nxa--2UyJM4","channel 1")</f>
        <v>channel 1</v>
      </c>
    </row>
    <row r="72">
      <c r="B72" s="87" t="s">
        <v>3834</v>
      </c>
      <c r="C72" s="112" t="s">
        <v>412</v>
      </c>
      <c r="D72" s="101" t="s">
        <v>4262</v>
      </c>
      <c r="E72" s="116" t="str">
        <f>HYPERLINK("https://youtu.be/9uijBZT8y6M","channel 2")</f>
        <v>channel 2</v>
      </c>
    </row>
    <row r="73">
      <c r="B73" s="87" t="s">
        <v>4263</v>
      </c>
      <c r="C73" s="112" t="s">
        <v>428</v>
      </c>
      <c r="D73" s="89" t="s">
        <v>2807</v>
      </c>
      <c r="E73" s="135" t="str">
        <f>HYPERLINK("https://youtu.be/9nB7bGZMCbM","channel 1")</f>
        <v>channel 1</v>
      </c>
    </row>
    <row r="74">
      <c r="B74" s="87" t="s">
        <v>3834</v>
      </c>
      <c r="C74" s="112" t="s">
        <v>58</v>
      </c>
      <c r="D74" s="89" t="s">
        <v>4261</v>
      </c>
      <c r="E74" s="116" t="str">
        <f>HYPERLINK("https://youtu.be/52IzYSsKVz8","channel 2")</f>
        <v>channel 2</v>
      </c>
    </row>
    <row r="75">
      <c r="B75" s="87" t="s">
        <v>4263</v>
      </c>
      <c r="C75" s="112" t="s">
        <v>206</v>
      </c>
      <c r="D75" s="101" t="s">
        <v>4262</v>
      </c>
      <c r="E75" s="135" t="str">
        <f>HYPERLINK("https://youtu.be/yhsh8_Fcs2E","channel 1")</f>
        <v>channel 1</v>
      </c>
    </row>
    <row r="76">
      <c r="B76" s="87" t="s">
        <v>2807</v>
      </c>
      <c r="C76" s="112" t="s">
        <v>193</v>
      </c>
      <c r="D76" s="89" t="s">
        <v>4261</v>
      </c>
      <c r="E76" s="116" t="str">
        <f>HYPERLINK("https://youtu.be/9S6BXzLtzMo","channel 2")</f>
        <v>channel 2</v>
      </c>
    </row>
    <row r="77">
      <c r="B77" s="87" t="s">
        <v>4263</v>
      </c>
      <c r="C77" s="112" t="s">
        <v>722</v>
      </c>
      <c r="D77" s="89" t="s">
        <v>3834</v>
      </c>
      <c r="E77" s="135" t="str">
        <f>HYPERLINK("https://youtu.be/ozMSGQ_6EVc","channel 1")</f>
        <v>channel 1</v>
      </c>
    </row>
    <row r="78">
      <c r="B78" s="87" t="s">
        <v>2807</v>
      </c>
      <c r="C78" s="112" t="s">
        <v>64</v>
      </c>
      <c r="D78" s="101" t="s">
        <v>4262</v>
      </c>
      <c r="E78" s="116" t="str">
        <f>HYPERLINK("https://youtu.be/XQYVmUQrhLU","channel 2")</f>
        <v>channel 2</v>
      </c>
    </row>
    <row r="79">
      <c r="B79" s="100" t="s">
        <v>4262</v>
      </c>
      <c r="C79" s="112" t="s">
        <v>352</v>
      </c>
      <c r="D79" s="89" t="s">
        <v>4261</v>
      </c>
      <c r="E79" s="135" t="str">
        <f>HYPERLINK("https://youtu.be/dZNkUd4vJak","channel 1")</f>
        <v>channel 1</v>
      </c>
    </row>
    <row r="80">
      <c r="B80" s="87" t="s">
        <v>2807</v>
      </c>
      <c r="C80" s="112" t="s">
        <v>68</v>
      </c>
      <c r="D80" s="89" t="s">
        <v>3834</v>
      </c>
      <c r="E80" s="116" t="str">
        <f>HYPERLINK("https://youtu.be/JOe_oKur0EU","channel 2")</f>
        <v>channel 2</v>
      </c>
    </row>
    <row r="81">
      <c r="B81" s="87" t="s">
        <v>4261</v>
      </c>
      <c r="C81" s="112" t="s">
        <v>78</v>
      </c>
      <c r="D81" s="89" t="s">
        <v>4263</v>
      </c>
      <c r="E81" s="135" t="str">
        <f>HYPERLINK("https://youtu.be/ztTt6_FXuKQ","channel 1")</f>
        <v>channel 1</v>
      </c>
    </row>
    <row r="82">
      <c r="B82" s="100" t="s">
        <v>4262</v>
      </c>
      <c r="C82" s="112" t="s">
        <v>724</v>
      </c>
      <c r="D82" s="89" t="s">
        <v>3834</v>
      </c>
      <c r="E82" s="116" t="str">
        <f>HYPERLINK("https://youtu.be/OOAvFE2w9Og","channel 2")</f>
        <v>channel 2</v>
      </c>
    </row>
    <row r="83">
      <c r="B83" s="87" t="s">
        <v>2807</v>
      </c>
      <c r="C83" s="112" t="s">
        <v>58</v>
      </c>
      <c r="D83" s="89" t="s">
        <v>4263</v>
      </c>
      <c r="E83" s="135" t="str">
        <f>HYPERLINK("https://youtu.be/7TUBnLHmBuo","channel 1")</f>
        <v>channel 1</v>
      </c>
    </row>
    <row r="84">
      <c r="B84" s="87" t="s">
        <v>4261</v>
      </c>
      <c r="C84" s="112" t="s">
        <v>18</v>
      </c>
      <c r="D84" s="89" t="s">
        <v>3834</v>
      </c>
      <c r="E84" s="116" t="str">
        <f>HYPERLINK("https://youtu.be/gKkFNyriEjk","channel 2")</f>
        <v>channel 2</v>
      </c>
    </row>
    <row r="85">
      <c r="B85" s="100" t="s">
        <v>4262</v>
      </c>
      <c r="C85" s="112" t="s">
        <v>389</v>
      </c>
      <c r="D85" s="89" t="s">
        <v>4263</v>
      </c>
      <c r="E85" s="135" t="str">
        <f>HYPERLINK("https://youtu.be/lAShYv9UNjk","channel 1")</f>
        <v>channel 1</v>
      </c>
    </row>
    <row r="86">
      <c r="B86" s="87" t="s">
        <v>4261</v>
      </c>
      <c r="C86" s="112" t="s">
        <v>751</v>
      </c>
      <c r="D86" s="89" t="s">
        <v>2807</v>
      </c>
      <c r="E86" s="116" t="str">
        <f>HYPERLINK("https://youtu.be/EXXuWpOtmxM","channel 2")</f>
        <v>channel 2</v>
      </c>
    </row>
    <row r="87">
      <c r="B87" s="87" t="s">
        <v>3834</v>
      </c>
      <c r="C87" s="112" t="s">
        <v>218</v>
      </c>
      <c r="D87" s="89" t="s">
        <v>4263</v>
      </c>
      <c r="E87" s="135" t="str">
        <f>HYPERLINK("https://youtu.be/xKuZmpFcDJM","channel 1")</f>
        <v>channel 1</v>
      </c>
    </row>
    <row r="88">
      <c r="B88" s="100" t="s">
        <v>4262</v>
      </c>
      <c r="C88" s="112" t="s">
        <v>267</v>
      </c>
      <c r="D88" s="89" t="s">
        <v>2807</v>
      </c>
      <c r="E88" s="116" t="str">
        <f>HYPERLINK("https://youtu.be/VJ-lduhBZ9g","channel 2")</f>
        <v>channel 2</v>
      </c>
    </row>
    <row r="89">
      <c r="B89" s="148"/>
      <c r="C89" s="148"/>
      <c r="D89" s="148"/>
      <c r="E89" s="149"/>
    </row>
    <row r="90">
      <c r="B90" s="148"/>
      <c r="C90" s="148"/>
      <c r="D90" s="148"/>
      <c r="E90" s="149"/>
    </row>
    <row r="91">
      <c r="B91" s="148"/>
      <c r="C91" s="148"/>
      <c r="D91" s="148"/>
      <c r="E91" s="149"/>
    </row>
    <row r="92">
      <c r="B92" s="148"/>
      <c r="C92" s="148"/>
      <c r="D92" s="148"/>
      <c r="E92" s="149"/>
    </row>
    <row r="93">
      <c r="B93" s="148"/>
      <c r="C93" s="148"/>
      <c r="D93" s="148"/>
      <c r="E93" s="149"/>
    </row>
    <row r="94">
      <c r="B94" s="148"/>
      <c r="C94" s="148"/>
      <c r="D94" s="148"/>
      <c r="E94" s="149"/>
    </row>
    <row r="95">
      <c r="B95" s="148"/>
      <c r="C95" s="148"/>
      <c r="D95" s="148"/>
      <c r="E95" s="149"/>
    </row>
    <row r="96">
      <c r="B96" s="148"/>
      <c r="C96" s="148"/>
      <c r="D96" s="148"/>
      <c r="E96" s="149"/>
    </row>
    <row r="97">
      <c r="B97" s="148"/>
      <c r="C97" s="148"/>
      <c r="D97" s="148"/>
      <c r="E97" s="149"/>
    </row>
    <row r="98">
      <c r="B98" s="148"/>
      <c r="C98" s="148"/>
      <c r="D98" s="148"/>
      <c r="E98" s="149"/>
    </row>
    <row r="99">
      <c r="B99" s="148"/>
      <c r="C99" s="148"/>
      <c r="D99" s="148"/>
      <c r="E99" s="149"/>
    </row>
    <row r="100">
      <c r="B100" s="148"/>
      <c r="C100" s="148"/>
      <c r="D100" s="148"/>
      <c r="E100" s="149"/>
    </row>
    <row r="101">
      <c r="B101" s="148"/>
      <c r="C101" s="148"/>
      <c r="D101" s="148"/>
      <c r="E101" s="149"/>
    </row>
    <row r="102">
      <c r="B102" s="148"/>
      <c r="C102" s="148"/>
      <c r="D102" s="148"/>
      <c r="E102" s="149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0" t="s">
        <v>2154</v>
      </c>
      <c r="C1" s="151"/>
      <c r="D1" s="151"/>
      <c r="E1" s="152"/>
    </row>
    <row r="2">
      <c r="B2" s="153" t="s">
        <v>2</v>
      </c>
      <c r="C2" s="86" t="s">
        <v>3</v>
      </c>
      <c r="D2" s="154" t="s">
        <v>4</v>
      </c>
      <c r="E2" s="154" t="s">
        <v>5</v>
      </c>
    </row>
    <row r="3">
      <c r="B3" s="32" t="s">
        <v>4112</v>
      </c>
      <c r="C3" s="33" t="s">
        <v>87</v>
      </c>
      <c r="D3" s="8" t="s">
        <v>3544</v>
      </c>
      <c r="E3" s="11" t="str">
        <f>HYPERLINK("https://youtu.be/pkQZup7pHP0","channel 1")</f>
        <v>channel 1</v>
      </c>
    </row>
    <row r="4">
      <c r="B4" s="32" t="s">
        <v>3557</v>
      </c>
      <c r="C4" s="33" t="s">
        <v>578</v>
      </c>
      <c r="D4" s="32" t="s">
        <v>3559</v>
      </c>
      <c r="E4" s="116" t="str">
        <f>HYPERLINK("https://youtu.be/a3KkIMBspj0","channel 2")</f>
        <v>channel 2</v>
      </c>
    </row>
    <row r="5">
      <c r="B5" s="32" t="s">
        <v>3761</v>
      </c>
      <c r="C5" s="33" t="s">
        <v>87</v>
      </c>
      <c r="D5" s="32" t="s">
        <v>4112</v>
      </c>
      <c r="E5" s="11" t="str">
        <f>HYPERLINK("https://youtu.be/A4Dzds9u7-Q","channel 1")</f>
        <v>channel 1</v>
      </c>
    </row>
    <row r="6">
      <c r="B6" s="32" t="s">
        <v>3557</v>
      </c>
      <c r="C6" s="33" t="s">
        <v>291</v>
      </c>
      <c r="D6" s="8" t="s">
        <v>3544</v>
      </c>
      <c r="E6" s="116" t="str">
        <f>HYPERLINK("https://youtu.be/bGcIBTSqy3g","channel 2")</f>
        <v>channel 2</v>
      </c>
    </row>
    <row r="7">
      <c r="B7" s="32" t="s">
        <v>3761</v>
      </c>
      <c r="C7" s="33" t="s">
        <v>699</v>
      </c>
      <c r="D7" s="32" t="s">
        <v>3559</v>
      </c>
      <c r="E7" s="11" t="str">
        <f>HYPERLINK("https://youtu.be/hFi3P4huQ6U","channel 1")</f>
        <v>channel 1</v>
      </c>
    </row>
    <row r="8">
      <c r="B8" s="32" t="s">
        <v>3557</v>
      </c>
      <c r="C8" s="33" t="s">
        <v>43</v>
      </c>
      <c r="D8" s="32" t="s">
        <v>4112</v>
      </c>
      <c r="E8" s="116" t="str">
        <f>HYPERLINK("https://youtu.be/_PAgMnUfICI","channel 2")</f>
        <v>channel 2</v>
      </c>
    </row>
    <row r="9">
      <c r="B9" s="32" t="s">
        <v>3761</v>
      </c>
      <c r="C9" s="33" t="s">
        <v>2461</v>
      </c>
      <c r="D9" s="8" t="s">
        <v>3544</v>
      </c>
      <c r="E9" s="11" t="str">
        <f>HYPERLINK("https://youtu.be/f8M9e6h82ys","channel 1")</f>
        <v>channel 1</v>
      </c>
    </row>
    <row r="10">
      <c r="B10" s="32" t="s">
        <v>3559</v>
      </c>
      <c r="C10" s="33" t="s">
        <v>87</v>
      </c>
      <c r="D10" s="32" t="s">
        <v>4112</v>
      </c>
      <c r="E10" s="116" t="str">
        <f>HYPERLINK("https://youtu.be/3p8q1jr776E","channel 2")</f>
        <v>channel 2</v>
      </c>
    </row>
    <row r="11">
      <c r="B11" s="32" t="s">
        <v>3761</v>
      </c>
      <c r="C11" s="33" t="s">
        <v>218</v>
      </c>
      <c r="D11" s="32" t="s">
        <v>3557</v>
      </c>
      <c r="E11" s="11" t="str">
        <f>HYPERLINK("https://youtu.be/fuWJV4yW2XM","channel 1")</f>
        <v>channel 1</v>
      </c>
    </row>
    <row r="12">
      <c r="B12" s="32" t="s">
        <v>3559</v>
      </c>
      <c r="C12" s="33" t="s">
        <v>72</v>
      </c>
      <c r="D12" s="8" t="s">
        <v>3544</v>
      </c>
      <c r="E12" s="116" t="str">
        <f>HYPERLINK("https://youtu.be/MnoTTKTrplc","channel 2")</f>
        <v>channel 2</v>
      </c>
    </row>
    <row r="13">
      <c r="B13" s="8" t="s">
        <v>3544</v>
      </c>
      <c r="C13" s="33" t="s">
        <v>201</v>
      </c>
      <c r="D13" s="32" t="s">
        <v>4112</v>
      </c>
      <c r="E13" s="11" t="str">
        <f>HYPERLINK("https://youtu.be/saD6IbVF-Qw","channel 1")</f>
        <v>channel 1</v>
      </c>
    </row>
    <row r="14">
      <c r="B14" s="32" t="s">
        <v>3559</v>
      </c>
      <c r="C14" s="33" t="s">
        <v>78</v>
      </c>
      <c r="D14" s="32" t="s">
        <v>3557</v>
      </c>
      <c r="E14" s="116" t="str">
        <f>HYPERLINK("https://youtu.be/CPPQ168Lubk","channel 2")</f>
        <v>channel 2</v>
      </c>
    </row>
    <row r="15">
      <c r="B15" s="32" t="s">
        <v>4112</v>
      </c>
      <c r="C15" s="33" t="s">
        <v>218</v>
      </c>
      <c r="D15" s="32" t="s">
        <v>3761</v>
      </c>
      <c r="E15" s="11" t="str">
        <f>HYPERLINK("https://youtu.be/mtJ5t-oB74c","channel 1")</f>
        <v>channel 1</v>
      </c>
    </row>
    <row r="16">
      <c r="B16" s="8" t="s">
        <v>3544</v>
      </c>
      <c r="C16" s="33" t="s">
        <v>193</v>
      </c>
      <c r="D16" s="32" t="s">
        <v>3557</v>
      </c>
      <c r="E16" s="116" t="str">
        <f>HYPERLINK("https://youtu.be/MuSfGVF-TGU","channel 2")</f>
        <v>channel 2</v>
      </c>
    </row>
    <row r="17">
      <c r="B17" s="32" t="s">
        <v>3559</v>
      </c>
      <c r="C17" s="33" t="s">
        <v>534</v>
      </c>
      <c r="D17" s="32" t="s">
        <v>3761</v>
      </c>
      <c r="E17" s="11" t="str">
        <f>HYPERLINK("https://youtu.be/hGL99nj2WDU","channel 1")</f>
        <v>channel 1</v>
      </c>
    </row>
    <row r="18">
      <c r="B18" s="32" t="s">
        <v>4112</v>
      </c>
      <c r="C18" s="33" t="s">
        <v>378</v>
      </c>
      <c r="D18" s="32" t="s">
        <v>3557</v>
      </c>
      <c r="E18" s="116" t="str">
        <f>HYPERLINK("https://youtu.be/abSPZOsrQ_c","channel 2")</f>
        <v>channel 2</v>
      </c>
    </row>
    <row r="19">
      <c r="B19" s="8" t="s">
        <v>3544</v>
      </c>
      <c r="C19" s="33" t="s">
        <v>260</v>
      </c>
      <c r="D19" s="32" t="s">
        <v>3761</v>
      </c>
      <c r="E19" s="11" t="str">
        <f>HYPERLINK("https://youtu.be/wHfhx0GqZZo","channel 1")</f>
        <v>channel 1</v>
      </c>
    </row>
    <row r="20">
      <c r="B20" s="32" t="s">
        <v>4112</v>
      </c>
      <c r="C20" s="33" t="s">
        <v>25</v>
      </c>
      <c r="D20" s="32" t="s">
        <v>3559</v>
      </c>
      <c r="E20" s="116" t="str">
        <f>HYPERLINK("https://youtu.be/5vUCFpoutq8","channel 2")</f>
        <v>channel 2</v>
      </c>
    </row>
    <row r="21">
      <c r="B21" s="32" t="s">
        <v>3557</v>
      </c>
      <c r="C21" s="33" t="s">
        <v>837</v>
      </c>
      <c r="D21" s="32" t="s">
        <v>3761</v>
      </c>
      <c r="E21" s="11" t="str">
        <f>HYPERLINK("https://youtu.be/rCPNryHsHvY","channel 1")</f>
        <v>channel 1</v>
      </c>
    </row>
    <row r="22">
      <c r="B22" s="8" t="s">
        <v>3544</v>
      </c>
      <c r="C22" s="33" t="s">
        <v>71</v>
      </c>
      <c r="D22" s="32" t="s">
        <v>3559</v>
      </c>
      <c r="E22" s="116" t="str">
        <f>HYPERLINK("https://youtu.be/2Xgjn9zCg5s","channel 2")</f>
        <v>channel 2</v>
      </c>
    </row>
    <row r="23">
      <c r="B23" s="150" t="s">
        <v>2160</v>
      </c>
      <c r="C23" s="151"/>
      <c r="D23" s="151"/>
      <c r="E23" s="152"/>
    </row>
    <row r="24">
      <c r="B24" s="153" t="s">
        <v>2</v>
      </c>
      <c r="C24" s="86" t="s">
        <v>3</v>
      </c>
      <c r="D24" s="154" t="s">
        <v>4</v>
      </c>
      <c r="E24" s="154" t="s">
        <v>5</v>
      </c>
    </row>
    <row r="25">
      <c r="B25" s="87" t="s">
        <v>335</v>
      </c>
      <c r="C25" s="112" t="s">
        <v>87</v>
      </c>
      <c r="D25" s="101" t="s">
        <v>3858</v>
      </c>
      <c r="E25" s="11" t="str">
        <f>HYPERLINK("https://youtu.be/tCgsSf6ezgA","channel 1")</f>
        <v>channel 1</v>
      </c>
    </row>
    <row r="26">
      <c r="B26" s="87" t="s">
        <v>1662</v>
      </c>
      <c r="C26" s="112" t="s">
        <v>250</v>
      </c>
      <c r="D26" s="89" t="s">
        <v>3794</v>
      </c>
      <c r="E26" s="116" t="str">
        <f>HYPERLINK("https://youtu.be/MHA7IVlQsH4","channel 2")</f>
        <v>channel 2</v>
      </c>
    </row>
    <row r="27">
      <c r="B27" s="87" t="s">
        <v>4118</v>
      </c>
      <c r="C27" s="112" t="s">
        <v>17</v>
      </c>
      <c r="D27" s="89" t="s">
        <v>335</v>
      </c>
      <c r="E27" s="11" t="str">
        <f>HYPERLINK("https://youtu.be/8o73a9Iwm5I","channel 1")</f>
        <v>channel 1</v>
      </c>
    </row>
    <row r="28">
      <c r="B28" s="87" t="s">
        <v>1662</v>
      </c>
      <c r="C28" s="112" t="s">
        <v>41</v>
      </c>
      <c r="D28" s="101" t="s">
        <v>3858</v>
      </c>
      <c r="E28" s="116" t="str">
        <f>HYPERLINK("https://youtu.be/j-IBSdkxU5c","channel 2")</f>
        <v>channel 2</v>
      </c>
    </row>
    <row r="29">
      <c r="B29" s="87" t="s">
        <v>4118</v>
      </c>
      <c r="C29" s="112" t="s">
        <v>47</v>
      </c>
      <c r="D29" s="89" t="s">
        <v>3794</v>
      </c>
      <c r="E29" s="11" t="str">
        <f>HYPERLINK("https://youtu.be/Ht_cRP7iShM","channel 1")</f>
        <v>channel 1</v>
      </c>
    </row>
    <row r="30">
      <c r="B30" s="87" t="s">
        <v>1662</v>
      </c>
      <c r="C30" s="112" t="s">
        <v>544</v>
      </c>
      <c r="D30" s="89" t="s">
        <v>335</v>
      </c>
      <c r="E30" s="116" t="str">
        <f>HYPERLINK("https://youtu.be/2O6uV0M1dBU","channel 2")</f>
        <v>channel 2</v>
      </c>
    </row>
    <row r="31">
      <c r="B31" s="87" t="s">
        <v>4118</v>
      </c>
      <c r="C31" s="112" t="s">
        <v>587</v>
      </c>
      <c r="D31" s="101" t="s">
        <v>3858</v>
      </c>
      <c r="E31" s="11" t="str">
        <f>HYPERLINK("https://youtu.be/CFL8YBCmepM","channel 1")</f>
        <v>channel 1</v>
      </c>
    </row>
    <row r="32">
      <c r="B32" s="87" t="s">
        <v>3794</v>
      </c>
      <c r="C32" s="112" t="s">
        <v>286</v>
      </c>
      <c r="D32" s="89" t="s">
        <v>335</v>
      </c>
      <c r="E32" s="116" t="str">
        <f>HYPERLINK("https://youtu.be/XRNQePbBSjo","channel 2")</f>
        <v>channel 2</v>
      </c>
    </row>
    <row r="33">
      <c r="B33" s="87" t="s">
        <v>4118</v>
      </c>
      <c r="C33" s="112" t="s">
        <v>86</v>
      </c>
      <c r="D33" s="89" t="s">
        <v>1662</v>
      </c>
      <c r="E33" s="11" t="str">
        <f>HYPERLINK("https://youtu.be/JE3Jgamf8Lg","channel 1")</f>
        <v>channel 1</v>
      </c>
    </row>
    <row r="34">
      <c r="B34" s="32" t="s">
        <v>3794</v>
      </c>
      <c r="C34" s="33" t="s">
        <v>218</v>
      </c>
      <c r="D34" s="8" t="s">
        <v>3858</v>
      </c>
      <c r="E34" s="116" t="str">
        <f>HYPERLINK("https://youtu.be/ypISozMSOYQ","channel 2")</f>
        <v>channel 2</v>
      </c>
    </row>
    <row r="35">
      <c r="B35" s="8" t="s">
        <v>3858</v>
      </c>
      <c r="C35" s="33" t="s">
        <v>260</v>
      </c>
      <c r="D35" s="32" t="s">
        <v>335</v>
      </c>
      <c r="E35" s="11" t="str">
        <f>HYPERLINK("https://youtu.be/pLO-TlorjbI","channel 1")</f>
        <v>channel 1</v>
      </c>
    </row>
    <row r="36">
      <c r="B36" s="32" t="s">
        <v>3794</v>
      </c>
      <c r="C36" s="33" t="s">
        <v>412</v>
      </c>
      <c r="D36" s="32" t="s">
        <v>1662</v>
      </c>
      <c r="E36" s="116" t="str">
        <f>HYPERLINK("https://youtu.be/WMSPHKIrZDg","channel 2")</f>
        <v>channel 2</v>
      </c>
    </row>
    <row r="37">
      <c r="B37" s="32" t="s">
        <v>335</v>
      </c>
      <c r="C37" s="33" t="s">
        <v>446</v>
      </c>
      <c r="D37" s="32" t="s">
        <v>4118</v>
      </c>
      <c r="E37" s="11" t="str">
        <f>HYPERLINK("https://youtu.be/YTCh4mVV5zE","channel 1")</f>
        <v>channel 1</v>
      </c>
    </row>
    <row r="38">
      <c r="B38" s="8" t="s">
        <v>3858</v>
      </c>
      <c r="C38" s="33" t="s">
        <v>78</v>
      </c>
      <c r="D38" s="32" t="s">
        <v>1662</v>
      </c>
      <c r="E38" s="116" t="str">
        <f>HYPERLINK("https://youtu.be/owp5nxuTl6g","channel 2")</f>
        <v>channel 2</v>
      </c>
    </row>
    <row r="39">
      <c r="B39" s="32" t="s">
        <v>3794</v>
      </c>
      <c r="C39" s="33" t="s">
        <v>3320</v>
      </c>
      <c r="D39" s="32" t="s">
        <v>4118</v>
      </c>
      <c r="E39" s="11" t="str">
        <f>HYPERLINK("https://youtu.be/6oeF-TRToYE","channel 1")</f>
        <v>channel 1</v>
      </c>
    </row>
    <row r="40">
      <c r="B40" s="32" t="s">
        <v>335</v>
      </c>
      <c r="C40" s="33" t="s">
        <v>78</v>
      </c>
      <c r="D40" s="32" t="s">
        <v>1662</v>
      </c>
      <c r="E40" s="116" t="str">
        <f>HYPERLINK("https://youtu.be/j1CzBeIlobA","channel 2")</f>
        <v>channel 2</v>
      </c>
    </row>
    <row r="41">
      <c r="B41" s="8" t="s">
        <v>3858</v>
      </c>
      <c r="C41" s="33" t="s">
        <v>369</v>
      </c>
      <c r="D41" s="32" t="s">
        <v>4118</v>
      </c>
      <c r="E41" s="11" t="str">
        <f>HYPERLINK("https://youtu.be/AOYNyyQnxQ4","channel 1")</f>
        <v>channel 1</v>
      </c>
    </row>
    <row r="42">
      <c r="B42" s="32" t="s">
        <v>335</v>
      </c>
      <c r="C42" s="33" t="s">
        <v>88</v>
      </c>
      <c r="D42" s="32" t="s">
        <v>3794</v>
      </c>
      <c r="E42" s="116" t="str">
        <f>HYPERLINK("https://youtu.be/R9KGh8ernCI","channel 2")</f>
        <v>channel 2</v>
      </c>
    </row>
    <row r="43">
      <c r="B43" s="32" t="s">
        <v>1662</v>
      </c>
      <c r="C43" s="33" t="s">
        <v>62</v>
      </c>
      <c r="D43" s="32" t="s">
        <v>4118</v>
      </c>
      <c r="E43" s="11" t="str">
        <f>HYPERLINK("https://youtu.be/5OjnPFAKcWM","channel 1")</f>
        <v>channel 1</v>
      </c>
    </row>
    <row r="44">
      <c r="B44" s="8" t="s">
        <v>3858</v>
      </c>
      <c r="C44" s="33" t="s">
        <v>11</v>
      </c>
      <c r="D44" s="32" t="s">
        <v>3794</v>
      </c>
      <c r="E44" s="116" t="str">
        <f>HYPERLINK("https://youtu.be/nD8Yr0XyR0s","channel 2")</f>
        <v>channel 2</v>
      </c>
    </row>
    <row r="45">
      <c r="B45" s="150" t="s">
        <v>2316</v>
      </c>
      <c r="C45" s="151"/>
      <c r="D45" s="151"/>
      <c r="E45" s="152"/>
    </row>
    <row r="46">
      <c r="B46" s="85" t="s">
        <v>2</v>
      </c>
      <c r="C46" s="86" t="s">
        <v>3</v>
      </c>
      <c r="D46" s="86" t="s">
        <v>4</v>
      </c>
      <c r="E46" s="86" t="s">
        <v>5</v>
      </c>
    </row>
    <row r="47">
      <c r="B47" s="87" t="s">
        <v>3704</v>
      </c>
      <c r="C47" s="112" t="s">
        <v>329</v>
      </c>
      <c r="D47" s="89" t="s">
        <v>3362</v>
      </c>
      <c r="E47" s="11" t="str">
        <f>HYPERLINK("https://youtu.be/4uEoGPpZ-xo","channel 1")</f>
        <v>channel 1</v>
      </c>
    </row>
    <row r="48">
      <c r="B48" s="87" t="s">
        <v>3891</v>
      </c>
      <c r="C48" s="112" t="s">
        <v>412</v>
      </c>
      <c r="D48" s="89" t="s">
        <v>4264</v>
      </c>
      <c r="E48" s="116" t="str">
        <f>HYPERLINK("https://youtu.be/4uEoGPpZ-xo","channel 2")</f>
        <v>channel 2</v>
      </c>
    </row>
    <row r="49">
      <c r="B49" s="87" t="s">
        <v>4265</v>
      </c>
      <c r="C49" s="112" t="s">
        <v>69</v>
      </c>
      <c r="D49" s="89" t="s">
        <v>3704</v>
      </c>
      <c r="E49" s="11" t="str">
        <f>HYPERLINK("https://youtu.be/GnwPNifUa3o","channel 1")</f>
        <v>channel 1</v>
      </c>
    </row>
    <row r="50">
      <c r="B50" s="87" t="s">
        <v>3891</v>
      </c>
      <c r="C50" s="112" t="s">
        <v>413</v>
      </c>
      <c r="D50" s="89" t="s">
        <v>3362</v>
      </c>
      <c r="E50" s="116" t="str">
        <f>HYPERLINK("https://youtu.be/BNnZWV6xzPg","channel 2")</f>
        <v>channel 2</v>
      </c>
    </row>
    <row r="51">
      <c r="B51" s="87" t="s">
        <v>4265</v>
      </c>
      <c r="C51" s="112" t="s">
        <v>412</v>
      </c>
      <c r="D51" s="89" t="s">
        <v>4264</v>
      </c>
      <c r="E51" s="11" t="str">
        <f>HYPERLINK("https://youtu.be/rR0IETXLdI4","channel 1")</f>
        <v>channel 1</v>
      </c>
    </row>
    <row r="52">
      <c r="B52" s="87" t="s">
        <v>3891</v>
      </c>
      <c r="C52" s="112" t="s">
        <v>217</v>
      </c>
      <c r="D52" s="89" t="s">
        <v>3704</v>
      </c>
      <c r="E52" s="116" t="str">
        <f>HYPERLINK("https://youtu.be/FzPcdD1HC0k","channel 2")</f>
        <v>channel 2</v>
      </c>
    </row>
    <row r="53">
      <c r="B53" s="87" t="s">
        <v>4265</v>
      </c>
      <c r="C53" s="112" t="s">
        <v>488</v>
      </c>
      <c r="D53" s="89" t="s">
        <v>3362</v>
      </c>
      <c r="E53" s="11" t="str">
        <f>HYPERLINK("https://youtu.be/D1rHQhKNS8k","channel 1")</f>
        <v>channel 1</v>
      </c>
    </row>
    <row r="54">
      <c r="B54" s="87" t="s">
        <v>4264</v>
      </c>
      <c r="C54" s="112" t="s">
        <v>283</v>
      </c>
      <c r="D54" s="89" t="s">
        <v>3704</v>
      </c>
      <c r="E54" s="116" t="str">
        <f>HYPERLINK("https://youtu.be/0TjnmBrPS70","channel 2")</f>
        <v>channel 2</v>
      </c>
    </row>
    <row r="55">
      <c r="B55" s="87" t="s">
        <v>4265</v>
      </c>
      <c r="C55" s="112" t="s">
        <v>19</v>
      </c>
      <c r="D55" s="89" t="s">
        <v>3891</v>
      </c>
      <c r="E55" s="11" t="str">
        <f>HYPERLINK("https://youtu.be/eFCnKeIwDtE","channel 1")</f>
        <v>channel 1</v>
      </c>
    </row>
    <row r="56">
      <c r="B56" s="87" t="s">
        <v>4264</v>
      </c>
      <c r="C56" s="112" t="s">
        <v>267</v>
      </c>
      <c r="D56" s="89" t="s">
        <v>3362</v>
      </c>
      <c r="E56" s="116" t="str">
        <f>HYPERLINK("https://youtu.be/APfhsZ0vluk","channel 2")</f>
        <v>channel 2</v>
      </c>
    </row>
    <row r="57">
      <c r="B57" s="87" t="s">
        <v>3362</v>
      </c>
      <c r="C57" s="112" t="s">
        <v>80</v>
      </c>
      <c r="D57" s="89" t="s">
        <v>3704</v>
      </c>
      <c r="E57" s="11" t="str">
        <f>HYPERLINK("https://youtu.be/S402GSk2YBA","channel 1")</f>
        <v>channel 1</v>
      </c>
    </row>
    <row r="58">
      <c r="B58" s="87" t="s">
        <v>4264</v>
      </c>
      <c r="C58" s="112" t="s">
        <v>16</v>
      </c>
      <c r="D58" s="89" t="s">
        <v>3891</v>
      </c>
      <c r="E58" s="116" t="str">
        <f>HYPERLINK("https://youtu.be/4v4rDPgXmvE","channel 2")</f>
        <v>channel 2</v>
      </c>
    </row>
    <row r="59">
      <c r="B59" s="87" t="s">
        <v>3704</v>
      </c>
      <c r="C59" s="112" t="s">
        <v>78</v>
      </c>
      <c r="D59" s="89" t="s">
        <v>4265</v>
      </c>
      <c r="E59" s="11" t="str">
        <f>HYPERLINK("https://youtu.be/vGviWzIqoTY","channel 1")</f>
        <v>channel 1</v>
      </c>
    </row>
    <row r="60">
      <c r="B60" s="87" t="s">
        <v>3362</v>
      </c>
      <c r="C60" s="112" t="s">
        <v>68</v>
      </c>
      <c r="D60" s="89" t="s">
        <v>3891</v>
      </c>
      <c r="E60" s="116" t="str">
        <f>HYPERLINK("https://youtu.be/fOFjwjGmjfE","channel 2")</f>
        <v>channel 2</v>
      </c>
    </row>
    <row r="61">
      <c r="B61" s="87" t="s">
        <v>4264</v>
      </c>
      <c r="C61" s="112" t="s">
        <v>4171</v>
      </c>
      <c r="D61" s="89" t="s">
        <v>4265</v>
      </c>
      <c r="E61" s="11" t="str">
        <f>HYPERLINK("https://youtu.be/BEQI55nW1SQ","channel 1")</f>
        <v>channel 1</v>
      </c>
    </row>
    <row r="62">
      <c r="B62" s="87" t="s">
        <v>3704</v>
      </c>
      <c r="C62" s="112" t="s">
        <v>16</v>
      </c>
      <c r="D62" s="89" t="s">
        <v>3891</v>
      </c>
      <c r="E62" s="116" t="str">
        <f>HYPERLINK("https://youtu.be/Escx_YffNC4","channel 2")</f>
        <v>channel 2</v>
      </c>
    </row>
    <row r="63">
      <c r="B63" s="87" t="s">
        <v>3362</v>
      </c>
      <c r="C63" s="112" t="s">
        <v>190</v>
      </c>
      <c r="D63" s="89" t="s">
        <v>4265</v>
      </c>
      <c r="E63" s="11" t="str">
        <f>HYPERLINK("https://youtu.be/hjRgyH2-0Co","channel 1")</f>
        <v>channel 1</v>
      </c>
    </row>
    <row r="64">
      <c r="B64" s="87" t="s">
        <v>3704</v>
      </c>
      <c r="C64" s="112" t="s">
        <v>837</v>
      </c>
      <c r="D64" s="89" t="s">
        <v>4264</v>
      </c>
      <c r="E64" s="116" t="str">
        <f>HYPERLINK("https://youtu.be/eWIqCmyr1RM","channel 2")</f>
        <v>channel 2</v>
      </c>
    </row>
    <row r="65">
      <c r="B65" s="87" t="s">
        <v>3891</v>
      </c>
      <c r="C65" s="112" t="s">
        <v>19</v>
      </c>
      <c r="D65" s="89" t="s">
        <v>4265</v>
      </c>
      <c r="E65" s="11" t="str">
        <f>HYPERLINK("https://youtu.be/odwFtwD6YaY","channel 1")</f>
        <v>channel 1</v>
      </c>
    </row>
    <row r="66">
      <c r="B66" s="87" t="s">
        <v>3362</v>
      </c>
      <c r="C66" s="112" t="s">
        <v>4266</v>
      </c>
      <c r="D66" s="89" t="s">
        <v>4264</v>
      </c>
      <c r="E66" s="116" t="str">
        <f>HYPERLINK("https://youtu.be/4krVKLu1Ov0","channel 2")</f>
        <v>channel 2</v>
      </c>
    </row>
    <row r="67">
      <c r="B67" s="150" t="s">
        <v>1685</v>
      </c>
      <c r="C67" s="151"/>
      <c r="D67" s="151"/>
      <c r="E67" s="152"/>
    </row>
    <row r="68">
      <c r="B68" s="85" t="s">
        <v>2</v>
      </c>
      <c r="C68" s="86" t="s">
        <v>3</v>
      </c>
      <c r="D68" s="86" t="s">
        <v>4</v>
      </c>
      <c r="E68" s="86" t="s">
        <v>5</v>
      </c>
    </row>
    <row r="69">
      <c r="B69" s="87" t="s">
        <v>4209</v>
      </c>
      <c r="C69" s="112" t="s">
        <v>82</v>
      </c>
      <c r="D69" s="89" t="s">
        <v>4267</v>
      </c>
      <c r="E69" s="11" t="str">
        <f>HYPERLINK("https://youtu.be/oO_9cxzjKco","channel 1")</f>
        <v>channel 1</v>
      </c>
    </row>
    <row r="70">
      <c r="B70" s="87" t="s">
        <v>3716</v>
      </c>
      <c r="C70" s="112" t="s">
        <v>949</v>
      </c>
      <c r="D70" s="89" t="s">
        <v>4268</v>
      </c>
      <c r="E70" s="116" t="str">
        <f>HYPERLINK("https://youtu.be/GYeaaGFA0Ps","channel 2")</f>
        <v>channel 2</v>
      </c>
    </row>
    <row r="71">
      <c r="B71" s="87" t="s">
        <v>4269</v>
      </c>
      <c r="C71" s="112" t="s">
        <v>1937</v>
      </c>
      <c r="D71" s="89" t="s">
        <v>4209</v>
      </c>
      <c r="E71" s="11" t="str">
        <f>HYPERLINK("https://youtu.be/PeppuQmQrRk","channel 1")</f>
        <v>channel 1</v>
      </c>
    </row>
    <row r="72">
      <c r="B72" s="87" t="s">
        <v>3716</v>
      </c>
      <c r="C72" s="112" t="s">
        <v>329</v>
      </c>
      <c r="D72" s="89" t="s">
        <v>4267</v>
      </c>
      <c r="E72" s="116" t="str">
        <f>HYPERLINK("https://youtu.be/OycjdzcP8l8","channel 2")</f>
        <v>channel 2</v>
      </c>
    </row>
    <row r="73">
      <c r="B73" s="87" t="s">
        <v>4269</v>
      </c>
      <c r="C73" s="112" t="s">
        <v>488</v>
      </c>
      <c r="D73" s="89" t="s">
        <v>4268</v>
      </c>
      <c r="E73" s="11" t="str">
        <f>HYPERLINK("https://youtu.be/seQtBxFESrQ","channel 1")</f>
        <v>channel 1</v>
      </c>
    </row>
    <row r="74">
      <c r="B74" s="87" t="s">
        <v>3716</v>
      </c>
      <c r="C74" s="112" t="s">
        <v>866</v>
      </c>
      <c r="D74" s="89" t="s">
        <v>4209</v>
      </c>
      <c r="E74" s="116" t="str">
        <f>HYPERLINK("https://youtu.be/XUH839eUm3s","channel 2")</f>
        <v>channel 2</v>
      </c>
    </row>
    <row r="75">
      <c r="B75" s="87" t="s">
        <v>4269</v>
      </c>
      <c r="C75" s="112" t="s">
        <v>194</v>
      </c>
      <c r="D75" s="89" t="s">
        <v>4267</v>
      </c>
      <c r="E75" s="11" t="str">
        <f>HYPERLINK("https://youtu.be/VwntKVRC_wQ","channel 1")</f>
        <v>channel 1</v>
      </c>
    </row>
    <row r="76">
      <c r="B76" s="87" t="s">
        <v>4268</v>
      </c>
      <c r="C76" s="112" t="s">
        <v>1045</v>
      </c>
      <c r="D76" s="89" t="s">
        <v>4209</v>
      </c>
      <c r="E76" s="116" t="str">
        <f>HYPERLINK("https://youtu.be/elGzOW5Lohk","channel 2")</f>
        <v>channel 2</v>
      </c>
    </row>
    <row r="77">
      <c r="B77" s="87" t="s">
        <v>4269</v>
      </c>
      <c r="C77" s="112" t="s">
        <v>19</v>
      </c>
      <c r="D77" s="89" t="s">
        <v>3716</v>
      </c>
      <c r="E77" s="11" t="str">
        <f>HYPERLINK("https://youtu.be/3sekCQaJwUc","channel 1")</f>
        <v>channel 1</v>
      </c>
    </row>
    <row r="78">
      <c r="B78" s="87" t="s">
        <v>4268</v>
      </c>
      <c r="C78" s="112" t="s">
        <v>1937</v>
      </c>
      <c r="D78" s="89" t="s">
        <v>4267</v>
      </c>
      <c r="E78" s="116" t="str">
        <f>HYPERLINK("https://youtu.be/D45UavmTkB0","channel 2")</f>
        <v>channel 2</v>
      </c>
    </row>
    <row r="79">
      <c r="B79" s="87" t="s">
        <v>4267</v>
      </c>
      <c r="C79" s="112" t="s">
        <v>479</v>
      </c>
      <c r="D79" s="89" t="s">
        <v>4209</v>
      </c>
      <c r="E79" s="11" t="str">
        <f>HYPERLINK("https://youtu.be/7c2vx6s73UI","channel 1")</f>
        <v>channel 1</v>
      </c>
    </row>
    <row r="80">
      <c r="B80" s="87" t="s">
        <v>4268</v>
      </c>
      <c r="C80" s="112" t="s">
        <v>72</v>
      </c>
      <c r="D80" s="89" t="s">
        <v>3716</v>
      </c>
      <c r="E80" s="116" t="str">
        <f>HYPERLINK("https://youtu.be/NqxJQk3O-bQ","channel 2")</f>
        <v>channel 2</v>
      </c>
    </row>
    <row r="81">
      <c r="B81" s="87" t="s">
        <v>4209</v>
      </c>
      <c r="C81" s="112" t="s">
        <v>305</v>
      </c>
      <c r="D81" s="89" t="s">
        <v>4269</v>
      </c>
      <c r="E81" s="11" t="str">
        <f>HYPERLINK("https://youtu.be/-yGIt5b_hRs","channel 1")</f>
        <v>channel 1</v>
      </c>
    </row>
    <row r="82">
      <c r="B82" s="87" t="s">
        <v>4267</v>
      </c>
      <c r="C82" s="112" t="s">
        <v>24</v>
      </c>
      <c r="D82" s="89" t="s">
        <v>3716</v>
      </c>
      <c r="E82" s="116" t="str">
        <f>HYPERLINK("https://youtu.be/r9WGqBlza48","channel 2")</f>
        <v>channel 2</v>
      </c>
    </row>
    <row r="83">
      <c r="B83" s="87" t="s">
        <v>4268</v>
      </c>
      <c r="C83" s="112" t="s">
        <v>325</v>
      </c>
      <c r="D83" s="89" t="s">
        <v>4269</v>
      </c>
      <c r="E83" s="11" t="str">
        <f>HYPERLINK("https://youtu.be/nZwQMOfQl3I","channel 1")</f>
        <v>channel 1</v>
      </c>
    </row>
    <row r="84">
      <c r="B84" s="87" t="s">
        <v>4209</v>
      </c>
      <c r="C84" s="112" t="s">
        <v>842</v>
      </c>
      <c r="D84" s="89" t="s">
        <v>3716</v>
      </c>
      <c r="E84" s="116" t="str">
        <f>HYPERLINK("https://youtu.be/bnd-w3Nwbi4","channel 2")</f>
        <v>channel 2</v>
      </c>
    </row>
    <row r="85">
      <c r="B85" s="87" t="s">
        <v>4267</v>
      </c>
      <c r="C85" s="112" t="s">
        <v>72</v>
      </c>
      <c r="D85" s="89" t="s">
        <v>4269</v>
      </c>
      <c r="E85" s="11" t="str">
        <f>HYPERLINK("https://youtu.be/d67y4JC5q-g","channel 1")</f>
        <v>channel 1</v>
      </c>
    </row>
    <row r="86">
      <c r="B86" s="87" t="s">
        <v>4209</v>
      </c>
      <c r="C86" s="112" t="s">
        <v>50</v>
      </c>
      <c r="D86" s="89" t="s">
        <v>4268</v>
      </c>
      <c r="E86" s="116" t="str">
        <f>HYPERLINK("https://youtu.be/mDPyWbUwgOk","channel 2")</f>
        <v>channel 2</v>
      </c>
    </row>
    <row r="87">
      <c r="B87" s="87" t="s">
        <v>3716</v>
      </c>
      <c r="C87" s="112" t="s">
        <v>285</v>
      </c>
      <c r="D87" s="89" t="s">
        <v>4269</v>
      </c>
      <c r="E87" s="11" t="str">
        <f>HYPERLINK("https://youtu.be/hFFrM0wpN34","channel 1")</f>
        <v>channel 1</v>
      </c>
    </row>
    <row r="88">
      <c r="B88" s="87" t="s">
        <v>4267</v>
      </c>
      <c r="C88" s="112" t="s">
        <v>4270</v>
      </c>
      <c r="D88" s="89" t="s">
        <v>4268</v>
      </c>
      <c r="E88" s="116" t="str">
        <f>HYPERLINK("https://youtu.be/BSP4p5YxHP8","channel 2")</f>
        <v>channel 2</v>
      </c>
    </row>
    <row r="89">
      <c r="B89" s="148"/>
      <c r="C89" s="148"/>
      <c r="D89" s="148"/>
      <c r="E89" s="149"/>
    </row>
    <row r="90">
      <c r="B90" s="148"/>
      <c r="C90" s="148"/>
      <c r="D90" s="148"/>
      <c r="E90" s="149"/>
    </row>
    <row r="91">
      <c r="B91" s="148"/>
      <c r="C91" s="148"/>
      <c r="D91" s="148"/>
      <c r="E91" s="149"/>
    </row>
    <row r="92">
      <c r="B92" s="148"/>
      <c r="C92" s="148"/>
      <c r="D92" s="148"/>
      <c r="E92" s="149"/>
    </row>
    <row r="93">
      <c r="B93" s="148"/>
      <c r="C93" s="148"/>
      <c r="D93" s="148"/>
      <c r="E93" s="149"/>
    </row>
    <row r="94">
      <c r="B94" s="148"/>
      <c r="C94" s="148"/>
      <c r="D94" s="148"/>
      <c r="E94" s="149"/>
    </row>
    <row r="95">
      <c r="B95" s="148"/>
      <c r="C95" s="148"/>
      <c r="D95" s="148"/>
      <c r="E95" s="149"/>
    </row>
    <row r="96">
      <c r="B96" s="148"/>
      <c r="C96" s="148"/>
      <c r="D96" s="148"/>
      <c r="E96" s="149"/>
    </row>
    <row r="97">
      <c r="B97" s="148"/>
      <c r="C97" s="148"/>
      <c r="D97" s="148"/>
      <c r="E97" s="149"/>
    </row>
    <row r="98">
      <c r="B98" s="148"/>
      <c r="C98" s="148"/>
      <c r="D98" s="148"/>
      <c r="E98" s="149"/>
    </row>
    <row r="99">
      <c r="B99" s="148"/>
      <c r="C99" s="148"/>
      <c r="D99" s="148"/>
      <c r="E99" s="149"/>
    </row>
    <row r="100">
      <c r="B100" s="148"/>
      <c r="C100" s="148"/>
      <c r="D100" s="148"/>
      <c r="E100" s="149"/>
    </row>
    <row r="101">
      <c r="B101" s="148"/>
      <c r="C101" s="148"/>
      <c r="D101" s="148"/>
      <c r="E101" s="149"/>
    </row>
    <row r="102">
      <c r="B102" s="148"/>
      <c r="C102" s="148"/>
      <c r="D102" s="148"/>
      <c r="E102" s="149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C1" s="165" t="s">
        <v>4271</v>
      </c>
      <c r="D1" s="165"/>
      <c r="E1" s="163"/>
    </row>
    <row r="2">
      <c r="B2" s="153" t="s">
        <v>2</v>
      </c>
      <c r="C2" s="86" t="s">
        <v>3</v>
      </c>
      <c r="D2" s="154" t="s">
        <v>4</v>
      </c>
      <c r="E2" s="154" t="s">
        <v>5</v>
      </c>
    </row>
    <row r="3">
      <c r="B3" s="32" t="s">
        <v>4272</v>
      </c>
      <c r="C3" s="159" t="s">
        <v>303</v>
      </c>
      <c r="D3" s="32" t="s">
        <v>4273</v>
      </c>
      <c r="E3" s="11" t="str">
        <f>HYPERLINK("https://youtu.be/eGy1cro6iEo","channel 1")</f>
        <v>channel 1</v>
      </c>
    </row>
    <row r="4">
      <c r="B4" s="87" t="s">
        <v>4274</v>
      </c>
      <c r="C4" s="112" t="s">
        <v>212</v>
      </c>
      <c r="D4" s="87" t="s">
        <v>4275</v>
      </c>
      <c r="E4" s="11" t="str">
        <f>HYPERLINK("https://youtu.be/ipR5uYjlMQM","channel 2")</f>
        <v>channel 2</v>
      </c>
    </row>
    <row r="5">
      <c r="B5" s="87" t="s">
        <v>4276</v>
      </c>
      <c r="C5" s="112" t="s">
        <v>352</v>
      </c>
      <c r="D5" s="87" t="s">
        <v>4272</v>
      </c>
      <c r="E5" s="11" t="str">
        <f>HYPERLINK("https://youtu.be/h_V3RcmNCfE","channel 1")</f>
        <v>channel 1</v>
      </c>
    </row>
    <row r="6">
      <c r="B6" s="87" t="s">
        <v>4274</v>
      </c>
      <c r="C6" s="112" t="s">
        <v>87</v>
      </c>
      <c r="D6" s="87" t="s">
        <v>4273</v>
      </c>
      <c r="E6" s="11" t="str">
        <f>HYPERLINK("https://youtu.be/8VgQDW2An78","channel 2")</f>
        <v>channel 2</v>
      </c>
    </row>
    <row r="7">
      <c r="B7" s="87" t="s">
        <v>4276</v>
      </c>
      <c r="C7" s="112" t="s">
        <v>3063</v>
      </c>
      <c r="D7" s="87" t="s">
        <v>4275</v>
      </c>
      <c r="E7" s="11" t="str">
        <f>HYPERLINK("https://youtu.be/-8-MDuah3qQ","channel 1")</f>
        <v>channel 1</v>
      </c>
    </row>
    <row r="8">
      <c r="B8" s="87" t="s">
        <v>4274</v>
      </c>
      <c r="C8" s="112" t="s">
        <v>695</v>
      </c>
      <c r="D8" s="87" t="s">
        <v>4272</v>
      </c>
      <c r="E8" s="11" t="str">
        <f>HYPERLINK("https://youtu.be/4JZ9kcSP7s0","channel 2")</f>
        <v>channel 2</v>
      </c>
    </row>
    <row r="9">
      <c r="B9" s="87" t="s">
        <v>4276</v>
      </c>
      <c r="C9" s="112" t="s">
        <v>27</v>
      </c>
      <c r="D9" s="87" t="s">
        <v>4273</v>
      </c>
      <c r="E9" s="11" t="str">
        <f>HYPERLINK("https://youtu.be/XQlY3Gfyraw","channel 1")</f>
        <v>channel 1</v>
      </c>
    </row>
    <row r="10">
      <c r="B10" s="87" t="s">
        <v>4275</v>
      </c>
      <c r="C10" s="112" t="s">
        <v>534</v>
      </c>
      <c r="D10" s="87" t="s">
        <v>4272</v>
      </c>
      <c r="E10" s="11" t="str">
        <f>HYPERLINK("https://youtu.be/xGLYsNmOk58","channel 2")</f>
        <v>channel 2</v>
      </c>
    </row>
    <row r="11">
      <c r="B11" s="87" t="s">
        <v>4276</v>
      </c>
      <c r="C11" s="112" t="s">
        <v>201</v>
      </c>
      <c r="D11" s="87" t="s">
        <v>4274</v>
      </c>
      <c r="E11" s="11" t="str">
        <f>HYPERLINK("https://youtu.be/FSwRSEfF87E","channel 1")</f>
        <v>channel 1</v>
      </c>
    </row>
    <row r="12">
      <c r="B12" s="87" t="s">
        <v>4275</v>
      </c>
      <c r="C12" s="112" t="s">
        <v>239</v>
      </c>
      <c r="D12" s="87" t="s">
        <v>4273</v>
      </c>
      <c r="E12" s="11" t="str">
        <f>HYPERLINK("https://youtu.be/dcSnpaUGjvY","channel 2")</f>
        <v>channel 2</v>
      </c>
    </row>
    <row r="13">
      <c r="B13" s="87" t="s">
        <v>4273</v>
      </c>
      <c r="C13" s="112" t="s">
        <v>45</v>
      </c>
      <c r="D13" s="87" t="s">
        <v>4272</v>
      </c>
      <c r="E13" s="11" t="str">
        <f>HYPERLINK("https://youtu.be/J-Wb6IQHqdc","channel 1")</f>
        <v>channel 1</v>
      </c>
    </row>
    <row r="14">
      <c r="B14" s="87" t="s">
        <v>4275</v>
      </c>
      <c r="C14" s="112" t="s">
        <v>18</v>
      </c>
      <c r="D14" s="87" t="s">
        <v>4274</v>
      </c>
      <c r="E14" s="11" t="str">
        <f>HYPERLINK("https://youtu.be/BinTQONb4kY","channel 2")</f>
        <v>channel 2</v>
      </c>
    </row>
    <row r="15">
      <c r="B15" s="87" t="s">
        <v>4272</v>
      </c>
      <c r="C15" s="112" t="s">
        <v>22</v>
      </c>
      <c r="D15" s="87" t="s">
        <v>4276</v>
      </c>
      <c r="E15" s="11" t="str">
        <f>HYPERLINK("https://youtu.be/7K4CPvqKKaE","channel 1")</f>
        <v>channel 1</v>
      </c>
    </row>
    <row r="16">
      <c r="B16" s="87" t="s">
        <v>4273</v>
      </c>
      <c r="C16" s="112" t="s">
        <v>215</v>
      </c>
      <c r="D16" s="87" t="s">
        <v>4274</v>
      </c>
      <c r="E16" s="11" t="str">
        <f>HYPERLINK("https://youtu.be/yMGvLj2OGIE","channel 2")</f>
        <v>channel 2</v>
      </c>
    </row>
    <row r="17">
      <c r="B17" s="87" t="s">
        <v>4275</v>
      </c>
      <c r="C17" s="112" t="s">
        <v>285</v>
      </c>
      <c r="D17" s="87" t="s">
        <v>4276</v>
      </c>
      <c r="E17" s="11" t="str">
        <f>HYPERLINK("https://youtu.be/IoPo5RHLr8o","channel 1")</f>
        <v>channel 1</v>
      </c>
    </row>
    <row r="18">
      <c r="B18" s="87" t="s">
        <v>4272</v>
      </c>
      <c r="C18" s="112" t="s">
        <v>4277</v>
      </c>
      <c r="D18" s="87" t="s">
        <v>4274</v>
      </c>
      <c r="E18" s="11" t="str">
        <f>HYPERLINK("https://youtu.be/yqbgVASuKeE","channel 2")</f>
        <v>channel 2</v>
      </c>
    </row>
    <row r="19">
      <c r="B19" s="87" t="s">
        <v>4273</v>
      </c>
      <c r="C19" s="112" t="s">
        <v>11</v>
      </c>
      <c r="D19" s="87" t="s">
        <v>4276</v>
      </c>
      <c r="E19" s="11" t="str">
        <f>HYPERLINK("https://youtu.be/8r6jWbiE-EY","channel 1")</f>
        <v>channel 1</v>
      </c>
    </row>
    <row r="20">
      <c r="B20" s="87" t="s">
        <v>4272</v>
      </c>
      <c r="C20" s="112" t="s">
        <v>48</v>
      </c>
      <c r="D20" s="87" t="s">
        <v>4275</v>
      </c>
      <c r="E20" s="11" t="str">
        <f>HYPERLINK("https://youtu.be/NaNjRmMlU1k","channel 2")</f>
        <v>channel 2</v>
      </c>
    </row>
    <row r="21">
      <c r="B21" s="87" t="s">
        <v>4274</v>
      </c>
      <c r="C21" s="112" t="s">
        <v>533</v>
      </c>
      <c r="D21" s="87" t="s">
        <v>4276</v>
      </c>
      <c r="E21" s="11" t="str">
        <f>HYPERLINK("https://youtu.be/VRlDnGJ6h-w","channel 1")</f>
        <v>channel 1</v>
      </c>
    </row>
    <row r="22">
      <c r="B22" s="87" t="s">
        <v>4273</v>
      </c>
      <c r="C22" s="112" t="s">
        <v>16</v>
      </c>
      <c r="D22" s="87" t="s">
        <v>4275</v>
      </c>
      <c r="E22" s="11" t="str">
        <f>HYPERLINK("https://youtu.be/NaevgdvI7so","channel 2")</f>
        <v>channel 2</v>
      </c>
    </row>
    <row r="23">
      <c r="B23" s="150" t="s">
        <v>4278</v>
      </c>
      <c r="C23" s="151"/>
      <c r="D23" s="152"/>
      <c r="E23" s="95"/>
    </row>
    <row r="24">
      <c r="B24" s="153" t="s">
        <v>2</v>
      </c>
      <c r="C24" s="86" t="s">
        <v>3</v>
      </c>
      <c r="D24" s="154" t="s">
        <v>4</v>
      </c>
      <c r="E24" s="154" t="s">
        <v>5</v>
      </c>
    </row>
    <row r="25">
      <c r="B25" s="32" t="s">
        <v>4279</v>
      </c>
      <c r="C25" s="112" t="s">
        <v>82</v>
      </c>
      <c r="D25" s="32" t="s">
        <v>4280</v>
      </c>
      <c r="E25" s="11" t="str">
        <f>HYPERLINK("https://youtu.be/eDgcqIN34Qc","channel 1")</f>
        <v>channel 1</v>
      </c>
    </row>
    <row r="26">
      <c r="B26" s="87" t="s">
        <v>3636</v>
      </c>
      <c r="C26" s="112" t="s">
        <v>22</v>
      </c>
      <c r="D26" s="87" t="s">
        <v>1790</v>
      </c>
      <c r="E26" s="11" t="str">
        <f>HYPERLINK("https://youtu.be/g2Zgp2XIyMY","channel 2")</f>
        <v>channel 2</v>
      </c>
    </row>
    <row r="27">
      <c r="B27" s="87" t="s">
        <v>3997</v>
      </c>
      <c r="C27" s="112" t="s">
        <v>27</v>
      </c>
      <c r="D27" s="87" t="s">
        <v>4279</v>
      </c>
      <c r="E27" s="11" t="str">
        <f>HYPERLINK("https://youtu.be/ZBFidPcTw4s","channel 1")</f>
        <v>channel 1</v>
      </c>
    </row>
    <row r="28">
      <c r="B28" s="87" t="s">
        <v>3636</v>
      </c>
      <c r="C28" s="112" t="s">
        <v>196</v>
      </c>
      <c r="D28" s="87" t="s">
        <v>4280</v>
      </c>
      <c r="E28" s="11" t="str">
        <f>HYPERLINK("https://youtu.be/y9FleIIr7ak","channel 2")</f>
        <v>channel 2</v>
      </c>
    </row>
    <row r="29">
      <c r="B29" s="87" t="s">
        <v>3997</v>
      </c>
      <c r="C29" s="112" t="s">
        <v>88</v>
      </c>
      <c r="D29" s="87" t="s">
        <v>1790</v>
      </c>
      <c r="E29" s="11" t="str">
        <f>HYPERLINK("https://youtu.be/b6LPMCA9eSM","channel 1")</f>
        <v>channel 1</v>
      </c>
    </row>
    <row r="30">
      <c r="B30" s="87" t="s">
        <v>3636</v>
      </c>
      <c r="C30" s="112" t="s">
        <v>45</v>
      </c>
      <c r="D30" s="87" t="s">
        <v>4279</v>
      </c>
      <c r="E30" s="11" t="str">
        <f>HYPERLINK("https://youtu.be/WSJfk5vpqoA","channel 2")</f>
        <v>channel 2</v>
      </c>
    </row>
    <row r="31">
      <c r="B31" s="87" t="s">
        <v>3997</v>
      </c>
      <c r="C31" s="112" t="s">
        <v>765</v>
      </c>
      <c r="D31" s="87" t="s">
        <v>4280</v>
      </c>
      <c r="E31" s="11" t="str">
        <f>HYPERLINK("https://youtu.be/4O0CwfXMLAs","channel 1")</f>
        <v>channel 1</v>
      </c>
    </row>
    <row r="32">
      <c r="B32" s="87" t="s">
        <v>1790</v>
      </c>
      <c r="C32" s="112" t="s">
        <v>27</v>
      </c>
      <c r="D32" s="87" t="s">
        <v>4279</v>
      </c>
      <c r="E32" s="11" t="str">
        <f>HYPERLINK("https://youtu.be/qHKTiD99ZH8","channel 2")</f>
        <v>channel 2</v>
      </c>
    </row>
    <row r="33">
      <c r="B33" s="87" t="s">
        <v>3997</v>
      </c>
      <c r="C33" s="112" t="s">
        <v>22</v>
      </c>
      <c r="D33" s="87" t="s">
        <v>3636</v>
      </c>
      <c r="E33" s="11" t="str">
        <f>HYPERLINK("https://youtu.be/DIcXMaxVLYs","channel 1")</f>
        <v>channel 1</v>
      </c>
    </row>
    <row r="34">
      <c r="B34" s="87" t="s">
        <v>1790</v>
      </c>
      <c r="C34" s="112" t="s">
        <v>66</v>
      </c>
      <c r="D34" s="87" t="s">
        <v>4280</v>
      </c>
      <c r="E34" s="11" t="str">
        <f>HYPERLINK("https://youtu.be/gvkeesqx7Ts","channel 2")</f>
        <v>channel 2</v>
      </c>
    </row>
    <row r="35">
      <c r="B35" s="87" t="s">
        <v>4280</v>
      </c>
      <c r="C35" s="112" t="s">
        <v>2699</v>
      </c>
      <c r="D35" s="87" t="s">
        <v>4279</v>
      </c>
      <c r="E35" s="11" t="str">
        <f>HYPERLINK("https://youtu.be/IUX1sHtSqYQ","channel 1")</f>
        <v>channel 1</v>
      </c>
    </row>
    <row r="36">
      <c r="B36" s="87" t="s">
        <v>1790</v>
      </c>
      <c r="C36" s="112" t="s">
        <v>201</v>
      </c>
      <c r="D36" s="87" t="s">
        <v>3636</v>
      </c>
      <c r="E36" s="11" t="str">
        <f>HYPERLINK("https://youtu.be/lZfkWHEF9Z4","channel 2")</f>
        <v>channel 2</v>
      </c>
    </row>
    <row r="37">
      <c r="B37" s="87" t="s">
        <v>4279</v>
      </c>
      <c r="C37" s="112" t="s">
        <v>4281</v>
      </c>
      <c r="D37" s="87" t="s">
        <v>3997</v>
      </c>
      <c r="E37" s="11" t="str">
        <f>HYPERLINK("https://youtu.be/SSptqJilZQ4","channel 1")</f>
        <v>channel 1</v>
      </c>
    </row>
    <row r="38">
      <c r="B38" s="87" t="s">
        <v>4280</v>
      </c>
      <c r="C38" s="112" t="s">
        <v>201</v>
      </c>
      <c r="D38" s="87" t="s">
        <v>3636</v>
      </c>
      <c r="E38" s="11" t="str">
        <f>HYPERLINK("https://youtu.be/Kxz2OF48Brc","channel 2")</f>
        <v>channel 2</v>
      </c>
    </row>
    <row r="39">
      <c r="B39" s="87" t="s">
        <v>1790</v>
      </c>
      <c r="C39" s="112" t="s">
        <v>446</v>
      </c>
      <c r="D39" s="87" t="s">
        <v>3997</v>
      </c>
      <c r="E39" s="11" t="str">
        <f>HYPERLINK("https://youtu.be/8CQaTeRqhJk","channel 1")</f>
        <v>channel 1</v>
      </c>
    </row>
    <row r="40">
      <c r="B40" s="87" t="s">
        <v>4279</v>
      </c>
      <c r="C40" s="112" t="s">
        <v>295</v>
      </c>
      <c r="D40" s="87" t="s">
        <v>3636</v>
      </c>
      <c r="E40" s="11" t="str">
        <f>HYPERLINK("https://youtu.be/QW-h9Y8T8OU","channel 2")</f>
        <v>channel 2</v>
      </c>
    </row>
    <row r="41">
      <c r="B41" s="87" t="s">
        <v>4280</v>
      </c>
      <c r="C41" s="112" t="s">
        <v>69</v>
      </c>
      <c r="D41" s="87" t="s">
        <v>3997</v>
      </c>
      <c r="E41" s="11" t="str">
        <f>HYPERLINK("https://youtu.be/QMNjShqoFwM","channel 1")</f>
        <v>channel 1</v>
      </c>
    </row>
    <row r="42">
      <c r="B42" s="87" t="s">
        <v>4279</v>
      </c>
      <c r="C42" s="112" t="s">
        <v>500</v>
      </c>
      <c r="D42" s="87" t="s">
        <v>1790</v>
      </c>
      <c r="E42" s="11" t="str">
        <f>HYPERLINK("https://youtu.be/vd8XwoNop-E","channel 2")</f>
        <v>channel 2</v>
      </c>
    </row>
    <row r="43">
      <c r="B43" s="87" t="s">
        <v>3636</v>
      </c>
      <c r="C43" s="112" t="s">
        <v>829</v>
      </c>
      <c r="D43" s="87" t="s">
        <v>3997</v>
      </c>
      <c r="E43" s="11" t="str">
        <f>HYPERLINK("https://youtu.be/_u_pbLpG8aw","channel 1")</f>
        <v>channel 1</v>
      </c>
    </row>
    <row r="44">
      <c r="B44" s="87" t="s">
        <v>4280</v>
      </c>
      <c r="C44" s="112" t="s">
        <v>261</v>
      </c>
      <c r="D44" s="87" t="s">
        <v>1790</v>
      </c>
      <c r="E44" s="11" t="str">
        <f>HYPERLINK("https://youtu.be/BeqOYVlySFo","channel 2")</f>
        <v>channel 2</v>
      </c>
    </row>
    <row r="45">
      <c r="B45" s="149"/>
      <c r="C45" s="149"/>
      <c r="D45" s="149"/>
      <c r="E45" s="149"/>
    </row>
    <row r="46">
      <c r="B46" s="149"/>
      <c r="C46" s="149"/>
      <c r="D46" s="149"/>
      <c r="E46" s="149"/>
    </row>
    <row r="47">
      <c r="B47" s="149"/>
      <c r="C47" s="149"/>
      <c r="D47" s="149"/>
      <c r="E47" s="149"/>
    </row>
    <row r="48">
      <c r="B48" s="149"/>
      <c r="C48" s="149"/>
      <c r="D48" s="149"/>
      <c r="E48" s="149"/>
    </row>
    <row r="49">
      <c r="B49" s="149"/>
      <c r="C49" s="149"/>
      <c r="D49" s="149"/>
      <c r="E49" s="149"/>
    </row>
    <row r="50">
      <c r="B50" s="149"/>
      <c r="C50" s="149"/>
      <c r="D50" s="149"/>
      <c r="E50" s="149"/>
    </row>
    <row r="51">
      <c r="B51" s="149"/>
      <c r="C51" s="149"/>
      <c r="D51" s="149"/>
      <c r="E51" s="149"/>
    </row>
    <row r="52">
      <c r="B52" s="149"/>
      <c r="C52" s="149"/>
      <c r="D52" s="149"/>
      <c r="E52" s="149"/>
    </row>
    <row r="53">
      <c r="B53" s="149"/>
      <c r="C53" s="149"/>
      <c r="D53" s="149"/>
      <c r="E53" s="149"/>
    </row>
    <row r="54">
      <c r="B54" s="149"/>
      <c r="C54" s="149"/>
      <c r="D54" s="149"/>
      <c r="E54" s="149"/>
    </row>
    <row r="55">
      <c r="B55" s="149"/>
      <c r="C55" s="149"/>
      <c r="D55" s="149"/>
      <c r="E55" s="149"/>
    </row>
    <row r="56">
      <c r="B56" s="149"/>
      <c r="C56" s="149"/>
      <c r="D56" s="149"/>
      <c r="E56" s="149"/>
    </row>
    <row r="57">
      <c r="B57" s="149"/>
      <c r="C57" s="149"/>
      <c r="D57" s="149"/>
      <c r="E57" s="149"/>
    </row>
    <row r="58">
      <c r="B58" s="149"/>
      <c r="C58" s="149"/>
      <c r="D58" s="149"/>
      <c r="E58" s="149"/>
    </row>
    <row r="59">
      <c r="B59" s="149"/>
      <c r="C59" s="149"/>
      <c r="D59" s="149"/>
      <c r="E59" s="149"/>
    </row>
    <row r="60">
      <c r="B60" s="149"/>
      <c r="C60" s="149"/>
      <c r="D60" s="149"/>
      <c r="E60" s="149"/>
    </row>
    <row r="61">
      <c r="B61" s="149"/>
      <c r="C61" s="149"/>
      <c r="D61" s="149"/>
      <c r="E61" s="149"/>
    </row>
    <row r="62">
      <c r="B62" s="149"/>
      <c r="C62" s="149"/>
      <c r="D62" s="149"/>
      <c r="E62" s="149"/>
    </row>
    <row r="63">
      <c r="B63" s="149"/>
      <c r="C63" s="149"/>
      <c r="D63" s="149"/>
      <c r="E63" s="149"/>
    </row>
    <row r="64">
      <c r="B64" s="149"/>
      <c r="C64" s="149"/>
      <c r="D64" s="149"/>
      <c r="E64" s="149"/>
    </row>
    <row r="65">
      <c r="B65" s="149"/>
      <c r="C65" s="149"/>
      <c r="D65" s="149"/>
      <c r="E65" s="149"/>
    </row>
    <row r="66">
      <c r="B66" s="149"/>
      <c r="C66" s="149"/>
      <c r="D66" s="149"/>
      <c r="E66" s="149"/>
    </row>
    <row r="67">
      <c r="B67" s="149"/>
      <c r="C67" s="149"/>
      <c r="D67" s="149"/>
      <c r="E67" s="149"/>
    </row>
    <row r="68">
      <c r="B68" s="149"/>
      <c r="C68" s="149"/>
      <c r="D68" s="149"/>
      <c r="E68" s="149"/>
    </row>
    <row r="69">
      <c r="B69" s="149"/>
      <c r="C69" s="149"/>
      <c r="D69" s="149"/>
      <c r="E69" s="149"/>
    </row>
    <row r="70">
      <c r="B70" s="149"/>
      <c r="C70" s="149"/>
      <c r="D70" s="149"/>
      <c r="E70" s="149"/>
    </row>
    <row r="71">
      <c r="B71" s="149"/>
      <c r="C71" s="149"/>
      <c r="D71" s="149"/>
      <c r="E71" s="149"/>
    </row>
    <row r="72">
      <c r="B72" s="149"/>
      <c r="C72" s="149"/>
      <c r="D72" s="149"/>
      <c r="E72" s="149"/>
    </row>
    <row r="73">
      <c r="B73" s="149"/>
      <c r="C73" s="149"/>
      <c r="D73" s="149"/>
      <c r="E73" s="149"/>
    </row>
    <row r="74">
      <c r="B74" s="149"/>
      <c r="C74" s="149"/>
      <c r="D74" s="149"/>
      <c r="E74" s="149"/>
    </row>
    <row r="75">
      <c r="B75" s="149"/>
      <c r="C75" s="149"/>
      <c r="D75" s="149"/>
      <c r="E75" s="149"/>
    </row>
    <row r="76">
      <c r="B76" s="149"/>
      <c r="C76" s="149"/>
      <c r="D76" s="149"/>
      <c r="E76" s="149"/>
    </row>
    <row r="77">
      <c r="B77" s="149"/>
      <c r="C77" s="149"/>
      <c r="D77" s="149"/>
      <c r="E77" s="149"/>
    </row>
    <row r="78">
      <c r="B78" s="149"/>
      <c r="C78" s="149"/>
      <c r="D78" s="149"/>
      <c r="E78" s="149"/>
    </row>
    <row r="79">
      <c r="B79" s="149"/>
      <c r="C79" s="149"/>
      <c r="D79" s="149"/>
      <c r="E79" s="149"/>
    </row>
    <row r="80">
      <c r="B80" s="149"/>
      <c r="C80" s="149"/>
      <c r="D80" s="149"/>
      <c r="E80" s="149"/>
    </row>
    <row r="81">
      <c r="B81" s="149"/>
      <c r="C81" s="149"/>
      <c r="D81" s="149"/>
      <c r="E81" s="149"/>
    </row>
    <row r="82">
      <c r="B82" s="149"/>
      <c r="C82" s="149"/>
      <c r="D82" s="149"/>
      <c r="E82" s="149"/>
    </row>
    <row r="83">
      <c r="B83" s="149"/>
      <c r="C83" s="149"/>
      <c r="D83" s="149"/>
      <c r="E83" s="149"/>
    </row>
    <row r="84">
      <c r="B84" s="149"/>
      <c r="C84" s="149"/>
      <c r="D84" s="149"/>
      <c r="E84" s="149"/>
    </row>
    <row r="85">
      <c r="B85" s="149"/>
      <c r="C85" s="149"/>
      <c r="D85" s="149"/>
      <c r="E85" s="149"/>
    </row>
    <row r="86">
      <c r="B86" s="149"/>
      <c r="C86" s="149"/>
      <c r="D86" s="149"/>
      <c r="E86" s="149"/>
    </row>
    <row r="87">
      <c r="B87" s="149"/>
      <c r="C87" s="149"/>
      <c r="D87" s="149"/>
      <c r="E87" s="149"/>
    </row>
    <row r="88">
      <c r="B88" s="149"/>
      <c r="C88" s="149"/>
      <c r="D88" s="149"/>
      <c r="E88" s="149"/>
    </row>
    <row r="89">
      <c r="B89" s="149"/>
      <c r="C89" s="149"/>
      <c r="D89" s="149"/>
      <c r="E89" s="149"/>
    </row>
    <row r="90">
      <c r="B90" s="149"/>
      <c r="C90" s="149"/>
      <c r="D90" s="149"/>
      <c r="E90" s="149"/>
    </row>
    <row r="91">
      <c r="B91" s="149"/>
      <c r="C91" s="149"/>
      <c r="D91" s="149"/>
      <c r="E91" s="149"/>
    </row>
    <row r="92">
      <c r="B92" s="149"/>
      <c r="C92" s="149"/>
      <c r="D92" s="149"/>
      <c r="E92" s="149"/>
    </row>
    <row r="93">
      <c r="B93" s="149"/>
      <c r="C93" s="149"/>
      <c r="D93" s="149"/>
      <c r="E93" s="149"/>
    </row>
    <row r="94">
      <c r="B94" s="149"/>
      <c r="C94" s="149"/>
      <c r="D94" s="149"/>
      <c r="E94" s="149"/>
    </row>
    <row r="95">
      <c r="B95" s="149"/>
      <c r="C95" s="149"/>
      <c r="D95" s="149"/>
      <c r="E95" s="149"/>
    </row>
    <row r="96">
      <c r="B96" s="149"/>
      <c r="C96" s="149"/>
      <c r="D96" s="149"/>
      <c r="E96" s="149"/>
    </row>
    <row r="97">
      <c r="B97" s="149"/>
      <c r="C97" s="149"/>
      <c r="D97" s="149"/>
      <c r="E97" s="149"/>
    </row>
    <row r="98">
      <c r="B98" s="149"/>
      <c r="C98" s="149"/>
      <c r="D98" s="149"/>
      <c r="E98" s="149"/>
    </row>
    <row r="99">
      <c r="B99" s="149"/>
      <c r="C99" s="149"/>
      <c r="D99" s="149"/>
      <c r="E99" s="149"/>
    </row>
    <row r="100">
      <c r="B100" s="149"/>
      <c r="C100" s="149"/>
      <c r="D100" s="149"/>
      <c r="E100" s="149"/>
    </row>
    <row r="101">
      <c r="B101" s="149"/>
      <c r="C101" s="149"/>
      <c r="D101" s="149"/>
      <c r="E101" s="149"/>
    </row>
    <row r="102">
      <c r="B102" s="149"/>
      <c r="C102" s="149"/>
      <c r="D102" s="149"/>
      <c r="E102" s="149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2">
    <mergeCell ref="A1:A88"/>
    <mergeCell ref="B23:D23"/>
  </mergeCells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0" t="s">
        <v>4212</v>
      </c>
      <c r="C1" s="151"/>
      <c r="D1" s="152"/>
      <c r="E1" s="163"/>
    </row>
    <row r="2">
      <c r="B2" s="153" t="s">
        <v>2</v>
      </c>
      <c r="C2" s="86" t="s">
        <v>3</v>
      </c>
      <c r="D2" s="154" t="s">
        <v>4</v>
      </c>
      <c r="E2" s="154" t="s">
        <v>5</v>
      </c>
    </row>
    <row r="3">
      <c r="B3" s="8" t="s">
        <v>4282</v>
      </c>
      <c r="C3" s="159" t="s">
        <v>357</v>
      </c>
      <c r="D3" s="166" t="s">
        <v>3522</v>
      </c>
      <c r="E3" s="11" t="str">
        <f>HYPERLINK("https://youtu.be/y71qA8KnPKE","channel 1")</f>
        <v>channel 1</v>
      </c>
    </row>
    <row r="4">
      <c r="B4" s="100" t="s">
        <v>3557</v>
      </c>
      <c r="C4" s="112" t="s">
        <v>190</v>
      </c>
      <c r="D4" s="101" t="s">
        <v>4054</v>
      </c>
      <c r="E4" s="116" t="str">
        <f>HYPERLINK("https://youtu.be/ihiM4ghJLyM","channel 2")</f>
        <v>channel 2</v>
      </c>
    </row>
    <row r="5">
      <c r="B5" s="100" t="s">
        <v>940</v>
      </c>
      <c r="C5" s="112" t="s">
        <v>17</v>
      </c>
      <c r="D5" s="101" t="s">
        <v>4282</v>
      </c>
      <c r="E5" s="11" t="str">
        <f>HYPERLINK("https://youtu.be/dS3_ObYBsRw","channel 1")</f>
        <v>channel 1</v>
      </c>
    </row>
    <row r="6">
      <c r="B6" s="100" t="s">
        <v>3557</v>
      </c>
      <c r="C6" s="112" t="s">
        <v>400</v>
      </c>
      <c r="D6" s="101" t="s">
        <v>3522</v>
      </c>
      <c r="E6" s="116" t="str">
        <f>HYPERLINK("https://youtu.be/DhJBoxlUB_k","channel 2")</f>
        <v>channel 2</v>
      </c>
    </row>
    <row r="7">
      <c r="B7" s="100" t="s">
        <v>940</v>
      </c>
      <c r="C7" s="112" t="s">
        <v>11</v>
      </c>
      <c r="D7" s="101" t="s">
        <v>4054</v>
      </c>
      <c r="E7" s="11" t="str">
        <f>HYPERLINK("https://youtu.be/HsN_qiuKRRY","channel 1")</f>
        <v>channel 1</v>
      </c>
    </row>
    <row r="8">
      <c r="B8" s="100" t="s">
        <v>3557</v>
      </c>
      <c r="C8" s="112" t="s">
        <v>42</v>
      </c>
      <c r="D8" s="101" t="s">
        <v>4282</v>
      </c>
      <c r="E8" s="116" t="str">
        <f>HYPERLINK("https://youtu.be/f6h1iKR_nvs","channel 2")</f>
        <v>channel 2</v>
      </c>
    </row>
    <row r="9">
      <c r="B9" s="100" t="s">
        <v>940</v>
      </c>
      <c r="C9" s="112" t="s">
        <v>81</v>
      </c>
      <c r="D9" s="101" t="s">
        <v>3522</v>
      </c>
      <c r="E9" s="11" t="str">
        <f>HYPERLINK("https://youtu.be/BwGJ6BXsaKU","channel 1")</f>
        <v>channel 1</v>
      </c>
    </row>
    <row r="10">
      <c r="B10" s="100" t="s">
        <v>4054</v>
      </c>
      <c r="C10" s="112" t="s">
        <v>11</v>
      </c>
      <c r="D10" s="101" t="s">
        <v>4282</v>
      </c>
      <c r="E10" s="116" t="str">
        <f>HYPERLINK("https://youtu.be/wj7o3tqqBo8","channel 2")</f>
        <v>channel 2</v>
      </c>
    </row>
    <row r="11">
      <c r="B11" s="100" t="s">
        <v>940</v>
      </c>
      <c r="C11" s="112" t="s">
        <v>215</v>
      </c>
      <c r="D11" s="101" t="s">
        <v>3557</v>
      </c>
      <c r="E11" s="11" t="str">
        <f>HYPERLINK("https://youtu.be/CGH89GN-XkY","channel 1")</f>
        <v>channel 1</v>
      </c>
    </row>
    <row r="12">
      <c r="B12" s="100" t="s">
        <v>4054</v>
      </c>
      <c r="C12" s="112" t="s">
        <v>88</v>
      </c>
      <c r="D12" s="101" t="s">
        <v>3522</v>
      </c>
      <c r="E12" s="116" t="str">
        <f>HYPERLINK("https://youtu.be/QX5hMempyk4","channel 2")</f>
        <v>channel 2</v>
      </c>
    </row>
    <row r="13">
      <c r="B13" s="100" t="s">
        <v>3522</v>
      </c>
      <c r="C13" s="112" t="s">
        <v>570</v>
      </c>
      <c r="D13" s="101" t="s">
        <v>4282</v>
      </c>
      <c r="E13" s="11" t="str">
        <f>HYPERLINK("https://youtu.be/2URNEbWKCTA","channel 1")</f>
        <v>channel 1</v>
      </c>
    </row>
    <row r="14">
      <c r="B14" s="100" t="s">
        <v>4054</v>
      </c>
      <c r="C14" s="112" t="s">
        <v>81</v>
      </c>
      <c r="D14" s="101" t="s">
        <v>3557</v>
      </c>
      <c r="E14" s="116" t="str">
        <f>HYPERLINK("https://youtu.be/8H3JXrWuLTc","channel 2")</f>
        <v>channel 2</v>
      </c>
    </row>
    <row r="15">
      <c r="B15" s="100" t="s">
        <v>4282</v>
      </c>
      <c r="C15" s="112" t="s">
        <v>71</v>
      </c>
      <c r="D15" s="101" t="s">
        <v>940</v>
      </c>
      <c r="E15" s="102" t="s">
        <v>9</v>
      </c>
    </row>
    <row r="16">
      <c r="B16" s="100" t="s">
        <v>3522</v>
      </c>
      <c r="C16" s="112" t="s">
        <v>238</v>
      </c>
      <c r="D16" s="101" t="s">
        <v>3557</v>
      </c>
      <c r="E16" s="116" t="str">
        <f>HYPERLINK("https://youtu.be/Bo3wa70wW_c","channel 2")</f>
        <v>channel 2</v>
      </c>
    </row>
    <row r="17">
      <c r="B17" s="100" t="s">
        <v>4054</v>
      </c>
      <c r="C17" s="112" t="s">
        <v>217</v>
      </c>
      <c r="D17" s="101" t="s">
        <v>940</v>
      </c>
      <c r="E17" s="11" t="str">
        <f>HYPERLINK("https://youtu.be/nSb036-pfbs","channel 1")</f>
        <v>channel 1</v>
      </c>
    </row>
    <row r="18">
      <c r="B18" s="100" t="s">
        <v>4282</v>
      </c>
      <c r="C18" s="112" t="s">
        <v>4142</v>
      </c>
      <c r="D18" s="101" t="s">
        <v>3557</v>
      </c>
      <c r="E18" s="116" t="str">
        <f>HYPERLINK("https://youtu.be/AU0ZCsbb_sI","channel 2")</f>
        <v>channel 2</v>
      </c>
    </row>
    <row r="19">
      <c r="B19" s="100" t="s">
        <v>3522</v>
      </c>
      <c r="C19" s="112" t="s">
        <v>87</v>
      </c>
      <c r="D19" s="101" t="s">
        <v>940</v>
      </c>
      <c r="E19" s="11" t="str">
        <f>HYPERLINK("https://youtu.be/uicKGXnEJ7U","channel 1")</f>
        <v>channel 1</v>
      </c>
    </row>
    <row r="20">
      <c r="B20" s="100" t="s">
        <v>4282</v>
      </c>
      <c r="C20" s="112" t="s">
        <v>4283</v>
      </c>
      <c r="D20" s="101" t="s">
        <v>4054</v>
      </c>
      <c r="E20" s="116" t="str">
        <f>HYPERLINK("https://youtu.be/SVjBRo92Bg8","channel 2")</f>
        <v>channel 2</v>
      </c>
    </row>
    <row r="21">
      <c r="B21" s="100" t="s">
        <v>3557</v>
      </c>
      <c r="C21" s="112" t="s">
        <v>283</v>
      </c>
      <c r="D21" s="101" t="s">
        <v>940</v>
      </c>
      <c r="E21" s="11" t="str">
        <f>HYPERLINK("https://youtu.be/ctXJWMIWCKs","channel 1")</f>
        <v>channel 1</v>
      </c>
    </row>
    <row r="22">
      <c r="B22" s="100" t="s">
        <v>3522</v>
      </c>
      <c r="C22" s="112" t="s">
        <v>684</v>
      </c>
      <c r="D22" s="101" t="s">
        <v>4054</v>
      </c>
      <c r="E22" s="116" t="str">
        <f>HYPERLINK("https://youtu.be/EsIQvYfOS0g","channel 2")</f>
        <v>channel 2</v>
      </c>
    </row>
    <row r="23">
      <c r="B23" s="168" t="s">
        <v>3653</v>
      </c>
      <c r="C23" s="151"/>
      <c r="D23" s="152"/>
      <c r="E23" s="95"/>
    </row>
    <row r="24">
      <c r="B24" s="153" t="s">
        <v>2</v>
      </c>
      <c r="C24" s="86" t="s">
        <v>3</v>
      </c>
      <c r="D24" s="154" t="s">
        <v>4</v>
      </c>
      <c r="E24" s="154" t="s">
        <v>5</v>
      </c>
    </row>
    <row r="25">
      <c r="B25" s="100" t="s">
        <v>4284</v>
      </c>
      <c r="C25" s="112" t="s">
        <v>328</v>
      </c>
      <c r="D25" s="101" t="s">
        <v>4285</v>
      </c>
      <c r="E25" s="11" t="str">
        <f>HYPERLINK("https://youtu.be/lKYzvsOXngk","channel 1")</f>
        <v>channel 1</v>
      </c>
    </row>
    <row r="26">
      <c r="B26" s="100" t="s">
        <v>2375</v>
      </c>
      <c r="C26" s="112" t="s">
        <v>64</v>
      </c>
      <c r="D26" s="101" t="s">
        <v>3780</v>
      </c>
      <c r="E26" s="116" t="str">
        <f>HYPERLINK("https://youtu.be/F-CDj684eOw","channel 2")</f>
        <v>channel 2</v>
      </c>
    </row>
    <row r="27">
      <c r="B27" s="100" t="s">
        <v>315</v>
      </c>
      <c r="C27" s="112" t="s">
        <v>2325</v>
      </c>
      <c r="D27" s="101" t="s">
        <v>4284</v>
      </c>
      <c r="E27" s="11" t="str">
        <f>HYPERLINK("https://youtu.be/DVr6_0M31ls","channel 1")</f>
        <v>channel 1</v>
      </c>
    </row>
    <row r="28">
      <c r="B28" s="100" t="s">
        <v>2375</v>
      </c>
      <c r="C28" s="112" t="s">
        <v>239</v>
      </c>
      <c r="D28" s="101" t="s">
        <v>4285</v>
      </c>
      <c r="E28" s="116" t="str">
        <f>HYPERLINK("https://youtu.be/GG_j-a4eYIc","channel 2")</f>
        <v>channel 2</v>
      </c>
    </row>
    <row r="29">
      <c r="B29" s="100" t="s">
        <v>315</v>
      </c>
      <c r="C29" s="112" t="s">
        <v>218</v>
      </c>
      <c r="D29" s="101" t="s">
        <v>3780</v>
      </c>
      <c r="E29" s="11" t="str">
        <f>HYPERLINK("https://youtu.be/x-8n-HlSiyw","channel 1")</f>
        <v>channel 1</v>
      </c>
    </row>
    <row r="30">
      <c r="B30" s="100" t="s">
        <v>2375</v>
      </c>
      <c r="C30" s="112" t="s">
        <v>193</v>
      </c>
      <c r="D30" s="101" t="s">
        <v>4284</v>
      </c>
      <c r="E30" s="116" t="str">
        <f>HYPERLINK("https://youtu.be/i56nM3xyvA4","channel 2")</f>
        <v>channel 2</v>
      </c>
    </row>
    <row r="31">
      <c r="B31" s="100" t="s">
        <v>315</v>
      </c>
      <c r="C31" s="112" t="s">
        <v>22</v>
      </c>
      <c r="D31" s="101" t="s">
        <v>4285</v>
      </c>
      <c r="E31" s="11" t="str">
        <f>HYPERLINK("https://youtu.be/Im0af3e-Z1Q","channel 1")</f>
        <v>channel 1</v>
      </c>
    </row>
    <row r="32">
      <c r="B32" s="100" t="s">
        <v>3780</v>
      </c>
      <c r="C32" s="112" t="s">
        <v>43</v>
      </c>
      <c r="D32" s="101" t="s">
        <v>4284</v>
      </c>
      <c r="E32" s="116" t="str">
        <f>HYPERLINK("https://youtu.be/NQvhTwdKAKQ","channel 2")</f>
        <v>channel 2</v>
      </c>
    </row>
    <row r="33">
      <c r="B33" s="100" t="s">
        <v>315</v>
      </c>
      <c r="C33" s="112" t="s">
        <v>19</v>
      </c>
      <c r="D33" s="101" t="s">
        <v>2375</v>
      </c>
      <c r="E33" s="11" t="str">
        <f>HYPERLINK("https://youtu.be/D7qSTCeapl4","channel 1")</f>
        <v>channel 1</v>
      </c>
    </row>
    <row r="34">
      <c r="B34" s="100" t="s">
        <v>3780</v>
      </c>
      <c r="C34" s="112" t="s">
        <v>26</v>
      </c>
      <c r="D34" s="101" t="s">
        <v>4285</v>
      </c>
      <c r="E34" s="116" t="str">
        <f>HYPERLINK("https://youtu.be/Q6IBP-Nc0T0","channel 2")</f>
        <v>channel 2</v>
      </c>
    </row>
    <row r="35">
      <c r="B35" s="100" t="s">
        <v>4285</v>
      </c>
      <c r="C35" s="112" t="s">
        <v>455</v>
      </c>
      <c r="D35" s="101" t="s">
        <v>4284</v>
      </c>
      <c r="E35" s="11" t="str">
        <f>HYPERLINK("https://youtu.be/-nH2vGaFf6Y","channel 1")</f>
        <v>channel 1</v>
      </c>
    </row>
    <row r="36">
      <c r="B36" s="100" t="s">
        <v>3780</v>
      </c>
      <c r="C36" s="112" t="s">
        <v>190</v>
      </c>
      <c r="D36" s="101" t="s">
        <v>2375</v>
      </c>
      <c r="E36" s="116" t="str">
        <f>HYPERLINK("https://youtu.be/XMCDJBZrLyE","channel 2")</f>
        <v>channel 2</v>
      </c>
    </row>
    <row r="37">
      <c r="B37" s="100" t="s">
        <v>4284</v>
      </c>
      <c r="C37" s="112" t="s">
        <v>212</v>
      </c>
      <c r="D37" s="101" t="s">
        <v>315</v>
      </c>
      <c r="E37" s="11" t="str">
        <f>HYPERLINK("https://youtu.be/U4O8vwrJ040","channel 1")</f>
        <v>channel 1</v>
      </c>
    </row>
    <row r="38">
      <c r="B38" s="100" t="s">
        <v>4285</v>
      </c>
      <c r="C38" s="112" t="s">
        <v>286</v>
      </c>
      <c r="D38" s="101" t="s">
        <v>2375</v>
      </c>
      <c r="E38" s="116" t="str">
        <f>HYPERLINK("https://youtu.be/pug33X4kJQw","channel 2")</f>
        <v>channel 2</v>
      </c>
    </row>
    <row r="39">
      <c r="B39" s="100" t="s">
        <v>3780</v>
      </c>
      <c r="C39" s="112" t="s">
        <v>87</v>
      </c>
      <c r="D39" s="101" t="s">
        <v>315</v>
      </c>
      <c r="E39" s="11" t="str">
        <f>HYPERLINK("https://youtu.be/vDtiR4CTdA0","channel 1")</f>
        <v>channel 1</v>
      </c>
    </row>
    <row r="40">
      <c r="B40" s="100" t="s">
        <v>4284</v>
      </c>
      <c r="C40" s="112" t="s">
        <v>23</v>
      </c>
      <c r="D40" s="101" t="s">
        <v>2375</v>
      </c>
      <c r="E40" s="116" t="str">
        <f>HYPERLINK("https://youtu.be/iJ336lcsPEU","channel 2")</f>
        <v>channel 2</v>
      </c>
    </row>
    <row r="41">
      <c r="B41" s="100" t="s">
        <v>4285</v>
      </c>
      <c r="C41" s="112" t="s">
        <v>295</v>
      </c>
      <c r="D41" s="101" t="s">
        <v>315</v>
      </c>
      <c r="E41" s="11" t="str">
        <f>HYPERLINK("https://youtu.be/mTjmAly_jJA","channel 1")</f>
        <v>channel 1</v>
      </c>
    </row>
    <row r="42">
      <c r="B42" s="100" t="s">
        <v>4284</v>
      </c>
      <c r="C42" s="112" t="s">
        <v>297</v>
      </c>
      <c r="D42" s="101" t="s">
        <v>3780</v>
      </c>
      <c r="E42" s="116" t="str">
        <f>HYPERLINK("https://youtu.be/30n4EbjanWo","channel 2")</f>
        <v>channel 2</v>
      </c>
    </row>
    <row r="43">
      <c r="B43" s="100" t="s">
        <v>2375</v>
      </c>
      <c r="C43" s="112" t="s">
        <v>190</v>
      </c>
      <c r="D43" s="101" t="s">
        <v>315</v>
      </c>
      <c r="E43" s="11" t="str">
        <f>HYPERLINK("https://youtu.be/_Y9HMPCUTkk","channel 1")</f>
        <v>channel 1</v>
      </c>
    </row>
    <row r="44">
      <c r="B44" s="100" t="s">
        <v>4285</v>
      </c>
      <c r="C44" s="112" t="s">
        <v>544</v>
      </c>
      <c r="D44" s="101" t="s">
        <v>3780</v>
      </c>
      <c r="E44" s="116" t="str">
        <f>HYPERLINK("https://youtu.be/l6qTM_Oap9I","channel 2")</f>
        <v>channel 2</v>
      </c>
    </row>
    <row r="45">
      <c r="B45" s="149"/>
      <c r="C45" s="149"/>
      <c r="D45" s="149"/>
      <c r="E45" s="149"/>
    </row>
    <row r="46">
      <c r="B46" s="149"/>
      <c r="C46" s="149"/>
      <c r="D46" s="149"/>
      <c r="E46" s="149"/>
    </row>
    <row r="47">
      <c r="B47" s="149"/>
      <c r="C47" s="149"/>
      <c r="D47" s="149"/>
      <c r="E47" s="149"/>
    </row>
    <row r="48">
      <c r="B48" s="149"/>
      <c r="C48" s="149"/>
      <c r="D48" s="149"/>
      <c r="E48" s="149"/>
    </row>
    <row r="49">
      <c r="B49" s="149"/>
      <c r="C49" s="149"/>
      <c r="D49" s="149"/>
      <c r="E49" s="149"/>
    </row>
    <row r="50">
      <c r="B50" s="149"/>
      <c r="C50" s="149"/>
      <c r="D50" s="149"/>
      <c r="E50" s="149"/>
    </row>
    <row r="51">
      <c r="B51" s="149"/>
      <c r="C51" s="149"/>
      <c r="D51" s="149"/>
      <c r="E51" s="149"/>
    </row>
    <row r="52">
      <c r="B52" s="149"/>
      <c r="C52" s="149"/>
      <c r="D52" s="149"/>
      <c r="E52" s="149"/>
    </row>
    <row r="53">
      <c r="B53" s="149"/>
      <c r="C53" s="149"/>
      <c r="D53" s="149"/>
      <c r="E53" s="149"/>
    </row>
    <row r="54">
      <c r="B54" s="149"/>
      <c r="C54" s="149"/>
      <c r="D54" s="149"/>
      <c r="E54" s="149"/>
    </row>
    <row r="55">
      <c r="B55" s="149"/>
      <c r="C55" s="149"/>
      <c r="D55" s="149"/>
      <c r="E55" s="149"/>
    </row>
    <row r="56">
      <c r="B56" s="149"/>
      <c r="C56" s="149"/>
      <c r="D56" s="149"/>
      <c r="E56" s="149"/>
    </row>
    <row r="57">
      <c r="B57" s="149"/>
      <c r="C57" s="149"/>
      <c r="D57" s="149"/>
      <c r="E57" s="149"/>
    </row>
    <row r="58">
      <c r="B58" s="149"/>
      <c r="C58" s="149"/>
      <c r="D58" s="149"/>
      <c r="E58" s="149"/>
    </row>
    <row r="59">
      <c r="B59" s="149"/>
      <c r="C59" s="149"/>
      <c r="D59" s="149"/>
      <c r="E59" s="149"/>
    </row>
    <row r="60">
      <c r="B60" s="149"/>
      <c r="C60" s="149"/>
      <c r="D60" s="149"/>
      <c r="E60" s="149"/>
    </row>
    <row r="61">
      <c r="B61" s="149"/>
      <c r="C61" s="149"/>
      <c r="D61" s="149"/>
      <c r="E61" s="149"/>
    </row>
    <row r="62">
      <c r="B62" s="149"/>
      <c r="C62" s="149"/>
      <c r="D62" s="149"/>
      <c r="E62" s="149"/>
    </row>
    <row r="63">
      <c r="B63" s="149"/>
      <c r="C63" s="149"/>
      <c r="D63" s="149"/>
      <c r="E63" s="149"/>
    </row>
    <row r="64">
      <c r="B64" s="149"/>
      <c r="C64" s="149"/>
      <c r="D64" s="149"/>
      <c r="E64" s="149"/>
    </row>
    <row r="65">
      <c r="B65" s="149"/>
      <c r="C65" s="149"/>
      <c r="D65" s="149"/>
      <c r="E65" s="149"/>
    </row>
    <row r="66">
      <c r="B66" s="149"/>
      <c r="C66" s="149"/>
      <c r="D66" s="149"/>
      <c r="E66" s="149"/>
    </row>
    <row r="67">
      <c r="B67" s="149"/>
      <c r="C67" s="149"/>
      <c r="D67" s="149"/>
      <c r="E67" s="149"/>
    </row>
    <row r="68">
      <c r="B68" s="149"/>
      <c r="C68" s="149"/>
      <c r="D68" s="149"/>
      <c r="E68" s="149"/>
    </row>
    <row r="69">
      <c r="B69" s="149"/>
      <c r="C69" s="149"/>
      <c r="D69" s="149"/>
      <c r="E69" s="149"/>
    </row>
    <row r="70">
      <c r="B70" s="149"/>
      <c r="C70" s="149"/>
      <c r="D70" s="149"/>
      <c r="E70" s="149"/>
    </row>
    <row r="71">
      <c r="B71" s="149"/>
      <c r="C71" s="149"/>
      <c r="D71" s="149"/>
      <c r="E71" s="149"/>
    </row>
    <row r="72">
      <c r="B72" s="149"/>
      <c r="C72" s="149"/>
      <c r="D72" s="149"/>
      <c r="E72" s="149"/>
    </row>
    <row r="73">
      <c r="B73" s="149"/>
      <c r="C73" s="149"/>
      <c r="D73" s="149"/>
      <c r="E73" s="149"/>
    </row>
    <row r="74">
      <c r="B74" s="149"/>
      <c r="C74" s="149"/>
      <c r="D74" s="149"/>
      <c r="E74" s="149"/>
    </row>
    <row r="75">
      <c r="B75" s="149"/>
      <c r="C75" s="149"/>
      <c r="D75" s="149"/>
      <c r="E75" s="149"/>
    </row>
    <row r="76">
      <c r="B76" s="149"/>
      <c r="C76" s="149"/>
      <c r="D76" s="149"/>
      <c r="E76" s="149"/>
    </row>
    <row r="77">
      <c r="B77" s="149"/>
      <c r="C77" s="149"/>
      <c r="D77" s="149"/>
      <c r="E77" s="149"/>
    </row>
    <row r="78">
      <c r="B78" s="149"/>
      <c r="C78" s="149"/>
      <c r="D78" s="149"/>
      <c r="E78" s="149"/>
    </row>
    <row r="79">
      <c r="B79" s="149"/>
      <c r="C79" s="149"/>
      <c r="D79" s="149"/>
      <c r="E79" s="149"/>
    </row>
    <row r="80">
      <c r="B80" s="149"/>
      <c r="C80" s="149"/>
      <c r="D80" s="149"/>
      <c r="E80" s="149"/>
    </row>
    <row r="81">
      <c r="B81" s="149"/>
      <c r="C81" s="149"/>
      <c r="D81" s="149"/>
      <c r="E81" s="149"/>
    </row>
    <row r="82">
      <c r="B82" s="149"/>
      <c r="C82" s="149"/>
      <c r="D82" s="149"/>
      <c r="E82" s="149"/>
    </row>
    <row r="83">
      <c r="B83" s="149"/>
      <c r="C83" s="149"/>
      <c r="D83" s="149"/>
      <c r="E83" s="149"/>
    </row>
    <row r="84">
      <c r="B84" s="149"/>
      <c r="C84" s="149"/>
      <c r="D84" s="149"/>
      <c r="E84" s="149"/>
    </row>
    <row r="85">
      <c r="B85" s="149"/>
      <c r="C85" s="149"/>
      <c r="D85" s="149"/>
      <c r="E85" s="149"/>
    </row>
    <row r="86">
      <c r="B86" s="149"/>
      <c r="C86" s="149"/>
      <c r="D86" s="149"/>
      <c r="E86" s="149"/>
    </row>
    <row r="87">
      <c r="B87" s="149"/>
      <c r="C87" s="149"/>
      <c r="D87" s="149"/>
      <c r="E87" s="149"/>
    </row>
    <row r="88">
      <c r="B88" s="149"/>
      <c r="C88" s="149"/>
      <c r="D88" s="149"/>
      <c r="E88" s="149"/>
    </row>
    <row r="89">
      <c r="B89" s="149"/>
      <c r="C89" s="149"/>
      <c r="D89" s="149"/>
      <c r="E89" s="149"/>
    </row>
    <row r="90">
      <c r="B90" s="149"/>
      <c r="C90" s="149"/>
      <c r="D90" s="149"/>
      <c r="E90" s="149"/>
    </row>
    <row r="91">
      <c r="B91" s="149"/>
      <c r="C91" s="149"/>
      <c r="D91" s="149"/>
      <c r="E91" s="149"/>
    </row>
    <row r="92">
      <c r="B92" s="149"/>
      <c r="C92" s="149"/>
      <c r="D92" s="149"/>
      <c r="E92" s="149"/>
    </row>
    <row r="93">
      <c r="B93" s="149"/>
      <c r="C93" s="149"/>
      <c r="D93" s="149"/>
      <c r="E93" s="149"/>
    </row>
    <row r="94">
      <c r="B94" s="149"/>
      <c r="C94" s="149"/>
      <c r="D94" s="149"/>
      <c r="E94" s="149"/>
    </row>
    <row r="95">
      <c r="B95" s="149"/>
      <c r="C95" s="149"/>
      <c r="D95" s="149"/>
      <c r="E95" s="149"/>
    </row>
    <row r="96">
      <c r="B96" s="149"/>
      <c r="C96" s="149"/>
      <c r="D96" s="149"/>
      <c r="E96" s="149"/>
    </row>
    <row r="97">
      <c r="B97" s="149"/>
      <c r="C97" s="149"/>
      <c r="D97" s="149"/>
      <c r="E97" s="149"/>
    </row>
    <row r="98">
      <c r="B98" s="149"/>
      <c r="C98" s="149"/>
      <c r="D98" s="149"/>
      <c r="E98" s="149"/>
    </row>
    <row r="99">
      <c r="B99" s="149"/>
      <c r="C99" s="149"/>
      <c r="D99" s="149"/>
      <c r="E99" s="149"/>
    </row>
    <row r="100">
      <c r="B100" s="149"/>
      <c r="C100" s="149"/>
      <c r="D100" s="149"/>
      <c r="E100" s="149"/>
    </row>
    <row r="101">
      <c r="B101" s="149"/>
      <c r="C101" s="149"/>
      <c r="D101" s="149"/>
      <c r="E101" s="149"/>
    </row>
    <row r="102">
      <c r="B102" s="149"/>
      <c r="C102" s="149"/>
      <c r="D102" s="149"/>
      <c r="E102" s="149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3">
    <mergeCell ref="A1:A88"/>
    <mergeCell ref="B1:D1"/>
    <mergeCell ref="B23:D23"/>
  </mergeCells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68" t="s">
        <v>1400</v>
      </c>
      <c r="C1" s="151"/>
      <c r="D1" s="151"/>
      <c r="E1" s="152"/>
    </row>
    <row r="2">
      <c r="B2" s="153" t="s">
        <v>2</v>
      </c>
      <c r="C2" s="86" t="s">
        <v>3</v>
      </c>
      <c r="D2" s="154" t="s">
        <v>4</v>
      </c>
      <c r="E2" s="154" t="s">
        <v>5</v>
      </c>
    </row>
    <row r="3">
      <c r="B3" s="87" t="s">
        <v>4044</v>
      </c>
      <c r="C3" s="112" t="s">
        <v>321</v>
      </c>
      <c r="D3" s="89" t="s">
        <v>1386</v>
      </c>
      <c r="E3" s="11" t="str">
        <f>HYPERLINK("https://youtu.be/1n1akq4Vf-A","channel 1")</f>
        <v>channel 1</v>
      </c>
    </row>
    <row r="4">
      <c r="B4" s="87" t="s">
        <v>3500</v>
      </c>
      <c r="C4" s="112" t="s">
        <v>18</v>
      </c>
      <c r="D4" s="89" t="s">
        <v>2042</v>
      </c>
      <c r="E4" s="116" t="str">
        <f>HYPERLINK("https://youtu.be/NUYWdkiHsEE","channel 2")</f>
        <v>channel 2</v>
      </c>
    </row>
    <row r="5">
      <c r="B5" s="87" t="s">
        <v>3475</v>
      </c>
      <c r="C5" s="112" t="s">
        <v>81</v>
      </c>
      <c r="D5" s="89" t="s">
        <v>4044</v>
      </c>
      <c r="E5" s="11" t="str">
        <f>HYPERLINK("https://youtu.be/CzPL8rauWjI","channel 1")</f>
        <v>channel 1</v>
      </c>
    </row>
    <row r="6">
      <c r="B6" s="87" t="s">
        <v>3500</v>
      </c>
      <c r="C6" s="112" t="s">
        <v>71</v>
      </c>
      <c r="D6" s="89" t="s">
        <v>1386</v>
      </c>
      <c r="E6" s="116" t="str">
        <f>HYPERLINK("https://youtu.be/pMFsoD1aQuM","channel 2")</f>
        <v>channel 2</v>
      </c>
    </row>
    <row r="7">
      <c r="B7" s="87" t="s">
        <v>3475</v>
      </c>
      <c r="C7" s="112" t="s">
        <v>218</v>
      </c>
      <c r="D7" s="89" t="s">
        <v>2042</v>
      </c>
      <c r="E7" s="11" t="str">
        <f>HYPERLINK("https://youtu.be/ufRL1JK5US0","channel 1")</f>
        <v>channel 1</v>
      </c>
    </row>
    <row r="8">
      <c r="B8" s="87" t="s">
        <v>3500</v>
      </c>
      <c r="C8" s="112" t="s">
        <v>66</v>
      </c>
      <c r="D8" s="89" t="s">
        <v>4044</v>
      </c>
      <c r="E8" s="116" t="str">
        <f>HYPERLINK("https://youtu.be/Y-b6_wlkdfE","channel 2")</f>
        <v>channel 2</v>
      </c>
    </row>
    <row r="9">
      <c r="B9" s="87" t="s">
        <v>3475</v>
      </c>
      <c r="C9" s="112" t="s">
        <v>291</v>
      </c>
      <c r="D9" s="89" t="s">
        <v>1386</v>
      </c>
      <c r="E9" s="11" t="str">
        <f>HYPERLINK("https://youtu.be/4S_w_ffsQbA","channel 1")</f>
        <v>channel 1</v>
      </c>
    </row>
    <row r="10">
      <c r="B10" s="87" t="s">
        <v>2042</v>
      </c>
      <c r="C10" s="112" t="s">
        <v>87</v>
      </c>
      <c r="D10" s="89" t="s">
        <v>4044</v>
      </c>
      <c r="E10" s="116" t="str">
        <f>HYPERLINK("https://youtu.be/4yA15Vb8oOU","channel 2")</f>
        <v>channel 2</v>
      </c>
    </row>
    <row r="11">
      <c r="B11" s="87" t="s">
        <v>3475</v>
      </c>
      <c r="C11" s="112" t="s">
        <v>297</v>
      </c>
      <c r="D11" s="89" t="s">
        <v>3500</v>
      </c>
      <c r="E11" s="11" t="str">
        <f>HYPERLINK("https://youtu.be/UQv7liBml6Q","channel 1")</f>
        <v>channel 1</v>
      </c>
    </row>
    <row r="12">
      <c r="B12" s="87" t="s">
        <v>2042</v>
      </c>
      <c r="C12" s="112" t="s">
        <v>20</v>
      </c>
      <c r="D12" s="89" t="s">
        <v>1386</v>
      </c>
      <c r="E12" s="116" t="str">
        <f>HYPERLINK("https://youtu.be/Yo3eq_-T9M4","channel 2")</f>
        <v>channel 2</v>
      </c>
    </row>
    <row r="13">
      <c r="B13" s="87" t="s">
        <v>1386</v>
      </c>
      <c r="C13" s="112" t="s">
        <v>193</v>
      </c>
      <c r="D13" s="89" t="s">
        <v>4044</v>
      </c>
      <c r="E13" s="11" t="str">
        <f>HYPERLINK("https://youtu.be/TtxMQCesCyo","channel 1")</f>
        <v>channel 1</v>
      </c>
    </row>
    <row r="14">
      <c r="B14" s="87" t="s">
        <v>2042</v>
      </c>
      <c r="C14" s="112" t="s">
        <v>201</v>
      </c>
      <c r="D14" s="89" t="s">
        <v>3500</v>
      </c>
      <c r="E14" s="116" t="str">
        <f>HYPERLINK("https://youtu.be/g-wLkrnQjqU","channel 2")</f>
        <v>channel 2</v>
      </c>
    </row>
    <row r="15">
      <c r="B15" s="87" t="s">
        <v>4044</v>
      </c>
      <c r="C15" s="112" t="s">
        <v>716</v>
      </c>
      <c r="D15" s="89" t="s">
        <v>3475</v>
      </c>
      <c r="E15" s="11" t="str">
        <f>HYPERLINK("https://youtu.be/6VON4MwhVpQ","channel 1")</f>
        <v>channel 1</v>
      </c>
    </row>
    <row r="16">
      <c r="B16" s="87" t="s">
        <v>1386</v>
      </c>
      <c r="C16" s="112" t="s">
        <v>68</v>
      </c>
      <c r="D16" s="89" t="s">
        <v>3500</v>
      </c>
      <c r="E16" s="116" t="str">
        <f>HYPERLINK("https://youtu.be/O7FEcnh-jR0","channel 2")</f>
        <v>channel 2</v>
      </c>
    </row>
    <row r="17">
      <c r="B17" s="87" t="s">
        <v>2042</v>
      </c>
      <c r="C17" s="112" t="s">
        <v>251</v>
      </c>
      <c r="D17" s="89" t="s">
        <v>3475</v>
      </c>
      <c r="E17" s="11" t="str">
        <f>HYPERLINK("https://youtu.be/-Ep-ZQfCN9M","channel 1")</f>
        <v>channel 1</v>
      </c>
    </row>
    <row r="18">
      <c r="B18" s="87" t="s">
        <v>4044</v>
      </c>
      <c r="C18" s="112" t="s">
        <v>578</v>
      </c>
      <c r="D18" s="89" t="s">
        <v>3500</v>
      </c>
      <c r="E18" s="116" t="str">
        <f>HYPERLINK("https://youtu.be/PrkuNzmILE8","channel 2")</f>
        <v>channel 2</v>
      </c>
    </row>
    <row r="19">
      <c r="B19" s="87" t="s">
        <v>1386</v>
      </c>
      <c r="C19" s="112" t="s">
        <v>325</v>
      </c>
      <c r="D19" s="89" t="s">
        <v>3475</v>
      </c>
      <c r="E19" s="11" t="str">
        <f>HYPERLINK("https://youtu.be/-3AYOX-PTQc","channel 1")</f>
        <v>channel 1</v>
      </c>
    </row>
    <row r="20">
      <c r="B20" s="87" t="s">
        <v>4044</v>
      </c>
      <c r="C20" s="112" t="s">
        <v>62</v>
      </c>
      <c r="D20" s="89" t="s">
        <v>2042</v>
      </c>
      <c r="E20" s="116" t="str">
        <f>HYPERLINK("https://youtu.be/FpYoekq25RE","channel 2")</f>
        <v>channel 2</v>
      </c>
    </row>
    <row r="21">
      <c r="B21" s="87" t="s">
        <v>3500</v>
      </c>
      <c r="C21" s="112" t="s">
        <v>233</v>
      </c>
      <c r="D21" s="89" t="s">
        <v>3475</v>
      </c>
      <c r="E21" s="11" t="str">
        <f>HYPERLINK("https://youtu.be/kNcW3ssf3pA","channel 1")</f>
        <v>channel 1</v>
      </c>
    </row>
    <row r="22">
      <c r="B22" s="87" t="s">
        <v>1386</v>
      </c>
      <c r="C22" s="112" t="s">
        <v>87</v>
      </c>
      <c r="D22" s="89" t="s">
        <v>2042</v>
      </c>
      <c r="E22" s="116" t="str">
        <f>HYPERLINK("https://youtu.be/Y66BjmtQ458","channel 2")</f>
        <v>channel 2</v>
      </c>
    </row>
    <row r="23">
      <c r="B23" s="168" t="s">
        <v>1406</v>
      </c>
      <c r="C23" s="151"/>
      <c r="D23" s="151"/>
      <c r="E23" s="152"/>
    </row>
    <row r="24">
      <c r="B24" s="153" t="s">
        <v>2</v>
      </c>
      <c r="C24" s="86" t="s">
        <v>3</v>
      </c>
      <c r="D24" s="154" t="s">
        <v>4</v>
      </c>
      <c r="E24" s="154" t="s">
        <v>5</v>
      </c>
    </row>
    <row r="25">
      <c r="B25" s="87" t="s">
        <v>4286</v>
      </c>
      <c r="C25" s="112" t="s">
        <v>21</v>
      </c>
      <c r="D25" s="89" t="s">
        <v>721</v>
      </c>
      <c r="E25" s="11" t="str">
        <f>HYPERLINK("https://youtu.be/-a6vRUlRH_Q","channel 1")</f>
        <v>channel 1</v>
      </c>
    </row>
    <row r="26">
      <c r="B26" s="87" t="s">
        <v>4287</v>
      </c>
      <c r="C26" s="112" t="s">
        <v>11</v>
      </c>
      <c r="D26" s="89" t="s">
        <v>1072</v>
      </c>
      <c r="E26" s="116" t="str">
        <f>HYPERLINK("https://youtu.be/WJj1rkUdn3o","channel 2")</f>
        <v>channel 2</v>
      </c>
    </row>
    <row r="27">
      <c r="B27" s="87" t="s">
        <v>3921</v>
      </c>
      <c r="C27" s="112" t="s">
        <v>71</v>
      </c>
      <c r="D27" s="89" t="s">
        <v>4286</v>
      </c>
      <c r="E27" s="11" t="str">
        <f>HYPERLINK("https://youtu.be/EnTBUy6Z5_Q","channel 1")</f>
        <v>channel 1</v>
      </c>
    </row>
    <row r="28">
      <c r="B28" s="87" t="s">
        <v>4287</v>
      </c>
      <c r="C28" s="112" t="s">
        <v>197</v>
      </c>
      <c r="D28" s="89" t="s">
        <v>721</v>
      </c>
      <c r="E28" s="116" t="str">
        <f>HYPERLINK("https://youtu.be/mQpzxaQ6KH0","channel 2")</f>
        <v>channel 2</v>
      </c>
    </row>
    <row r="29">
      <c r="B29" s="87" t="s">
        <v>3921</v>
      </c>
      <c r="C29" s="112" t="s">
        <v>64</v>
      </c>
      <c r="D29" s="89" t="s">
        <v>1072</v>
      </c>
      <c r="E29" s="11" t="str">
        <f>HYPERLINK("https://youtu.be/lBI-eXKIx9g","channel 1")</f>
        <v>channel 1</v>
      </c>
    </row>
    <row r="30">
      <c r="B30" s="87" t="s">
        <v>4287</v>
      </c>
      <c r="C30" s="112" t="s">
        <v>4288</v>
      </c>
      <c r="D30" s="89" t="s">
        <v>4286</v>
      </c>
      <c r="E30" s="116" t="str">
        <f>HYPERLINK("https://youtu.be/07hC3IPP5zc","channel 2")</f>
        <v>channel 2</v>
      </c>
    </row>
    <row r="31">
      <c r="B31" s="87" t="s">
        <v>3921</v>
      </c>
      <c r="C31" s="112" t="s">
        <v>72</v>
      </c>
      <c r="D31" s="89" t="s">
        <v>721</v>
      </c>
      <c r="E31" s="11" t="str">
        <f>HYPERLINK("https://youtu.be/SRUWKpSHiAg","channel 1")</f>
        <v>channel 1</v>
      </c>
    </row>
    <row r="32">
      <c r="B32" s="87" t="s">
        <v>1072</v>
      </c>
      <c r="C32" s="112" t="s">
        <v>201</v>
      </c>
      <c r="D32" s="89" t="s">
        <v>4286</v>
      </c>
      <c r="E32" s="116" t="str">
        <f>HYPERLINK("https://youtu.be/gyMaUgstL2o","channel 2")</f>
        <v>channel 2</v>
      </c>
    </row>
    <row r="33">
      <c r="B33" s="87" t="s">
        <v>3921</v>
      </c>
      <c r="C33" s="112" t="s">
        <v>544</v>
      </c>
      <c r="D33" s="89" t="s">
        <v>4287</v>
      </c>
      <c r="E33" s="11" t="str">
        <f>HYPERLINK("https://youtu.be/Q2bdNfQoeS4","channel 1")</f>
        <v>channel 1</v>
      </c>
    </row>
    <row r="34">
      <c r="B34" s="87" t="s">
        <v>1072</v>
      </c>
      <c r="C34" s="112" t="s">
        <v>22</v>
      </c>
      <c r="D34" s="89" t="s">
        <v>721</v>
      </c>
      <c r="E34" s="116" t="str">
        <f>HYPERLINK("https://youtu.be/gjTf_FoZ_r4","channel 2")</f>
        <v>channel 2</v>
      </c>
    </row>
    <row r="35">
      <c r="B35" s="87" t="s">
        <v>721</v>
      </c>
      <c r="C35" s="112" t="s">
        <v>68</v>
      </c>
      <c r="D35" s="89" t="s">
        <v>4286</v>
      </c>
      <c r="E35" s="11" t="str">
        <f>HYPERLINK("https://youtu.be/xApnW5GwGJY","channel 1")</f>
        <v>channel 1</v>
      </c>
    </row>
    <row r="36">
      <c r="B36" s="87" t="s">
        <v>1072</v>
      </c>
      <c r="C36" s="112" t="s">
        <v>378</v>
      </c>
      <c r="D36" s="89" t="s">
        <v>4287</v>
      </c>
      <c r="E36" s="116" t="str">
        <f>HYPERLINK("https://youtu.be/BGb_FiwWBR4","channel 2")</f>
        <v>channel 2</v>
      </c>
    </row>
    <row r="37">
      <c r="B37" s="87" t="s">
        <v>4286</v>
      </c>
      <c r="C37" s="112" t="s">
        <v>195</v>
      </c>
      <c r="D37" s="89" t="s">
        <v>3921</v>
      </c>
      <c r="E37" s="11" t="str">
        <f>HYPERLINK("https://youtu.be/LgztjjYoXyM","channel 1")</f>
        <v>channel 1</v>
      </c>
    </row>
    <row r="38">
      <c r="B38" s="87" t="s">
        <v>721</v>
      </c>
      <c r="C38" s="112" t="s">
        <v>67</v>
      </c>
      <c r="D38" s="89" t="s">
        <v>4287</v>
      </c>
      <c r="E38" s="116" t="str">
        <f>HYPERLINK("https://youtu.be/wxK6HWP6oY4","channel 2")</f>
        <v>channel 2</v>
      </c>
    </row>
    <row r="39">
      <c r="B39" s="87" t="s">
        <v>1072</v>
      </c>
      <c r="C39" s="112" t="s">
        <v>231</v>
      </c>
      <c r="D39" s="89" t="s">
        <v>3921</v>
      </c>
      <c r="E39" s="11" t="str">
        <f>HYPERLINK("https://youtu.be/Zi99ZGguRrY","channel 1")</f>
        <v>channel 1</v>
      </c>
    </row>
    <row r="40">
      <c r="B40" s="87" t="s">
        <v>4286</v>
      </c>
      <c r="C40" s="112" t="s">
        <v>41</v>
      </c>
      <c r="D40" s="89" t="s">
        <v>4287</v>
      </c>
      <c r="E40" s="116" t="str">
        <f>HYPERLINK("https://youtu.be/YsPRTzYtwBk","channel 2")</f>
        <v>channel 2</v>
      </c>
    </row>
    <row r="41">
      <c r="B41" s="87" t="s">
        <v>721</v>
      </c>
      <c r="C41" s="112" t="s">
        <v>212</v>
      </c>
      <c r="D41" s="89" t="s">
        <v>3921</v>
      </c>
      <c r="E41" s="11" t="str">
        <f>HYPERLINK("https://youtu.be/3NUwoUzD_sk","channel 1")</f>
        <v>channel 1</v>
      </c>
    </row>
    <row r="42">
      <c r="B42" s="87" t="s">
        <v>4286</v>
      </c>
      <c r="C42" s="112" t="s">
        <v>190</v>
      </c>
      <c r="D42" s="89" t="s">
        <v>1072</v>
      </c>
      <c r="E42" s="116" t="str">
        <f>HYPERLINK("https://youtu.be/IhDjcrd2bLM","channel 2")</f>
        <v>channel 2</v>
      </c>
    </row>
    <row r="43">
      <c r="B43" s="87" t="s">
        <v>4287</v>
      </c>
      <c r="C43" s="112" t="s">
        <v>81</v>
      </c>
      <c r="D43" s="89" t="s">
        <v>3921</v>
      </c>
      <c r="E43" s="11" t="str">
        <f>HYPERLINK("https://youtu.be/p4lEjcl_5eQ","channel 1")</f>
        <v>channel 1</v>
      </c>
    </row>
    <row r="44">
      <c r="B44" s="87" t="s">
        <v>721</v>
      </c>
      <c r="C44" s="112" t="s">
        <v>187</v>
      </c>
      <c r="D44" s="89" t="s">
        <v>1072</v>
      </c>
      <c r="E44" s="116" t="str">
        <f>HYPERLINK("https://youtu.be/AIMVjkpmLWA","channel 2")</f>
        <v>channel 2</v>
      </c>
    </row>
    <row r="45">
      <c r="B45" s="168" t="s">
        <v>2554</v>
      </c>
      <c r="C45" s="151"/>
      <c r="D45" s="151"/>
      <c r="E45" s="152"/>
    </row>
    <row r="46">
      <c r="B46" s="85" t="s">
        <v>2</v>
      </c>
      <c r="C46" s="86" t="s">
        <v>3</v>
      </c>
      <c r="D46" s="86" t="s">
        <v>4</v>
      </c>
      <c r="E46" s="86" t="s">
        <v>5</v>
      </c>
    </row>
    <row r="47">
      <c r="B47" s="87" t="s">
        <v>4184</v>
      </c>
      <c r="C47" s="112" t="s">
        <v>286</v>
      </c>
      <c r="D47" s="89" t="s">
        <v>4085</v>
      </c>
      <c r="E47" s="11" t="str">
        <f>HYPERLINK("https://youtu.be/vwoO2ZIpmcM","channel 1")</f>
        <v>channel 1</v>
      </c>
    </row>
    <row r="48">
      <c r="B48" s="87" t="s">
        <v>3883</v>
      </c>
      <c r="C48" s="112" t="s">
        <v>196</v>
      </c>
      <c r="D48" s="89" t="s">
        <v>3884</v>
      </c>
      <c r="E48" s="116" t="str">
        <f>HYPERLINK("https://youtu.be/1AuB8upFy-0","channel 2")</f>
        <v>channel 2</v>
      </c>
    </row>
    <row r="49">
      <c r="B49" s="87" t="s">
        <v>4245</v>
      </c>
      <c r="C49" s="112" t="s">
        <v>1067</v>
      </c>
      <c r="D49" s="89" t="s">
        <v>4184</v>
      </c>
      <c r="E49" s="11" t="str">
        <f>HYPERLINK("https://youtu.be/hvJ9oaht77g","channel 1")</f>
        <v>channel 1</v>
      </c>
    </row>
    <row r="50">
      <c r="B50" s="87" t="s">
        <v>3883</v>
      </c>
      <c r="C50" s="112" t="s">
        <v>201</v>
      </c>
      <c r="D50" s="89" t="s">
        <v>4085</v>
      </c>
      <c r="E50" s="116" t="str">
        <f>HYPERLINK("https://youtu.be/90_NhXGDrNA","channel 2")</f>
        <v>channel 2</v>
      </c>
    </row>
    <row r="51">
      <c r="B51" s="87" t="s">
        <v>4245</v>
      </c>
      <c r="C51" s="112" t="s">
        <v>20</v>
      </c>
      <c r="D51" s="89" t="s">
        <v>3884</v>
      </c>
      <c r="E51" s="102" t="s">
        <v>9</v>
      </c>
    </row>
    <row r="52">
      <c r="B52" s="87" t="s">
        <v>3883</v>
      </c>
      <c r="C52" s="112" t="s">
        <v>190</v>
      </c>
      <c r="D52" s="89" t="s">
        <v>4184</v>
      </c>
      <c r="E52" s="116" t="str">
        <f>HYPERLINK("https://youtu.be/Z2dfAqrEens","channel 2")</f>
        <v>channel 2</v>
      </c>
    </row>
    <row r="53">
      <c r="B53" s="87" t="s">
        <v>4245</v>
      </c>
      <c r="C53" s="112" t="s">
        <v>62</v>
      </c>
      <c r="D53" s="89" t="s">
        <v>4085</v>
      </c>
      <c r="E53" s="11" t="str">
        <f>HYPERLINK("https://youtu.be/Y3PoOvWG6Xw","channel 1")</f>
        <v>channel 1</v>
      </c>
    </row>
    <row r="54">
      <c r="B54" s="87" t="s">
        <v>3884</v>
      </c>
      <c r="C54" s="112" t="s">
        <v>190</v>
      </c>
      <c r="D54" s="89" t="s">
        <v>4184</v>
      </c>
      <c r="E54" s="116" t="str">
        <f>HYPERLINK("https://youtu.be/1Go9SLk51Dg","channel 2")</f>
        <v>channel 2</v>
      </c>
    </row>
    <row r="55">
      <c r="B55" s="87" t="s">
        <v>4245</v>
      </c>
      <c r="C55" s="112" t="s">
        <v>282</v>
      </c>
      <c r="D55" s="89" t="s">
        <v>3883</v>
      </c>
      <c r="E55" s="11" t="str">
        <f>HYPERLINK("https://youtu.be/gLYcInaRwEk","channel 1")</f>
        <v>channel 1</v>
      </c>
    </row>
    <row r="56">
      <c r="B56" s="87" t="s">
        <v>3884</v>
      </c>
      <c r="C56" s="112" t="s">
        <v>24</v>
      </c>
      <c r="D56" s="89" t="s">
        <v>4085</v>
      </c>
      <c r="E56" s="116" t="str">
        <f>HYPERLINK("https://youtu.be/hxmJ4U31Ajg","channel 2")</f>
        <v>channel 2</v>
      </c>
    </row>
    <row r="57">
      <c r="B57" s="87" t="s">
        <v>4085</v>
      </c>
      <c r="C57" s="112" t="s">
        <v>196</v>
      </c>
      <c r="D57" s="89" t="s">
        <v>4184</v>
      </c>
      <c r="E57" s="11" t="str">
        <f>HYPERLINK("https://youtu.be/SqjEs5SU5F4","channel 1")</f>
        <v>channel 1</v>
      </c>
    </row>
    <row r="58">
      <c r="B58" s="87" t="s">
        <v>3884</v>
      </c>
      <c r="C58" s="112" t="s">
        <v>17</v>
      </c>
      <c r="D58" s="89" t="s">
        <v>3883</v>
      </c>
      <c r="E58" s="116" t="str">
        <f>HYPERLINK("https://youtu.be/6Jlvy4a_hdI","channel 2")</f>
        <v>channel 2</v>
      </c>
    </row>
    <row r="59">
      <c r="B59" s="87" t="s">
        <v>4184</v>
      </c>
      <c r="C59" s="112" t="s">
        <v>64</v>
      </c>
      <c r="D59" s="89" t="s">
        <v>4245</v>
      </c>
      <c r="E59" s="11" t="str">
        <f>HYPERLINK("https://youtu.be/c6WF-wF-8HQ","channel 1")</f>
        <v>channel 1</v>
      </c>
    </row>
    <row r="60">
      <c r="B60" s="87" t="s">
        <v>4085</v>
      </c>
      <c r="C60" s="112" t="s">
        <v>297</v>
      </c>
      <c r="D60" s="89" t="s">
        <v>3883</v>
      </c>
      <c r="E60" s="116" t="str">
        <f>HYPERLINK("https://youtu.be/kb201UOya3I","channel 2")</f>
        <v>channel 2</v>
      </c>
    </row>
    <row r="61">
      <c r="B61" s="87" t="s">
        <v>3884</v>
      </c>
      <c r="C61" s="112" t="s">
        <v>566</v>
      </c>
      <c r="D61" s="89" t="s">
        <v>4245</v>
      </c>
      <c r="E61" s="11" t="str">
        <f>HYPERLINK("https://youtu.be/TCI54nCfcZ4","channel 1")</f>
        <v>channel 1</v>
      </c>
    </row>
    <row r="62">
      <c r="B62" s="87" t="s">
        <v>4184</v>
      </c>
      <c r="C62" s="112" t="s">
        <v>88</v>
      </c>
      <c r="D62" s="89" t="s">
        <v>3883</v>
      </c>
      <c r="E62" s="116" t="str">
        <f>HYPERLINK("https://youtu.be/vOjFEhk-7N4","channel 2")</f>
        <v>channel 2</v>
      </c>
    </row>
    <row r="63">
      <c r="B63" s="87" t="s">
        <v>4085</v>
      </c>
      <c r="C63" s="112" t="s">
        <v>289</v>
      </c>
      <c r="D63" s="89" t="s">
        <v>4245</v>
      </c>
      <c r="E63" s="11" t="str">
        <f>HYPERLINK("https://youtu.be/VbeE4UbAtk4","channel 1")</f>
        <v>channel 1</v>
      </c>
    </row>
    <row r="64">
      <c r="B64" s="87" t="s">
        <v>4184</v>
      </c>
      <c r="C64" s="112" t="s">
        <v>69</v>
      </c>
      <c r="D64" s="89" t="s">
        <v>3884</v>
      </c>
      <c r="E64" s="116" t="str">
        <f>HYPERLINK("https://youtu.be/sQhqulAuScI","channel 2")</f>
        <v>channel 2</v>
      </c>
    </row>
    <row r="65">
      <c r="B65" s="87" t="s">
        <v>3883</v>
      </c>
      <c r="C65" s="112" t="s">
        <v>47</v>
      </c>
      <c r="D65" s="89" t="s">
        <v>4245</v>
      </c>
      <c r="E65" s="11" t="str">
        <f>HYPERLINK("https://youtu.be/V1enpbYWYh4","channel 1")</f>
        <v>channel 1</v>
      </c>
    </row>
    <row r="66">
      <c r="B66" s="87" t="s">
        <v>4085</v>
      </c>
      <c r="C66" s="112" t="s">
        <v>239</v>
      </c>
      <c r="D66" s="89" t="s">
        <v>3884</v>
      </c>
      <c r="E66" s="116" t="str">
        <f>HYPERLINK("https://youtu.be/vopy8yEmveI","channel 2")</f>
        <v>channel 2</v>
      </c>
    </row>
    <row r="67">
      <c r="B67" s="168" t="s">
        <v>4153</v>
      </c>
      <c r="C67" s="151"/>
      <c r="D67" s="151"/>
      <c r="E67" s="152"/>
    </row>
    <row r="68">
      <c r="B68" s="85" t="s">
        <v>2</v>
      </c>
      <c r="C68" s="86" t="s">
        <v>3</v>
      </c>
      <c r="D68" s="86" t="s">
        <v>4</v>
      </c>
      <c r="E68" s="86" t="s">
        <v>5</v>
      </c>
    </row>
    <row r="69">
      <c r="B69" s="87" t="s">
        <v>4289</v>
      </c>
      <c r="C69" s="112" t="s">
        <v>27</v>
      </c>
      <c r="D69" s="89" t="s">
        <v>3564</v>
      </c>
      <c r="E69" s="11" t="str">
        <f>HYPERLINK("https://youtu.be/6bTITrIeXRk","channel 1")</f>
        <v>channel 1</v>
      </c>
    </row>
    <row r="70">
      <c r="B70" s="87" t="s">
        <v>3635</v>
      </c>
      <c r="C70" s="112" t="s">
        <v>400</v>
      </c>
      <c r="D70" s="89" t="s">
        <v>3521</v>
      </c>
      <c r="E70" s="116" t="str">
        <f>HYPERLINK("https://youtu.be/ZI0L0dlZtoI","channel 2")</f>
        <v>channel 2</v>
      </c>
    </row>
    <row r="71">
      <c r="B71" s="87" t="s">
        <v>4290</v>
      </c>
      <c r="C71" s="112" t="s">
        <v>190</v>
      </c>
      <c r="D71" s="89" t="s">
        <v>4289</v>
      </c>
      <c r="E71" s="11" t="str">
        <f>HYPERLINK("https://youtu.be/TV6So5av8Wg","channel 1")</f>
        <v>channel 1</v>
      </c>
    </row>
    <row r="72">
      <c r="B72" s="87" t="s">
        <v>3635</v>
      </c>
      <c r="C72" s="112" t="s">
        <v>243</v>
      </c>
      <c r="D72" s="89" t="s">
        <v>3564</v>
      </c>
      <c r="E72" s="116" t="str">
        <f>HYPERLINK("https://youtu.be/PeEYv8c4wBs","channel 2")</f>
        <v>channel 2</v>
      </c>
    </row>
    <row r="73">
      <c r="B73" s="87" t="s">
        <v>4290</v>
      </c>
      <c r="C73" s="112" t="s">
        <v>319</v>
      </c>
      <c r="D73" s="89" t="s">
        <v>3521</v>
      </c>
      <c r="E73" s="11" t="str">
        <f>HYPERLINK("https://youtu.be/yg6aqfooOPo","channel 1")</f>
        <v>channel 1</v>
      </c>
    </row>
    <row r="74">
      <c r="B74" s="87" t="s">
        <v>3635</v>
      </c>
      <c r="C74" s="112" t="s">
        <v>201</v>
      </c>
      <c r="D74" s="89" t="s">
        <v>4289</v>
      </c>
      <c r="E74" s="116" t="str">
        <f>HYPERLINK("https://youtu.be/PJIEqiBejK8","channel 2")</f>
        <v>channel 2</v>
      </c>
    </row>
    <row r="75">
      <c r="B75" s="87" t="s">
        <v>4290</v>
      </c>
      <c r="C75" s="112" t="s">
        <v>43</v>
      </c>
      <c r="D75" s="89" t="s">
        <v>3564</v>
      </c>
      <c r="E75" s="11" t="str">
        <f>HYPERLINK("https://youtu.be/HBUjzp7SrQM","channel 1")</f>
        <v>channel 1</v>
      </c>
    </row>
    <row r="76">
      <c r="B76" s="87" t="s">
        <v>3521</v>
      </c>
      <c r="C76" s="112" t="s">
        <v>286</v>
      </c>
      <c r="D76" s="89" t="s">
        <v>4289</v>
      </c>
      <c r="E76" s="116" t="str">
        <f>HYPERLINK("https://youtu.be/aXX3-7ae_DQ","channel 2")</f>
        <v>channel 2</v>
      </c>
    </row>
    <row r="77">
      <c r="B77" s="87" t="s">
        <v>4290</v>
      </c>
      <c r="C77" s="112" t="s">
        <v>727</v>
      </c>
      <c r="D77" s="89" t="s">
        <v>3635</v>
      </c>
      <c r="E77" s="11" t="str">
        <f>HYPERLINK("https://youtu.be/p68pfRpqW0w","channel 1")</f>
        <v>channel 1</v>
      </c>
    </row>
    <row r="78">
      <c r="B78" s="87" t="s">
        <v>3521</v>
      </c>
      <c r="C78" s="112" t="s">
        <v>291</v>
      </c>
      <c r="D78" s="89" t="s">
        <v>3564</v>
      </c>
      <c r="E78" s="116" t="str">
        <f>HYPERLINK("https://youtu.be/4MvhqJBk4_A","channel 2")</f>
        <v>channel 2</v>
      </c>
    </row>
    <row r="79">
      <c r="B79" s="87" t="s">
        <v>3564</v>
      </c>
      <c r="C79" s="112" t="s">
        <v>218</v>
      </c>
      <c r="D79" s="89" t="s">
        <v>4289</v>
      </c>
      <c r="E79" s="11" t="str">
        <f>HYPERLINK("https://youtu.be/B20nJzvokiQ","channel 1")</f>
        <v>channel 1</v>
      </c>
    </row>
    <row r="80">
      <c r="B80" s="87" t="s">
        <v>3521</v>
      </c>
      <c r="C80" s="112" t="s">
        <v>190</v>
      </c>
      <c r="D80" s="89" t="s">
        <v>3635</v>
      </c>
      <c r="E80" s="116" t="str">
        <f>HYPERLINK("https://youtu.be/e4DIuul9UQw","channel 2")</f>
        <v>channel 2</v>
      </c>
    </row>
    <row r="81">
      <c r="B81" s="87" t="s">
        <v>4289</v>
      </c>
      <c r="C81" s="112" t="s">
        <v>82</v>
      </c>
      <c r="D81" s="89" t="s">
        <v>4290</v>
      </c>
      <c r="E81" s="11" t="str">
        <f>HYPERLINK("https://youtu.be/1DB-AS-dDZw","channel 1")</f>
        <v>channel 1</v>
      </c>
    </row>
    <row r="82">
      <c r="B82" s="87" t="s">
        <v>3564</v>
      </c>
      <c r="C82" s="112" t="s">
        <v>259</v>
      </c>
      <c r="D82" s="89" t="s">
        <v>3635</v>
      </c>
      <c r="E82" s="116" t="str">
        <f>HYPERLINK("https://youtu.be/YKlxOFv9Ubw","channel 2")</f>
        <v>channel 2</v>
      </c>
    </row>
    <row r="83">
      <c r="B83" s="87" t="s">
        <v>3521</v>
      </c>
      <c r="C83" s="112" t="s">
        <v>48</v>
      </c>
      <c r="D83" s="89" t="s">
        <v>4290</v>
      </c>
      <c r="E83" s="11" t="str">
        <f>HYPERLINK("https://youtu.be/77Vv6-XG2aM","channel 1")</f>
        <v>channel 1</v>
      </c>
    </row>
    <row r="84">
      <c r="B84" s="87" t="s">
        <v>4289</v>
      </c>
      <c r="C84" s="112" t="s">
        <v>7</v>
      </c>
      <c r="D84" s="89" t="s">
        <v>3635</v>
      </c>
      <c r="E84" s="116" t="str">
        <f>HYPERLINK("https://youtu.be/ynRYchAoKwk","channel 2")</f>
        <v>channel 2</v>
      </c>
    </row>
    <row r="85">
      <c r="B85" s="87" t="s">
        <v>3564</v>
      </c>
      <c r="C85" s="112" t="s">
        <v>445</v>
      </c>
      <c r="D85" s="89" t="s">
        <v>4290</v>
      </c>
      <c r="E85" s="11" t="str">
        <f>HYPERLINK("https://youtu.be/KGJpz755P4E","channel 1")</f>
        <v>channel 1</v>
      </c>
    </row>
    <row r="86">
      <c r="B86" s="87" t="s">
        <v>4289</v>
      </c>
      <c r="C86" s="112" t="s">
        <v>306</v>
      </c>
      <c r="D86" s="89" t="s">
        <v>3521</v>
      </c>
      <c r="E86" s="116" t="str">
        <f>HYPERLINK("https://youtu.be/Kh3hZaZkL6Y","channel 2")</f>
        <v>channel 2</v>
      </c>
    </row>
    <row r="87">
      <c r="B87" s="87" t="s">
        <v>3635</v>
      </c>
      <c r="C87" s="112" t="s">
        <v>50</v>
      </c>
      <c r="D87" s="89" t="s">
        <v>4290</v>
      </c>
      <c r="E87" s="11" t="str">
        <f>HYPERLINK("https://youtu.be/LQGwVv7sdEU","channel 1")</f>
        <v>channel 1</v>
      </c>
    </row>
    <row r="88">
      <c r="B88" s="87" t="s">
        <v>3564</v>
      </c>
      <c r="C88" s="112" t="s">
        <v>197</v>
      </c>
      <c r="D88" s="89" t="s">
        <v>3521</v>
      </c>
      <c r="E88" s="116" t="str">
        <f>HYPERLINK("https://youtu.be/kjaUcejKUhQ","channel 2")</f>
        <v>channel 2</v>
      </c>
    </row>
    <row r="89">
      <c r="B89" s="148"/>
      <c r="C89" s="148"/>
      <c r="D89" s="148"/>
      <c r="E89" s="149"/>
    </row>
    <row r="90">
      <c r="B90" s="148"/>
      <c r="C90" s="148"/>
      <c r="D90" s="148"/>
      <c r="E90" s="149"/>
    </row>
    <row r="91">
      <c r="B91" s="148"/>
      <c r="C91" s="148"/>
      <c r="D91" s="148"/>
      <c r="E91" s="149"/>
    </row>
    <row r="92">
      <c r="B92" s="148"/>
      <c r="C92" s="148"/>
      <c r="D92" s="148"/>
      <c r="E92" s="149"/>
    </row>
    <row r="93">
      <c r="B93" s="148"/>
      <c r="C93" s="148"/>
      <c r="D93" s="148"/>
      <c r="E93" s="149"/>
    </row>
    <row r="94">
      <c r="B94" s="148"/>
      <c r="C94" s="148"/>
      <c r="D94" s="148"/>
      <c r="E94" s="149"/>
    </row>
    <row r="95">
      <c r="B95" s="148"/>
      <c r="C95" s="148"/>
      <c r="D95" s="148"/>
      <c r="E95" s="149"/>
    </row>
    <row r="96">
      <c r="B96" s="148"/>
      <c r="C96" s="148"/>
      <c r="D96" s="148"/>
      <c r="E96" s="149"/>
    </row>
    <row r="97">
      <c r="B97" s="148"/>
      <c r="C97" s="148"/>
      <c r="D97" s="148"/>
      <c r="E97" s="149"/>
    </row>
    <row r="98">
      <c r="B98" s="148"/>
      <c r="C98" s="148"/>
      <c r="D98" s="148"/>
      <c r="E98" s="149"/>
    </row>
    <row r="99">
      <c r="B99" s="148"/>
      <c r="C99" s="148"/>
      <c r="D99" s="148"/>
      <c r="E99" s="149"/>
    </row>
    <row r="100">
      <c r="B100" s="148"/>
      <c r="C100" s="148"/>
      <c r="D100" s="148"/>
      <c r="E100" s="149"/>
    </row>
    <row r="101">
      <c r="B101" s="148"/>
      <c r="C101" s="148"/>
      <c r="D101" s="148"/>
      <c r="E101" s="149"/>
    </row>
    <row r="102">
      <c r="B102" s="148"/>
      <c r="C102" s="148"/>
      <c r="D102" s="148"/>
      <c r="E102" s="149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0" t="s">
        <v>1400</v>
      </c>
      <c r="C1" s="151"/>
      <c r="D1" s="152"/>
      <c r="E1" s="163"/>
    </row>
    <row r="2">
      <c r="B2" s="153" t="s">
        <v>2</v>
      </c>
      <c r="C2" s="86" t="s">
        <v>3</v>
      </c>
      <c r="D2" s="154" t="s">
        <v>4</v>
      </c>
      <c r="E2" s="154" t="s">
        <v>5</v>
      </c>
    </row>
    <row r="3">
      <c r="B3" s="32" t="s">
        <v>4291</v>
      </c>
      <c r="C3" s="159" t="s">
        <v>270</v>
      </c>
      <c r="D3" s="160" t="s">
        <v>4292</v>
      </c>
      <c r="E3" s="11" t="str">
        <f>HYPERLINK("https://youtu.be/EFDtlCxc0PM","channel 1")</f>
        <v>channel 1</v>
      </c>
    </row>
    <row r="4">
      <c r="B4" s="87" t="s">
        <v>3142</v>
      </c>
      <c r="C4" s="112" t="s">
        <v>412</v>
      </c>
      <c r="D4" s="89" t="s">
        <v>4066</v>
      </c>
      <c r="E4" s="116" t="str">
        <f>HYPERLINK("https://youtu.be/dm7MhEh3zsw","channel 2")</f>
        <v>channel 2</v>
      </c>
    </row>
    <row r="5">
      <c r="B5" s="87" t="s">
        <v>3352</v>
      </c>
      <c r="C5" s="112" t="s">
        <v>58</v>
      </c>
      <c r="D5" s="89" t="s">
        <v>4291</v>
      </c>
      <c r="E5" s="11" t="str">
        <f>HYPERLINK("https://youtu.be/cqAPbP45MA4","channel 1")</f>
        <v>channel 1</v>
      </c>
    </row>
    <row r="6">
      <c r="B6" s="87" t="s">
        <v>3142</v>
      </c>
      <c r="C6" s="112" t="s">
        <v>193</v>
      </c>
      <c r="D6" s="89" t="s">
        <v>4292</v>
      </c>
      <c r="E6" s="116" t="str">
        <f>HYPERLINK("https://youtu.be/KZLI3iXZ4UY","channel 2")</f>
        <v>channel 2</v>
      </c>
    </row>
    <row r="7">
      <c r="B7" s="87" t="s">
        <v>3352</v>
      </c>
      <c r="C7" s="112" t="s">
        <v>64</v>
      </c>
      <c r="D7" s="89" t="s">
        <v>4066</v>
      </c>
      <c r="E7" s="11" t="str">
        <f>HYPERLINK("https://youtu.be/M52qlISEMRc","channel 1")</f>
        <v>channel 1</v>
      </c>
    </row>
    <row r="8">
      <c r="B8" s="87" t="s">
        <v>3142</v>
      </c>
      <c r="C8" s="112" t="s">
        <v>28</v>
      </c>
      <c r="D8" s="89" t="s">
        <v>4291</v>
      </c>
      <c r="E8" s="116" t="str">
        <f>HYPERLINK("https://youtu.be/F5Qx-1iZCtw","channel 2")</f>
        <v>channel 2</v>
      </c>
    </row>
    <row r="9">
      <c r="B9" s="87" t="s">
        <v>3352</v>
      </c>
      <c r="C9" s="112" t="s">
        <v>64</v>
      </c>
      <c r="D9" s="89" t="s">
        <v>4292</v>
      </c>
      <c r="E9" s="11" t="str">
        <f>HYPERLINK("https://youtu.be/s6FgR4GTyr0","channel 1")</f>
        <v>channel 1</v>
      </c>
    </row>
    <row r="10">
      <c r="B10" s="87" t="s">
        <v>4066</v>
      </c>
      <c r="C10" s="112" t="s">
        <v>201</v>
      </c>
      <c r="D10" s="89" t="s">
        <v>4291</v>
      </c>
      <c r="E10" s="116" t="str">
        <f>HYPERLINK("https://youtu.be/NWzpitwDe0I","channel 2")</f>
        <v>channel 2</v>
      </c>
    </row>
    <row r="11">
      <c r="B11" s="87" t="s">
        <v>3352</v>
      </c>
      <c r="C11" s="112" t="s">
        <v>389</v>
      </c>
      <c r="D11" s="89" t="s">
        <v>3142</v>
      </c>
      <c r="E11" s="11" t="str">
        <f>HYPERLINK("https://youtu.be/5b8jHvf_-Mo","channel 1")</f>
        <v>channel 1</v>
      </c>
    </row>
    <row r="12">
      <c r="B12" s="87" t="s">
        <v>4066</v>
      </c>
      <c r="C12" s="112" t="s">
        <v>285</v>
      </c>
      <c r="D12" s="89" t="s">
        <v>4292</v>
      </c>
      <c r="E12" s="116" t="str">
        <f>HYPERLINK("https://youtu.be/ttnSxrc_Qeo","channel 2")</f>
        <v>channel 2</v>
      </c>
    </row>
    <row r="13">
      <c r="B13" s="87" t="s">
        <v>4292</v>
      </c>
      <c r="C13" s="112" t="s">
        <v>17</v>
      </c>
      <c r="D13" s="89" t="s">
        <v>4291</v>
      </c>
      <c r="E13" s="11" t="str">
        <f>HYPERLINK("https://youtu.be/TuGczKyPOhs","channel 1")</f>
        <v>channel 1</v>
      </c>
    </row>
    <row r="14">
      <c r="B14" s="87" t="s">
        <v>4066</v>
      </c>
      <c r="C14" s="112" t="s">
        <v>291</v>
      </c>
      <c r="D14" s="89" t="s">
        <v>3142</v>
      </c>
      <c r="E14" s="116" t="str">
        <f>HYPERLINK("https://youtu.be/OuNoLbRcSK4","channel 2")</f>
        <v>channel 2</v>
      </c>
    </row>
    <row r="15">
      <c r="B15" s="87" t="s">
        <v>4291</v>
      </c>
      <c r="C15" s="112" t="s">
        <v>43</v>
      </c>
      <c r="D15" s="89" t="s">
        <v>3352</v>
      </c>
      <c r="E15" s="11" t="str">
        <f>HYPERLINK("https://youtu.be/xxuWf4sFnxQ","channel 1")</f>
        <v>channel 1</v>
      </c>
    </row>
    <row r="16">
      <c r="B16" s="87" t="s">
        <v>4292</v>
      </c>
      <c r="C16" s="112" t="s">
        <v>35</v>
      </c>
      <c r="D16" s="89" t="s">
        <v>3142</v>
      </c>
      <c r="E16" s="116" t="str">
        <f>HYPERLINK("https://youtu.be/LhTgxmyAoEo","channel 2")</f>
        <v>channel 2</v>
      </c>
    </row>
    <row r="17">
      <c r="B17" s="87" t="s">
        <v>4066</v>
      </c>
      <c r="C17" s="112" t="s">
        <v>244</v>
      </c>
      <c r="D17" s="89" t="s">
        <v>3352</v>
      </c>
      <c r="E17" s="11" t="str">
        <f>HYPERLINK("https://youtu.be/Vnn8oXDELtU","channel 1")</f>
        <v>channel 1</v>
      </c>
    </row>
    <row r="18">
      <c r="B18" s="87" t="s">
        <v>4291</v>
      </c>
      <c r="C18" s="112" t="s">
        <v>201</v>
      </c>
      <c r="D18" s="89" t="s">
        <v>3142</v>
      </c>
      <c r="E18" s="116" t="str">
        <f>HYPERLINK("https://youtu.be/q88OTVXt2fg","channel 2")</f>
        <v>channel 2</v>
      </c>
    </row>
    <row r="19">
      <c r="B19" s="87" t="s">
        <v>4292</v>
      </c>
      <c r="C19" s="112" t="s">
        <v>243</v>
      </c>
      <c r="D19" s="89" t="s">
        <v>3352</v>
      </c>
      <c r="E19" s="11" t="str">
        <f>HYPERLINK("https://youtu.be/af2W_Aodm-0","channel 1")</f>
        <v>channel 1</v>
      </c>
    </row>
    <row r="20">
      <c r="B20" s="87" t="s">
        <v>4291</v>
      </c>
      <c r="C20" s="112" t="s">
        <v>197</v>
      </c>
      <c r="D20" s="89" t="s">
        <v>4066</v>
      </c>
      <c r="E20" s="116" t="str">
        <f>HYPERLINK("https://youtu.be/G2QFBgBALm0","channel 2")</f>
        <v>channel 2</v>
      </c>
    </row>
    <row r="21">
      <c r="B21" s="87" t="s">
        <v>3142</v>
      </c>
      <c r="C21" s="112" t="s">
        <v>197</v>
      </c>
      <c r="D21" s="89" t="s">
        <v>3352</v>
      </c>
      <c r="E21" s="11" t="str">
        <f>HYPERLINK("https://youtu.be/yHmZ6iUBYkU","channel 1")</f>
        <v>channel 1</v>
      </c>
    </row>
    <row r="22">
      <c r="B22" s="87" t="s">
        <v>4292</v>
      </c>
      <c r="C22" s="112" t="s">
        <v>196</v>
      </c>
      <c r="D22" s="89" t="s">
        <v>4066</v>
      </c>
      <c r="E22" s="116" t="str">
        <f>HYPERLINK("https://youtu.be/z5oHvxcqdWA","channel 2")</f>
        <v>channel 2</v>
      </c>
    </row>
    <row r="23">
      <c r="B23" s="150" t="s">
        <v>3441</v>
      </c>
      <c r="C23" s="151"/>
      <c r="D23" s="152"/>
      <c r="E23" s="95"/>
    </row>
    <row r="24">
      <c r="B24" s="153" t="s">
        <v>2</v>
      </c>
      <c r="C24" s="86" t="s">
        <v>3</v>
      </c>
      <c r="D24" s="154" t="s">
        <v>4</v>
      </c>
      <c r="E24" s="154" t="s">
        <v>5</v>
      </c>
    </row>
    <row r="25">
      <c r="B25" s="32" t="s">
        <v>3682</v>
      </c>
      <c r="C25" s="159" t="s">
        <v>218</v>
      </c>
      <c r="D25" s="160" t="s">
        <v>4293</v>
      </c>
      <c r="E25" s="102" t="s">
        <v>9</v>
      </c>
    </row>
    <row r="26">
      <c r="B26" s="87" t="s">
        <v>1790</v>
      </c>
      <c r="C26" s="112" t="s">
        <v>201</v>
      </c>
      <c r="D26" s="89" t="s">
        <v>2317</v>
      </c>
      <c r="E26" s="116" t="str">
        <f>HYPERLINK("https://youtu.be/T-sNJP6GHhw","channel 2")</f>
        <v>channel 2</v>
      </c>
    </row>
    <row r="27">
      <c r="B27" s="87" t="s">
        <v>3899</v>
      </c>
      <c r="C27" s="112" t="s">
        <v>286</v>
      </c>
      <c r="D27" s="89" t="s">
        <v>3682</v>
      </c>
      <c r="E27" s="11" t="str">
        <f>HYPERLINK("https://youtu.be/-lUwXYCml_k","channel 1")</f>
        <v>channel 1</v>
      </c>
    </row>
    <row r="28">
      <c r="B28" s="87" t="s">
        <v>1790</v>
      </c>
      <c r="C28" s="112" t="s">
        <v>41</v>
      </c>
      <c r="D28" s="89" t="s">
        <v>4293</v>
      </c>
      <c r="E28" s="116" t="str">
        <f>HYPERLINK("https://youtu.be/SGN8kGzZloU","channel 2")</f>
        <v>channel 2</v>
      </c>
    </row>
    <row r="29">
      <c r="B29" s="87" t="s">
        <v>3899</v>
      </c>
      <c r="C29" s="112" t="s">
        <v>260</v>
      </c>
      <c r="D29" s="89" t="s">
        <v>2317</v>
      </c>
      <c r="E29" s="11" t="str">
        <f>HYPERLINK("https://youtu.be/WHqvXGOXPr4","channel 1")</f>
        <v>channel 1</v>
      </c>
    </row>
    <row r="30">
      <c r="B30" s="87" t="s">
        <v>1790</v>
      </c>
      <c r="C30" s="112" t="s">
        <v>43</v>
      </c>
      <c r="D30" s="89" t="s">
        <v>3682</v>
      </c>
      <c r="E30" s="116" t="str">
        <f>HYPERLINK("https://youtu.be/66riSrRICzw","channel 2")</f>
        <v>channel 2</v>
      </c>
    </row>
    <row r="31">
      <c r="B31" s="87" t="s">
        <v>3899</v>
      </c>
      <c r="C31" s="112" t="s">
        <v>566</v>
      </c>
      <c r="D31" s="89" t="s">
        <v>4293</v>
      </c>
      <c r="E31" s="11" t="str">
        <f>HYPERLINK("https://youtu.be/rzHz9edcQZA","channel 1")</f>
        <v>channel 1</v>
      </c>
    </row>
    <row r="32">
      <c r="B32" s="87" t="s">
        <v>2317</v>
      </c>
      <c r="C32" s="112" t="s">
        <v>27</v>
      </c>
      <c r="D32" s="89" t="s">
        <v>3682</v>
      </c>
      <c r="E32" s="116" t="str">
        <f>HYPERLINK("https://youtu.be/A5206RjB204","channel 2")</f>
        <v>channel 2</v>
      </c>
    </row>
    <row r="33">
      <c r="B33" s="87" t="s">
        <v>3899</v>
      </c>
      <c r="C33" s="112" t="s">
        <v>72</v>
      </c>
      <c r="D33" s="89" t="s">
        <v>1790</v>
      </c>
      <c r="E33" s="11" t="str">
        <f>HYPERLINK("https://youtu.be/OS-2jtvW3r8","channel 1")</f>
        <v>channel 1</v>
      </c>
    </row>
    <row r="34">
      <c r="B34" s="87" t="s">
        <v>2317</v>
      </c>
      <c r="C34" s="112" t="s">
        <v>270</v>
      </c>
      <c r="D34" s="89" t="s">
        <v>4293</v>
      </c>
      <c r="E34" s="116" t="str">
        <f>HYPERLINK("https://youtu.be/YHEC5Bv5SOM","channel 2")</f>
        <v>channel 2</v>
      </c>
    </row>
    <row r="35">
      <c r="B35" s="87" t="s">
        <v>4293</v>
      </c>
      <c r="C35" s="112" t="s">
        <v>220</v>
      </c>
      <c r="D35" s="89" t="s">
        <v>3682</v>
      </c>
      <c r="E35" s="11" t="str">
        <f>HYPERLINK("https://youtu.be/To5DsR-AB1I","channel 1")</f>
        <v>channel 1</v>
      </c>
    </row>
    <row r="36">
      <c r="B36" s="87" t="s">
        <v>2317</v>
      </c>
      <c r="C36" s="112" t="s">
        <v>19</v>
      </c>
      <c r="D36" s="89" t="s">
        <v>1790</v>
      </c>
      <c r="E36" s="116" t="str">
        <f>HYPERLINK("https://youtu.be/0YSSPFk7Nws","channel 2")</f>
        <v>channel 2</v>
      </c>
    </row>
    <row r="37">
      <c r="B37" s="87" t="s">
        <v>3682</v>
      </c>
      <c r="C37" s="112" t="s">
        <v>58</v>
      </c>
      <c r="D37" s="89" t="s">
        <v>3899</v>
      </c>
      <c r="E37" s="11" t="str">
        <f>HYPERLINK("https://youtu.be/DrWOC62T4BI","channel 1")</f>
        <v>channel 1</v>
      </c>
    </row>
    <row r="38">
      <c r="B38" s="87" t="s">
        <v>4293</v>
      </c>
      <c r="C38" s="112" t="s">
        <v>218</v>
      </c>
      <c r="D38" s="89" t="s">
        <v>1790</v>
      </c>
      <c r="E38" s="116" t="str">
        <f>HYPERLINK("https://youtu.be/wv-NohsPYro","channel 2")</f>
        <v>channel 2</v>
      </c>
    </row>
    <row r="39">
      <c r="B39" s="87" t="s">
        <v>2317</v>
      </c>
      <c r="C39" s="112" t="s">
        <v>190</v>
      </c>
      <c r="D39" s="89" t="s">
        <v>3899</v>
      </c>
      <c r="E39" s="11" t="str">
        <f>HYPERLINK("https://youtu.be/HLkNjnztTmc","channel 1")</f>
        <v>channel 1</v>
      </c>
    </row>
    <row r="40">
      <c r="B40" s="87" t="s">
        <v>3682</v>
      </c>
      <c r="C40" s="112" t="s">
        <v>22</v>
      </c>
      <c r="D40" s="89" t="s">
        <v>1790</v>
      </c>
      <c r="E40" s="116" t="str">
        <f>HYPERLINK("https://youtu.be/MYCUxltutvc","channel 2")</f>
        <v>channel 2</v>
      </c>
    </row>
    <row r="41">
      <c r="B41" s="87" t="s">
        <v>4293</v>
      </c>
      <c r="C41" s="112" t="s">
        <v>49</v>
      </c>
      <c r="D41" s="89" t="s">
        <v>3899</v>
      </c>
      <c r="E41" s="11" t="str">
        <f>HYPERLINK("https://youtu.be/C2FiuWedfqc","channel 1")</f>
        <v>channel 1</v>
      </c>
    </row>
    <row r="42">
      <c r="B42" s="87" t="s">
        <v>3682</v>
      </c>
      <c r="C42" s="112" t="s">
        <v>69</v>
      </c>
      <c r="D42" s="89" t="s">
        <v>2317</v>
      </c>
      <c r="E42" s="116" t="str">
        <f>HYPERLINK("https://youtu.be/Jj3pSn0vVPU","channel 2")</f>
        <v>channel 2</v>
      </c>
    </row>
    <row r="43">
      <c r="B43" s="87" t="s">
        <v>1790</v>
      </c>
      <c r="C43" s="112" t="s">
        <v>64</v>
      </c>
      <c r="D43" s="89" t="s">
        <v>3899</v>
      </c>
      <c r="E43" s="11" t="str">
        <f>HYPERLINK("https://youtu.be/Qzo5Di1plD0","channel 1")</f>
        <v>channel 1</v>
      </c>
    </row>
    <row r="44">
      <c r="B44" s="87" t="s">
        <v>4293</v>
      </c>
      <c r="C44" s="112" t="s">
        <v>25</v>
      </c>
      <c r="D44" s="89" t="s">
        <v>2317</v>
      </c>
      <c r="E44" s="116" t="str">
        <f>HYPERLINK("https://youtu.be/SACjBqV5b8E","channel 2")</f>
        <v>channel 2</v>
      </c>
    </row>
    <row r="45">
      <c r="B45" s="72" t="s">
        <v>2685</v>
      </c>
      <c r="C45" s="2"/>
      <c r="D45" s="3"/>
      <c r="E45" s="84"/>
    </row>
    <row r="46">
      <c r="B46" s="85" t="s">
        <v>2</v>
      </c>
      <c r="C46" s="86" t="s">
        <v>3</v>
      </c>
      <c r="D46" s="86" t="s">
        <v>4</v>
      </c>
      <c r="E46" s="86" t="s">
        <v>5</v>
      </c>
    </row>
    <row r="47">
      <c r="B47" s="87" t="s">
        <v>4294</v>
      </c>
      <c r="C47" s="159" t="s">
        <v>68</v>
      </c>
      <c r="D47" s="89" t="s">
        <v>4295</v>
      </c>
      <c r="E47" s="11" t="str">
        <f>HYPERLINK("https://youtu.be/0PUUzsPnh1I","channel 1")</f>
        <v>channel 1</v>
      </c>
    </row>
    <row r="48">
      <c r="B48" s="87" t="s">
        <v>4296</v>
      </c>
      <c r="C48" s="112" t="s">
        <v>363</v>
      </c>
      <c r="D48" s="89" t="s">
        <v>4297</v>
      </c>
      <c r="E48" s="116" t="str">
        <f>HYPERLINK("https://youtu.be/_PlMiTa-CkQ","channel 2")</f>
        <v>channel 2</v>
      </c>
    </row>
    <row r="49">
      <c r="B49" s="87" t="s">
        <v>3569</v>
      </c>
      <c r="C49" s="112" t="s">
        <v>87</v>
      </c>
      <c r="D49" s="89" t="s">
        <v>4294</v>
      </c>
      <c r="E49" s="11" t="str">
        <f>HYPERLINK("https://youtu.be/T0cbtlo5mLo","channel 1")</f>
        <v>channel 1</v>
      </c>
    </row>
    <row r="50">
      <c r="B50" s="87" t="s">
        <v>4296</v>
      </c>
      <c r="C50" s="112" t="s">
        <v>28</v>
      </c>
      <c r="D50" s="89" t="s">
        <v>4295</v>
      </c>
      <c r="E50" s="116" t="str">
        <f>HYPERLINK("https://youtu.be/KySMyS6bjbQ","channel 2")</f>
        <v>channel 2</v>
      </c>
    </row>
    <row r="51">
      <c r="B51" s="87" t="s">
        <v>3569</v>
      </c>
      <c r="C51" s="112" t="s">
        <v>25</v>
      </c>
      <c r="D51" s="89" t="s">
        <v>4297</v>
      </c>
      <c r="E51" s="11" t="str">
        <f>HYPERLINK("https://youtu.be/pfHj2Si4brQ","channel 1")</f>
        <v>channel 1</v>
      </c>
    </row>
    <row r="52">
      <c r="B52" s="87" t="s">
        <v>4296</v>
      </c>
      <c r="C52" s="112" t="s">
        <v>218</v>
      </c>
      <c r="D52" s="89" t="s">
        <v>4294</v>
      </c>
      <c r="E52" s="116" t="str">
        <f>HYPERLINK("https://youtu.be/ZeamPcsS9cQ","channel 2")</f>
        <v>channel 2</v>
      </c>
    </row>
    <row r="53">
      <c r="B53" s="87" t="s">
        <v>3569</v>
      </c>
      <c r="C53" s="136" t="s">
        <v>291</v>
      </c>
      <c r="D53" s="89" t="s">
        <v>4295</v>
      </c>
      <c r="E53" s="11" t="str">
        <f>HYPERLINK("https://youtu.be/dXprs-S3Qrk","channel 1")</f>
        <v>channel 1</v>
      </c>
    </row>
    <row r="54">
      <c r="B54" s="87" t="s">
        <v>4297</v>
      </c>
      <c r="C54" s="112" t="s">
        <v>291</v>
      </c>
      <c r="D54" s="89" t="s">
        <v>4294</v>
      </c>
      <c r="E54" s="116" t="str">
        <f>HYPERLINK("https://youtu.be/FuKKlIbtedc","channel 2")</f>
        <v>channel 2</v>
      </c>
    </row>
    <row r="55">
      <c r="B55" s="87" t="s">
        <v>3569</v>
      </c>
      <c r="C55" s="112" t="s">
        <v>196</v>
      </c>
      <c r="D55" s="89" t="s">
        <v>4296</v>
      </c>
      <c r="E55" s="11" t="str">
        <f>HYPERLINK("https://youtu.be/aPSJe0zjF94","channel 1")</f>
        <v>channel 1</v>
      </c>
    </row>
    <row r="56">
      <c r="B56" s="87" t="s">
        <v>4297</v>
      </c>
      <c r="C56" s="112" t="s">
        <v>857</v>
      </c>
      <c r="D56" s="89" t="s">
        <v>4295</v>
      </c>
      <c r="E56" s="116" t="str">
        <f>HYPERLINK("https://youtu.be/0y4EWGGDzxY","channel 2")</f>
        <v>channel 2</v>
      </c>
    </row>
    <row r="57">
      <c r="B57" s="87" t="s">
        <v>4295</v>
      </c>
      <c r="C57" s="112" t="s">
        <v>197</v>
      </c>
      <c r="D57" s="89" t="s">
        <v>4294</v>
      </c>
      <c r="E57" s="11" t="str">
        <f>HYPERLINK("https://youtu.be/XEGWmP5dF1c","channel 1")</f>
        <v>channel 1</v>
      </c>
    </row>
    <row r="58">
      <c r="B58" s="87" t="s">
        <v>4297</v>
      </c>
      <c r="C58" s="112" t="s">
        <v>19</v>
      </c>
      <c r="D58" s="89" t="s">
        <v>4296</v>
      </c>
      <c r="E58" s="116" t="str">
        <f>HYPERLINK("https://youtu.be/KI43QEfeOKU","channel 2")</f>
        <v>channel 2</v>
      </c>
    </row>
    <row r="59">
      <c r="B59" s="87" t="s">
        <v>4294</v>
      </c>
      <c r="C59" s="112" t="s">
        <v>282</v>
      </c>
      <c r="D59" s="89" t="s">
        <v>3569</v>
      </c>
      <c r="E59" s="11" t="str">
        <f>HYPERLINK("https://youtu.be/koyk4CSc38o","channel 1")</f>
        <v>channel 1</v>
      </c>
    </row>
    <row r="60">
      <c r="B60" s="87" t="s">
        <v>4295</v>
      </c>
      <c r="C60" s="112" t="s">
        <v>197</v>
      </c>
      <c r="D60" s="89" t="s">
        <v>4296</v>
      </c>
      <c r="E60" s="116" t="str">
        <f>HYPERLINK("https://youtu.be/ADxmspI8FkM","channel 2")</f>
        <v>channel 2</v>
      </c>
    </row>
    <row r="61">
      <c r="B61" s="87" t="s">
        <v>4297</v>
      </c>
      <c r="C61" s="112" t="s">
        <v>87</v>
      </c>
      <c r="D61" s="89" t="s">
        <v>3569</v>
      </c>
      <c r="E61" s="11" t="str">
        <f>HYPERLINK("https://youtu.be/Ka9zurZi9vo","channel 1")</f>
        <v>channel 1</v>
      </c>
    </row>
    <row r="62">
      <c r="B62" s="87" t="s">
        <v>4294</v>
      </c>
      <c r="C62" s="112" t="s">
        <v>212</v>
      </c>
      <c r="D62" s="89" t="s">
        <v>4296</v>
      </c>
      <c r="E62" s="116" t="str">
        <f>HYPERLINK("https://youtu.be/5PJWlcqmVxI","channel 2")</f>
        <v>channel 2</v>
      </c>
    </row>
    <row r="63">
      <c r="B63" s="87" t="s">
        <v>4295</v>
      </c>
      <c r="C63" s="112" t="s">
        <v>260</v>
      </c>
      <c r="D63" s="89" t="s">
        <v>3569</v>
      </c>
      <c r="E63" s="11" t="str">
        <f>HYPERLINK("https://youtu.be/Au4g-MzV7Hg","channel 1")</f>
        <v>channel 1</v>
      </c>
    </row>
    <row r="64">
      <c r="B64" s="87" t="s">
        <v>4294</v>
      </c>
      <c r="C64" s="112" t="s">
        <v>217</v>
      </c>
      <c r="D64" s="89" t="s">
        <v>4297</v>
      </c>
      <c r="E64" s="116" t="str">
        <f>HYPERLINK("https://youtu.be/oHFE3uL9VJI","channel 2")</f>
        <v>channel 2</v>
      </c>
    </row>
    <row r="65">
      <c r="B65" s="87" t="s">
        <v>4296</v>
      </c>
      <c r="C65" s="112" t="s">
        <v>64</v>
      </c>
      <c r="D65" s="89" t="s">
        <v>3569</v>
      </c>
      <c r="E65" s="11" t="str">
        <f>HYPERLINK("https://youtu.be/YZR1ecoHmDU","channel 1")</f>
        <v>channel 1</v>
      </c>
    </row>
    <row r="66">
      <c r="B66" s="87" t="s">
        <v>4295</v>
      </c>
      <c r="C66" s="112" t="s">
        <v>412</v>
      </c>
      <c r="D66" s="89" t="s">
        <v>4297</v>
      </c>
      <c r="E66" s="116" t="str">
        <f>HYPERLINK("https://youtu.be/exsDlrG1Nvw","channel 2")</f>
        <v>channel 2</v>
      </c>
    </row>
    <row r="67">
      <c r="B67" s="72" t="s">
        <v>4153</v>
      </c>
      <c r="C67" s="2"/>
      <c r="D67" s="3"/>
      <c r="E67" s="84"/>
    </row>
    <row r="68">
      <c r="B68" s="85" t="s">
        <v>2</v>
      </c>
      <c r="C68" s="86" t="s">
        <v>3</v>
      </c>
      <c r="D68" s="86" t="s">
        <v>4</v>
      </c>
      <c r="E68" s="86" t="s">
        <v>5</v>
      </c>
    </row>
    <row r="69">
      <c r="B69" s="87" t="s">
        <v>4261</v>
      </c>
      <c r="C69" s="159" t="s">
        <v>16</v>
      </c>
      <c r="D69" s="89" t="s">
        <v>4298</v>
      </c>
      <c r="E69" s="11" t="str">
        <f>HYPERLINK("https://youtu.be/j5lgrstZ_KE","channel 1")</f>
        <v>channel 1</v>
      </c>
    </row>
    <row r="70">
      <c r="B70" s="87" t="s">
        <v>3185</v>
      </c>
      <c r="C70" s="112" t="s">
        <v>289</v>
      </c>
      <c r="D70" s="89" t="s">
        <v>4299</v>
      </c>
      <c r="E70" s="116" t="str">
        <f>HYPERLINK("https://youtu.be/HGnYzkbsRCo","channel 2")</f>
        <v>channel 2</v>
      </c>
    </row>
    <row r="71">
      <c r="B71" s="87" t="s">
        <v>1732</v>
      </c>
      <c r="C71" s="112" t="s">
        <v>218</v>
      </c>
      <c r="D71" s="89" t="s">
        <v>4261</v>
      </c>
      <c r="E71" s="11" t="str">
        <f>HYPERLINK("https://youtu.be/HWOcSZK6j1Y","channel 1")</f>
        <v>channel 1</v>
      </c>
    </row>
    <row r="72">
      <c r="B72" s="87" t="s">
        <v>3185</v>
      </c>
      <c r="C72" s="112" t="s">
        <v>190</v>
      </c>
      <c r="D72" s="89" t="s">
        <v>4298</v>
      </c>
      <c r="E72" s="116" t="str">
        <f>HYPERLINK("https://youtu.be/5IFPCCqQk90","channel 2")</f>
        <v>channel 2</v>
      </c>
    </row>
    <row r="73">
      <c r="B73" s="87" t="s">
        <v>1732</v>
      </c>
      <c r="C73" s="112" t="s">
        <v>20</v>
      </c>
      <c r="D73" s="89" t="s">
        <v>4299</v>
      </c>
      <c r="E73" s="11" t="str">
        <f>HYPERLINK("https://youtu.be/6TMMndp3bL8","channel 1")</f>
        <v>channel 1</v>
      </c>
    </row>
    <row r="74">
      <c r="B74" s="87" t="s">
        <v>3185</v>
      </c>
      <c r="C74" s="112" t="s">
        <v>286</v>
      </c>
      <c r="D74" s="89" t="s">
        <v>4261</v>
      </c>
      <c r="E74" s="116" t="str">
        <f>HYPERLINK("https://youtu.be/fKzswV8CDyA","channel 2")</f>
        <v>channel 2</v>
      </c>
    </row>
    <row r="75">
      <c r="B75" s="87" t="s">
        <v>1732</v>
      </c>
      <c r="C75" s="112" t="s">
        <v>328</v>
      </c>
      <c r="D75" s="89" t="s">
        <v>4298</v>
      </c>
      <c r="E75" s="11" t="str">
        <f>HYPERLINK("https://youtu.be/9syTLQjIYHw","channel 1")</f>
        <v>channel 1</v>
      </c>
    </row>
    <row r="76">
      <c r="B76" s="87" t="s">
        <v>4299</v>
      </c>
      <c r="C76" s="112" t="s">
        <v>72</v>
      </c>
      <c r="D76" s="89" t="s">
        <v>4261</v>
      </c>
      <c r="E76" s="116" t="str">
        <f>HYPERLINK("https://youtu.be/n05iTXGLeO8","channel 2")</f>
        <v>channel 2</v>
      </c>
    </row>
    <row r="77">
      <c r="B77" s="87" t="s">
        <v>1732</v>
      </c>
      <c r="C77" s="112" t="s">
        <v>88</v>
      </c>
      <c r="D77" s="89" t="s">
        <v>3185</v>
      </c>
      <c r="E77" s="11" t="str">
        <f>HYPERLINK("https://youtu.be/VGF73IpUuVs","channel 1")</f>
        <v>channel 1</v>
      </c>
    </row>
    <row r="78">
      <c r="B78" s="87" t="s">
        <v>4299</v>
      </c>
      <c r="C78" s="112" t="s">
        <v>684</v>
      </c>
      <c r="D78" s="89" t="s">
        <v>4298</v>
      </c>
      <c r="E78" s="116" t="str">
        <f>HYPERLINK("https://youtu.be/hymfp0y4-kU","channel 2")</f>
        <v>channel 2</v>
      </c>
    </row>
    <row r="79">
      <c r="B79" s="87" t="s">
        <v>4298</v>
      </c>
      <c r="C79" s="112" t="s">
        <v>76</v>
      </c>
      <c r="D79" s="89" t="s">
        <v>4261</v>
      </c>
      <c r="E79" s="11" t="str">
        <f>HYPERLINK("https://youtu.be/ukEnhEsEaLA","channel 1")</f>
        <v>channel 1</v>
      </c>
    </row>
    <row r="80">
      <c r="B80" s="87" t="s">
        <v>4299</v>
      </c>
      <c r="C80" s="112" t="s">
        <v>45</v>
      </c>
      <c r="D80" s="89" t="s">
        <v>3185</v>
      </c>
      <c r="E80" s="116" t="str">
        <f>HYPERLINK("https://youtu.be/KBeYVDYagKY","channel 2")</f>
        <v>channel 2</v>
      </c>
    </row>
    <row r="81">
      <c r="B81" s="87" t="s">
        <v>4261</v>
      </c>
      <c r="C81" s="112" t="s">
        <v>55</v>
      </c>
      <c r="D81" s="89" t="s">
        <v>1732</v>
      </c>
      <c r="E81" s="11" t="str">
        <f>HYPERLINK("https://youtu.be/GnEgUf_khf0","channel 1")</f>
        <v>channel 1</v>
      </c>
    </row>
    <row r="82">
      <c r="B82" s="87" t="s">
        <v>4298</v>
      </c>
      <c r="C82" s="112" t="s">
        <v>197</v>
      </c>
      <c r="D82" s="89" t="s">
        <v>3185</v>
      </c>
      <c r="E82" s="116" t="str">
        <f>HYPERLINK("https://youtu.be/Ojv_KhTKP4M","channel 2")</f>
        <v>channel 2</v>
      </c>
    </row>
    <row r="83">
      <c r="B83" s="87" t="s">
        <v>4299</v>
      </c>
      <c r="C83" s="112" t="s">
        <v>64</v>
      </c>
      <c r="D83" s="89" t="s">
        <v>1732</v>
      </c>
      <c r="E83" s="11" t="str">
        <f>HYPERLINK("https://youtu.be/XVUylTG1Xg0","channel 1")</f>
        <v>channel 1</v>
      </c>
    </row>
    <row r="84">
      <c r="B84" s="87" t="s">
        <v>4261</v>
      </c>
      <c r="C84" s="112" t="s">
        <v>232</v>
      </c>
      <c r="D84" s="89" t="s">
        <v>3185</v>
      </c>
      <c r="E84" s="116" t="str">
        <f>HYPERLINK("https://youtu.be/pnCOaHwty_Q","channel 2")</f>
        <v>channel 2</v>
      </c>
    </row>
    <row r="85">
      <c r="B85" s="87" t="s">
        <v>4298</v>
      </c>
      <c r="C85" s="112" t="s">
        <v>1256</v>
      </c>
      <c r="D85" s="89" t="s">
        <v>1732</v>
      </c>
      <c r="E85" s="11" t="str">
        <f>HYPERLINK("https://youtu.be/plSBPOA8GYs","channel 1")</f>
        <v>channel 1</v>
      </c>
    </row>
    <row r="86">
      <c r="B86" s="87" t="s">
        <v>4261</v>
      </c>
      <c r="C86" s="112" t="s">
        <v>260</v>
      </c>
      <c r="D86" s="89" t="s">
        <v>4299</v>
      </c>
      <c r="E86" s="116" t="str">
        <f>HYPERLINK("https://youtu.be/d1VB00q_8Hs","channel 2")</f>
        <v>channel 2</v>
      </c>
    </row>
    <row r="87">
      <c r="B87" s="87" t="s">
        <v>3185</v>
      </c>
      <c r="C87" s="112" t="s">
        <v>55</v>
      </c>
      <c r="D87" s="89" t="s">
        <v>1732</v>
      </c>
      <c r="E87" s="11" t="str">
        <f>HYPERLINK("https://youtu.be/rs8G_W5rNGE","channel 1")</f>
        <v>channel 1</v>
      </c>
    </row>
    <row r="88">
      <c r="B88" s="87" t="s">
        <v>4298</v>
      </c>
      <c r="C88" s="112" t="s">
        <v>258</v>
      </c>
      <c r="D88" s="89" t="s">
        <v>4299</v>
      </c>
      <c r="E88" s="116" t="str">
        <f>HYPERLINK("https://youtu.be/d9Vv09vNM4k","channel 2")</f>
        <v>channel 2</v>
      </c>
    </row>
    <row r="89">
      <c r="B89" s="149"/>
      <c r="C89" s="149"/>
      <c r="D89" s="149"/>
      <c r="E89" s="149"/>
    </row>
    <row r="90">
      <c r="B90" s="149"/>
      <c r="C90" s="149"/>
      <c r="D90" s="149"/>
      <c r="E90" s="149"/>
    </row>
    <row r="91">
      <c r="B91" s="149"/>
      <c r="C91" s="149"/>
      <c r="D91" s="149"/>
      <c r="E91" s="149"/>
    </row>
    <row r="92">
      <c r="B92" s="149"/>
      <c r="C92" s="149"/>
      <c r="D92" s="149"/>
      <c r="E92" s="149"/>
    </row>
    <row r="93">
      <c r="B93" s="149"/>
      <c r="C93" s="149"/>
      <c r="D93" s="149"/>
      <c r="E93" s="149"/>
    </row>
    <row r="94">
      <c r="B94" s="149"/>
      <c r="C94" s="149"/>
      <c r="D94" s="149"/>
      <c r="E94" s="149"/>
    </row>
    <row r="95">
      <c r="B95" s="149"/>
      <c r="C95" s="149"/>
      <c r="D95" s="149"/>
      <c r="E95" s="149"/>
    </row>
    <row r="96">
      <c r="B96" s="149"/>
      <c r="C96" s="149"/>
      <c r="D96" s="149"/>
      <c r="E96" s="149"/>
    </row>
    <row r="97">
      <c r="B97" s="149"/>
      <c r="C97" s="149"/>
      <c r="D97" s="149"/>
      <c r="E97" s="149"/>
    </row>
    <row r="98">
      <c r="B98" s="149"/>
      <c r="C98" s="149"/>
      <c r="D98" s="149"/>
      <c r="E98" s="149"/>
    </row>
    <row r="99">
      <c r="B99" s="149"/>
      <c r="C99" s="149"/>
      <c r="D99" s="149"/>
      <c r="E99" s="149"/>
    </row>
    <row r="100">
      <c r="B100" s="149"/>
      <c r="C100" s="149"/>
      <c r="D100" s="149"/>
      <c r="E100" s="149"/>
    </row>
    <row r="101">
      <c r="B101" s="149"/>
      <c r="C101" s="149"/>
      <c r="D101" s="149"/>
      <c r="E101" s="149"/>
    </row>
    <row r="102">
      <c r="B102" s="149"/>
      <c r="C102" s="149"/>
      <c r="D102" s="149"/>
      <c r="E102" s="149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0" t="s">
        <v>1659</v>
      </c>
      <c r="C1" s="151"/>
      <c r="D1" s="152"/>
      <c r="E1" s="163"/>
    </row>
    <row r="2">
      <c r="B2" s="153" t="s">
        <v>2</v>
      </c>
      <c r="C2" s="86" t="s">
        <v>3</v>
      </c>
      <c r="D2" s="154" t="s">
        <v>4</v>
      </c>
      <c r="E2" s="154" t="s">
        <v>5</v>
      </c>
    </row>
    <row r="3">
      <c r="B3" s="32" t="s">
        <v>940</v>
      </c>
      <c r="C3" s="159" t="s">
        <v>7</v>
      </c>
      <c r="D3" s="160" t="s">
        <v>3483</v>
      </c>
      <c r="E3" s="11" t="str">
        <f>HYPERLINK("https://youtu.be/tZD8yiq9jNM","channel 1")</f>
        <v>channel 1</v>
      </c>
    </row>
    <row r="4">
      <c r="B4" s="87" t="s">
        <v>4135</v>
      </c>
      <c r="C4" s="112" t="s">
        <v>48</v>
      </c>
      <c r="D4" s="89" t="s">
        <v>3755</v>
      </c>
      <c r="E4" s="116" t="str">
        <f>HYPERLINK("https://youtu.be/u6FHbI6SVwI","channel 2")</f>
        <v>channel 2</v>
      </c>
    </row>
    <row r="5">
      <c r="B5" s="87" t="s">
        <v>4059</v>
      </c>
      <c r="C5" s="112" t="s">
        <v>494</v>
      </c>
      <c r="D5" s="89" t="s">
        <v>940</v>
      </c>
      <c r="E5" s="11" t="str">
        <f>HYPERLINK("https://youtu.be/Etsgb6JJPu4","channel 1")</f>
        <v>channel 1</v>
      </c>
    </row>
    <row r="6">
      <c r="B6" s="87" t="s">
        <v>4135</v>
      </c>
      <c r="C6" s="112" t="s">
        <v>544</v>
      </c>
      <c r="D6" s="89" t="s">
        <v>3483</v>
      </c>
      <c r="E6" s="116" t="str">
        <f>HYPERLINK("https://youtu.be/KqEZBCqyxF8","channel 2")</f>
        <v>channel 2</v>
      </c>
    </row>
    <row r="7">
      <c r="B7" s="87" t="s">
        <v>4059</v>
      </c>
      <c r="C7" s="112" t="s">
        <v>55</v>
      </c>
      <c r="D7" s="89" t="s">
        <v>3755</v>
      </c>
      <c r="E7" s="11" t="str">
        <f>HYPERLINK("https://youtu.be/W1djE-sekGk","channel 1")</f>
        <v>channel 1</v>
      </c>
    </row>
    <row r="8">
      <c r="B8" s="87" t="s">
        <v>4135</v>
      </c>
      <c r="C8" s="112" t="s">
        <v>31</v>
      </c>
      <c r="D8" s="89" t="s">
        <v>940</v>
      </c>
      <c r="E8" s="116" t="str">
        <f>HYPERLINK("https://youtu.be/h7U85YeXOJ8","channel 2")</f>
        <v>channel 2</v>
      </c>
    </row>
    <row r="9">
      <c r="B9" s="87" t="s">
        <v>4059</v>
      </c>
      <c r="C9" s="112" t="s">
        <v>43</v>
      </c>
      <c r="D9" s="89" t="s">
        <v>3483</v>
      </c>
      <c r="E9" s="11" t="str">
        <f>HYPERLINK("https://youtu.be/w3L_aGTMERg","channel 1")</f>
        <v>channel 1</v>
      </c>
    </row>
    <row r="10">
      <c r="B10" s="87" t="s">
        <v>3755</v>
      </c>
      <c r="C10" s="112" t="s">
        <v>87</v>
      </c>
      <c r="D10" s="89" t="s">
        <v>940</v>
      </c>
      <c r="E10" s="116" t="str">
        <f>HYPERLINK("https://youtu.be/bQUn_TzdMME","channel 2")</f>
        <v>channel 2</v>
      </c>
    </row>
    <row r="11">
      <c r="B11" s="87" t="s">
        <v>4059</v>
      </c>
      <c r="C11" s="112" t="s">
        <v>250</v>
      </c>
      <c r="D11" s="89" t="s">
        <v>4135</v>
      </c>
      <c r="E11" s="11" t="str">
        <f>HYPERLINK("https://youtu.be/O6LD81viQy4","channel 1")</f>
        <v>channel 1</v>
      </c>
    </row>
    <row r="12">
      <c r="B12" s="87" t="s">
        <v>3755</v>
      </c>
      <c r="C12" s="112" t="s">
        <v>190</v>
      </c>
      <c r="D12" s="89" t="s">
        <v>3483</v>
      </c>
      <c r="E12" s="116" t="str">
        <f>HYPERLINK("https://youtu.be/8rxyXR1hGJ0","channel 2")</f>
        <v>channel 2</v>
      </c>
    </row>
    <row r="13">
      <c r="B13" s="87" t="s">
        <v>3483</v>
      </c>
      <c r="C13" s="112" t="s">
        <v>218</v>
      </c>
      <c r="D13" s="89" t="s">
        <v>940</v>
      </c>
      <c r="E13" s="11" t="str">
        <f>HYPERLINK("https://youtu.be/VAp-_HnN10w","channel 1")</f>
        <v>channel 1</v>
      </c>
    </row>
    <row r="14">
      <c r="B14" s="87" t="s">
        <v>3755</v>
      </c>
      <c r="C14" s="112" t="s">
        <v>25</v>
      </c>
      <c r="D14" s="89" t="s">
        <v>4135</v>
      </c>
      <c r="E14" s="116" t="str">
        <f>HYPERLINK("https://youtu.be/zjqHlwiTM-g","channel 2")</f>
        <v>channel 2</v>
      </c>
    </row>
    <row r="15">
      <c r="B15" s="87" t="s">
        <v>940</v>
      </c>
      <c r="C15" s="112" t="s">
        <v>218</v>
      </c>
      <c r="D15" s="89" t="s">
        <v>4059</v>
      </c>
      <c r="E15" s="11" t="str">
        <f>HYPERLINK("https://youtu.be/5Hc0fo08Bxk","channel 1")</f>
        <v>channel 1</v>
      </c>
    </row>
    <row r="16">
      <c r="B16" s="87" t="s">
        <v>3483</v>
      </c>
      <c r="C16" s="112" t="s">
        <v>289</v>
      </c>
      <c r="D16" s="89" t="s">
        <v>4135</v>
      </c>
      <c r="E16" s="116" t="str">
        <f>HYPERLINK("https://youtu.be/-FW_PYY7vaY","channel 2")</f>
        <v>channel 2</v>
      </c>
    </row>
    <row r="17">
      <c r="B17" s="87" t="s">
        <v>3755</v>
      </c>
      <c r="C17" s="112" t="s">
        <v>260</v>
      </c>
      <c r="D17" s="89" t="s">
        <v>4059</v>
      </c>
      <c r="E17" s="11" t="str">
        <f>HYPERLINK("https://youtu.be/WOKL8kZ2b0M","channel 1")</f>
        <v>channel 1</v>
      </c>
    </row>
    <row r="18">
      <c r="B18" s="87" t="s">
        <v>940</v>
      </c>
      <c r="C18" s="112" t="s">
        <v>88</v>
      </c>
      <c r="D18" s="89" t="s">
        <v>4135</v>
      </c>
      <c r="E18" s="116" t="str">
        <f>HYPERLINK("https://youtu.be/53TFFsTyjL8","channel 2")</f>
        <v>channel 2</v>
      </c>
    </row>
    <row r="19">
      <c r="B19" s="87" t="s">
        <v>3483</v>
      </c>
      <c r="C19" s="112" t="s">
        <v>187</v>
      </c>
      <c r="D19" s="89" t="s">
        <v>4059</v>
      </c>
      <c r="E19" s="11" t="str">
        <f>HYPERLINK("https://youtu.be/pMHbS3XbFGM","channel 1")</f>
        <v>channel 1</v>
      </c>
    </row>
    <row r="20">
      <c r="B20" s="87" t="s">
        <v>940</v>
      </c>
      <c r="C20" s="112" t="s">
        <v>78</v>
      </c>
      <c r="D20" s="89" t="s">
        <v>3755</v>
      </c>
      <c r="E20" s="116" t="str">
        <f>HYPERLINK("https://youtu.be/AJdS1eCF2YQ","channel 2")</f>
        <v>channel 2</v>
      </c>
    </row>
    <row r="21">
      <c r="B21" s="87" t="s">
        <v>4135</v>
      </c>
      <c r="C21" s="112" t="s">
        <v>283</v>
      </c>
      <c r="D21" s="89" t="s">
        <v>4059</v>
      </c>
      <c r="E21" s="11" t="str">
        <f>HYPERLINK("https://youtu.be/olTPLvT7eOI","channel 1")</f>
        <v>channel 1</v>
      </c>
    </row>
    <row r="22">
      <c r="B22" s="87" t="s">
        <v>3483</v>
      </c>
      <c r="C22" s="112" t="s">
        <v>87</v>
      </c>
      <c r="D22" s="89" t="s">
        <v>3755</v>
      </c>
      <c r="E22" s="116" t="str">
        <f>HYPERLINK("https://youtu.be/fu8QDamAM-w","channel 2")</f>
        <v>channel 2</v>
      </c>
    </row>
    <row r="23">
      <c r="B23" s="150" t="s">
        <v>2231</v>
      </c>
      <c r="C23" s="151"/>
      <c r="D23" s="152"/>
      <c r="E23" s="95"/>
    </row>
    <row r="24">
      <c r="B24" s="153" t="s">
        <v>2</v>
      </c>
      <c r="C24" s="86" t="s">
        <v>3</v>
      </c>
      <c r="D24" s="154" t="s">
        <v>4</v>
      </c>
      <c r="E24" s="154" t="s">
        <v>5</v>
      </c>
    </row>
    <row r="25">
      <c r="B25" s="32" t="s">
        <v>4300</v>
      </c>
      <c r="C25" s="159" t="s">
        <v>66</v>
      </c>
      <c r="D25" s="160" t="s">
        <v>4301</v>
      </c>
      <c r="E25" s="11" t="str">
        <f>HYPERLINK("https://youtu.be/ssJAMqJtsB0","channel 1")</f>
        <v>channel 1</v>
      </c>
    </row>
    <row r="26">
      <c r="B26" s="87" t="s">
        <v>1345</v>
      </c>
      <c r="C26" s="112" t="s">
        <v>68</v>
      </c>
      <c r="D26" s="89" t="s">
        <v>4302</v>
      </c>
      <c r="E26" s="116" t="str">
        <f>HYPERLINK("https://youtu.be/YgDwN2ekEEM","channel 2")</f>
        <v>channel 2</v>
      </c>
    </row>
    <row r="27">
      <c r="B27" s="87" t="s">
        <v>4221</v>
      </c>
      <c r="C27" s="112" t="s">
        <v>28</v>
      </c>
      <c r="D27" s="89" t="s">
        <v>4300</v>
      </c>
      <c r="E27" s="11" t="str">
        <f>HYPERLINK("https://youtu.be/uxCbST1ER14","channel 1")</f>
        <v>channel 1</v>
      </c>
    </row>
    <row r="28">
      <c r="B28" s="87" t="s">
        <v>1345</v>
      </c>
      <c r="C28" s="112" t="s">
        <v>251</v>
      </c>
      <c r="D28" s="89" t="s">
        <v>4301</v>
      </c>
      <c r="E28" s="116" t="str">
        <f>HYPERLINK("https://youtu.be/duMZ02Ju8ME","channel 2")</f>
        <v>channel 2</v>
      </c>
    </row>
    <row r="29">
      <c r="B29" s="87" t="s">
        <v>4221</v>
      </c>
      <c r="C29" s="112" t="s">
        <v>362</v>
      </c>
      <c r="D29" s="89" t="s">
        <v>4302</v>
      </c>
      <c r="E29" s="11" t="str">
        <f>HYPERLINK("https://youtu.be/j8-Bob489ck","channel 1")</f>
        <v>channel 1</v>
      </c>
    </row>
    <row r="30">
      <c r="B30" s="87" t="s">
        <v>1345</v>
      </c>
      <c r="C30" s="112" t="s">
        <v>544</v>
      </c>
      <c r="D30" s="89" t="s">
        <v>4300</v>
      </c>
      <c r="E30" s="116" t="str">
        <f>HYPERLINK("https://youtu.be/vl-7St91tDM","channel 2")</f>
        <v>channel 2</v>
      </c>
    </row>
    <row r="31">
      <c r="B31" s="87" t="s">
        <v>4221</v>
      </c>
      <c r="C31" s="112" t="s">
        <v>218</v>
      </c>
      <c r="D31" s="89" t="s">
        <v>4301</v>
      </c>
      <c r="E31" s="11" t="str">
        <f>HYPERLINK("https://youtu.be/QkPwEpSA1To","channel 1")</f>
        <v>channel 1</v>
      </c>
    </row>
    <row r="32">
      <c r="B32" s="87" t="s">
        <v>4302</v>
      </c>
      <c r="C32" s="112" t="s">
        <v>872</v>
      </c>
      <c r="D32" s="89" t="s">
        <v>4300</v>
      </c>
      <c r="E32" s="116" t="str">
        <f>HYPERLINK("https://youtu.be/2gcohRlvCps","channel 2")</f>
        <v>channel 2</v>
      </c>
    </row>
    <row r="33">
      <c r="B33" s="87" t="s">
        <v>4221</v>
      </c>
      <c r="C33" s="112" t="s">
        <v>2014</v>
      </c>
      <c r="D33" s="89" t="s">
        <v>1345</v>
      </c>
      <c r="E33" s="11" t="str">
        <f>HYPERLINK("https://youtu.be/FXcokL5A1-A","channel 1")</f>
        <v>channel 1</v>
      </c>
    </row>
    <row r="34">
      <c r="B34" s="87" t="s">
        <v>4302</v>
      </c>
      <c r="C34" s="112" t="s">
        <v>31</v>
      </c>
      <c r="D34" s="89" t="s">
        <v>4301</v>
      </c>
      <c r="E34" s="116" t="str">
        <f>HYPERLINK("https://youtu.be/rjko2W8F-sU","channel 2")</f>
        <v>channel 2</v>
      </c>
    </row>
    <row r="35">
      <c r="B35" s="87" t="s">
        <v>4301</v>
      </c>
      <c r="C35" s="112" t="s">
        <v>52</v>
      </c>
      <c r="D35" s="89" t="s">
        <v>4300</v>
      </c>
      <c r="E35" s="11" t="str">
        <f>HYPERLINK("https://youtu.be/M5XmwN2ymwo","channel 1")</f>
        <v>channel 1</v>
      </c>
    </row>
    <row r="36">
      <c r="B36" s="87" t="s">
        <v>4302</v>
      </c>
      <c r="C36" s="112" t="s">
        <v>494</v>
      </c>
      <c r="D36" s="89" t="s">
        <v>1345</v>
      </c>
      <c r="E36" s="116" t="str">
        <f>HYPERLINK("https://youtu.be/cf8OY09Senk","channel 2")</f>
        <v>channel 2</v>
      </c>
    </row>
    <row r="37">
      <c r="B37" s="87" t="s">
        <v>4300</v>
      </c>
      <c r="C37" s="112" t="s">
        <v>370</v>
      </c>
      <c r="D37" s="89" t="s">
        <v>4221</v>
      </c>
      <c r="E37" s="11" t="str">
        <f>HYPERLINK("https://youtu.be/oxRRQ5z3i2E","channel 1")</f>
        <v>channel 1</v>
      </c>
    </row>
    <row r="38">
      <c r="B38" s="87" t="s">
        <v>4301</v>
      </c>
      <c r="C38" s="112" t="s">
        <v>293</v>
      </c>
      <c r="D38" s="89" t="s">
        <v>1345</v>
      </c>
      <c r="E38" s="116" t="str">
        <f>HYPERLINK("https://youtu.be/DLimPE_oTsE","channel 2")</f>
        <v>channel 2</v>
      </c>
    </row>
    <row r="39">
      <c r="B39" s="87" t="s">
        <v>4302</v>
      </c>
      <c r="C39" s="112" t="s">
        <v>64</v>
      </c>
      <c r="D39" s="89" t="s">
        <v>4221</v>
      </c>
      <c r="E39" s="11" t="str">
        <f>HYPERLINK("https://youtu.be/BNLLbwCH490","channel 1")</f>
        <v>channel 1</v>
      </c>
    </row>
    <row r="40">
      <c r="B40" s="87" t="s">
        <v>4300</v>
      </c>
      <c r="C40" s="112" t="s">
        <v>7</v>
      </c>
      <c r="D40" s="89" t="s">
        <v>1345</v>
      </c>
      <c r="E40" s="116" t="str">
        <f>HYPERLINK("https://youtu.be/8olPjWy7jkk","channel 2")</f>
        <v>channel 2</v>
      </c>
    </row>
    <row r="41">
      <c r="B41" s="87" t="s">
        <v>4301</v>
      </c>
      <c r="C41" s="112" t="s">
        <v>11</v>
      </c>
      <c r="D41" s="89" t="s">
        <v>4221</v>
      </c>
      <c r="E41" s="11" t="str">
        <f>HYPERLINK("https://youtu.be/vJj2Xb2y_pg","channel 1")</f>
        <v>channel 1</v>
      </c>
    </row>
    <row r="42">
      <c r="B42" s="87" t="s">
        <v>4300</v>
      </c>
      <c r="C42" s="112" t="s">
        <v>218</v>
      </c>
      <c r="D42" s="89" t="s">
        <v>4302</v>
      </c>
      <c r="E42" s="116" t="str">
        <f>HYPERLINK("https://youtu.be/c_QH1keXQl0","channel 2")</f>
        <v>channel 2</v>
      </c>
    </row>
    <row r="43">
      <c r="B43" s="87" t="s">
        <v>1345</v>
      </c>
      <c r="C43" s="112" t="s">
        <v>426</v>
      </c>
      <c r="D43" s="89" t="s">
        <v>4221</v>
      </c>
      <c r="E43" s="11" t="str">
        <f>HYPERLINK("https://youtu.be/FyC-PO1ocLk","channel 1")</f>
        <v>channel 1</v>
      </c>
    </row>
    <row r="44">
      <c r="B44" s="87" t="s">
        <v>4301</v>
      </c>
      <c r="C44" s="112" t="s">
        <v>578</v>
      </c>
      <c r="D44" s="89" t="s">
        <v>4302</v>
      </c>
      <c r="E44" s="116" t="str">
        <f>HYPERLINK("https://youtu.be/5LONwsH8Nsg","channel 2")</f>
        <v>channel 2</v>
      </c>
    </row>
    <row r="45">
      <c r="B45" s="1" t="s">
        <v>2316</v>
      </c>
      <c r="C45" s="2"/>
      <c r="D45" s="3"/>
      <c r="E45" s="84"/>
    </row>
    <row r="46">
      <c r="B46" s="85" t="s">
        <v>2</v>
      </c>
      <c r="C46" s="86" t="s">
        <v>3</v>
      </c>
      <c r="D46" s="86" t="s">
        <v>4</v>
      </c>
      <c r="E46" s="86" t="s">
        <v>5</v>
      </c>
    </row>
    <row r="47">
      <c r="B47" s="87" t="s">
        <v>3894</v>
      </c>
      <c r="C47" s="159" t="s">
        <v>65</v>
      </c>
      <c r="D47" s="89" t="s">
        <v>3961</v>
      </c>
      <c r="E47" s="11" t="str">
        <f>HYPERLINK("https://youtu.be/V85CG_s-Kmg","channel 1")</f>
        <v>channel 1</v>
      </c>
    </row>
    <row r="48">
      <c r="B48" s="87" t="s">
        <v>3614</v>
      </c>
      <c r="C48" s="112" t="s">
        <v>218</v>
      </c>
      <c r="D48" s="89" t="s">
        <v>4303</v>
      </c>
      <c r="E48" s="116" t="str">
        <f>HYPERLINK("https://youtu.be/5ko6G9gL_9Y","channel 2")</f>
        <v>channel 2</v>
      </c>
    </row>
    <row r="49">
      <c r="B49" s="87" t="s">
        <v>4304</v>
      </c>
      <c r="C49" s="112" t="s">
        <v>87</v>
      </c>
      <c r="D49" s="89" t="s">
        <v>3894</v>
      </c>
      <c r="E49" s="11" t="str">
        <f>HYPERLINK("https://youtu.be/6Si0IA70Hus","channel 1")</f>
        <v>channel 1</v>
      </c>
    </row>
    <row r="50">
      <c r="B50" s="87" t="s">
        <v>3614</v>
      </c>
      <c r="C50" s="112" t="s">
        <v>232</v>
      </c>
      <c r="D50" s="89" t="s">
        <v>3961</v>
      </c>
      <c r="E50" s="116" t="str">
        <f>HYPERLINK("https://youtu.be/X3SihWm9cZo","channel 2")</f>
        <v>channel 2</v>
      </c>
    </row>
    <row r="51">
      <c r="B51" s="87" t="s">
        <v>4304</v>
      </c>
      <c r="C51" s="112" t="s">
        <v>289</v>
      </c>
      <c r="D51" s="89" t="s">
        <v>4303</v>
      </c>
      <c r="E51" s="11" t="str">
        <f>HYPERLINK("https://youtu.be/6N53phQSJxA","channel 1")</f>
        <v>channel 1</v>
      </c>
    </row>
    <row r="52">
      <c r="B52" s="87" t="s">
        <v>3614</v>
      </c>
      <c r="C52" s="112" t="s">
        <v>218</v>
      </c>
      <c r="D52" s="89" t="s">
        <v>3894</v>
      </c>
      <c r="E52" s="116" t="str">
        <f>HYPERLINK("https://youtu.be/xO8Bv2WroCo","channel 2")</f>
        <v>channel 2</v>
      </c>
    </row>
    <row r="53">
      <c r="B53" s="87" t="s">
        <v>4304</v>
      </c>
      <c r="C53" s="112" t="s">
        <v>25</v>
      </c>
      <c r="D53" s="89" t="s">
        <v>3961</v>
      </c>
      <c r="E53" s="11" t="str">
        <f>HYPERLINK("https://youtu.be/PPCuB16oybw","channel 1")</f>
        <v>channel 1</v>
      </c>
    </row>
    <row r="54">
      <c r="B54" s="87" t="s">
        <v>4303</v>
      </c>
      <c r="C54" s="112" t="s">
        <v>18</v>
      </c>
      <c r="D54" s="89" t="s">
        <v>3894</v>
      </c>
      <c r="E54" s="116" t="str">
        <f>HYPERLINK("https://youtu.be/cFEMvqyWQ6M","channel 2")</f>
        <v>channel 2</v>
      </c>
    </row>
    <row r="55">
      <c r="B55" s="87" t="s">
        <v>4304</v>
      </c>
      <c r="C55" s="112" t="s">
        <v>190</v>
      </c>
      <c r="D55" s="89" t="s">
        <v>3614</v>
      </c>
      <c r="E55" s="11" t="str">
        <f>HYPERLINK("https://youtu.be/yV2ZHNnAUAo","channel 1")</f>
        <v>channel 1</v>
      </c>
    </row>
    <row r="56">
      <c r="B56" s="87" t="s">
        <v>4303</v>
      </c>
      <c r="C56" s="112" t="s">
        <v>389</v>
      </c>
      <c r="D56" s="89" t="s">
        <v>3961</v>
      </c>
      <c r="E56" s="116" t="str">
        <f>HYPERLINK("https://youtu.be/nKjO2PZNLxI","channel 2")</f>
        <v>channel 2</v>
      </c>
    </row>
    <row r="57">
      <c r="B57" s="87" t="s">
        <v>3961</v>
      </c>
      <c r="C57" s="112" t="s">
        <v>195</v>
      </c>
      <c r="D57" s="89" t="s">
        <v>3894</v>
      </c>
      <c r="E57" s="11" t="str">
        <f>HYPERLINK("https://youtu.be/OfwR6YLcV-M","channel 1")</f>
        <v>channel 1</v>
      </c>
    </row>
    <row r="58">
      <c r="B58" s="87" t="s">
        <v>4303</v>
      </c>
      <c r="C58" s="112" t="s">
        <v>43</v>
      </c>
      <c r="D58" s="89" t="s">
        <v>3614</v>
      </c>
      <c r="E58" s="116" t="str">
        <f>HYPERLINK("https://youtu.be/7jl_FMj8Xf8","channel 2")</f>
        <v>channel 2</v>
      </c>
    </row>
    <row r="59">
      <c r="B59" s="87" t="s">
        <v>3894</v>
      </c>
      <c r="C59" s="112" t="s">
        <v>544</v>
      </c>
      <c r="D59" s="89" t="s">
        <v>4304</v>
      </c>
      <c r="E59" s="11" t="str">
        <f>HYPERLINK("https://youtu.be/kiTAf2US_Rc","channel 1")</f>
        <v>channel 1</v>
      </c>
    </row>
    <row r="60">
      <c r="B60" s="87" t="s">
        <v>3961</v>
      </c>
      <c r="C60" s="112" t="s">
        <v>542</v>
      </c>
      <c r="D60" s="89" t="s">
        <v>3614</v>
      </c>
      <c r="E60" s="116" t="str">
        <f>HYPERLINK("https://youtu.be/rkEfAlcZpQE","channel 2")</f>
        <v>channel 2</v>
      </c>
    </row>
    <row r="61">
      <c r="B61" s="87" t="s">
        <v>4303</v>
      </c>
      <c r="C61" s="112" t="s">
        <v>195</v>
      </c>
      <c r="D61" s="89" t="s">
        <v>4304</v>
      </c>
      <c r="E61" s="11" t="str">
        <f>HYPERLINK("https://youtu.be/36uZqBiwT9U","channel 1")</f>
        <v>channel 1</v>
      </c>
    </row>
    <row r="62">
      <c r="B62" s="87" t="s">
        <v>3894</v>
      </c>
      <c r="C62" s="112" t="s">
        <v>4305</v>
      </c>
      <c r="D62" s="89" t="s">
        <v>3614</v>
      </c>
      <c r="E62" s="116" t="str">
        <f>HYPERLINK("https://youtu.be/MWOBFC1oI8w","channel 2")</f>
        <v>channel 2</v>
      </c>
    </row>
    <row r="63">
      <c r="B63" s="87" t="s">
        <v>3961</v>
      </c>
      <c r="C63" s="112" t="s">
        <v>201</v>
      </c>
      <c r="D63" s="89" t="s">
        <v>4304</v>
      </c>
      <c r="E63" s="11" t="str">
        <f>HYPERLINK("https://youtu.be/cXgOQy4qI-I","channel 1")</f>
        <v>channel 1</v>
      </c>
    </row>
    <row r="64">
      <c r="B64" s="87" t="s">
        <v>3894</v>
      </c>
      <c r="C64" s="112" t="s">
        <v>1748</v>
      </c>
      <c r="D64" s="89" t="s">
        <v>4303</v>
      </c>
      <c r="E64" s="116" t="str">
        <f>HYPERLINK("https://youtu.be/Ksq9O27j7p8","channel 2")</f>
        <v>channel 2</v>
      </c>
    </row>
    <row r="65">
      <c r="B65" s="87" t="s">
        <v>3614</v>
      </c>
      <c r="C65" s="112" t="s">
        <v>193</v>
      </c>
      <c r="D65" s="89" t="s">
        <v>4304</v>
      </c>
      <c r="E65" s="11" t="str">
        <f>HYPERLINK("https://youtu.be/URkFlyqgSZI","channel 1")</f>
        <v>channel 1</v>
      </c>
    </row>
    <row r="66">
      <c r="B66" s="87" t="s">
        <v>3961</v>
      </c>
      <c r="C66" s="112" t="s">
        <v>11</v>
      </c>
      <c r="D66" s="89" t="s">
        <v>4303</v>
      </c>
      <c r="E66" s="116" t="str">
        <f>HYPERLINK("https://youtu.be/fqQqHIyP9AU","channel 2")</f>
        <v>channel 2</v>
      </c>
    </row>
    <row r="67">
      <c r="B67" s="1" t="s">
        <v>2923</v>
      </c>
      <c r="C67" s="2"/>
      <c r="D67" s="3"/>
      <c r="E67" s="84"/>
    </row>
    <row r="68">
      <c r="B68" s="85" t="s">
        <v>2</v>
      </c>
      <c r="C68" s="86" t="s">
        <v>3</v>
      </c>
      <c r="D68" s="86" t="s">
        <v>4</v>
      </c>
      <c r="E68" s="86" t="s">
        <v>5</v>
      </c>
    </row>
    <row r="69">
      <c r="B69" s="87" t="s">
        <v>4306</v>
      </c>
      <c r="C69" s="159" t="s">
        <v>195</v>
      </c>
      <c r="D69" s="89" t="s">
        <v>3766</v>
      </c>
      <c r="E69" s="11" t="str">
        <f>HYPERLINK("https://youtu.be/6mq1-F53zmY","channel 1")</f>
        <v>channel 1</v>
      </c>
    </row>
    <row r="70">
      <c r="B70" s="87" t="s">
        <v>3503</v>
      </c>
      <c r="C70" s="112" t="s">
        <v>65</v>
      </c>
      <c r="D70" s="89" t="s">
        <v>3938</v>
      </c>
      <c r="E70" s="116" t="str">
        <f>HYPERLINK("https://youtu.be/hgT5c3TOGGw","channel 2")</f>
        <v>channel 2</v>
      </c>
    </row>
    <row r="71">
      <c r="B71" s="87" t="s">
        <v>4307</v>
      </c>
      <c r="C71" s="112" t="s">
        <v>81</v>
      </c>
      <c r="D71" s="89" t="s">
        <v>4306</v>
      </c>
      <c r="E71" s="11" t="str">
        <f>HYPERLINK("https://youtu.be/3HesP6eqkq8","channel 1")</f>
        <v>channel 1</v>
      </c>
    </row>
    <row r="72">
      <c r="B72" s="87" t="s">
        <v>3503</v>
      </c>
      <c r="C72" s="112" t="s">
        <v>239</v>
      </c>
      <c r="D72" s="89" t="s">
        <v>3766</v>
      </c>
      <c r="E72" s="116" t="str">
        <f>HYPERLINK("https://youtu.be/XoYiVf-lOgs","channel 2")</f>
        <v>channel 2</v>
      </c>
    </row>
    <row r="73">
      <c r="B73" s="87" t="s">
        <v>4307</v>
      </c>
      <c r="C73" s="112" t="s">
        <v>22</v>
      </c>
      <c r="D73" s="89" t="s">
        <v>3938</v>
      </c>
      <c r="E73" s="11" t="str">
        <f>HYPERLINK("https://youtu.be/X0R9d1JuNPM","channel 1")</f>
        <v>channel 1</v>
      </c>
    </row>
    <row r="74">
      <c r="B74" s="87" t="s">
        <v>3503</v>
      </c>
      <c r="C74" s="112" t="s">
        <v>31</v>
      </c>
      <c r="D74" s="89" t="s">
        <v>4306</v>
      </c>
      <c r="E74" s="116" t="str">
        <f>HYPERLINK("https://youtu.be/QPyb81vPNaU","channel 2")</f>
        <v>channel 2</v>
      </c>
    </row>
    <row r="75">
      <c r="B75" s="87" t="s">
        <v>4307</v>
      </c>
      <c r="C75" s="112" t="s">
        <v>536</v>
      </c>
      <c r="D75" s="89" t="s">
        <v>3766</v>
      </c>
      <c r="E75" s="11" t="str">
        <f>HYPERLINK("https://youtu.be/rgFkjN4Alho","channel 1")</f>
        <v>channel 1</v>
      </c>
    </row>
    <row r="76">
      <c r="B76" s="87" t="s">
        <v>3938</v>
      </c>
      <c r="C76" s="112" t="s">
        <v>17</v>
      </c>
      <c r="D76" s="89" t="s">
        <v>4306</v>
      </c>
      <c r="E76" s="116" t="str">
        <f>HYPERLINK("https://youtu.be/yLPKlHRBmeY","channel 2")</f>
        <v>channel 2</v>
      </c>
    </row>
    <row r="77">
      <c r="B77" s="87" t="s">
        <v>4307</v>
      </c>
      <c r="C77" s="112" t="s">
        <v>195</v>
      </c>
      <c r="D77" s="89" t="s">
        <v>3503</v>
      </c>
      <c r="E77" s="11" t="str">
        <f>HYPERLINK("https://youtu.be/TSK98HDa1RU","channel 1")</f>
        <v>channel 1</v>
      </c>
    </row>
    <row r="78">
      <c r="B78" s="87" t="s">
        <v>3938</v>
      </c>
      <c r="C78" s="112" t="s">
        <v>260</v>
      </c>
      <c r="D78" s="89" t="s">
        <v>3766</v>
      </c>
      <c r="E78" s="116" t="str">
        <f>HYPERLINK("https://youtu.be/ZtghG73mEwg","channel 2")</f>
        <v>channel 2</v>
      </c>
    </row>
    <row r="79">
      <c r="B79" s="87" t="s">
        <v>3766</v>
      </c>
      <c r="C79" s="112" t="s">
        <v>67</v>
      </c>
      <c r="D79" s="89" t="s">
        <v>4306</v>
      </c>
      <c r="E79" s="11" t="str">
        <f>HYPERLINK("https://youtu.be/61mvepC4cO8","channel 1")</f>
        <v>channel 1</v>
      </c>
    </row>
    <row r="80">
      <c r="B80" s="87" t="s">
        <v>3938</v>
      </c>
      <c r="C80" s="112" t="s">
        <v>71</v>
      </c>
      <c r="D80" s="89" t="s">
        <v>3503</v>
      </c>
      <c r="E80" s="116" t="str">
        <f>HYPERLINK("https://youtu.be/PqbCxNZTCrM","channel 2")</f>
        <v>channel 2</v>
      </c>
    </row>
    <row r="81">
      <c r="B81" s="87" t="s">
        <v>4306</v>
      </c>
      <c r="C81" s="112" t="s">
        <v>16</v>
      </c>
      <c r="D81" s="89" t="s">
        <v>4307</v>
      </c>
      <c r="E81" s="11" t="str">
        <f>HYPERLINK("https://youtu.be/fETTg1CFHKY","channel 1")</f>
        <v>channel 1</v>
      </c>
    </row>
    <row r="82">
      <c r="B82" s="87" t="s">
        <v>3766</v>
      </c>
      <c r="C82" s="112" t="s">
        <v>534</v>
      </c>
      <c r="D82" s="89" t="s">
        <v>3503</v>
      </c>
      <c r="E82" s="116" t="str">
        <f>HYPERLINK("https://youtu.be/G3WzKnwWsXs","channel 2")</f>
        <v>channel 2</v>
      </c>
    </row>
    <row r="83">
      <c r="B83" s="87" t="s">
        <v>3938</v>
      </c>
      <c r="C83" s="112" t="s">
        <v>193</v>
      </c>
      <c r="D83" s="89" t="s">
        <v>4307</v>
      </c>
      <c r="E83" s="11" t="str">
        <f>HYPERLINK("https://youtu.be/h4-CVVnxr7A","channel 1")</f>
        <v>channel 1</v>
      </c>
    </row>
    <row r="84">
      <c r="B84" s="87" t="s">
        <v>4306</v>
      </c>
      <c r="C84" s="112" t="s">
        <v>416</v>
      </c>
      <c r="D84" s="89" t="s">
        <v>3503</v>
      </c>
      <c r="E84" s="116" t="str">
        <f>HYPERLINK("https://youtu.be/MNdClWk0HvU","channel 2")</f>
        <v>channel 2</v>
      </c>
    </row>
    <row r="85">
      <c r="B85" s="87" t="s">
        <v>3766</v>
      </c>
      <c r="C85" s="112" t="s">
        <v>190</v>
      </c>
      <c r="D85" s="89" t="s">
        <v>4307</v>
      </c>
      <c r="E85" s="11" t="str">
        <f>HYPERLINK("https://youtu.be/DNIFP9P6jQ0","channel 1")</f>
        <v>channel 1</v>
      </c>
    </row>
    <row r="86">
      <c r="B86" s="87" t="s">
        <v>4306</v>
      </c>
      <c r="C86" s="112" t="s">
        <v>31</v>
      </c>
      <c r="D86" s="89" t="s">
        <v>3938</v>
      </c>
      <c r="E86" s="116" t="str">
        <f>HYPERLINK("https://youtu.be/psGZR-2BHj4","channel 2")</f>
        <v>channel 2</v>
      </c>
    </row>
    <row r="87">
      <c r="B87" s="87" t="s">
        <v>3503</v>
      </c>
      <c r="C87" s="112" t="s">
        <v>64</v>
      </c>
      <c r="D87" s="89" t="s">
        <v>4307</v>
      </c>
      <c r="E87" s="11" t="str">
        <f>HYPERLINK("https://youtu.be/f7nsMEjnTIc","channel 1")</f>
        <v>channel 1</v>
      </c>
    </row>
    <row r="88">
      <c r="B88" s="87" t="s">
        <v>3766</v>
      </c>
      <c r="C88" s="112" t="s">
        <v>561</v>
      </c>
      <c r="D88" s="89" t="s">
        <v>3938</v>
      </c>
      <c r="E88" s="116" t="str">
        <f>HYPERLINK("https://youtu.be/A8QP8Bg_-R4","channel 2")</f>
        <v>channel 2</v>
      </c>
    </row>
    <row r="89">
      <c r="B89" s="149"/>
      <c r="C89" s="149"/>
      <c r="D89" s="149"/>
      <c r="E89" s="149"/>
    </row>
    <row r="90">
      <c r="B90" s="149"/>
      <c r="C90" s="149"/>
      <c r="D90" s="149"/>
      <c r="E90" s="149"/>
    </row>
    <row r="91">
      <c r="B91" s="149"/>
      <c r="C91" s="149"/>
      <c r="D91" s="149"/>
      <c r="E91" s="149"/>
    </row>
    <row r="92">
      <c r="B92" s="149"/>
      <c r="C92" s="149"/>
      <c r="D92" s="149"/>
      <c r="E92" s="149"/>
    </row>
    <row r="93">
      <c r="B93" s="149"/>
      <c r="C93" s="149"/>
      <c r="D93" s="149"/>
      <c r="E93" s="149"/>
    </row>
    <row r="94">
      <c r="B94" s="149"/>
      <c r="C94" s="149"/>
      <c r="D94" s="149"/>
      <c r="E94" s="149"/>
    </row>
    <row r="95">
      <c r="B95" s="149"/>
      <c r="C95" s="149"/>
      <c r="D95" s="149"/>
      <c r="E95" s="149"/>
    </row>
    <row r="96">
      <c r="B96" s="149"/>
      <c r="C96" s="149"/>
      <c r="D96" s="149"/>
      <c r="E96" s="149"/>
    </row>
    <row r="97">
      <c r="B97" s="149"/>
      <c r="C97" s="149"/>
      <c r="D97" s="149"/>
      <c r="E97" s="149"/>
    </row>
    <row r="98">
      <c r="B98" s="149"/>
      <c r="C98" s="149"/>
      <c r="D98" s="149"/>
      <c r="E98" s="149"/>
    </row>
    <row r="99">
      <c r="B99" s="149"/>
      <c r="C99" s="149"/>
      <c r="D99" s="149"/>
      <c r="E99" s="149"/>
    </row>
    <row r="100">
      <c r="B100" s="149"/>
      <c r="C100" s="149"/>
      <c r="D100" s="149"/>
      <c r="E100" s="149"/>
    </row>
    <row r="101">
      <c r="B101" s="149"/>
      <c r="C101" s="149"/>
      <c r="D101" s="149"/>
      <c r="E101" s="149"/>
    </row>
    <row r="102">
      <c r="B102" s="149"/>
      <c r="C102" s="149"/>
      <c r="D102" s="149"/>
      <c r="E102" s="149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68" t="s">
        <v>4308</v>
      </c>
      <c r="C1" s="151"/>
      <c r="D1" s="152"/>
      <c r="E1" s="163"/>
    </row>
    <row r="2">
      <c r="B2" s="153" t="s">
        <v>2</v>
      </c>
      <c r="C2" s="86" t="s">
        <v>3</v>
      </c>
      <c r="D2" s="154" t="s">
        <v>4</v>
      </c>
      <c r="E2" s="154" t="s">
        <v>5</v>
      </c>
    </row>
    <row r="3">
      <c r="B3" s="32" t="s">
        <v>1752</v>
      </c>
      <c r="C3" s="159" t="s">
        <v>993</v>
      </c>
      <c r="D3" s="160" t="s">
        <v>4309</v>
      </c>
      <c r="E3" s="11" t="str">
        <f>HYPERLINK("https://youtu.be/o5r7PtbWdls","channel 1")</f>
        <v>channel 1</v>
      </c>
    </row>
    <row r="4">
      <c r="B4" s="87" t="s">
        <v>4165</v>
      </c>
      <c r="C4" s="112" t="s">
        <v>87</v>
      </c>
      <c r="D4" s="89" t="s">
        <v>1409</v>
      </c>
      <c r="E4" s="116" t="str">
        <f>HYPERLINK("https://youtu.be/_A-vVV8XvVQ","channel 2")</f>
        <v>channel 2</v>
      </c>
    </row>
    <row r="5">
      <c r="B5" s="87" t="s">
        <v>3981</v>
      </c>
      <c r="C5" s="112" t="s">
        <v>328</v>
      </c>
      <c r="D5" s="89" t="s">
        <v>1752</v>
      </c>
      <c r="E5" s="11" t="str">
        <f>HYPERLINK("https://youtu.be/F5t97bIGkcQ","channel 1")</f>
        <v>channel 1</v>
      </c>
    </row>
    <row r="6">
      <c r="B6" s="87" t="s">
        <v>4165</v>
      </c>
      <c r="C6" s="112" t="s">
        <v>81</v>
      </c>
      <c r="D6" s="89" t="s">
        <v>4309</v>
      </c>
      <c r="E6" s="116" t="str">
        <f>HYPERLINK("https://youtu.be/FeLbH4eZkwk","channel 2")</f>
        <v>channel 2</v>
      </c>
    </row>
    <row r="7">
      <c r="B7" s="87" t="s">
        <v>3981</v>
      </c>
      <c r="C7" s="112" t="s">
        <v>282</v>
      </c>
      <c r="D7" s="89" t="s">
        <v>1409</v>
      </c>
      <c r="E7" s="11" t="str">
        <f>HYPERLINK("https://youtu.be/YHGwARxX2z4","channel 1")</f>
        <v>channel 1</v>
      </c>
    </row>
    <row r="8">
      <c r="B8" s="87" t="s">
        <v>4165</v>
      </c>
      <c r="C8" s="112" t="s">
        <v>81</v>
      </c>
      <c r="D8" s="89" t="s">
        <v>1752</v>
      </c>
      <c r="E8" s="116" t="str">
        <f>HYPERLINK("https://youtu.be/JprB-FSmH2E","channel 2")</f>
        <v>channel 2</v>
      </c>
    </row>
    <row r="9">
      <c r="B9" s="87" t="s">
        <v>3981</v>
      </c>
      <c r="C9" s="112" t="s">
        <v>58</v>
      </c>
      <c r="D9" s="89" t="s">
        <v>4309</v>
      </c>
      <c r="E9" s="11" t="str">
        <f>HYPERLINK("https://youtu.be/zzzEZzFVNH0","channel 1")</f>
        <v>channel 1</v>
      </c>
    </row>
    <row r="10">
      <c r="B10" s="87" t="s">
        <v>1409</v>
      </c>
      <c r="C10" s="112" t="s">
        <v>19</v>
      </c>
      <c r="D10" s="89" t="s">
        <v>1752</v>
      </c>
      <c r="E10" s="116" t="str">
        <f>HYPERLINK("https://youtu.be/XGy2Gt5Oyos","channel 2")</f>
        <v>channel 2</v>
      </c>
    </row>
    <row r="11">
      <c r="B11" s="87" t="s">
        <v>3981</v>
      </c>
      <c r="C11" s="112" t="s">
        <v>4310</v>
      </c>
      <c r="D11" s="89" t="s">
        <v>4165</v>
      </c>
      <c r="E11" s="11" t="str">
        <f>HYPERLINK("https://youtu.be/C7hAaoBEN9w","channel 1")</f>
        <v>channel 1</v>
      </c>
    </row>
    <row r="12">
      <c r="B12" s="87" t="s">
        <v>1409</v>
      </c>
      <c r="C12" s="112" t="s">
        <v>293</v>
      </c>
      <c r="D12" s="89" t="s">
        <v>4309</v>
      </c>
      <c r="E12" s="116" t="str">
        <f>HYPERLINK("https://youtu.be/GL7fvsQgPe8","channel 2")</f>
        <v>channel 2</v>
      </c>
    </row>
    <row r="13">
      <c r="B13" s="87" t="s">
        <v>4309</v>
      </c>
      <c r="C13" s="112" t="s">
        <v>19</v>
      </c>
      <c r="D13" s="89" t="s">
        <v>1752</v>
      </c>
      <c r="E13" s="11" t="str">
        <f>HYPERLINK("https://youtu.be/6H7X_UcvTwI","channel 1")</f>
        <v>channel 1</v>
      </c>
    </row>
    <row r="14">
      <c r="B14" s="87" t="s">
        <v>1409</v>
      </c>
      <c r="C14" s="112" t="s">
        <v>11</v>
      </c>
      <c r="D14" s="89" t="s">
        <v>4165</v>
      </c>
      <c r="E14" s="116" t="str">
        <f>HYPERLINK("https://youtu.be/UFanh5a2RFc","channel 2")</f>
        <v>channel 2</v>
      </c>
    </row>
    <row r="15">
      <c r="B15" s="87" t="s">
        <v>1752</v>
      </c>
      <c r="C15" s="112" t="s">
        <v>352</v>
      </c>
      <c r="D15" s="89" t="s">
        <v>3981</v>
      </c>
      <c r="E15" s="11" t="str">
        <f>HYPERLINK("https://youtu.be/qGK8DQ9fGjE","channel 1")</f>
        <v>channel 1</v>
      </c>
    </row>
    <row r="16">
      <c r="B16" s="87" t="s">
        <v>4309</v>
      </c>
      <c r="C16" s="112" t="s">
        <v>261</v>
      </c>
      <c r="D16" s="89" t="s">
        <v>4165</v>
      </c>
      <c r="E16" s="116" t="str">
        <f>HYPERLINK("https://youtu.be/30M_1CgvNEU","channel 2")</f>
        <v>channel 2</v>
      </c>
    </row>
    <row r="17">
      <c r="B17" s="87" t="s">
        <v>1409</v>
      </c>
      <c r="C17" s="112" t="s">
        <v>220</v>
      </c>
      <c r="D17" s="89" t="s">
        <v>3981</v>
      </c>
      <c r="E17" s="11" t="str">
        <f>HYPERLINK("https://youtu.be/A8r6efo96v8","channel 1")</f>
        <v>channel 1</v>
      </c>
    </row>
    <row r="18">
      <c r="B18" s="87" t="s">
        <v>1752</v>
      </c>
      <c r="C18" s="112" t="s">
        <v>72</v>
      </c>
      <c r="D18" s="89" t="s">
        <v>4165</v>
      </c>
      <c r="E18" s="116" t="str">
        <f>HYPERLINK("https://youtu.be/PpQSAmdrH7A","channel 2")</f>
        <v>channel 2</v>
      </c>
    </row>
    <row r="19">
      <c r="B19" s="87" t="s">
        <v>4309</v>
      </c>
      <c r="C19" s="112" t="s">
        <v>88</v>
      </c>
      <c r="D19" s="89" t="s">
        <v>3981</v>
      </c>
      <c r="E19" s="11" t="str">
        <f>HYPERLINK("https://youtu.be/rzOqh4ETIm4","channel 1")</f>
        <v>channel 1</v>
      </c>
    </row>
    <row r="20">
      <c r="B20" s="87" t="s">
        <v>1752</v>
      </c>
      <c r="C20" s="112" t="s">
        <v>578</v>
      </c>
      <c r="D20" s="89" t="s">
        <v>1409</v>
      </c>
      <c r="E20" s="116" t="str">
        <f>HYPERLINK("https://youtu.be/SoehULYNFls","channel 2")</f>
        <v>channel 2</v>
      </c>
    </row>
    <row r="21">
      <c r="B21" s="87" t="s">
        <v>4165</v>
      </c>
      <c r="C21" s="112" t="s">
        <v>25</v>
      </c>
      <c r="D21" s="89" t="s">
        <v>3981</v>
      </c>
      <c r="E21" s="11" t="str">
        <f>HYPERLINK("https://youtu.be/0__04TAh2g8","channel 1")</f>
        <v>channel 1</v>
      </c>
    </row>
    <row r="22">
      <c r="B22" s="87" t="s">
        <v>4309</v>
      </c>
      <c r="C22" s="112" t="s">
        <v>267</v>
      </c>
      <c r="D22" s="89" t="s">
        <v>1409</v>
      </c>
      <c r="E22" s="116" t="str">
        <f>HYPERLINK("https://youtu.be/ia1tu1jZViI","channel 2")</f>
        <v>channel 2</v>
      </c>
    </row>
    <row r="23">
      <c r="B23" s="168" t="s">
        <v>3653</v>
      </c>
      <c r="C23" s="151"/>
      <c r="D23" s="152"/>
      <c r="E23" s="95"/>
    </row>
    <row r="24">
      <c r="B24" s="153" t="s">
        <v>2</v>
      </c>
      <c r="C24" s="86" t="s">
        <v>3</v>
      </c>
      <c r="D24" s="154" t="s">
        <v>4</v>
      </c>
      <c r="E24" s="154" t="s">
        <v>5</v>
      </c>
    </row>
    <row r="25">
      <c r="B25" s="87" t="s">
        <v>298</v>
      </c>
      <c r="C25" s="112" t="s">
        <v>270</v>
      </c>
      <c r="D25" s="89" t="s">
        <v>4311</v>
      </c>
      <c r="E25" s="11" t="str">
        <f>HYPERLINK("https://youtu.be/DRg58_iOdlI","channel 1")</f>
        <v>channel 1</v>
      </c>
    </row>
    <row r="26">
      <c r="B26" s="87" t="s">
        <v>4312</v>
      </c>
      <c r="C26" s="112" t="s">
        <v>71</v>
      </c>
      <c r="D26" s="89" t="s">
        <v>688</v>
      </c>
      <c r="E26" s="116" t="str">
        <f>HYPERLINK("https://youtu.be/VqPtQjRXZEE","channel 2")</f>
        <v>channel 2</v>
      </c>
    </row>
    <row r="27">
      <c r="B27" s="87" t="s">
        <v>3848</v>
      </c>
      <c r="C27" s="112" t="s">
        <v>220</v>
      </c>
      <c r="D27" s="89" t="s">
        <v>298</v>
      </c>
      <c r="E27" s="11" t="str">
        <f>HYPERLINK("https://youtu.be/_2ZoLf-k5xM","channel 1")</f>
        <v>channel 1</v>
      </c>
    </row>
    <row r="28">
      <c r="B28" s="87" t="s">
        <v>4312</v>
      </c>
      <c r="C28" s="112" t="s">
        <v>71</v>
      </c>
      <c r="D28" s="89" t="s">
        <v>4311</v>
      </c>
      <c r="E28" s="116" t="str">
        <f>HYPERLINK("https://youtu.be/yyX6mOyHXBw","channel 2")</f>
        <v>channel 2</v>
      </c>
    </row>
    <row r="29">
      <c r="B29" s="87" t="s">
        <v>3848</v>
      </c>
      <c r="C29" s="112" t="s">
        <v>66</v>
      </c>
      <c r="D29" s="89" t="s">
        <v>688</v>
      </c>
      <c r="E29" s="11" t="str">
        <f>HYPERLINK("https://youtu.be/PIybCQcXp6k","channel 1")</f>
        <v>channel 1</v>
      </c>
    </row>
    <row r="30">
      <c r="B30" s="87" t="s">
        <v>4312</v>
      </c>
      <c r="C30" s="112" t="s">
        <v>82</v>
      </c>
      <c r="D30" s="89" t="s">
        <v>298</v>
      </c>
      <c r="E30" s="116" t="str">
        <f>HYPERLINK("https://youtu.be/FVDjnYYnWxU","channel 2")</f>
        <v>channel 2</v>
      </c>
    </row>
    <row r="31">
      <c r="B31" s="87" t="s">
        <v>3848</v>
      </c>
      <c r="C31" s="112" t="s">
        <v>289</v>
      </c>
      <c r="D31" s="89" t="s">
        <v>4311</v>
      </c>
      <c r="E31" s="11" t="str">
        <f>HYPERLINK("https://youtu.be/mYJzgHbg-zM","channel 1")</f>
        <v>channel 1</v>
      </c>
    </row>
    <row r="32">
      <c r="B32" s="87" t="s">
        <v>688</v>
      </c>
      <c r="C32" s="112" t="s">
        <v>443</v>
      </c>
      <c r="D32" s="89" t="s">
        <v>298</v>
      </c>
      <c r="E32" s="116" t="str">
        <f>HYPERLINK("https://youtu.be/yzl_PsCHLmM","channel 2")</f>
        <v>channel 2</v>
      </c>
    </row>
    <row r="33">
      <c r="B33" s="87" t="s">
        <v>3848</v>
      </c>
      <c r="C33" s="112" t="s">
        <v>251</v>
      </c>
      <c r="D33" s="89" t="s">
        <v>4312</v>
      </c>
      <c r="E33" s="11" t="str">
        <f>HYPERLINK("https://youtu.be/9lLccTPI2Lw","channel 1")</f>
        <v>channel 1</v>
      </c>
    </row>
    <row r="34">
      <c r="B34" s="87" t="s">
        <v>688</v>
      </c>
      <c r="C34" s="112" t="s">
        <v>215</v>
      </c>
      <c r="D34" s="89" t="s">
        <v>4311</v>
      </c>
      <c r="E34" s="116" t="str">
        <f>HYPERLINK("https://youtu.be/AkoL6WKilxo","channel 2")</f>
        <v>channel 2</v>
      </c>
    </row>
    <row r="35">
      <c r="B35" s="87" t="s">
        <v>4311</v>
      </c>
      <c r="C35" s="112" t="s">
        <v>250</v>
      </c>
      <c r="D35" s="89" t="s">
        <v>298</v>
      </c>
      <c r="E35" s="11" t="str">
        <f>HYPERLINK("https://youtu.be/R70xT-SrFes","channel 1")</f>
        <v>channel 1</v>
      </c>
    </row>
    <row r="36">
      <c r="B36" s="87" t="s">
        <v>688</v>
      </c>
      <c r="C36" s="112" t="s">
        <v>11</v>
      </c>
      <c r="D36" s="89" t="s">
        <v>4312</v>
      </c>
      <c r="E36" s="116" t="str">
        <f>HYPERLINK("https://youtu.be/xHg-PRgvDYw","channel 2")</f>
        <v>channel 2</v>
      </c>
    </row>
    <row r="37">
      <c r="B37" s="87" t="s">
        <v>298</v>
      </c>
      <c r="C37" s="112" t="s">
        <v>218</v>
      </c>
      <c r="D37" s="89" t="s">
        <v>3848</v>
      </c>
      <c r="E37" s="11" t="str">
        <f>HYPERLINK("https://youtu.be/SG6ivxr2quA","channel 1")</f>
        <v>channel 1</v>
      </c>
    </row>
    <row r="38">
      <c r="B38" s="87" t="s">
        <v>4311</v>
      </c>
      <c r="C38" s="112" t="s">
        <v>244</v>
      </c>
      <c r="D38" s="89" t="s">
        <v>4312</v>
      </c>
      <c r="E38" s="116" t="str">
        <f>HYPERLINK("https://youtu.be/QPoB5T__ZBw","channel 2")</f>
        <v>channel 2</v>
      </c>
    </row>
    <row r="39">
      <c r="B39" s="87" t="s">
        <v>688</v>
      </c>
      <c r="C39" s="112" t="s">
        <v>31</v>
      </c>
      <c r="D39" s="89" t="s">
        <v>3848</v>
      </c>
      <c r="E39" s="11" t="str">
        <f>HYPERLINK("https://youtu.be/dUqn-ywgEcI","channel 1")</f>
        <v>channel 1</v>
      </c>
    </row>
    <row r="40">
      <c r="B40" s="87" t="s">
        <v>298</v>
      </c>
      <c r="C40" s="112" t="s">
        <v>212</v>
      </c>
      <c r="D40" s="89" t="s">
        <v>4312</v>
      </c>
      <c r="E40" s="116" t="str">
        <f>HYPERLINK("https://youtu.be/KqM3DUbJgsI","channel 2")</f>
        <v>channel 2</v>
      </c>
    </row>
    <row r="41">
      <c r="B41" s="87" t="s">
        <v>4311</v>
      </c>
      <c r="C41" s="112" t="s">
        <v>1252</v>
      </c>
      <c r="D41" s="89" t="s">
        <v>3848</v>
      </c>
      <c r="E41" s="11" t="str">
        <f>HYPERLINK("https://youtu.be/7_Uhc81dErk","channel 1")</f>
        <v>channel 1</v>
      </c>
    </row>
    <row r="42">
      <c r="B42" s="87" t="s">
        <v>298</v>
      </c>
      <c r="C42" s="112" t="s">
        <v>45</v>
      </c>
      <c r="D42" s="89" t="s">
        <v>688</v>
      </c>
      <c r="E42" s="116" t="str">
        <f>HYPERLINK("https://youtu.be/S1b3RDwRRFY","channel 2")</f>
        <v>channel 2</v>
      </c>
    </row>
    <row r="43">
      <c r="B43" s="87" t="s">
        <v>4312</v>
      </c>
      <c r="C43" s="112" t="s">
        <v>195</v>
      </c>
      <c r="D43" s="89" t="s">
        <v>3848</v>
      </c>
      <c r="E43" s="11" t="str">
        <f>HYPERLINK("https://youtu.be/lKUAKh-Q9fk","channel 1")</f>
        <v>channel 1</v>
      </c>
    </row>
    <row r="44">
      <c r="B44" s="87" t="s">
        <v>4311</v>
      </c>
      <c r="C44" s="112" t="s">
        <v>291</v>
      </c>
      <c r="D44" s="89" t="s">
        <v>688</v>
      </c>
      <c r="E44" s="116" t="str">
        <f>HYPERLINK("https://youtu.be/5S88gfGiiUU","channel 2")</f>
        <v>channel 2</v>
      </c>
    </row>
    <row r="45">
      <c r="B45" s="149"/>
      <c r="C45" s="149"/>
      <c r="D45" s="149"/>
      <c r="E45" s="149"/>
    </row>
    <row r="46">
      <c r="B46" s="149"/>
      <c r="C46" s="149"/>
      <c r="D46" s="149"/>
      <c r="E46" s="149"/>
    </row>
    <row r="47">
      <c r="B47" s="149"/>
      <c r="C47" s="149"/>
      <c r="D47" s="149"/>
      <c r="E47" s="149"/>
    </row>
    <row r="48">
      <c r="B48" s="149"/>
      <c r="C48" s="149"/>
      <c r="D48" s="149"/>
      <c r="E48" s="149"/>
    </row>
    <row r="49">
      <c r="B49" s="149"/>
      <c r="C49" s="149"/>
      <c r="D49" s="149"/>
      <c r="E49" s="149"/>
    </row>
    <row r="50">
      <c r="B50" s="149"/>
      <c r="C50" s="149"/>
      <c r="D50" s="149"/>
      <c r="E50" s="149"/>
    </row>
    <row r="51">
      <c r="B51" s="149"/>
      <c r="C51" s="149"/>
      <c r="D51" s="149"/>
      <c r="E51" s="149"/>
    </row>
    <row r="52">
      <c r="B52" s="149"/>
      <c r="C52" s="149"/>
      <c r="D52" s="149"/>
      <c r="E52" s="149"/>
    </row>
    <row r="53">
      <c r="B53" s="149"/>
      <c r="C53" s="149"/>
      <c r="D53" s="149"/>
      <c r="E53" s="149"/>
    </row>
    <row r="54">
      <c r="B54" s="149"/>
      <c r="C54" s="149"/>
      <c r="D54" s="149"/>
      <c r="E54" s="149"/>
    </row>
    <row r="55">
      <c r="B55" s="149"/>
      <c r="C55" s="149"/>
      <c r="D55" s="149"/>
      <c r="E55" s="149"/>
    </row>
    <row r="56">
      <c r="B56" s="149"/>
      <c r="C56" s="149"/>
      <c r="D56" s="149"/>
      <c r="E56" s="149"/>
    </row>
    <row r="57">
      <c r="B57" s="149"/>
      <c r="C57" s="149"/>
      <c r="D57" s="149"/>
      <c r="E57" s="149"/>
    </row>
    <row r="58">
      <c r="B58" s="149"/>
      <c r="C58" s="149"/>
      <c r="D58" s="149"/>
      <c r="E58" s="149"/>
    </row>
    <row r="59">
      <c r="B59" s="149"/>
      <c r="C59" s="149"/>
      <c r="D59" s="149"/>
      <c r="E59" s="149"/>
    </row>
    <row r="60">
      <c r="B60" s="149"/>
      <c r="C60" s="149"/>
      <c r="D60" s="149"/>
      <c r="E60" s="149"/>
    </row>
    <row r="61">
      <c r="B61" s="149"/>
      <c r="C61" s="149"/>
      <c r="D61" s="149"/>
      <c r="E61" s="149"/>
    </row>
    <row r="62">
      <c r="B62" s="149"/>
      <c r="C62" s="149"/>
      <c r="D62" s="149"/>
      <c r="E62" s="149"/>
    </row>
    <row r="63">
      <c r="B63" s="149"/>
      <c r="C63" s="149"/>
      <c r="D63" s="149"/>
      <c r="E63" s="149"/>
    </row>
    <row r="64">
      <c r="B64" s="149"/>
      <c r="C64" s="149"/>
      <c r="D64" s="149"/>
      <c r="E64" s="149"/>
    </row>
    <row r="65">
      <c r="B65" s="149"/>
      <c r="C65" s="149"/>
      <c r="D65" s="149"/>
      <c r="E65" s="149"/>
    </row>
    <row r="66">
      <c r="B66" s="149"/>
      <c r="C66" s="149"/>
      <c r="D66" s="149"/>
      <c r="E66" s="149"/>
    </row>
    <row r="67">
      <c r="B67" s="149"/>
      <c r="C67" s="149"/>
      <c r="D67" s="149"/>
      <c r="E67" s="149"/>
    </row>
    <row r="68">
      <c r="B68" s="149"/>
      <c r="C68" s="149"/>
      <c r="D68" s="149"/>
      <c r="E68" s="149"/>
    </row>
    <row r="69">
      <c r="B69" s="149"/>
      <c r="C69" s="149"/>
      <c r="D69" s="149"/>
      <c r="E69" s="149"/>
    </row>
    <row r="70">
      <c r="B70" s="149"/>
      <c r="C70" s="149"/>
      <c r="D70" s="149"/>
      <c r="E70" s="149"/>
    </row>
    <row r="71">
      <c r="B71" s="149"/>
      <c r="C71" s="149"/>
      <c r="D71" s="149"/>
      <c r="E71" s="149"/>
    </row>
    <row r="72">
      <c r="B72" s="149"/>
      <c r="C72" s="149"/>
      <c r="D72" s="149"/>
      <c r="E72" s="149"/>
    </row>
    <row r="73">
      <c r="B73" s="149"/>
      <c r="C73" s="149"/>
      <c r="D73" s="149"/>
      <c r="E73" s="149"/>
    </row>
    <row r="74">
      <c r="B74" s="149"/>
      <c r="C74" s="149"/>
      <c r="D74" s="149"/>
      <c r="E74" s="149"/>
    </row>
    <row r="75">
      <c r="B75" s="149"/>
      <c r="C75" s="149"/>
      <c r="D75" s="149"/>
      <c r="E75" s="149"/>
    </row>
    <row r="76">
      <c r="B76" s="149"/>
      <c r="C76" s="149"/>
      <c r="D76" s="149"/>
      <c r="E76" s="149"/>
    </row>
    <row r="77">
      <c r="B77" s="149"/>
      <c r="C77" s="149"/>
      <c r="D77" s="149"/>
      <c r="E77" s="149"/>
    </row>
    <row r="78">
      <c r="B78" s="149"/>
      <c r="C78" s="149"/>
      <c r="D78" s="149"/>
      <c r="E78" s="149"/>
    </row>
    <row r="79">
      <c r="B79" s="149"/>
      <c r="C79" s="149"/>
      <c r="D79" s="149"/>
      <c r="E79" s="149"/>
    </row>
    <row r="80">
      <c r="B80" s="149"/>
      <c r="C80" s="149"/>
      <c r="D80" s="149"/>
      <c r="E80" s="149"/>
    </row>
    <row r="81">
      <c r="B81" s="149"/>
      <c r="C81" s="149"/>
      <c r="D81" s="149"/>
      <c r="E81" s="149"/>
    </row>
    <row r="82">
      <c r="B82" s="149"/>
      <c r="C82" s="149"/>
      <c r="D82" s="149"/>
      <c r="E82" s="149"/>
    </row>
    <row r="83">
      <c r="B83" s="149"/>
      <c r="C83" s="149"/>
      <c r="D83" s="149"/>
      <c r="E83" s="149"/>
    </row>
    <row r="84">
      <c r="B84" s="149"/>
      <c r="C84" s="149"/>
      <c r="D84" s="149"/>
      <c r="E84" s="149"/>
    </row>
    <row r="85">
      <c r="B85" s="149"/>
      <c r="C85" s="149"/>
      <c r="D85" s="149"/>
      <c r="E85" s="149"/>
    </row>
    <row r="86">
      <c r="B86" s="149"/>
      <c r="C86" s="149"/>
      <c r="D86" s="149"/>
      <c r="E86" s="149"/>
    </row>
    <row r="87">
      <c r="B87" s="149"/>
      <c r="C87" s="149"/>
      <c r="D87" s="149"/>
      <c r="E87" s="149"/>
    </row>
    <row r="88">
      <c r="B88" s="149"/>
      <c r="C88" s="149"/>
      <c r="D88" s="149"/>
      <c r="E88" s="149"/>
    </row>
    <row r="89">
      <c r="B89" s="149"/>
      <c r="C89" s="149"/>
      <c r="D89" s="149"/>
      <c r="E89" s="149"/>
    </row>
    <row r="90">
      <c r="B90" s="149"/>
      <c r="C90" s="149"/>
      <c r="D90" s="149"/>
      <c r="E90" s="149"/>
    </row>
    <row r="91">
      <c r="B91" s="149"/>
      <c r="C91" s="149"/>
      <c r="D91" s="149"/>
      <c r="E91" s="149"/>
    </row>
    <row r="92">
      <c r="B92" s="149"/>
      <c r="C92" s="149"/>
      <c r="D92" s="149"/>
      <c r="E92" s="149"/>
    </row>
    <row r="93">
      <c r="B93" s="149"/>
      <c r="C93" s="149"/>
      <c r="D93" s="149"/>
      <c r="E93" s="149"/>
    </row>
    <row r="94">
      <c r="B94" s="149"/>
      <c r="C94" s="149"/>
      <c r="D94" s="149"/>
      <c r="E94" s="149"/>
    </row>
    <row r="95">
      <c r="B95" s="149"/>
      <c r="C95" s="149"/>
      <c r="D95" s="149"/>
      <c r="E95" s="149"/>
    </row>
    <row r="96">
      <c r="B96" s="149"/>
      <c r="C96" s="149"/>
      <c r="D96" s="149"/>
      <c r="E96" s="149"/>
    </row>
    <row r="97">
      <c r="B97" s="149"/>
      <c r="C97" s="149"/>
      <c r="D97" s="149"/>
      <c r="E97" s="149"/>
    </row>
    <row r="98">
      <c r="B98" s="149"/>
      <c r="C98" s="149"/>
      <c r="D98" s="149"/>
      <c r="E98" s="149"/>
    </row>
    <row r="99">
      <c r="B99" s="149"/>
      <c r="C99" s="149"/>
      <c r="D99" s="149"/>
      <c r="E99" s="149"/>
    </row>
    <row r="100">
      <c r="B100" s="149"/>
      <c r="C100" s="149"/>
      <c r="D100" s="149"/>
      <c r="E100" s="149"/>
    </row>
    <row r="101">
      <c r="B101" s="149"/>
      <c r="C101" s="149"/>
      <c r="D101" s="149"/>
      <c r="E101" s="149"/>
    </row>
    <row r="102">
      <c r="B102" s="149"/>
      <c r="C102" s="149"/>
      <c r="D102" s="149"/>
      <c r="E102" s="149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3">
    <mergeCell ref="A1:A88"/>
    <mergeCell ref="B1:D1"/>
    <mergeCell ref="B23:D23"/>
  </mergeCells>
  <drawing r:id="rId1"/>
</worksheet>
</file>